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47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319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5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worksheets/sheet344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worksheets/sheet311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95.xml" ContentType="application/vnd.openxmlformats-officedocument.spreadsheetml.worksheet+xml"/>
  <Override PartName="/xl/worksheets/sheet300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worksheets/sheet327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worksheets/sheet316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78.xml" ContentType="application/vnd.openxmlformats-officedocument.spreadsheetml.worksheet+xml"/>
  <Override PartName="/xl/worksheets/sheet330.xml" ContentType="application/vnd.openxmlformats-officedocument.spreadsheetml.workshee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92.xml" ContentType="application/vnd.openxmlformats-officedocument.spreadsheetml.workshee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worksheets/sheet35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346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worksheets/sheet33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60.xml" ContentType="application/vnd.openxmlformats-officedocument.spreadsheetml.worksheet+xml"/>
  <Override PartName="/xl/drawings/drawing1.xml" ContentType="application/vnd.openxmlformats-officedocument.drawing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97.xml" ContentType="application/vnd.openxmlformats-officedocument.spreadsheetml.worksheet+xml"/>
  <Override PartName="/xl/worksheets/sheet302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93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329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32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worksheets/sheet359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348.xml" ContentType="application/vnd.openxmlformats-officedocument.spreadsheetml.worksheet+xml"/>
  <Override PartName="/xl/worksheets/sheet187.xml" ContentType="application/vnd.openxmlformats-officedocument.spreadsheetml.worksheet+xml"/>
  <Override PartName="/xl/worksheets/sheet337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26.xml" ContentType="application/vnd.openxmlformats-officedocument.spreadsheetml.worksheet+xml"/>
  <Override PartName="/xl/drawings/drawing3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340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56.xml" ContentType="application/vnd.openxmlformats-officedocument.spreadsheetml.workshee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334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worksheets/sheet32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28.xml" ContentType="application/vnd.openxmlformats-officedocument.spreadsheetml.worksheet+xml"/>
  <Override PartName="/xl/drawings/drawing5.xml" ContentType="application/vnd.openxmlformats-officedocument.drawing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worksheets/sheet34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5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tabRatio="770"/>
  </bookViews>
  <sheets>
    <sheet name="Fact Sheet of VDC" sheetId="1" r:id="rId1"/>
    <sheet name="Mataji" sheetId="661" r:id="rId2"/>
    <sheet name="Kanbura" sheetId="662" r:id="rId3"/>
    <sheet name="Maa Thakurani" sheetId="663" r:id="rId4"/>
    <sheet name="Sikilimali" sheetId="664" r:id="rId5"/>
    <sheet name="Tribeni" sheetId="665" r:id="rId6"/>
    <sheet name="Maa Gayatri" sheetId="666" r:id="rId7"/>
    <sheet name="Khandual" sheetId="667" r:id="rId8"/>
    <sheet name="Laxmi" sheetId="668" r:id="rId9"/>
    <sheet name="Maa Adimata" sheetId="669" r:id="rId10"/>
    <sheet name="Nagabali" sheetId="670" r:id="rId11"/>
    <sheet name="Dharitri" sheetId="671" r:id="rId12"/>
    <sheet name="Subhasree" sheetId="672" r:id="rId13"/>
    <sheet name="Pindapadar" sheetId="673" r:id="rId14"/>
    <sheet name="Amjhola " sheetId="674" r:id="rId15"/>
    <sheet name="Nakrundi" sheetId="675" r:id="rId16"/>
    <sheet name="Taramundi " sheetId="676" r:id="rId17"/>
    <sheet name="Kirkicha " sheetId="677" r:id="rId18"/>
    <sheet name="T. Bhejiguda" sheetId="678" r:id="rId19"/>
    <sheet name="Melrafa" sheetId="679" r:id="rId20"/>
    <sheet name="Sikerguda " sheetId="680" r:id="rId21"/>
    <sheet name="Kandulguda" sheetId="681" r:id="rId22"/>
    <sheet name="Maltipadar" sheetId="682" r:id="rId23"/>
    <sheet name="Melghara " sheetId="683" r:id="rId24"/>
    <sheet name="Chacha" sheetId="684" r:id="rId25"/>
    <sheet name="Ushabahali" sheetId="685" r:id="rId26"/>
    <sheet name="Malijubang" sheetId="686" r:id="rId27"/>
    <sheet name="Madanguda" sheetId="687" r:id="rId28"/>
    <sheet name="punjam" sheetId="688" r:id="rId29"/>
    <sheet name="jira" sheetId="689" r:id="rId30"/>
    <sheet name="Panpadar" sheetId="690" r:id="rId31"/>
    <sheet name="Bater" sheetId="691" r:id="rId32"/>
    <sheet name="Salpadar" sheetId="692" r:id="rId33"/>
    <sheet name="Bada" sheetId="693" r:id="rId34"/>
    <sheet name="Dnariguda" sheetId="694" r:id="rId35"/>
    <sheet name="Kalakupa" sheetId="695" r:id="rId36"/>
    <sheet name="Bank" sheetId="696" r:id="rId37"/>
    <sheet name="Talbora" sheetId="697" r:id="rId38"/>
    <sheet name="Patangapadar" sheetId="698" r:id="rId39"/>
    <sheet name="Sindhibhata " sheetId="699" r:id="rId40"/>
    <sheet name="Ghatikundru" sheetId="700" r:id="rId41"/>
    <sheet name="pradhanipada" sheetId="701" r:id="rId42"/>
    <sheet name="Talkalima" sheetId="702" r:id="rId43"/>
    <sheet name="Khaksi" sheetId="703" r:id="rId44"/>
    <sheet name="Jobagaon" sheetId="704" r:id="rId45"/>
    <sheet name="jachuan" sheetId="705" r:id="rId46"/>
    <sheet name="Dahanipadar" sheetId="706" r:id="rId47"/>
    <sheet name="Lermuin" sheetId="707" r:id="rId48"/>
    <sheet name="kamalei" sheetId="708" r:id="rId49"/>
    <sheet name="Udiguna" sheetId="709" r:id="rId50"/>
    <sheet name="Mardiguda" sheetId="710" r:id="rId51"/>
    <sheet name="Ghutimaska" sheetId="711" r:id="rId52"/>
    <sheet name="Ghutiguda" sheetId="712" r:id="rId53"/>
    <sheet name="Terengasil" sheetId="713" r:id="rId54"/>
    <sheet name="Chachikana" sheetId="714" r:id="rId55"/>
    <sheet name="Suksan" sheetId="715" r:id="rId56"/>
    <sheet name="Melkundel" sheetId="716" r:id="rId57"/>
    <sheet name="Poiguda" sheetId="717" r:id="rId58"/>
    <sheet name="Kosabara" sheetId="718" r:id="rId59"/>
    <sheet name="Dui Samuduni" sheetId="280" r:id="rId60"/>
    <sheet name="Maa Manidei" sheetId="281" r:id="rId61"/>
    <sheet name="Ranasingha" sheetId="282" r:id="rId62"/>
    <sheet name="Kadingmali" sheetId="283" r:id="rId63"/>
    <sheet name="Ama Dei" sheetId="284" r:id="rId64"/>
    <sheet name="Birisaunra" sheetId="285" r:id="rId65"/>
    <sheet name="Timibandha" sheetId="286" r:id="rId66"/>
    <sheet name="Majhigouri" sheetId="287" r:id="rId67"/>
    <sheet name="Bateswar" sheetId="288" r:id="rId68"/>
    <sheet name="Pataleswar" sheetId="289" r:id="rId69"/>
    <sheet name="Maa Mangala" sheetId="290" r:id="rId70"/>
    <sheet name="Maa Bhavani" sheetId="291" r:id="rId71"/>
    <sheet name="Trinath" sheetId="292" r:id="rId72"/>
    <sheet name="Maa Tarini (3)" sheetId="293" r:id="rId73"/>
    <sheet name="Godahada" sheetId="294" r:id="rId74"/>
    <sheet name="Agni Gangama" sheetId="295" r:id="rId75"/>
    <sheet name="Jhankiriama" sheetId="296" r:id="rId76"/>
    <sheet name="Maa Taradevi" sheetId="297" r:id="rId77"/>
    <sheet name="Padalama" sheetId="298" r:id="rId78"/>
    <sheet name="Majhi Gouri" sheetId="299" r:id="rId79"/>
    <sheet name="Paramakanda" sheetId="300" r:id="rId80"/>
    <sheet name="Atamama" sheetId="301" r:id="rId81"/>
    <sheet name="Gangadevi" sheetId="302" r:id="rId82"/>
    <sheet name="Gangadevta" sheetId="303" r:id="rId83"/>
    <sheet name="Santinagar" sheetId="304" r:id="rId84"/>
    <sheet name="Indirama" sheetId="305" r:id="rId85"/>
    <sheet name="Makar Huika " sheetId="306" r:id="rId86"/>
    <sheet name="Jhankiriama (2)" sheetId="307" r:id="rId87"/>
    <sheet name="Penukupa" sheetId="308" r:id="rId88"/>
    <sheet name="Banadurga" sheetId="309" r:id="rId89"/>
    <sheet name="Jay Maa Nisanimunda" sheetId="310" r:id="rId90"/>
    <sheet name="Maa Nisanimunda" sheetId="311" r:id="rId91"/>
    <sheet name="Santi" sheetId="312" r:id="rId92"/>
    <sheet name="Maa Sata Bhauni" sheetId="313" r:id="rId93"/>
    <sheet name="Kaliamali Dadibudha" sheetId="314" r:id="rId94"/>
    <sheet name="Siba Sakti" sheetId="315" r:id="rId95"/>
    <sheet name="Laba Paraja" sheetId="316" r:id="rId96"/>
    <sheet name="Tengdasil" sheetId="317" r:id="rId97"/>
    <sheet name="Jay Maa Surjyagada" sheetId="318" r:id="rId98"/>
    <sheet name="Maa Gadri Mali" sheetId="319" r:id="rId99"/>
    <sheet name="Baghjholla" sheetId="320" r:id="rId100"/>
    <sheet name="Kuremeta" sheetId="321" r:id="rId101"/>
    <sheet name="Haticheru" sheetId="322" r:id="rId102"/>
    <sheet name="Kamalabandha" sheetId="323" r:id="rId103"/>
    <sheet name="Sindheramoti" sheetId="324" r:id="rId104"/>
    <sheet name="Sualoba" sheetId="325" r:id="rId105"/>
    <sheet name="Karamjhola" sheetId="326" r:id="rId106"/>
    <sheet name="Bana Durga" sheetId="327" r:id="rId107"/>
    <sheet name="Chapanjhola" sheetId="328" r:id="rId108"/>
    <sheet name="Arju Maska" sheetId="329" r:id="rId109"/>
    <sheet name="Maa Tarini (4)" sheetId="330" r:id="rId110"/>
    <sheet name="Linga Deomali" sheetId="331" r:id="rId111"/>
    <sheet name="Baba Gupteswar (2)" sheetId="332" r:id="rId112"/>
    <sheet name="Maa Bhairavi" sheetId="333" r:id="rId113"/>
    <sheet name="Jhankar Devi" sheetId="334" r:id="rId114"/>
    <sheet name="Gangama" sheetId="335" r:id="rId115"/>
    <sheet name="Puja Dora " sheetId="336" r:id="rId116"/>
    <sheet name="Sidha Damagarh" sheetId="337" r:id="rId117"/>
    <sheet name="Veer Khamba" sheetId="338" r:id="rId118"/>
    <sheet name="Jay Hanuman (2)" sheetId="339" r:id="rId119"/>
    <sheet name="Thakurani Nala" sheetId="340" r:id="rId120"/>
    <sheet name="Balighata Nala" sheetId="341" r:id="rId121"/>
    <sheet name="Kandula Beda Nala " sheetId="342" r:id="rId122"/>
    <sheet name="Paka Nala " sheetId="343" r:id="rId123"/>
    <sheet name="Pani Nala" sheetId="344" r:id="rId124"/>
    <sheet name="Bada Nala" sheetId="345" r:id="rId125"/>
    <sheet name="Gangama Nala" sheetId="346" r:id="rId126"/>
    <sheet name="Dudhari Nala " sheetId="347" r:id="rId127"/>
    <sheet name="Bhairabi Gudi Nala" sheetId="348" r:id="rId128"/>
    <sheet name="Nageswari Nala" sheetId="349" r:id="rId129"/>
    <sheet name="DEVAGIRI" sheetId="449" r:id="rId130"/>
    <sheet name="PISION" sheetId="448" r:id="rId131"/>
    <sheet name="HEMAYANA" sheetId="450" r:id="rId132"/>
    <sheet name="ALEMBA" sheetId="457" r:id="rId133"/>
    <sheet name="GAMMA" sheetId="456" r:id="rId134"/>
    <sheet name="Emani" sheetId="451" r:id="rId135"/>
    <sheet name="SION" sheetId="454" r:id="rId136"/>
    <sheet name="SHANTI" sheetId="455" r:id="rId137"/>
    <sheet name="BALINGDA" sheetId="453" r:id="rId138"/>
    <sheet name="NILLA" sheetId="452" r:id="rId139"/>
    <sheet name="Jambanal" sheetId="512" r:id="rId140"/>
    <sheet name="Baghanal" sheetId="513" r:id="rId141"/>
    <sheet name="Mahendratanaya" sheetId="509" r:id="rId142"/>
    <sheet name="Darubramha" sheetId="510" r:id="rId143"/>
    <sheet name="Badapathara" sheetId="507" r:id="rId144"/>
    <sheet name="Ajayagadadhar" sheetId="508" r:id="rId145"/>
    <sheet name="Debagiri" sheetId="515" r:id="rId146"/>
    <sheet name="Gandakhal" sheetId="511" r:id="rId147"/>
    <sheet name="Satabhauni" sheetId="514" r:id="rId148"/>
    <sheet name="Duarasunki" sheetId="516" r:id="rId149"/>
    <sheet name="Mutukua Form-A" sheetId="499" r:id="rId150"/>
    <sheet name="Nidhigudi Form-A" sheetId="501" r:id="rId151"/>
    <sheet name="Dahiamba Form- A" sheetId="498" r:id="rId152"/>
    <sheet name="Bapedi Form-A" sheetId="500" r:id="rId153"/>
    <sheet name="Tandrang-Form-A" sheetId="502" r:id="rId154"/>
    <sheet name="Puspang Form A" sheetId="504" r:id="rId155"/>
    <sheet name="Dhenkabandha Form-A" sheetId="497" r:id="rId156"/>
    <sheet name="BhamaranaLA Form-A" sheetId="495" r:id="rId157"/>
    <sheet name="Badanala Form-A" sheetId="496" r:id="rId158"/>
    <sheet name="Dalimbapur Form A" sheetId="503" r:id="rId159"/>
    <sheet name="Souri" sheetId="486" r:id="rId160"/>
    <sheet name="Palapur" sheetId="485" r:id="rId161"/>
    <sheet name="Ketung Pada" sheetId="487" r:id="rId162"/>
    <sheet name="Badadev" sheetId="490" r:id="rId163"/>
    <sheet name="Konkarada" sheetId="489" r:id="rId164"/>
    <sheet name="Attarsing" sheetId="488" r:id="rId165"/>
    <sheet name="Tuman" sheetId="484" r:id="rId166"/>
    <sheet name="Luther" sheetId="492" r:id="rId167"/>
    <sheet name="Saralapadar" sheetId="491" r:id="rId168"/>
    <sheet name="Rubudising" sheetId="483" r:id="rId169"/>
    <sheet name="BANKINADI-A" sheetId="464" r:id="rId170"/>
    <sheet name="GANDHIJI-A" sheetId="465" r:id="rId171"/>
    <sheet name="KANTANALA-A" sheetId="463" r:id="rId172"/>
    <sheet name="RAMANALA-A" sheetId="462" r:id="rId173"/>
    <sheet name="DENGAMA-A" sheetId="468" r:id="rId174"/>
    <sheet name="SUSURALDING-A" sheetId="469" r:id="rId175"/>
    <sheet name="JIHOBAJIRI-A" sheetId="467" r:id="rId176"/>
    <sheet name="JANAPEJA-A" sheetId="461" r:id="rId177"/>
    <sheet name="BANDAMERA-A" sheetId="466" r:id="rId178"/>
    <sheet name="JAMANALA-A" sheetId="460" r:id="rId179"/>
    <sheet name="Sheet14" sheetId="459" r:id="rId180"/>
    <sheet name="Ratnagiri Nala" sheetId="479" r:id="rId181"/>
    <sheet name="Bangdol Nala" sheetId="471" r:id="rId182"/>
    <sheet name="Burjuli Nala" sheetId="473" r:id="rId183"/>
    <sheet name="Sangsang Nala" sheetId="480" r:id="rId184"/>
    <sheet name="Nakiamba Nala" sheetId="477" r:id="rId185"/>
    <sheet name="Kamalalinga Nala" sheetId="476" r:id="rId186"/>
    <sheet name="Lubudi Nala" sheetId="475" r:id="rId187"/>
    <sheet name="Hatibandha Nala" sheetId="474" r:id="rId188"/>
    <sheet name="Narangi Nala" sheetId="478" r:id="rId189"/>
    <sheet name="Belachanchadanala" sheetId="472" r:id="rId190"/>
    <sheet name="Kalibudha" sheetId="419" r:id="rId191"/>
    <sheet name="Maa Bhagabati" sheetId="420" r:id="rId192"/>
    <sheet name="Siba Shakti" sheetId="407" r:id="rId193"/>
    <sheet name="Jaya Hanuman" sheetId="408" r:id="rId194"/>
    <sheet name="Jana Chetana" sheetId="413" r:id="rId195"/>
    <sheet name="Dimbuli" sheetId="418" r:id="rId196"/>
    <sheet name="Raniadu" sheetId="415" r:id="rId197"/>
    <sheet name="Utei Tanaya" sheetId="409" r:id="rId198"/>
    <sheet name="Maa Manikeswari" sheetId="411" r:id="rId199"/>
    <sheet name="Sapengada" sheetId="414" r:id="rId200"/>
    <sheet name="Maa Tulasi" sheetId="417" r:id="rId201"/>
    <sheet name="Maa Tarini" sheetId="410" r:id="rId202"/>
    <sheet name="Sitiguda" sheetId="412" r:id="rId203"/>
    <sheet name="Dharanimata" sheetId="416" r:id="rId204"/>
    <sheet name="Maa Subasini" sheetId="390" r:id="rId205"/>
    <sheet name="Krusibikash" sheetId="391" r:id="rId206"/>
    <sheet name="Maa Manikeswari (2)" sheetId="392" r:id="rId207"/>
    <sheet name="Sangram" sheetId="393" r:id="rId208"/>
    <sheet name="Jeevanjyoti" sheetId="394" r:id="rId209"/>
    <sheet name="Sashakti" sheetId="395" r:id="rId210"/>
    <sheet name="Lazera" sheetId="396" r:id="rId211"/>
    <sheet name="Jihobajiri" sheetId="397" r:id="rId212"/>
    <sheet name="Dr. Ambedkar" sheetId="398" r:id="rId213"/>
    <sheet name="Mother Teresa" sheetId="399" r:id="rId214"/>
    <sheet name="Sahid Bhagatsingh" sheetId="400" r:id="rId215"/>
    <sheet name="Bethel" sheetId="401" r:id="rId216"/>
    <sheet name="Triranga" sheetId="402" r:id="rId217"/>
    <sheet name="Shantidata" sheetId="403" r:id="rId218"/>
    <sheet name="Jay Sriram" sheetId="404" r:id="rId219"/>
    <sheet name="Swadhin" sheetId="388" r:id="rId220"/>
    <sheet name="Kuki" sheetId="384" r:id="rId221"/>
    <sheet name="Rushimala" sheetId="387" r:id="rId222"/>
    <sheet name="Janaseva" sheetId="382" r:id="rId223"/>
    <sheet name="Bibekananda" sheetId="380" r:id="rId224"/>
    <sheet name="Padujha" sheetId="386" r:id="rId225"/>
    <sheet name="Kuruma" sheetId="385" r:id="rId226"/>
    <sheet name="Agraha" sheetId="379" r:id="rId227"/>
    <sheet name="Kaupunja" sheetId="383" r:id="rId228"/>
    <sheet name="Gilasakti" sheetId="381" r:id="rId229"/>
    <sheet name="Bijaynagar" sheetId="436" r:id="rId230"/>
    <sheet name="Divyasakti" sheetId="442" r:id="rId231"/>
    <sheet name="Lapkapaheri" sheetId="438" r:id="rId232"/>
    <sheet name="Taranga" sheetId="440" r:id="rId233"/>
    <sheet name="Girijan" sheetId="439" r:id="rId234"/>
    <sheet name="Gayatri" sheetId="444" r:id="rId235"/>
    <sheet name="Jihobajiri (2)" sheetId="445" r:id="rId236"/>
    <sheet name="Maa Shakti" sheetId="437" r:id="rId237"/>
    <sheet name="Kissan" sheetId="441" r:id="rId238"/>
    <sheet name="Maa Bhagabati (2)" sheetId="443" r:id="rId239"/>
    <sheet name="Gramadevi" sheetId="428" r:id="rId240"/>
    <sheet name="Lingaraj" sheetId="430" r:id="rId241"/>
    <sheet name="Sri Laxmi" sheetId="425" r:id="rId242"/>
    <sheet name="Chakadola" sheetId="423" r:id="rId243"/>
    <sheet name="Jagatjanani" sheetId="429" r:id="rId244"/>
    <sheet name="Ujjanputta" sheetId="426" r:id="rId245"/>
    <sheet name="Maa Tarini (2)" sheetId="431" r:id="rId246"/>
    <sheet name="Biswajanani" sheetId="427" r:id="rId247"/>
    <sheet name="Maa Bhagabati (3)" sheetId="424" r:id="rId248"/>
    <sheet name="Bibekananda (2)" sheetId="432" r:id="rId249"/>
    <sheet name="Sunadei" sheetId="574" r:id="rId250"/>
    <sheet name="Vande Mataram" sheetId="575" r:id="rId251"/>
    <sheet name="Sahid Laxman Nayak" sheetId="576" r:id="rId252"/>
    <sheet name="Budhachauria" sheetId="577" r:id="rId253"/>
    <sheet name="Bapuji" sheetId="578" r:id="rId254"/>
    <sheet name="Maa Thakurani (2)" sheetId="579" r:id="rId255"/>
    <sheet name="Maa Sunadei" sheetId="580" r:id="rId256"/>
    <sheet name="Maa Kala Dharini" sheetId="581" r:id="rId257"/>
    <sheet name="Sanu Majhi" sheetId="582" r:id="rId258"/>
    <sheet name="Jaya Jagannath" sheetId="583" r:id="rId259"/>
    <sheet name="Jay Bima" sheetId="593" r:id="rId260"/>
    <sheet name="Trimuti" sheetId="594" r:id="rId261"/>
    <sheet name="Laxmi Narayani" sheetId="595" r:id="rId262"/>
    <sheet name="Alekhmahima" sheetId="596" r:id="rId263"/>
    <sheet name="Balram mahadev" sheetId="597" r:id="rId264"/>
    <sheet name="Maa Haladi Gundiani" sheetId="598" r:id="rId265"/>
    <sheet name="Ghatimundiani" sheetId="599" r:id="rId266"/>
    <sheet name="Chandan Dhar" sheetId="600" r:id="rId267"/>
    <sheet name="MaaThakurani" sheetId="601" r:id="rId268"/>
    <sheet name="Maa Mauli" sheetId="602" r:id="rId269"/>
    <sheet name="Kalibaudi" sheetId="584" r:id="rId270"/>
    <sheet name="Jagidangri" sheetId="585" r:id="rId271"/>
    <sheet name="Gumunda Dangri" sheetId="586" r:id="rId272"/>
    <sheet name="Chaunria" sheetId="587" r:id="rId273"/>
    <sheet name="Kanjibadna" sheetId="588" r:id="rId274"/>
    <sheet name="Kurundi Nala" sheetId="589" r:id="rId275"/>
    <sheet name="Kotagadani" sheetId="590" r:id="rId276"/>
    <sheet name="Maa Thakurani (3)" sheetId="591" r:id="rId277"/>
    <sheet name="Bamandei" sheetId="592" r:id="rId278"/>
    <sheet name="Baba Kapileswar" sheetId="720" r:id="rId279"/>
    <sheet name="Baba Gupteswar" sheetId="721" r:id="rId280"/>
    <sheet name="Jay Jagannath" sheetId="722" r:id="rId281"/>
    <sheet name="Maa Durga" sheetId="723" r:id="rId282"/>
    <sheet name="Baba Akhandalamani" sheetId="724" r:id="rId283"/>
    <sheet name="Maa Mauli (2)" sheetId="725" r:id="rId284"/>
    <sheet name="Baruadeimata" sheetId="726" r:id="rId285"/>
    <sheet name="Babaiswar " sheetId="727" r:id="rId286"/>
    <sheet name="Mohatmagandhi" sheetId="728" r:id="rId287"/>
    <sheet name="Gopabandhu" sheetId="729" r:id="rId288"/>
    <sheet name="Sheet1" sheetId="750" r:id="rId289"/>
    <sheet name="Sheet2" sheetId="751" r:id="rId290"/>
    <sheet name="Tuberkond VDC" sheetId="730" r:id="rId291"/>
    <sheet name="Taratarini VDC" sheetId="731" r:id="rId292"/>
    <sheet name="Jay Maa Santoshi" sheetId="732" r:id="rId293"/>
    <sheet name="Asan VDC" sheetId="733" r:id="rId294"/>
    <sheet name="Gopabandhu VDC" sheetId="734" r:id="rId295"/>
    <sheet name="Maa Bhairabi VDC" sheetId="735" r:id="rId296"/>
    <sheet name="Saheed Laxman Nayak VDC" sheetId="736" r:id="rId297"/>
    <sheet name="Jay Sri Ram VDC" sheetId="737" r:id="rId298"/>
    <sheet name="Mebur VDC" sheetId="738" r:id="rId299"/>
    <sheet name="Maa Durga VDC" sheetId="739" r:id="rId300"/>
    <sheet name="Malyabanta VDC  Jodambo" sheetId="740" r:id="rId301"/>
    <sheet name="Ram Dev VDC Darlabeda" sheetId="741" r:id="rId302"/>
    <sheet name="Badadeveta VDC Kunturpadar" sheetId="742" r:id="rId303"/>
    <sheet name="Jai Jagannath VDC Khjuriguda" sheetId="743" r:id="rId304"/>
    <sheet name="Maa Tarini VDC Bihangudi" sheetId="744" r:id="rId305"/>
    <sheet name="Maa Baijaruni VDC Hatimba" sheetId="745" r:id="rId306"/>
    <sheet name="Maa Laxmi VDC Pipalpaar" sheetId="746" r:id="rId307"/>
    <sheet name="Maa santoshi VDC Rajabandha" sheetId="747" r:id="rId308"/>
    <sheet name="Bana Durga VDC Nakamamudi" sheetId="748" r:id="rId309"/>
    <sheet name="Tulasi VDC Chitapari" sheetId="749" r:id="rId310"/>
    <sheet name="AKSSUS-Bansadhara" sheetId="519" r:id="rId311"/>
    <sheet name="AKSSUS-Patiagada" sheetId="520" r:id="rId312"/>
    <sheet name="AKSSUS-Himalaya" sheetId="521" r:id="rId313"/>
    <sheet name="AKSSUS-Kaladipa" sheetId="522" r:id="rId314"/>
    <sheet name="AKSSUS-Niyamgiri" sheetId="523" r:id="rId315"/>
    <sheet name="AKSSUS-Gadagada" sheetId="524" r:id="rId316"/>
    <sheet name="AKSSUS-Debagiri" sheetId="525" r:id="rId317"/>
    <sheet name="AKSSUS-Mahendragiri" sheetId="526" r:id="rId318"/>
    <sheet name="AKSSUS-Jhanjabati" sheetId="527" r:id="rId319"/>
    <sheet name="AKSSUS-Nagabali" sheetId="528" r:id="rId320"/>
    <sheet name="Bansadhara" sheetId="529" r:id="rId321"/>
    <sheet name="Jeevan Jyoti" sheetId="530" r:id="rId322"/>
    <sheet name="REWA" sheetId="531" r:id="rId323"/>
    <sheet name="Lehurilima" sheetId="532" r:id="rId324"/>
    <sheet name="Maa Manikeswari (3)" sheetId="533" r:id="rId325"/>
    <sheet name="Chaturveda" sheetId="534" r:id="rId326"/>
    <sheet name="Jeobajiri" sheetId="535" r:id="rId327"/>
    <sheet name="Dhanpati" sheetId="536" r:id="rId328"/>
    <sheet name="Brahmanidei" sheetId="537" r:id="rId329"/>
    <sheet name="Mahendranaya" sheetId="538" r:id="rId330"/>
    <sheet name="Bhahmanimunda" sheetId="539" r:id="rId331"/>
    <sheet name="Budha Bhairab" sheetId="540" r:id="rId332"/>
    <sheet name="Kalarasuni" sheetId="541" r:id="rId333"/>
    <sheet name="Shree Bhairabi" sheetId="542" r:id="rId334"/>
    <sheet name="Baishnab Budha" sheetId="543" r:id="rId335"/>
    <sheet name="Repsa Khola" sheetId="544" r:id="rId336"/>
    <sheet name="Naringibadi" sheetId="545" r:id="rId337"/>
    <sheet name="Pundel" sheetId="546" r:id="rId338"/>
    <sheet name="Dedingidangar" sheetId="547" r:id="rId339"/>
    <sheet name="Pundera" sheetId="548" r:id="rId340"/>
    <sheet name="Tij Raja" sheetId="549" r:id="rId341"/>
    <sheet name="Maa Gayatri (2)" sheetId="550" r:id="rId342"/>
    <sheet name="Sahid Laxman nayak (2)" sheetId="551" r:id="rId343"/>
    <sheet name="Jay Jagannath (2)" sheetId="552" r:id="rId344"/>
    <sheet name="Budha Raja" sheetId="553" r:id="rId345"/>
    <sheet name="ShreeRam" sheetId="554" r:id="rId346"/>
    <sheet name="Nava Diganta" sheetId="555" r:id="rId347"/>
    <sheet name="Jay Hanuman" sheetId="556" r:id="rId348"/>
    <sheet name="Maa Satabhuni" sheetId="557" r:id="rId349"/>
    <sheet name="Chakadola (2)" sheetId="558" r:id="rId350"/>
    <sheet name="USO-bapuji" sheetId="559" r:id="rId351"/>
    <sheet name="USO-ShibaShakti" sheetId="560" r:id="rId352"/>
    <sheet name="USO-gangajamuna" sheetId="561" r:id="rId353"/>
    <sheet name="USO-jagabalia" sheetId="562" r:id="rId354"/>
    <sheet name="USO-Manikeswari" sheetId="563" r:id="rId355"/>
    <sheet name="USO-MaaLaxmi" sheetId="564" r:id="rId356"/>
    <sheet name="USO-banadurga" sheetId="565" r:id="rId357"/>
    <sheet name="USO-Nagabali" sheetId="566" r:id="rId358"/>
    <sheet name="USO-kedaragouri" sheetId="567" r:id="rId359"/>
    <sheet name="USO-Utkal" sheetId="568" r:id="rId360"/>
  </sheets>
  <definedNames>
    <definedName name="_xlnm._FilterDatabase" localSheetId="0" hidden="1">'Fact Sheet of VDC'!$A$1:$E$358</definedName>
    <definedName name="_xlnm.Print_Area" localSheetId="310">'AKSSUS-Bansadhara'!$A$1:$N$42</definedName>
    <definedName name="_xlnm.Print_Area" localSheetId="316">'AKSSUS-Debagiri'!$A$1:$N$42</definedName>
    <definedName name="_xlnm.Print_Area" localSheetId="315">'AKSSUS-Gadagada'!$A$1:$N$42</definedName>
    <definedName name="_xlnm.Print_Area" localSheetId="312">'AKSSUS-Himalaya'!$A$1:$N$42</definedName>
    <definedName name="_xlnm.Print_Area" localSheetId="318">'AKSSUS-Jhanjabati'!$A$1:$N$42</definedName>
    <definedName name="_xlnm.Print_Area" localSheetId="313">'AKSSUS-Kaladipa'!$A$1:$N$42</definedName>
    <definedName name="_xlnm.Print_Area" localSheetId="317">'AKSSUS-Mahendragiri'!$A$1:$N$42</definedName>
    <definedName name="_xlnm.Print_Area" localSheetId="319">'AKSSUS-Nagabali'!$A$1:$N$42</definedName>
    <definedName name="_xlnm.Print_Area" localSheetId="314">'AKSSUS-Niyamgiri'!$A$1:$N$42</definedName>
    <definedName name="_xlnm.Print_Area" localSheetId="311">'AKSSUS-Patiagada'!$A$1:$N$42</definedName>
    <definedName name="_xlnm.Print_Area" localSheetId="157">'Badanala Form-A'!$A$1:$N$34</definedName>
    <definedName name="_xlnm.Print_Area" localSheetId="334">'Baishnab Budha'!$A$1:$N$38</definedName>
    <definedName name="_xlnm.Print_Area" localSheetId="152">'Bapedi Form-A'!$A$1:$N$33</definedName>
    <definedName name="_xlnm.Print_Area" localSheetId="156">'BhamaranaLA Form-A'!$A$1:$N$32</definedName>
    <definedName name="_xlnm.Print_Area" localSheetId="151">'Dahiamba Form- A'!$A$1:$N$31</definedName>
    <definedName name="_xlnm.Print_Area" localSheetId="158">'Dalimbapur Form A'!$A$1:$N$33</definedName>
    <definedName name="_xlnm.Print_Area" localSheetId="129">DEVAGIRI!$A$1:$N$36</definedName>
    <definedName name="_xlnm.Print_Area" localSheetId="155">'Dhenkabandha Form-A'!$A$1:$N$32</definedName>
    <definedName name="_xlnm.Print_Area" localSheetId="149">'Mutukua Form-A'!$A$1:$N$33</definedName>
    <definedName name="_xlnm.Print_Area" localSheetId="188">'Narangi Nala'!$A$1:$O$35</definedName>
    <definedName name="_xlnm.Print_Area" localSheetId="150">'Nidhigudi Form-A'!$A$1:$N$32</definedName>
    <definedName name="_xlnm.Print_Area" localSheetId="130">PISION!$A$1:$N$38</definedName>
    <definedName name="_xlnm.Print_Area" localSheetId="339">Pundera!$A$1:$N$38</definedName>
    <definedName name="_xlnm.Print_Area" localSheetId="154">'Puspang Form A'!$A$1:$N$34</definedName>
    <definedName name="_xlnm.Print_Area" localSheetId="153">'Tandrang-Form-A'!$A$1:$N$32</definedName>
  </definedNames>
  <calcPr calcId="124519"/>
</workbook>
</file>

<file path=xl/calcChain.xml><?xml version="1.0" encoding="utf-8"?>
<calcChain xmlns="http://schemas.openxmlformats.org/spreadsheetml/2006/main">
  <c r="L32" i="749"/>
  <c r="K32"/>
  <c r="J32"/>
  <c r="I32"/>
  <c r="H32"/>
  <c r="G32"/>
  <c r="F32"/>
  <c r="E32"/>
  <c r="B32"/>
  <c r="M31"/>
  <c r="M30"/>
  <c r="N30" s="1"/>
  <c r="M29"/>
  <c r="M28"/>
  <c r="N28" s="1"/>
  <c r="M27"/>
  <c r="N27" s="1"/>
  <c r="M26"/>
  <c r="N26" s="1"/>
  <c r="M25"/>
  <c r="N25" s="1"/>
  <c r="M24"/>
  <c r="D24"/>
  <c r="D32" s="1"/>
  <c r="M23"/>
  <c r="N23" s="1"/>
  <c r="L33" i="748"/>
  <c r="K33"/>
  <c r="J33"/>
  <c r="I33"/>
  <c r="H33"/>
  <c r="G33"/>
  <c r="F33"/>
  <c r="E33"/>
  <c r="B33"/>
  <c r="M32"/>
  <c r="M31"/>
  <c r="N31" s="1"/>
  <c r="M30"/>
  <c r="D30"/>
  <c r="M29"/>
  <c r="N29" s="1"/>
  <c r="D29"/>
  <c r="M28"/>
  <c r="N28" s="1"/>
  <c r="D28"/>
  <c r="M27"/>
  <c r="N27" s="1"/>
  <c r="M26"/>
  <c r="N26" s="1"/>
  <c r="M25"/>
  <c r="D25"/>
  <c r="M24"/>
  <c r="M33" s="1"/>
  <c r="D24"/>
  <c r="D33" s="1"/>
  <c r="L32" i="747"/>
  <c r="K32"/>
  <c r="J32"/>
  <c r="I32"/>
  <c r="H32"/>
  <c r="G32"/>
  <c r="F32"/>
  <c r="E32"/>
  <c r="B32"/>
  <c r="M31"/>
  <c r="M30"/>
  <c r="N30" s="1"/>
  <c r="M29"/>
  <c r="M28"/>
  <c r="N28" s="1"/>
  <c r="M27"/>
  <c r="N27" s="1"/>
  <c r="M26"/>
  <c r="N26" s="1"/>
  <c r="M25"/>
  <c r="N25" s="1"/>
  <c r="M24"/>
  <c r="M23"/>
  <c r="D23"/>
  <c r="D32" s="1"/>
  <c r="L31" i="746"/>
  <c r="K31"/>
  <c r="J31"/>
  <c r="I31"/>
  <c r="H31"/>
  <c r="G31"/>
  <c r="F31"/>
  <c r="E31"/>
  <c r="B31"/>
  <c r="M30"/>
  <c r="M29"/>
  <c r="N29" s="1"/>
  <c r="M28"/>
  <c r="D28"/>
  <c r="M27"/>
  <c r="N27" s="1"/>
  <c r="D27"/>
  <c r="M26"/>
  <c r="N26" s="1"/>
  <c r="D26"/>
  <c r="M25"/>
  <c r="N25" s="1"/>
  <c r="M24"/>
  <c r="N24" s="1"/>
  <c r="M23"/>
  <c r="D23"/>
  <c r="M22"/>
  <c r="M31" s="1"/>
  <c r="D22"/>
  <c r="D31" s="1"/>
  <c r="L31" i="745"/>
  <c r="K31"/>
  <c r="J31"/>
  <c r="I31"/>
  <c r="H31"/>
  <c r="G31"/>
  <c r="F31"/>
  <c r="E31"/>
  <c r="B31"/>
  <c r="M30"/>
  <c r="M29"/>
  <c r="N29" s="1"/>
  <c r="M28"/>
  <c r="D28"/>
  <c r="M27"/>
  <c r="N27" s="1"/>
  <c r="D27"/>
  <c r="M26"/>
  <c r="N26" s="1"/>
  <c r="D26"/>
  <c r="M25"/>
  <c r="N25" s="1"/>
  <c r="M24"/>
  <c r="N24" s="1"/>
  <c r="M23"/>
  <c r="D23"/>
  <c r="M22"/>
  <c r="M31" s="1"/>
  <c r="D22"/>
  <c r="D31" s="1"/>
  <c r="L31" i="744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M31" s="1"/>
  <c r="I18"/>
  <c r="I17"/>
  <c r="L31" i="743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M31" s="1"/>
  <c r="L31" i="742"/>
  <c r="K31"/>
  <c r="J31"/>
  <c r="I31"/>
  <c r="H31"/>
  <c r="G31"/>
  <c r="F31"/>
  <c r="E31"/>
  <c r="B31"/>
  <c r="M30"/>
  <c r="M29"/>
  <c r="N29" s="1"/>
  <c r="M28"/>
  <c r="D28"/>
  <c r="M27"/>
  <c r="N27" s="1"/>
  <c r="D27"/>
  <c r="N26"/>
  <c r="M26"/>
  <c r="D26"/>
  <c r="M25"/>
  <c r="N25" s="1"/>
  <c r="M24"/>
  <c r="N24" s="1"/>
  <c r="M23"/>
  <c r="D23"/>
  <c r="M22"/>
  <c r="M31" s="1"/>
  <c r="D22"/>
  <c r="D31" s="1"/>
  <c r="L31" i="741"/>
  <c r="K31"/>
  <c r="J31"/>
  <c r="I31"/>
  <c r="H31"/>
  <c r="G31"/>
  <c r="F31"/>
  <c r="E31"/>
  <c r="B31"/>
  <c r="M30"/>
  <c r="M29"/>
  <c r="N29" s="1"/>
  <c r="M28"/>
  <c r="D28"/>
  <c r="M27"/>
  <c r="N27" s="1"/>
  <c r="D27"/>
  <c r="M26"/>
  <c r="N26" s="1"/>
  <c r="D26"/>
  <c r="M25"/>
  <c r="N25" s="1"/>
  <c r="M24"/>
  <c r="N24" s="1"/>
  <c r="M23"/>
  <c r="D23"/>
  <c r="M22"/>
  <c r="M31" s="1"/>
  <c r="D22"/>
  <c r="D31" s="1"/>
  <c r="L30" i="740"/>
  <c r="K30"/>
  <c r="J30"/>
  <c r="I30"/>
  <c r="H30"/>
  <c r="G30"/>
  <c r="F30"/>
  <c r="E30"/>
  <c r="B30"/>
  <c r="M29"/>
  <c r="M28"/>
  <c r="N28" s="1"/>
  <c r="M27"/>
  <c r="D27"/>
  <c r="M26"/>
  <c r="N26" s="1"/>
  <c r="D26"/>
  <c r="M25"/>
  <c r="N25" s="1"/>
  <c r="D25"/>
  <c r="M24"/>
  <c r="N24" s="1"/>
  <c r="M23"/>
  <c r="N23" s="1"/>
  <c r="M22"/>
  <c r="D22"/>
  <c r="M21"/>
  <c r="M30" s="1"/>
  <c r="D21"/>
  <c r="D30" s="1"/>
  <c r="L31" i="739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M31" s="1"/>
  <c r="L31" i="738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N24"/>
  <c r="M24"/>
  <c r="M23"/>
  <c r="M22"/>
  <c r="L31" i="737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L31" i="736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M31" s="1"/>
  <c r="L31" i="735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L31" i="734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M31" s="1"/>
  <c r="L31" i="733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N24"/>
  <c r="M24"/>
  <c r="M23"/>
  <c r="M22"/>
  <c r="L31" i="732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M31" s="1"/>
  <c r="L31" i="731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L31" i="730"/>
  <c r="K31"/>
  <c r="J31"/>
  <c r="I31"/>
  <c r="H31"/>
  <c r="G31"/>
  <c r="F31"/>
  <c r="E31"/>
  <c r="D31"/>
  <c r="B31"/>
  <c r="M30"/>
  <c r="M29"/>
  <c r="N29" s="1"/>
  <c r="M28"/>
  <c r="M27"/>
  <c r="N27" s="1"/>
  <c r="M26"/>
  <c r="N26" s="1"/>
  <c r="M25"/>
  <c r="N25" s="1"/>
  <c r="M24"/>
  <c r="N24" s="1"/>
  <c r="M23"/>
  <c r="M22"/>
  <c r="M31" s="1"/>
  <c r="L31" i="729"/>
  <c r="K31"/>
  <c r="J31"/>
  <c r="I31"/>
  <c r="H31"/>
  <c r="G31"/>
  <c r="F31"/>
  <c r="E31"/>
  <c r="M30"/>
  <c r="N30" s="1"/>
  <c r="M29"/>
  <c r="N29" s="1"/>
  <c r="M28"/>
  <c r="D28"/>
  <c r="M27"/>
  <c r="N27" s="1"/>
  <c r="D27"/>
  <c r="M26"/>
  <c r="N26" s="1"/>
  <c r="D26"/>
  <c r="N25"/>
  <c r="M25"/>
  <c r="N24"/>
  <c r="M24"/>
  <c r="M23"/>
  <c r="D23"/>
  <c r="N22"/>
  <c r="M22"/>
  <c r="D22"/>
  <c r="L31" i="728"/>
  <c r="K31"/>
  <c r="J31"/>
  <c r="I31"/>
  <c r="H31"/>
  <c r="G31"/>
  <c r="F31"/>
  <c r="E31"/>
  <c r="B31"/>
  <c r="M30"/>
  <c r="N30" s="1"/>
  <c r="M29"/>
  <c r="N29" s="1"/>
  <c r="M28"/>
  <c r="D28"/>
  <c r="M27"/>
  <c r="N27" s="1"/>
  <c r="D27"/>
  <c r="M26"/>
  <c r="N26" s="1"/>
  <c r="D26"/>
  <c r="M25"/>
  <c r="N25" s="1"/>
  <c r="M24"/>
  <c r="N24" s="1"/>
  <c r="M23"/>
  <c r="D23"/>
  <c r="M22"/>
  <c r="M31" s="1"/>
  <c r="D22"/>
  <c r="L31" i="727"/>
  <c r="K31"/>
  <c r="J31"/>
  <c r="I31"/>
  <c r="H31"/>
  <c r="G31"/>
  <c r="F31"/>
  <c r="M30"/>
  <c r="M29"/>
  <c r="M28"/>
  <c r="M27"/>
  <c r="M26"/>
  <c r="D26"/>
  <c r="M25"/>
  <c r="E25"/>
  <c r="M24"/>
  <c r="E24"/>
  <c r="M23"/>
  <c r="D23"/>
  <c r="M22"/>
  <c r="E22"/>
  <c r="E31" s="1"/>
  <c r="D22"/>
  <c r="L31" i="726"/>
  <c r="K31"/>
  <c r="J31"/>
  <c r="I31"/>
  <c r="H31"/>
  <c r="G31"/>
  <c r="F31"/>
  <c r="E31"/>
  <c r="B31"/>
  <c r="M30"/>
  <c r="N30" s="1"/>
  <c r="M29"/>
  <c r="N29" s="1"/>
  <c r="M28"/>
  <c r="D28"/>
  <c r="M27"/>
  <c r="N27" s="1"/>
  <c r="D27"/>
  <c r="M26"/>
  <c r="N26" s="1"/>
  <c r="D26"/>
  <c r="M25"/>
  <c r="N25" s="1"/>
  <c r="M24"/>
  <c r="N24" s="1"/>
  <c r="M23"/>
  <c r="D23"/>
  <c r="M22"/>
  <c r="D22"/>
  <c r="D31" s="1"/>
  <c r="L31" i="725"/>
  <c r="K31"/>
  <c r="J31"/>
  <c r="I31"/>
  <c r="H31"/>
  <c r="G31"/>
  <c r="F31"/>
  <c r="E31"/>
  <c r="M30"/>
  <c r="M29"/>
  <c r="M28"/>
  <c r="D28"/>
  <c r="M27"/>
  <c r="D27"/>
  <c r="M26"/>
  <c r="D26"/>
  <c r="M25"/>
  <c r="M24"/>
  <c r="M23"/>
  <c r="D23"/>
  <c r="M22"/>
  <c r="D22"/>
  <c r="D31" s="1"/>
  <c r="L31" i="724"/>
  <c r="K31"/>
  <c r="J31"/>
  <c r="I31"/>
  <c r="H31"/>
  <c r="G31"/>
  <c r="F31"/>
  <c r="E31"/>
  <c r="B31"/>
  <c r="M30"/>
  <c r="N30" s="1"/>
  <c r="M29"/>
  <c r="N29" s="1"/>
  <c r="M28"/>
  <c r="D28"/>
  <c r="M27"/>
  <c r="N27" s="1"/>
  <c r="D27"/>
  <c r="M26"/>
  <c r="N26" s="1"/>
  <c r="D26"/>
  <c r="M25"/>
  <c r="N25" s="1"/>
  <c r="M24"/>
  <c r="N24" s="1"/>
  <c r="M23"/>
  <c r="D23"/>
  <c r="M22"/>
  <c r="M31" s="1"/>
  <c r="D22"/>
  <c r="D31" s="1"/>
  <c r="L31" i="723"/>
  <c r="K31"/>
  <c r="J31"/>
  <c r="I31"/>
  <c r="H31"/>
  <c r="G31"/>
  <c r="F31"/>
  <c r="E31"/>
  <c r="B31"/>
  <c r="M30"/>
  <c r="M29"/>
  <c r="M28"/>
  <c r="D28"/>
  <c r="M27"/>
  <c r="D27"/>
  <c r="M26"/>
  <c r="D26"/>
  <c r="M25"/>
  <c r="M24"/>
  <c r="M23"/>
  <c r="D23"/>
  <c r="M22"/>
  <c r="D22"/>
  <c r="L31" i="722"/>
  <c r="K31"/>
  <c r="J31"/>
  <c r="I31"/>
  <c r="H31"/>
  <c r="G31"/>
  <c r="F31"/>
  <c r="E31"/>
  <c r="B31"/>
  <c r="M30"/>
  <c r="N30" s="1"/>
  <c r="M29"/>
  <c r="N29" s="1"/>
  <c r="M28"/>
  <c r="D28"/>
  <c r="M27"/>
  <c r="N27" s="1"/>
  <c r="D27"/>
  <c r="M26"/>
  <c r="N26" s="1"/>
  <c r="D26"/>
  <c r="M25"/>
  <c r="M24"/>
  <c r="N24" s="1"/>
  <c r="M23"/>
  <c r="D23"/>
  <c r="M22"/>
  <c r="D22"/>
  <c r="L31" i="721"/>
  <c r="K31"/>
  <c r="J31"/>
  <c r="I31"/>
  <c r="H31"/>
  <c r="G31"/>
  <c r="F31"/>
  <c r="E31"/>
  <c r="B31"/>
  <c r="M30"/>
  <c r="N30" s="1"/>
  <c r="M29"/>
  <c r="N29" s="1"/>
  <c r="M28"/>
  <c r="D28"/>
  <c r="M27"/>
  <c r="N27" s="1"/>
  <c r="D27"/>
  <c r="M26"/>
  <c r="N26" s="1"/>
  <c r="D26"/>
  <c r="M25"/>
  <c r="N25" s="1"/>
  <c r="M24"/>
  <c r="N24" s="1"/>
  <c r="M23"/>
  <c r="D23"/>
  <c r="M22"/>
  <c r="D22"/>
  <c r="D31" s="1"/>
  <c r="H31" i="720"/>
  <c r="G31"/>
  <c r="F31"/>
  <c r="E31"/>
  <c r="B31"/>
  <c r="M30"/>
  <c r="N30" s="1"/>
  <c r="M29"/>
  <c r="N29" s="1"/>
  <c r="M28"/>
  <c r="D28"/>
  <c r="M27"/>
  <c r="N27" s="1"/>
  <c r="D27"/>
  <c r="M26"/>
  <c r="N26" s="1"/>
  <c r="D26"/>
  <c r="M25"/>
  <c r="N25" s="1"/>
  <c r="M24"/>
  <c r="N24" s="1"/>
  <c r="M23"/>
  <c r="D23"/>
  <c r="M22"/>
  <c r="D22"/>
  <c r="L37" i="718"/>
  <c r="K37"/>
  <c r="J37"/>
  <c r="I37"/>
  <c r="F37"/>
  <c r="E37"/>
  <c r="M36"/>
  <c r="H35"/>
  <c r="G35"/>
  <c r="M34"/>
  <c r="D34"/>
  <c r="H33"/>
  <c r="M33" s="1"/>
  <c r="M32"/>
  <c r="D32"/>
  <c r="M31"/>
  <c r="H30"/>
  <c r="M30" s="1"/>
  <c r="M29"/>
  <c r="D29"/>
  <c r="H28"/>
  <c r="G28"/>
  <c r="D28"/>
  <c r="I22"/>
  <c r="I21"/>
  <c r="I20"/>
  <c r="L37" i="717"/>
  <c r="K37"/>
  <c r="J37"/>
  <c r="I37"/>
  <c r="F37"/>
  <c r="E37"/>
  <c r="M36"/>
  <c r="H35"/>
  <c r="G35"/>
  <c r="M34"/>
  <c r="D34"/>
  <c r="H33"/>
  <c r="M33" s="1"/>
  <c r="M32"/>
  <c r="D32"/>
  <c r="M31"/>
  <c r="M30"/>
  <c r="M29"/>
  <c r="D29"/>
  <c r="H28"/>
  <c r="G28"/>
  <c r="G37" s="1"/>
  <c r="D28"/>
  <c r="I22"/>
  <c r="I21"/>
  <c r="I20"/>
  <c r="L37" i="716"/>
  <c r="K37"/>
  <c r="J37"/>
  <c r="I37"/>
  <c r="F37"/>
  <c r="E37"/>
  <c r="M36"/>
  <c r="H35"/>
  <c r="G35"/>
  <c r="M34"/>
  <c r="D34"/>
  <c r="H33"/>
  <c r="M33" s="1"/>
  <c r="M32"/>
  <c r="D32"/>
  <c r="M31"/>
  <c r="M30"/>
  <c r="M29"/>
  <c r="D29"/>
  <c r="H28"/>
  <c r="H37" s="1"/>
  <c r="G28"/>
  <c r="G37" s="1"/>
  <c r="D28"/>
  <c r="D37" s="1"/>
  <c r="I22"/>
  <c r="I21"/>
  <c r="I20"/>
  <c r="L37" i="715"/>
  <c r="K37"/>
  <c r="J37"/>
  <c r="I37"/>
  <c r="F37"/>
  <c r="E37"/>
  <c r="M36"/>
  <c r="H35"/>
  <c r="G35"/>
  <c r="M35" s="1"/>
  <c r="M34"/>
  <c r="D34"/>
  <c r="M33"/>
  <c r="M32"/>
  <c r="D32"/>
  <c r="M31"/>
  <c r="M30"/>
  <c r="M29"/>
  <c r="D29"/>
  <c r="H28"/>
  <c r="H37" s="1"/>
  <c r="G28"/>
  <c r="D28"/>
  <c r="D37" s="1"/>
  <c r="L37" i="714"/>
  <c r="K37"/>
  <c r="J37"/>
  <c r="I37"/>
  <c r="F37"/>
  <c r="E37"/>
  <c r="M36"/>
  <c r="H35"/>
  <c r="G35"/>
  <c r="M34"/>
  <c r="D34"/>
  <c r="H33"/>
  <c r="M33" s="1"/>
  <c r="M32"/>
  <c r="D32"/>
  <c r="M31"/>
  <c r="M30"/>
  <c r="M29"/>
  <c r="D29"/>
  <c r="H28"/>
  <c r="H37" s="1"/>
  <c r="G28"/>
  <c r="G37" s="1"/>
  <c r="D28"/>
  <c r="I22"/>
  <c r="I21"/>
  <c r="I20"/>
  <c r="L37" i="713"/>
  <c r="K37"/>
  <c r="J37"/>
  <c r="I37"/>
  <c r="F37"/>
  <c r="E37"/>
  <c r="M36"/>
  <c r="H35"/>
  <c r="G35"/>
  <c r="M35" s="1"/>
  <c r="M34"/>
  <c r="D34"/>
  <c r="M33"/>
  <c r="M32"/>
  <c r="D32"/>
  <c r="M31"/>
  <c r="M30"/>
  <c r="M29"/>
  <c r="D29"/>
  <c r="H28"/>
  <c r="H37" s="1"/>
  <c r="G28"/>
  <c r="D28"/>
  <c r="D37" s="1"/>
  <c r="I22"/>
  <c r="I21"/>
  <c r="L37" i="712"/>
  <c r="K37"/>
  <c r="J37"/>
  <c r="I37"/>
  <c r="F37"/>
  <c r="E37"/>
  <c r="M36"/>
  <c r="H35"/>
  <c r="G35"/>
  <c r="M34"/>
  <c r="D34"/>
  <c r="H33"/>
  <c r="M33" s="1"/>
  <c r="M32"/>
  <c r="D32"/>
  <c r="M31"/>
  <c r="H30"/>
  <c r="M30" s="1"/>
  <c r="M29"/>
  <c r="D29"/>
  <c r="H28"/>
  <c r="G28"/>
  <c r="G37" s="1"/>
  <c r="D28"/>
  <c r="I22"/>
  <c r="I21"/>
  <c r="I20"/>
  <c r="L37" i="711"/>
  <c r="K37"/>
  <c r="J37"/>
  <c r="I37"/>
  <c r="F37"/>
  <c r="E37"/>
  <c r="M36"/>
  <c r="H35"/>
  <c r="G35"/>
  <c r="M34"/>
  <c r="D34"/>
  <c r="M33"/>
  <c r="M32"/>
  <c r="D32"/>
  <c r="M31"/>
  <c r="M30"/>
  <c r="M29"/>
  <c r="D29"/>
  <c r="H28"/>
  <c r="H37" s="1"/>
  <c r="G28"/>
  <c r="G37" s="1"/>
  <c r="D28"/>
  <c r="D37" s="1"/>
  <c r="L37" i="710"/>
  <c r="K37"/>
  <c r="J37"/>
  <c r="I37"/>
  <c r="F37"/>
  <c r="E37"/>
  <c r="M36"/>
  <c r="H35"/>
  <c r="G35"/>
  <c r="M34"/>
  <c r="D34"/>
  <c r="M33"/>
  <c r="D33"/>
  <c r="M32"/>
  <c r="D32"/>
  <c r="M31"/>
  <c r="H30"/>
  <c r="M30" s="1"/>
  <c r="M29"/>
  <c r="D29"/>
  <c r="H28"/>
  <c r="H37" s="1"/>
  <c r="G28"/>
  <c r="D28"/>
  <c r="D37" s="1"/>
  <c r="L37" i="709"/>
  <c r="K37"/>
  <c r="J37"/>
  <c r="I37"/>
  <c r="F37"/>
  <c r="E37"/>
  <c r="M36"/>
  <c r="H35"/>
  <c r="G35"/>
  <c r="M34"/>
  <c r="D34"/>
  <c r="M33"/>
  <c r="M32"/>
  <c r="D32"/>
  <c r="M31"/>
  <c r="H30"/>
  <c r="M30" s="1"/>
  <c r="M29"/>
  <c r="D29"/>
  <c r="H28"/>
  <c r="H37" s="1"/>
  <c r="G28"/>
  <c r="G37" s="1"/>
  <c r="D28"/>
  <c r="D37" s="1"/>
  <c r="D43" i="708"/>
  <c r="L42"/>
  <c r="K42"/>
  <c r="J42"/>
  <c r="H42"/>
  <c r="G42"/>
  <c r="F42"/>
  <c r="L41"/>
  <c r="K41"/>
  <c r="J41"/>
  <c r="I41"/>
  <c r="H41"/>
  <c r="G41"/>
  <c r="F41"/>
  <c r="E41"/>
  <c r="L40"/>
  <c r="K40"/>
  <c r="J40"/>
  <c r="H40"/>
  <c r="G40"/>
  <c r="F40"/>
  <c r="L39"/>
  <c r="K39"/>
  <c r="J39"/>
  <c r="H39"/>
  <c r="G39"/>
  <c r="F39"/>
  <c r="E39"/>
  <c r="L38"/>
  <c r="K38"/>
  <c r="J38"/>
  <c r="H38"/>
  <c r="G38"/>
  <c r="F38"/>
  <c r="E38"/>
  <c r="L37"/>
  <c r="K37"/>
  <c r="J37"/>
  <c r="I37"/>
  <c r="H37"/>
  <c r="G37"/>
  <c r="F37"/>
  <c r="L36"/>
  <c r="K36"/>
  <c r="J36"/>
  <c r="I36"/>
  <c r="H36"/>
  <c r="G36"/>
  <c r="F36"/>
  <c r="E36"/>
  <c r="L35"/>
  <c r="K35"/>
  <c r="J35"/>
  <c r="I35"/>
  <c r="H35"/>
  <c r="G35"/>
  <c r="F35"/>
  <c r="E35"/>
  <c r="L34"/>
  <c r="L43" s="1"/>
  <c r="K34"/>
  <c r="J34"/>
  <c r="J43" s="1"/>
  <c r="I34"/>
  <c r="I43" s="1"/>
  <c r="H34"/>
  <c r="H43" s="1"/>
  <c r="G34"/>
  <c r="G43" s="1"/>
  <c r="F34"/>
  <c r="F43" s="1"/>
  <c r="E34"/>
  <c r="E43" s="1"/>
  <c r="I27"/>
  <c r="I26"/>
  <c r="I25"/>
  <c r="D43" i="707"/>
  <c r="L42"/>
  <c r="K42"/>
  <c r="J42"/>
  <c r="H42"/>
  <c r="G42"/>
  <c r="F42"/>
  <c r="L41"/>
  <c r="K41"/>
  <c r="J41"/>
  <c r="I41"/>
  <c r="H41"/>
  <c r="G41"/>
  <c r="F41"/>
  <c r="E41"/>
  <c r="L40"/>
  <c r="K40"/>
  <c r="J40"/>
  <c r="H40"/>
  <c r="G40"/>
  <c r="F40"/>
  <c r="L39"/>
  <c r="K39"/>
  <c r="J39"/>
  <c r="H39"/>
  <c r="G39"/>
  <c r="F39"/>
  <c r="E39"/>
  <c r="L38"/>
  <c r="K38"/>
  <c r="J38"/>
  <c r="H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K35"/>
  <c r="J35"/>
  <c r="I35"/>
  <c r="H35"/>
  <c r="G35"/>
  <c r="F35"/>
  <c r="E35"/>
  <c r="L34"/>
  <c r="L43" s="1"/>
  <c r="K34"/>
  <c r="K43" s="1"/>
  <c r="J34"/>
  <c r="J43" s="1"/>
  <c r="I34"/>
  <c r="I43" s="1"/>
  <c r="H34"/>
  <c r="H43" s="1"/>
  <c r="G34"/>
  <c r="G43" s="1"/>
  <c r="F34"/>
  <c r="F43" s="1"/>
  <c r="E34"/>
  <c r="E43" s="1"/>
  <c r="I27"/>
  <c r="I26"/>
  <c r="I25"/>
  <c r="D43" i="706"/>
  <c r="L42"/>
  <c r="K42"/>
  <c r="J42"/>
  <c r="H42"/>
  <c r="G42"/>
  <c r="F42"/>
  <c r="L41"/>
  <c r="K41"/>
  <c r="J41"/>
  <c r="I41"/>
  <c r="H41"/>
  <c r="G41"/>
  <c r="F41"/>
  <c r="E41"/>
  <c r="L40"/>
  <c r="K40"/>
  <c r="J40"/>
  <c r="H40"/>
  <c r="G40"/>
  <c r="F40"/>
  <c r="L39"/>
  <c r="K39"/>
  <c r="J39"/>
  <c r="I39"/>
  <c r="H39"/>
  <c r="G39"/>
  <c r="F39"/>
  <c r="E39"/>
  <c r="L38"/>
  <c r="K38"/>
  <c r="J38"/>
  <c r="H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K35"/>
  <c r="J35"/>
  <c r="I35"/>
  <c r="H35"/>
  <c r="G35"/>
  <c r="F35"/>
  <c r="E35"/>
  <c r="L34"/>
  <c r="L43" s="1"/>
  <c r="K34"/>
  <c r="K43" s="1"/>
  <c r="J34"/>
  <c r="J43" s="1"/>
  <c r="I34"/>
  <c r="I43" s="1"/>
  <c r="H34"/>
  <c r="H43" s="1"/>
  <c r="G34"/>
  <c r="G43" s="1"/>
  <c r="F34"/>
  <c r="F43" s="1"/>
  <c r="E34"/>
  <c r="E43" s="1"/>
  <c r="I27"/>
  <c r="I26"/>
  <c r="I25"/>
  <c r="D44" i="705"/>
  <c r="L43"/>
  <c r="K43"/>
  <c r="J43"/>
  <c r="H43"/>
  <c r="G43"/>
  <c r="F43"/>
  <c r="L42"/>
  <c r="K42"/>
  <c r="J42"/>
  <c r="I42"/>
  <c r="H42"/>
  <c r="G42"/>
  <c r="F42"/>
  <c r="E42"/>
  <c r="L41"/>
  <c r="K41"/>
  <c r="J41"/>
  <c r="H41"/>
  <c r="G41"/>
  <c r="F41"/>
  <c r="L40"/>
  <c r="K40"/>
  <c r="J40"/>
  <c r="I40"/>
  <c r="H40"/>
  <c r="G40"/>
  <c r="F40"/>
  <c r="E40"/>
  <c r="L39"/>
  <c r="K39"/>
  <c r="J39"/>
  <c r="H39"/>
  <c r="G39"/>
  <c r="F39"/>
  <c r="E39"/>
  <c r="L38"/>
  <c r="K38"/>
  <c r="J38"/>
  <c r="I38"/>
  <c r="H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L44" s="1"/>
  <c r="K35"/>
  <c r="K44" s="1"/>
  <c r="J35"/>
  <c r="J44" s="1"/>
  <c r="I35"/>
  <c r="I44" s="1"/>
  <c r="H35"/>
  <c r="H44" s="1"/>
  <c r="G35"/>
  <c r="G44" s="1"/>
  <c r="F35"/>
  <c r="F44" s="1"/>
  <c r="E35"/>
  <c r="E44" s="1"/>
  <c r="I28"/>
  <c r="I27"/>
  <c r="I26"/>
  <c r="D43" i="704"/>
  <c r="L42"/>
  <c r="K42"/>
  <c r="J42"/>
  <c r="H42"/>
  <c r="G42"/>
  <c r="F42"/>
  <c r="L41"/>
  <c r="K41"/>
  <c r="J41"/>
  <c r="I41"/>
  <c r="H41"/>
  <c r="G41"/>
  <c r="F41"/>
  <c r="E41"/>
  <c r="L40"/>
  <c r="K40"/>
  <c r="J40"/>
  <c r="H40"/>
  <c r="G40"/>
  <c r="F40"/>
  <c r="L39"/>
  <c r="K39"/>
  <c r="J39"/>
  <c r="H39"/>
  <c r="G39"/>
  <c r="F39"/>
  <c r="E39"/>
  <c r="L38"/>
  <c r="K38"/>
  <c r="J38"/>
  <c r="I38"/>
  <c r="H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K35"/>
  <c r="J35"/>
  <c r="I35"/>
  <c r="H35"/>
  <c r="G35"/>
  <c r="F35"/>
  <c r="E35"/>
  <c r="L34"/>
  <c r="L43" s="1"/>
  <c r="K34"/>
  <c r="K43" s="1"/>
  <c r="J34"/>
  <c r="J43" s="1"/>
  <c r="I34"/>
  <c r="I43" s="1"/>
  <c r="H34"/>
  <c r="H43" s="1"/>
  <c r="G34"/>
  <c r="G43" s="1"/>
  <c r="F34"/>
  <c r="F43" s="1"/>
  <c r="E34"/>
  <c r="E43" s="1"/>
  <c r="I27"/>
  <c r="I26"/>
  <c r="I25"/>
  <c r="D44" i="703"/>
  <c r="L43"/>
  <c r="K43"/>
  <c r="J43"/>
  <c r="H43"/>
  <c r="G43"/>
  <c r="F43"/>
  <c r="L42"/>
  <c r="K42"/>
  <c r="J42"/>
  <c r="I42"/>
  <c r="H42"/>
  <c r="G42"/>
  <c r="F42"/>
  <c r="E42"/>
  <c r="L41"/>
  <c r="K41"/>
  <c r="J41"/>
  <c r="H41"/>
  <c r="G41"/>
  <c r="F41"/>
  <c r="L40"/>
  <c r="K40"/>
  <c r="J40"/>
  <c r="I40"/>
  <c r="H40"/>
  <c r="G40"/>
  <c r="F40"/>
  <c r="E40"/>
  <c r="L39"/>
  <c r="K39"/>
  <c r="J39"/>
  <c r="I39"/>
  <c r="H39"/>
  <c r="G39"/>
  <c r="F39"/>
  <c r="E39"/>
  <c r="L38"/>
  <c r="K38"/>
  <c r="J38"/>
  <c r="I38"/>
  <c r="H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K35"/>
  <c r="K44" s="1"/>
  <c r="J35"/>
  <c r="J44" s="1"/>
  <c r="I35"/>
  <c r="I44" s="1"/>
  <c r="H35"/>
  <c r="H44" s="1"/>
  <c r="G35"/>
  <c r="G44" s="1"/>
  <c r="F35"/>
  <c r="F44" s="1"/>
  <c r="E35"/>
  <c r="E44" s="1"/>
  <c r="I28"/>
  <c r="I27"/>
  <c r="I26"/>
  <c r="D43" i="702"/>
  <c r="L42"/>
  <c r="K42"/>
  <c r="J42"/>
  <c r="G42"/>
  <c r="F42"/>
  <c r="L41"/>
  <c r="K41"/>
  <c r="J41"/>
  <c r="H41"/>
  <c r="I41" s="1"/>
  <c r="G41"/>
  <c r="F41"/>
  <c r="E41"/>
  <c r="L40"/>
  <c r="K40"/>
  <c r="J40"/>
  <c r="G40"/>
  <c r="F40"/>
  <c r="L39"/>
  <c r="K39"/>
  <c r="J39"/>
  <c r="I39"/>
  <c r="G39"/>
  <c r="F39"/>
  <c r="E39"/>
  <c r="L38"/>
  <c r="K38"/>
  <c r="J38"/>
  <c r="G38"/>
  <c r="F38"/>
  <c r="E38"/>
  <c r="L37"/>
  <c r="K37"/>
  <c r="J37"/>
  <c r="H37"/>
  <c r="I37" s="1"/>
  <c r="G37"/>
  <c r="F37"/>
  <c r="E37"/>
  <c r="L36"/>
  <c r="K36"/>
  <c r="J36"/>
  <c r="I36"/>
  <c r="H36"/>
  <c r="G36"/>
  <c r="F36"/>
  <c r="E36"/>
  <c r="L35"/>
  <c r="K35"/>
  <c r="J35"/>
  <c r="I35"/>
  <c r="H35"/>
  <c r="G35"/>
  <c r="F35"/>
  <c r="E35"/>
  <c r="L34"/>
  <c r="L43" s="1"/>
  <c r="K34"/>
  <c r="J34"/>
  <c r="J43" s="1"/>
  <c r="I34"/>
  <c r="H34"/>
  <c r="H43" s="1"/>
  <c r="G34"/>
  <c r="G43" s="1"/>
  <c r="F34"/>
  <c r="F43" s="1"/>
  <c r="E34"/>
  <c r="E43" s="1"/>
  <c r="I27"/>
  <c r="I26"/>
  <c r="I25"/>
  <c r="D43" i="701"/>
  <c r="L42"/>
  <c r="K42"/>
  <c r="J42"/>
  <c r="G42"/>
  <c r="F42"/>
  <c r="L41"/>
  <c r="K41"/>
  <c r="J41"/>
  <c r="I41"/>
  <c r="H41"/>
  <c r="G41"/>
  <c r="F41"/>
  <c r="E41"/>
  <c r="L40"/>
  <c r="K40"/>
  <c r="J40"/>
  <c r="G40"/>
  <c r="F40"/>
  <c r="L39"/>
  <c r="K39"/>
  <c r="J39"/>
  <c r="I39"/>
  <c r="G39"/>
  <c r="F39"/>
  <c r="E39"/>
  <c r="L38"/>
  <c r="K38"/>
  <c r="J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K35"/>
  <c r="J35"/>
  <c r="I35"/>
  <c r="H35"/>
  <c r="G35"/>
  <c r="F35"/>
  <c r="E35"/>
  <c r="L34"/>
  <c r="L43" s="1"/>
  <c r="K34"/>
  <c r="J34"/>
  <c r="J43" s="1"/>
  <c r="I34"/>
  <c r="I43" s="1"/>
  <c r="H34"/>
  <c r="H43" s="1"/>
  <c r="G34"/>
  <c r="G43" s="1"/>
  <c r="F34"/>
  <c r="F43" s="1"/>
  <c r="E34"/>
  <c r="E43" s="1"/>
  <c r="I27"/>
  <c r="I26"/>
  <c r="I25"/>
  <c r="D43" i="700"/>
  <c r="L42"/>
  <c r="K42"/>
  <c r="J42"/>
  <c r="G42"/>
  <c r="F42"/>
  <c r="L41"/>
  <c r="K41"/>
  <c r="J41"/>
  <c r="I41"/>
  <c r="H41"/>
  <c r="G41"/>
  <c r="F41"/>
  <c r="E41"/>
  <c r="L40"/>
  <c r="K40"/>
  <c r="J40"/>
  <c r="G40"/>
  <c r="F40"/>
  <c r="L39"/>
  <c r="K39"/>
  <c r="J39"/>
  <c r="I39"/>
  <c r="H39"/>
  <c r="G39"/>
  <c r="F39"/>
  <c r="E39"/>
  <c r="L38"/>
  <c r="K38"/>
  <c r="J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K35"/>
  <c r="J35"/>
  <c r="I35"/>
  <c r="H35"/>
  <c r="G35"/>
  <c r="F35"/>
  <c r="E35"/>
  <c r="L34"/>
  <c r="L43" s="1"/>
  <c r="K34"/>
  <c r="K43" s="1"/>
  <c r="J34"/>
  <c r="J43" s="1"/>
  <c r="I34"/>
  <c r="I43" s="1"/>
  <c r="H34"/>
  <c r="H43" s="1"/>
  <c r="G34"/>
  <c r="G43" s="1"/>
  <c r="F34"/>
  <c r="F43" s="1"/>
  <c r="E34"/>
  <c r="E43" s="1"/>
  <c r="I27"/>
  <c r="I26"/>
  <c r="I25"/>
  <c r="D44" i="699"/>
  <c r="L43"/>
  <c r="K43"/>
  <c r="J43"/>
  <c r="G43"/>
  <c r="F43"/>
  <c r="L42"/>
  <c r="K42"/>
  <c r="J42"/>
  <c r="I42"/>
  <c r="H42"/>
  <c r="G42"/>
  <c r="F42"/>
  <c r="E42"/>
  <c r="L41"/>
  <c r="K41"/>
  <c r="J41"/>
  <c r="G41"/>
  <c r="F41"/>
  <c r="L40"/>
  <c r="K40"/>
  <c r="J40"/>
  <c r="I40"/>
  <c r="H40"/>
  <c r="G40"/>
  <c r="F40"/>
  <c r="E40"/>
  <c r="L39"/>
  <c r="K39"/>
  <c r="J39"/>
  <c r="G39"/>
  <c r="F39"/>
  <c r="E39"/>
  <c r="L38"/>
  <c r="K38"/>
  <c r="J38"/>
  <c r="I38"/>
  <c r="H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L44" s="1"/>
  <c r="K35"/>
  <c r="K44" s="1"/>
  <c r="J35"/>
  <c r="J44" s="1"/>
  <c r="I35"/>
  <c r="I44" s="1"/>
  <c r="H35"/>
  <c r="H44" s="1"/>
  <c r="G35"/>
  <c r="G44" s="1"/>
  <c r="F35"/>
  <c r="F44" s="1"/>
  <c r="E35"/>
  <c r="E44" s="1"/>
  <c r="I28"/>
  <c r="I27"/>
  <c r="I26"/>
  <c r="D43" i="698"/>
  <c r="L42"/>
  <c r="K42"/>
  <c r="J42"/>
  <c r="G42"/>
  <c r="F42"/>
  <c r="L41"/>
  <c r="K41"/>
  <c r="J41"/>
  <c r="I41"/>
  <c r="H41"/>
  <c r="G41"/>
  <c r="F41"/>
  <c r="E41"/>
  <c r="L40"/>
  <c r="K40"/>
  <c r="J40"/>
  <c r="G40"/>
  <c r="F40"/>
  <c r="L39"/>
  <c r="K39"/>
  <c r="J39"/>
  <c r="I39"/>
  <c r="H39"/>
  <c r="G39"/>
  <c r="F39"/>
  <c r="E39"/>
  <c r="L38"/>
  <c r="K38"/>
  <c r="J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K35"/>
  <c r="J35"/>
  <c r="I35"/>
  <c r="H35"/>
  <c r="G35"/>
  <c r="F35"/>
  <c r="E35"/>
  <c r="L34"/>
  <c r="L43" s="1"/>
  <c r="K34"/>
  <c r="K43" s="1"/>
  <c r="J34"/>
  <c r="J43" s="1"/>
  <c r="I34"/>
  <c r="I43" s="1"/>
  <c r="H34"/>
  <c r="H43" s="1"/>
  <c r="G34"/>
  <c r="G43" s="1"/>
  <c r="F34"/>
  <c r="F43" s="1"/>
  <c r="E34"/>
  <c r="E43" s="1"/>
  <c r="I27"/>
  <c r="I26"/>
  <c r="I25"/>
  <c r="D43" i="697"/>
  <c r="L42"/>
  <c r="K42"/>
  <c r="J42"/>
  <c r="H42"/>
  <c r="G42"/>
  <c r="F42"/>
  <c r="L41"/>
  <c r="K41"/>
  <c r="J41"/>
  <c r="I41"/>
  <c r="H41"/>
  <c r="G41"/>
  <c r="F41"/>
  <c r="E41"/>
  <c r="L40"/>
  <c r="K40"/>
  <c r="J40"/>
  <c r="H40"/>
  <c r="G40"/>
  <c r="F40"/>
  <c r="L39"/>
  <c r="K39"/>
  <c r="J39"/>
  <c r="I39"/>
  <c r="H39"/>
  <c r="G39"/>
  <c r="F39"/>
  <c r="E39"/>
  <c r="L38"/>
  <c r="K38"/>
  <c r="J38"/>
  <c r="I38"/>
  <c r="H38"/>
  <c r="G38"/>
  <c r="F38"/>
  <c r="E38"/>
  <c r="L37"/>
  <c r="K37"/>
  <c r="J37"/>
  <c r="I37"/>
  <c r="H37"/>
  <c r="G37"/>
  <c r="F37"/>
  <c r="E37"/>
  <c r="L36"/>
  <c r="K36"/>
  <c r="J36"/>
  <c r="I36"/>
  <c r="H36"/>
  <c r="G36"/>
  <c r="F36"/>
  <c r="E36"/>
  <c r="L35"/>
  <c r="K35"/>
  <c r="J35"/>
  <c r="I35"/>
  <c r="H35"/>
  <c r="G35"/>
  <c r="F35"/>
  <c r="E35"/>
  <c r="L34"/>
  <c r="K34"/>
  <c r="K43" s="1"/>
  <c r="J34"/>
  <c r="J43" s="1"/>
  <c r="I34"/>
  <c r="I43" s="1"/>
  <c r="H34"/>
  <c r="H43" s="1"/>
  <c r="G34"/>
  <c r="G43" s="1"/>
  <c r="F34"/>
  <c r="F43" s="1"/>
  <c r="E34"/>
  <c r="E43" s="1"/>
  <c r="I27"/>
  <c r="I26"/>
  <c r="I25"/>
  <c r="O25" i="696"/>
  <c r="M25"/>
  <c r="L25"/>
  <c r="K25"/>
  <c r="J25"/>
  <c r="I25"/>
  <c r="H25"/>
  <c r="G25"/>
  <c r="F25"/>
  <c r="E25"/>
  <c r="N23"/>
  <c r="N22"/>
  <c r="N21"/>
  <c r="N20"/>
  <c r="N19"/>
  <c r="N18"/>
  <c r="N17"/>
  <c r="N16"/>
  <c r="O25" i="695"/>
  <c r="L25"/>
  <c r="K25"/>
  <c r="J25"/>
  <c r="I25"/>
  <c r="H25"/>
  <c r="G25"/>
  <c r="E25"/>
  <c r="N24"/>
  <c r="N23"/>
  <c r="F23"/>
  <c r="F25" s="1"/>
  <c r="N22"/>
  <c r="N21"/>
  <c r="N20"/>
  <c r="N19"/>
  <c r="N18"/>
  <c r="N17"/>
  <c r="N16"/>
  <c r="O25" i="694"/>
  <c r="M25"/>
  <c r="L25"/>
  <c r="K25"/>
  <c r="J25"/>
  <c r="I25"/>
  <c r="H25"/>
  <c r="G25"/>
  <c r="E25"/>
  <c r="N23"/>
  <c r="F23"/>
  <c r="F25" s="1"/>
  <c r="N22"/>
  <c r="N21"/>
  <c r="N20"/>
  <c r="N19"/>
  <c r="N18"/>
  <c r="N17"/>
  <c r="N16"/>
  <c r="N25" s="1"/>
  <c r="O25" i="693"/>
  <c r="M25"/>
  <c r="L25"/>
  <c r="K25"/>
  <c r="J25"/>
  <c r="I25"/>
  <c r="H25"/>
  <c r="G25"/>
  <c r="E25"/>
  <c r="N23"/>
  <c r="F23"/>
  <c r="F25" s="1"/>
  <c r="N22"/>
  <c r="N21"/>
  <c r="N20"/>
  <c r="N19"/>
  <c r="N18"/>
  <c r="N17"/>
  <c r="N16"/>
  <c r="O25" i="692"/>
  <c r="M25"/>
  <c r="L25"/>
  <c r="K25"/>
  <c r="J25"/>
  <c r="I25"/>
  <c r="H25"/>
  <c r="G25"/>
  <c r="E25"/>
  <c r="N23"/>
  <c r="F23"/>
  <c r="F25" s="1"/>
  <c r="N22"/>
  <c r="N21"/>
  <c r="N20"/>
  <c r="N19"/>
  <c r="N18"/>
  <c r="N17"/>
  <c r="N16"/>
  <c r="N25" s="1"/>
  <c r="O25" i="691"/>
  <c r="M25"/>
  <c r="L25"/>
  <c r="K25"/>
  <c r="J25"/>
  <c r="I25"/>
  <c r="H25"/>
  <c r="G25"/>
  <c r="F25"/>
  <c r="E25"/>
  <c r="N23"/>
  <c r="N22"/>
  <c r="N21"/>
  <c r="N20"/>
  <c r="N19"/>
  <c r="N18"/>
  <c r="N17"/>
  <c r="N16"/>
  <c r="N25" s="1"/>
  <c r="O25" i="690"/>
  <c r="M25"/>
  <c r="L25"/>
  <c r="K25"/>
  <c r="J25"/>
  <c r="I25"/>
  <c r="H25"/>
  <c r="G25"/>
  <c r="E25"/>
  <c r="N23"/>
  <c r="F23"/>
  <c r="F25" s="1"/>
  <c r="N22"/>
  <c r="N21"/>
  <c r="N20"/>
  <c r="N19"/>
  <c r="N18"/>
  <c r="N17"/>
  <c r="N16"/>
  <c r="O25" i="689"/>
  <c r="M25"/>
  <c r="L25"/>
  <c r="K25"/>
  <c r="J25"/>
  <c r="I25"/>
  <c r="H25"/>
  <c r="G25"/>
  <c r="E25"/>
  <c r="N23"/>
  <c r="F23"/>
  <c r="F25" s="1"/>
  <c r="N22"/>
  <c r="N21"/>
  <c r="N20"/>
  <c r="N19"/>
  <c r="N18"/>
  <c r="N17"/>
  <c r="N16"/>
  <c r="N25" s="1"/>
  <c r="O25" i="688"/>
  <c r="M25"/>
  <c r="L25"/>
  <c r="K25"/>
  <c r="J25"/>
  <c r="I25"/>
  <c r="H25"/>
  <c r="G25"/>
  <c r="E25"/>
  <c r="N23"/>
  <c r="F23"/>
  <c r="F25" s="1"/>
  <c r="N22"/>
  <c r="N21"/>
  <c r="N20"/>
  <c r="N19"/>
  <c r="N18"/>
  <c r="N17"/>
  <c r="N16"/>
  <c r="O25" i="687"/>
  <c r="M25"/>
  <c r="L25"/>
  <c r="K25"/>
  <c r="J25"/>
  <c r="I25"/>
  <c r="H25"/>
  <c r="G25"/>
  <c r="E25"/>
  <c r="N23"/>
  <c r="F23"/>
  <c r="F25" s="1"/>
  <c r="N22"/>
  <c r="N21"/>
  <c r="N20"/>
  <c r="N19"/>
  <c r="N18"/>
  <c r="N17"/>
  <c r="N16"/>
  <c r="N25" s="1"/>
  <c r="O25" i="686"/>
  <c r="M25"/>
  <c r="L25"/>
  <c r="K25"/>
  <c r="J25"/>
  <c r="I25"/>
  <c r="H25"/>
  <c r="G25"/>
  <c r="E25"/>
  <c r="N23"/>
  <c r="F23"/>
  <c r="F25" s="1"/>
  <c r="N22"/>
  <c r="N21"/>
  <c r="N20"/>
  <c r="N19"/>
  <c r="N18"/>
  <c r="N17"/>
  <c r="N16"/>
  <c r="O25" i="685"/>
  <c r="M25"/>
  <c r="L25"/>
  <c r="K25"/>
  <c r="J25"/>
  <c r="I25"/>
  <c r="H25"/>
  <c r="G25"/>
  <c r="E25"/>
  <c r="N23"/>
  <c r="F23"/>
  <c r="F25" s="1"/>
  <c r="N22"/>
  <c r="N21"/>
  <c r="N20"/>
  <c r="N19"/>
  <c r="N18"/>
  <c r="N17"/>
  <c r="N16"/>
  <c r="O25" i="684"/>
  <c r="M25"/>
  <c r="L25"/>
  <c r="K25"/>
  <c r="J25"/>
  <c r="I25"/>
  <c r="H25"/>
  <c r="G25"/>
  <c r="F25"/>
  <c r="E25"/>
  <c r="N23"/>
  <c r="N22"/>
  <c r="N21"/>
  <c r="N20"/>
  <c r="N19"/>
  <c r="N18"/>
  <c r="N17"/>
  <c r="N16"/>
  <c r="N25" s="1"/>
  <c r="U46" i="683"/>
  <c r="S46"/>
  <c r="N46"/>
  <c r="J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2" s="1"/>
  <c r="L37"/>
  <c r="L46" s="1"/>
  <c r="V30"/>
  <c r="N28"/>
  <c r="N27"/>
  <c r="N26"/>
  <c r="U46" i="682"/>
  <c r="S46"/>
  <c r="N46"/>
  <c r="L46"/>
  <c r="G46"/>
  <c r="F46"/>
  <c r="X45"/>
  <c r="X44"/>
  <c r="Y44" s="1"/>
  <c r="X43"/>
  <c r="Y43" s="1"/>
  <c r="X42"/>
  <c r="Y42" s="1"/>
  <c r="X41"/>
  <c r="Y41" s="1"/>
  <c r="X40"/>
  <c r="Y40" s="1"/>
  <c r="Y39"/>
  <c r="X39"/>
  <c r="X38"/>
  <c r="Y38" s="1"/>
  <c r="E38"/>
  <c r="E41" s="1"/>
  <c r="E43" s="1"/>
  <c r="J37"/>
  <c r="J46" s="1"/>
  <c r="N28"/>
  <c r="N27"/>
  <c r="N26"/>
  <c r="U46" i="681"/>
  <c r="S46"/>
  <c r="N46"/>
  <c r="L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1" s="1"/>
  <c r="E43" s="1"/>
  <c r="J37"/>
  <c r="J46" s="1"/>
  <c r="N28"/>
  <c r="N27"/>
  <c r="N26"/>
  <c r="U46" i="680"/>
  <c r="S46"/>
  <c r="L46"/>
  <c r="J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1" s="1"/>
  <c r="E43" s="1"/>
  <c r="N37"/>
  <c r="N46" s="1"/>
  <c r="N28"/>
  <c r="N27"/>
  <c r="N26"/>
  <c r="U46" i="679"/>
  <c r="S46"/>
  <c r="N46"/>
  <c r="L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1" s="1"/>
  <c r="E43" s="1"/>
  <c r="J37"/>
  <c r="J46" s="1"/>
  <c r="N28"/>
  <c r="N27"/>
  <c r="N26"/>
  <c r="U46" i="678"/>
  <c r="S46"/>
  <c r="N46"/>
  <c r="L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1" s="1"/>
  <c r="E43" s="1"/>
  <c r="J37"/>
  <c r="J46" s="1"/>
  <c r="N28"/>
  <c r="N27"/>
  <c r="N26"/>
  <c r="U46" i="677"/>
  <c r="S46"/>
  <c r="N46"/>
  <c r="L46"/>
  <c r="J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1" s="1"/>
  <c r="E43" s="1"/>
  <c r="X37"/>
  <c r="N28"/>
  <c r="N27"/>
  <c r="N26"/>
  <c r="U46" i="676"/>
  <c r="S46"/>
  <c r="N46"/>
  <c r="L46"/>
  <c r="J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1" s="1"/>
  <c r="E43" s="1"/>
  <c r="X37"/>
  <c r="Y37" s="1"/>
  <c r="N28"/>
  <c r="N27"/>
  <c r="N26"/>
  <c r="U46" i="675"/>
  <c r="S46"/>
  <c r="N46"/>
  <c r="L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2" s="1"/>
  <c r="J37"/>
  <c r="J46" s="1"/>
  <c r="N28"/>
  <c r="N27"/>
  <c r="N26"/>
  <c r="U46" i="674"/>
  <c r="S46"/>
  <c r="N46"/>
  <c r="J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2" s="1"/>
  <c r="L37"/>
  <c r="L46" s="1"/>
  <c r="N28"/>
  <c r="N27"/>
  <c r="N26"/>
  <c r="U46" i="673"/>
  <c r="S46"/>
  <c r="N46"/>
  <c r="L46"/>
  <c r="G46"/>
  <c r="F46"/>
  <c r="X45"/>
  <c r="X44"/>
  <c r="Y44" s="1"/>
  <c r="X43"/>
  <c r="Y43" s="1"/>
  <c r="X42"/>
  <c r="Y42" s="1"/>
  <c r="X41"/>
  <c r="Y41" s="1"/>
  <c r="X40"/>
  <c r="Y40" s="1"/>
  <c r="X39"/>
  <c r="Y39" s="1"/>
  <c r="X38"/>
  <c r="Y38" s="1"/>
  <c r="E38"/>
  <c r="E42" s="1"/>
  <c r="J37"/>
  <c r="J46" s="1"/>
  <c r="N28"/>
  <c r="N27"/>
  <c r="N26"/>
  <c r="H35" i="672"/>
  <c r="G35"/>
  <c r="F35"/>
  <c r="M34"/>
  <c r="M33"/>
  <c r="E33"/>
  <c r="L32"/>
  <c r="K32"/>
  <c r="J32"/>
  <c r="E32"/>
  <c r="D32"/>
  <c r="M31"/>
  <c r="E31"/>
  <c r="D31"/>
  <c r="L30"/>
  <c r="L35" s="1"/>
  <c r="K30"/>
  <c r="K35" s="1"/>
  <c r="J30"/>
  <c r="J35" s="1"/>
  <c r="I30"/>
  <c r="I35" s="1"/>
  <c r="E30"/>
  <c r="D30"/>
  <c r="M29"/>
  <c r="N29" s="1"/>
  <c r="M28"/>
  <c r="N28" s="1"/>
  <c r="M27"/>
  <c r="N27" s="1"/>
  <c r="D27"/>
  <c r="M26"/>
  <c r="E26"/>
  <c r="E35" s="1"/>
  <c r="D26"/>
  <c r="C20"/>
  <c r="E19"/>
  <c r="C19"/>
  <c r="E18"/>
  <c r="C18"/>
  <c r="I35" i="671"/>
  <c r="H35"/>
  <c r="G35"/>
  <c r="F35"/>
  <c r="E35"/>
  <c r="M34"/>
  <c r="M33"/>
  <c r="N33" s="1"/>
  <c r="L32"/>
  <c r="L35" s="1"/>
  <c r="K32"/>
  <c r="J32"/>
  <c r="J35" s="1"/>
  <c r="D32"/>
  <c r="M31"/>
  <c r="N31" s="1"/>
  <c r="D31"/>
  <c r="K30"/>
  <c r="K35" s="1"/>
  <c r="D30"/>
  <c r="M29"/>
  <c r="N29" s="1"/>
  <c r="M28"/>
  <c r="N28" s="1"/>
  <c r="M27"/>
  <c r="N27" s="1"/>
  <c r="D27"/>
  <c r="N26"/>
  <c r="M26"/>
  <c r="D26"/>
  <c r="D35" s="1"/>
  <c r="H35" i="670"/>
  <c r="G35"/>
  <c r="F35"/>
  <c r="M34"/>
  <c r="M33"/>
  <c r="E33"/>
  <c r="K32"/>
  <c r="J32"/>
  <c r="I32"/>
  <c r="E32"/>
  <c r="D32"/>
  <c r="M31"/>
  <c r="N31" s="1"/>
  <c r="E31"/>
  <c r="D31"/>
  <c r="L30"/>
  <c r="L35" s="1"/>
  <c r="K30"/>
  <c r="K35" s="1"/>
  <c r="J30"/>
  <c r="I30"/>
  <c r="M30" s="1"/>
  <c r="N30" s="1"/>
  <c r="E30"/>
  <c r="D30"/>
  <c r="I29"/>
  <c r="E29"/>
  <c r="M28"/>
  <c r="N28" s="1"/>
  <c r="M27"/>
  <c r="N27" s="1"/>
  <c r="D27"/>
  <c r="M26"/>
  <c r="E26"/>
  <c r="D26"/>
  <c r="G20"/>
  <c r="E20"/>
  <c r="C20"/>
  <c r="G19"/>
  <c r="E19"/>
  <c r="C19"/>
  <c r="E18"/>
  <c r="C18"/>
  <c r="K35" i="669"/>
  <c r="J35"/>
  <c r="I35"/>
  <c r="H35"/>
  <c r="G35"/>
  <c r="F35"/>
  <c r="E35"/>
  <c r="M34"/>
  <c r="M33"/>
  <c r="N33" s="1"/>
  <c r="L32"/>
  <c r="L35" s="1"/>
  <c r="D32"/>
  <c r="M31"/>
  <c r="N31" s="1"/>
  <c r="M30"/>
  <c r="N30" s="1"/>
  <c r="D30"/>
  <c r="M29"/>
  <c r="N29" s="1"/>
  <c r="M28"/>
  <c r="N28" s="1"/>
  <c r="M27"/>
  <c r="N27" s="1"/>
  <c r="D27"/>
  <c r="M26"/>
  <c r="D26"/>
  <c r="C20"/>
  <c r="E19"/>
  <c r="C19"/>
  <c r="C18"/>
  <c r="L35" i="668"/>
  <c r="K35"/>
  <c r="H35"/>
  <c r="G35"/>
  <c r="F35"/>
  <c r="E35"/>
  <c r="M34"/>
  <c r="M33"/>
  <c r="N33" s="1"/>
  <c r="M32"/>
  <c r="N32" s="1"/>
  <c r="D32"/>
  <c r="M31"/>
  <c r="N31" s="1"/>
  <c r="J30"/>
  <c r="J35" s="1"/>
  <c r="I30"/>
  <c r="M30" s="1"/>
  <c r="N30" s="1"/>
  <c r="D30"/>
  <c r="N29"/>
  <c r="M29"/>
  <c r="M28"/>
  <c r="N28" s="1"/>
  <c r="M27"/>
  <c r="N27" s="1"/>
  <c r="D27"/>
  <c r="M26"/>
  <c r="D26"/>
  <c r="D35" s="1"/>
  <c r="E20"/>
  <c r="C20"/>
  <c r="E19"/>
  <c r="C19"/>
  <c r="E18"/>
  <c r="C18"/>
  <c r="H35" i="667"/>
  <c r="G35"/>
  <c r="F35"/>
  <c r="E35"/>
  <c r="M34"/>
  <c r="M33"/>
  <c r="N33" s="1"/>
  <c r="L32"/>
  <c r="I32"/>
  <c r="I35" s="1"/>
  <c r="D32"/>
  <c r="M31"/>
  <c r="N31" s="1"/>
  <c r="L30"/>
  <c r="L35" s="1"/>
  <c r="K30"/>
  <c r="K35" s="1"/>
  <c r="J30"/>
  <c r="J35" s="1"/>
  <c r="D30"/>
  <c r="M29"/>
  <c r="N29" s="1"/>
  <c r="M28"/>
  <c r="N28" s="1"/>
  <c r="M27"/>
  <c r="N27" s="1"/>
  <c r="D27"/>
  <c r="M26"/>
  <c r="N26" s="1"/>
  <c r="D26"/>
  <c r="E18"/>
  <c r="C18"/>
  <c r="K35" i="666"/>
  <c r="J35"/>
  <c r="I35"/>
  <c r="H35"/>
  <c r="G35"/>
  <c r="F35"/>
  <c r="M34"/>
  <c r="M33"/>
  <c r="E33"/>
  <c r="L32"/>
  <c r="L35" s="1"/>
  <c r="D32"/>
  <c r="M31"/>
  <c r="N31" s="1"/>
  <c r="M30"/>
  <c r="N30" s="1"/>
  <c r="D30"/>
  <c r="M29"/>
  <c r="E29"/>
  <c r="M28"/>
  <c r="N28" s="1"/>
  <c r="E28"/>
  <c r="N27"/>
  <c r="M27"/>
  <c r="D27"/>
  <c r="M26"/>
  <c r="E26"/>
  <c r="E35" s="1"/>
  <c r="D26"/>
  <c r="E20"/>
  <c r="C20"/>
  <c r="E19"/>
  <c r="C19"/>
  <c r="E18"/>
  <c r="C18"/>
  <c r="K35" i="665"/>
  <c r="J35"/>
  <c r="I35"/>
  <c r="H35"/>
  <c r="G35"/>
  <c r="F35"/>
  <c r="E35"/>
  <c r="M34"/>
  <c r="M33"/>
  <c r="N33" s="1"/>
  <c r="L32"/>
  <c r="L35" s="1"/>
  <c r="D32"/>
  <c r="M31"/>
  <c r="N31" s="1"/>
  <c r="M30"/>
  <c r="N30" s="1"/>
  <c r="D30"/>
  <c r="M29"/>
  <c r="N29" s="1"/>
  <c r="M28"/>
  <c r="N28" s="1"/>
  <c r="M27"/>
  <c r="N27" s="1"/>
  <c r="D27"/>
  <c r="M26"/>
  <c r="N26" s="1"/>
  <c r="D26"/>
  <c r="E19"/>
  <c r="C19"/>
  <c r="E18"/>
  <c r="C18"/>
  <c r="I35" i="664"/>
  <c r="H35"/>
  <c r="G35"/>
  <c r="F35"/>
  <c r="E35"/>
  <c r="M34"/>
  <c r="M33"/>
  <c r="N33" s="1"/>
  <c r="L32"/>
  <c r="K32"/>
  <c r="M32" s="1"/>
  <c r="N32" s="1"/>
  <c r="J32"/>
  <c r="D32"/>
  <c r="M31"/>
  <c r="N31" s="1"/>
  <c r="D31"/>
  <c r="L30"/>
  <c r="L35" s="1"/>
  <c r="K30"/>
  <c r="K35" s="1"/>
  <c r="J30"/>
  <c r="J35" s="1"/>
  <c r="D30"/>
  <c r="M29"/>
  <c r="N29" s="1"/>
  <c r="M28"/>
  <c r="N28" s="1"/>
  <c r="M27"/>
  <c r="N27" s="1"/>
  <c r="D27"/>
  <c r="M26"/>
  <c r="D26"/>
  <c r="D35" s="1"/>
  <c r="E18"/>
  <c r="C18"/>
  <c r="H35" i="663"/>
  <c r="G35"/>
  <c r="F35"/>
  <c r="M34"/>
  <c r="M33"/>
  <c r="E33"/>
  <c r="L32"/>
  <c r="L35" s="1"/>
  <c r="E32"/>
  <c r="D32"/>
  <c r="M31"/>
  <c r="E31"/>
  <c r="K30"/>
  <c r="K35" s="1"/>
  <c r="J30"/>
  <c r="J35" s="1"/>
  <c r="I30"/>
  <c r="M30" s="1"/>
  <c r="E30"/>
  <c r="D30"/>
  <c r="M29"/>
  <c r="E29"/>
  <c r="M28"/>
  <c r="N28" s="1"/>
  <c r="M27"/>
  <c r="N27" s="1"/>
  <c r="D27"/>
  <c r="M26"/>
  <c r="E26"/>
  <c r="D26"/>
  <c r="D35" s="1"/>
  <c r="G20"/>
  <c r="E20"/>
  <c r="C20"/>
  <c r="G19"/>
  <c r="E19"/>
  <c r="C19"/>
  <c r="G18"/>
  <c r="E18"/>
  <c r="C18"/>
  <c r="N35" i="662"/>
  <c r="H35"/>
  <c r="G35"/>
  <c r="F35"/>
  <c r="E35"/>
  <c r="M34"/>
  <c r="M33"/>
  <c r="L32"/>
  <c r="M32" s="1"/>
  <c r="D32"/>
  <c r="M31"/>
  <c r="L30"/>
  <c r="L35" s="1"/>
  <c r="K30"/>
  <c r="K35" s="1"/>
  <c r="J30"/>
  <c r="J35" s="1"/>
  <c r="I30"/>
  <c r="I35" s="1"/>
  <c r="D30"/>
  <c r="M29"/>
  <c r="M28"/>
  <c r="D28"/>
  <c r="M27"/>
  <c r="D27"/>
  <c r="M26"/>
  <c r="D26"/>
  <c r="E18"/>
  <c r="C18"/>
  <c r="H35" i="661"/>
  <c r="G35"/>
  <c r="F35"/>
  <c r="E35"/>
  <c r="M34"/>
  <c r="M33"/>
  <c r="N33" s="1"/>
  <c r="L32"/>
  <c r="L35" s="1"/>
  <c r="K32"/>
  <c r="D32"/>
  <c r="M31"/>
  <c r="N31" s="1"/>
  <c r="K30"/>
  <c r="K35" s="1"/>
  <c r="J30"/>
  <c r="J35" s="1"/>
  <c r="I30"/>
  <c r="I35" s="1"/>
  <c r="D30"/>
  <c r="M29"/>
  <c r="N29" s="1"/>
  <c r="D29"/>
  <c r="M28"/>
  <c r="N28" s="1"/>
  <c r="M27"/>
  <c r="N27" s="1"/>
  <c r="M26"/>
  <c r="D26"/>
  <c r="I20" i="602"/>
  <c r="I19"/>
  <c r="I18"/>
  <c r="I20" i="601"/>
  <c r="I19"/>
  <c r="I18"/>
  <c r="I20" i="600"/>
  <c r="I19"/>
  <c r="I18"/>
  <c r="I20" i="599"/>
  <c r="I19"/>
  <c r="I18"/>
  <c r="I20" i="598"/>
  <c r="I19"/>
  <c r="I18"/>
  <c r="I20" i="597"/>
  <c r="I19"/>
  <c r="I18"/>
  <c r="I20" i="596"/>
  <c r="I19"/>
  <c r="I18"/>
  <c r="I18" i="595"/>
  <c r="I20" i="594"/>
  <c r="I19"/>
  <c r="I18"/>
  <c r="I20" i="593"/>
  <c r="I19"/>
  <c r="I18"/>
  <c r="I20" i="592"/>
  <c r="I19"/>
  <c r="I18"/>
  <c r="I20" i="591"/>
  <c r="I19"/>
  <c r="I18"/>
  <c r="I20" i="590"/>
  <c r="I19"/>
  <c r="I18"/>
  <c r="I20" i="589"/>
  <c r="I19"/>
  <c r="I18"/>
  <c r="I20" i="588"/>
  <c r="I19"/>
  <c r="I18"/>
  <c r="I20" i="587"/>
  <c r="I19"/>
  <c r="I18"/>
  <c r="I20" i="586"/>
  <c r="I19"/>
  <c r="I18"/>
  <c r="I20" i="585"/>
  <c r="I19"/>
  <c r="I18"/>
  <c r="I20" i="584"/>
  <c r="I19"/>
  <c r="I18"/>
  <c r="I20" i="583"/>
  <c r="I19"/>
  <c r="I18"/>
  <c r="I20" i="582"/>
  <c r="I19"/>
  <c r="I18"/>
  <c r="I20" i="580"/>
  <c r="I19"/>
  <c r="I18"/>
  <c r="I20" i="579"/>
  <c r="I19"/>
  <c r="I18"/>
  <c r="I20" i="578"/>
  <c r="I19"/>
  <c r="I18"/>
  <c r="I20" i="577"/>
  <c r="I19"/>
  <c r="I18"/>
  <c r="I20" i="576"/>
  <c r="I19"/>
  <c r="I18"/>
  <c r="I20" i="575"/>
  <c r="I19"/>
  <c r="I18"/>
  <c r="I20" i="574"/>
  <c r="I19"/>
  <c r="I18"/>
  <c r="L38" i="568"/>
  <c r="K38"/>
  <c r="J38"/>
  <c r="I38"/>
  <c r="H38"/>
  <c r="G38"/>
  <c r="F38"/>
  <c r="M38" s="1"/>
  <c r="N38" s="1"/>
  <c r="E38"/>
  <c r="M37"/>
  <c r="D37"/>
  <c r="M36"/>
  <c r="N36" s="1"/>
  <c r="D36"/>
  <c r="M35"/>
  <c r="D35"/>
  <c r="M34"/>
  <c r="N34" s="1"/>
  <c r="D34"/>
  <c r="M33"/>
  <c r="N33" s="1"/>
  <c r="D33"/>
  <c r="M32"/>
  <c r="N32" s="1"/>
  <c r="D32"/>
  <c r="M31"/>
  <c r="N31" s="1"/>
  <c r="D31"/>
  <c r="M30"/>
  <c r="D30"/>
  <c r="M29"/>
  <c r="N29" s="1"/>
  <c r="D29"/>
  <c r="D38" s="1"/>
  <c r="I28"/>
  <c r="J28" s="1"/>
  <c r="K28" s="1"/>
  <c r="L28" s="1"/>
  <c r="L38" i="567"/>
  <c r="K38"/>
  <c r="J38"/>
  <c r="I38"/>
  <c r="H38"/>
  <c r="G38"/>
  <c r="F38"/>
  <c r="E38"/>
  <c r="M37"/>
  <c r="D37"/>
  <c r="M36"/>
  <c r="N36" s="1"/>
  <c r="D36"/>
  <c r="M35"/>
  <c r="D35"/>
  <c r="M34"/>
  <c r="N34" s="1"/>
  <c r="D34"/>
  <c r="M33"/>
  <c r="N33" s="1"/>
  <c r="D33"/>
  <c r="M32"/>
  <c r="N32" s="1"/>
  <c r="D32"/>
  <c r="M31"/>
  <c r="N31" s="1"/>
  <c r="D31"/>
  <c r="M30"/>
  <c r="D30"/>
  <c r="M29"/>
  <c r="N29" s="1"/>
  <c r="D29"/>
  <c r="D38" s="1"/>
  <c r="I28"/>
  <c r="J28" s="1"/>
  <c r="K28" s="1"/>
  <c r="L28" s="1"/>
  <c r="L38" i="566"/>
  <c r="K38"/>
  <c r="J38"/>
  <c r="I38"/>
  <c r="H38"/>
  <c r="G38"/>
  <c r="F38"/>
  <c r="M38" s="1"/>
  <c r="N38" s="1"/>
  <c r="E38"/>
  <c r="M37"/>
  <c r="D37"/>
  <c r="M36"/>
  <c r="N36" s="1"/>
  <c r="D36"/>
  <c r="M35"/>
  <c r="D35"/>
  <c r="N34"/>
  <c r="M34"/>
  <c r="D34"/>
  <c r="M33"/>
  <c r="N33" s="1"/>
  <c r="D33"/>
  <c r="M32"/>
  <c r="N32" s="1"/>
  <c r="D32"/>
  <c r="M31"/>
  <c r="N31" s="1"/>
  <c r="D31"/>
  <c r="M30"/>
  <c r="D30"/>
  <c r="N29"/>
  <c r="M29"/>
  <c r="D29"/>
  <c r="D38" s="1"/>
  <c r="I28"/>
  <c r="J28" s="1"/>
  <c r="K28" s="1"/>
  <c r="L28" s="1"/>
  <c r="L38" i="565"/>
  <c r="K38"/>
  <c r="J38"/>
  <c r="I38"/>
  <c r="H38"/>
  <c r="G38"/>
  <c r="F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I28"/>
  <c r="J28" s="1"/>
  <c r="K28" s="1"/>
  <c r="L28" s="1"/>
  <c r="L38" i="564"/>
  <c r="K38"/>
  <c r="J38"/>
  <c r="I38"/>
  <c r="H38"/>
  <c r="G38"/>
  <c r="F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I28"/>
  <c r="J28" s="1"/>
  <c r="K28" s="1"/>
  <c r="L28" s="1"/>
  <c r="L38" i="563"/>
  <c r="K38"/>
  <c r="J38"/>
  <c r="I38"/>
  <c r="H38"/>
  <c r="G38"/>
  <c r="F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I28"/>
  <c r="J28" s="1"/>
  <c r="K28" s="1"/>
  <c r="L28" s="1"/>
  <c r="L38" i="562"/>
  <c r="K38"/>
  <c r="J38"/>
  <c r="I38"/>
  <c r="H38"/>
  <c r="G38"/>
  <c r="F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I28"/>
  <c r="J28" s="1"/>
  <c r="K28" s="1"/>
  <c r="L28" s="1"/>
  <c r="L38" i="561"/>
  <c r="K38"/>
  <c r="J38"/>
  <c r="I38"/>
  <c r="H38"/>
  <c r="G38"/>
  <c r="F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I28"/>
  <c r="J28" s="1"/>
  <c r="K28" s="1"/>
  <c r="L28" s="1"/>
  <c r="L38" i="560"/>
  <c r="K38"/>
  <c r="J38"/>
  <c r="I38"/>
  <c r="H38"/>
  <c r="G38"/>
  <c r="F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I28"/>
  <c r="J28" s="1"/>
  <c r="K28" s="1"/>
  <c r="L28" s="1"/>
  <c r="L38" i="559"/>
  <c r="K38"/>
  <c r="J38"/>
  <c r="I38"/>
  <c r="H38"/>
  <c r="G38"/>
  <c r="F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I28"/>
  <c r="J28" s="1"/>
  <c r="K28" s="1"/>
  <c r="L28" s="1"/>
  <c r="L38" i="558"/>
  <c r="K38"/>
  <c r="J38"/>
  <c r="I38"/>
  <c r="H38"/>
  <c r="G38"/>
  <c r="M38" s="1"/>
  <c r="N38" s="1"/>
  <c r="E38"/>
  <c r="M37"/>
  <c r="D37"/>
  <c r="M36"/>
  <c r="N36" s="1"/>
  <c r="D36"/>
  <c r="M35"/>
  <c r="D35"/>
  <c r="M34"/>
  <c r="N34" s="1"/>
  <c r="D34"/>
  <c r="M33"/>
  <c r="N33" s="1"/>
  <c r="D33"/>
  <c r="M32"/>
  <c r="N32" s="1"/>
  <c r="D32"/>
  <c r="M31"/>
  <c r="N31" s="1"/>
  <c r="D31"/>
  <c r="M30"/>
  <c r="D30"/>
  <c r="M29"/>
  <c r="N29" s="1"/>
  <c r="D29"/>
  <c r="D38" s="1"/>
  <c r="G28"/>
  <c r="H28" s="1"/>
  <c r="I28" s="1"/>
  <c r="J28" s="1"/>
  <c r="K28" s="1"/>
  <c r="L28" s="1"/>
  <c r="I23"/>
  <c r="I22"/>
  <c r="I21"/>
  <c r="L38" i="557"/>
  <c r="K38"/>
  <c r="J38"/>
  <c r="I38"/>
  <c r="H38"/>
  <c r="G38"/>
  <c r="E38"/>
  <c r="M37"/>
  <c r="D37"/>
  <c r="M36"/>
  <c r="N36" s="1"/>
  <c r="D36"/>
  <c r="M35"/>
  <c r="D35"/>
  <c r="M34"/>
  <c r="N34" s="1"/>
  <c r="D34"/>
  <c r="M33"/>
  <c r="N33" s="1"/>
  <c r="D33"/>
  <c r="M32"/>
  <c r="N32" s="1"/>
  <c r="D32"/>
  <c r="M31"/>
  <c r="N31" s="1"/>
  <c r="D31"/>
  <c r="M30"/>
  <c r="D30"/>
  <c r="M29"/>
  <c r="N29" s="1"/>
  <c r="D29"/>
  <c r="D38" s="1"/>
  <c r="G28"/>
  <c r="H28" s="1"/>
  <c r="I28" s="1"/>
  <c r="J28" s="1"/>
  <c r="K28" s="1"/>
  <c r="L28" s="1"/>
  <c r="I23"/>
  <c r="I22"/>
  <c r="I21"/>
  <c r="L38" i="556"/>
  <c r="K38"/>
  <c r="J38"/>
  <c r="I38"/>
  <c r="H38"/>
  <c r="G38"/>
  <c r="M38" s="1"/>
  <c r="N38" s="1"/>
  <c r="E38"/>
  <c r="M37"/>
  <c r="D37"/>
  <c r="M36"/>
  <c r="N36" s="1"/>
  <c r="D36"/>
  <c r="M35"/>
  <c r="N35" s="1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G28"/>
  <c r="H28" s="1"/>
  <c r="I28" s="1"/>
  <c r="J28" s="1"/>
  <c r="K28" s="1"/>
  <c r="L28" s="1"/>
  <c r="G23"/>
  <c r="E23"/>
  <c r="I23" s="1"/>
  <c r="C23"/>
  <c r="G22"/>
  <c r="E22"/>
  <c r="C22"/>
  <c r="E21"/>
  <c r="I21" s="1"/>
  <c r="L38" i="555"/>
  <c r="K38"/>
  <c r="J38"/>
  <c r="I38"/>
  <c r="H38"/>
  <c r="G38"/>
  <c r="M38" s="1"/>
  <c r="N38" s="1"/>
  <c r="E38"/>
  <c r="M37"/>
  <c r="D37"/>
  <c r="M36"/>
  <c r="N36" s="1"/>
  <c r="D36"/>
  <c r="M35"/>
  <c r="D35"/>
  <c r="M34"/>
  <c r="N34" s="1"/>
  <c r="D34"/>
  <c r="M33"/>
  <c r="N33" s="1"/>
  <c r="D33"/>
  <c r="M32"/>
  <c r="N32" s="1"/>
  <c r="D32"/>
  <c r="N31"/>
  <c r="M31"/>
  <c r="D31"/>
  <c r="M30"/>
  <c r="D30"/>
  <c r="M29"/>
  <c r="N29" s="1"/>
  <c r="D29"/>
  <c r="D38" s="1"/>
  <c r="G28"/>
  <c r="H28" s="1"/>
  <c r="I28" s="1"/>
  <c r="J28" s="1"/>
  <c r="K28" s="1"/>
  <c r="L28" s="1"/>
  <c r="I23"/>
  <c r="I22"/>
  <c r="I21"/>
  <c r="L38" i="554"/>
  <c r="K38"/>
  <c r="J38"/>
  <c r="I38"/>
  <c r="H38"/>
  <c r="G38"/>
  <c r="E38"/>
  <c r="M37"/>
  <c r="D37"/>
  <c r="M36"/>
  <c r="N36" s="1"/>
  <c r="D36"/>
  <c r="M35"/>
  <c r="D35"/>
  <c r="M34"/>
  <c r="N34" s="1"/>
  <c r="D34"/>
  <c r="M33"/>
  <c r="N33" s="1"/>
  <c r="D33"/>
  <c r="M32"/>
  <c r="N32" s="1"/>
  <c r="D32"/>
  <c r="N31"/>
  <c r="M31"/>
  <c r="D31"/>
  <c r="M30"/>
  <c r="D30"/>
  <c r="M29"/>
  <c r="N29" s="1"/>
  <c r="D29"/>
  <c r="D38" s="1"/>
  <c r="G28"/>
  <c r="H28" s="1"/>
  <c r="I28" s="1"/>
  <c r="J28" s="1"/>
  <c r="K28" s="1"/>
  <c r="L28" s="1"/>
  <c r="I23"/>
  <c r="I22"/>
  <c r="I21"/>
  <c r="L38" i="553"/>
  <c r="K38"/>
  <c r="J38"/>
  <c r="I38"/>
  <c r="H38"/>
  <c r="G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G28"/>
  <c r="H28" s="1"/>
  <c r="I28" s="1"/>
  <c r="J28" s="1"/>
  <c r="K28" s="1"/>
  <c r="L28" s="1"/>
  <c r="I23"/>
  <c r="I22"/>
  <c r="I21"/>
  <c r="L38" i="552"/>
  <c r="K38"/>
  <c r="J38"/>
  <c r="I38"/>
  <c r="H38"/>
  <c r="G38"/>
  <c r="M38" s="1"/>
  <c r="E38"/>
  <c r="M37"/>
  <c r="D37"/>
  <c r="M36"/>
  <c r="N36" s="1"/>
  <c r="D36"/>
  <c r="M35"/>
  <c r="N35" s="1"/>
  <c r="M34"/>
  <c r="N34" s="1"/>
  <c r="M33"/>
  <c r="N33" s="1"/>
  <c r="M32"/>
  <c r="N32" s="1"/>
  <c r="D32"/>
  <c r="M31"/>
  <c r="N31" s="1"/>
  <c r="D31"/>
  <c r="M30"/>
  <c r="D30"/>
  <c r="D38" s="1"/>
  <c r="M29"/>
  <c r="N29" s="1"/>
  <c r="G28"/>
  <c r="H28" s="1"/>
  <c r="I28" s="1"/>
  <c r="J28" s="1"/>
  <c r="K28" s="1"/>
  <c r="L28" s="1"/>
  <c r="E23"/>
  <c r="C23"/>
  <c r="E22"/>
  <c r="C22"/>
  <c r="I22" s="1"/>
  <c r="I21"/>
  <c r="L38" i="551"/>
  <c r="K38"/>
  <c r="J38"/>
  <c r="I38"/>
  <c r="H38"/>
  <c r="G38"/>
  <c r="M38" s="1"/>
  <c r="N38" s="1"/>
  <c r="E38"/>
  <c r="M37"/>
  <c r="D37"/>
  <c r="M36"/>
  <c r="N36" s="1"/>
  <c r="D36"/>
  <c r="M35"/>
  <c r="N35" s="1"/>
  <c r="D35"/>
  <c r="M34"/>
  <c r="N34" s="1"/>
  <c r="D34"/>
  <c r="M33"/>
  <c r="N33" s="1"/>
  <c r="D33"/>
  <c r="M32"/>
  <c r="N32" s="1"/>
  <c r="D32"/>
  <c r="M31"/>
  <c r="N31" s="1"/>
  <c r="D31"/>
  <c r="M30"/>
  <c r="D30"/>
  <c r="M29"/>
  <c r="N29" s="1"/>
  <c r="D29"/>
  <c r="D38" s="1"/>
  <c r="G28"/>
  <c r="H28" s="1"/>
  <c r="I28" s="1"/>
  <c r="J28" s="1"/>
  <c r="K28" s="1"/>
  <c r="L28" s="1"/>
  <c r="I23"/>
  <c r="I22"/>
  <c r="I21"/>
  <c r="L38" i="550"/>
  <c r="K38"/>
  <c r="J38"/>
  <c r="I38"/>
  <c r="H38"/>
  <c r="G38"/>
  <c r="E38"/>
  <c r="M37"/>
  <c r="D37"/>
  <c r="M36"/>
  <c r="N36" s="1"/>
  <c r="D36"/>
  <c r="M35"/>
  <c r="D35"/>
  <c r="M34"/>
  <c r="N34" s="1"/>
  <c r="D34"/>
  <c r="M33"/>
  <c r="N33" s="1"/>
  <c r="D33"/>
  <c r="M32"/>
  <c r="N32" s="1"/>
  <c r="D32"/>
  <c r="M31"/>
  <c r="N31" s="1"/>
  <c r="D31"/>
  <c r="M30"/>
  <c r="D30"/>
  <c r="M29"/>
  <c r="N29" s="1"/>
  <c r="D29"/>
  <c r="D38" s="1"/>
  <c r="G28"/>
  <c r="H28" s="1"/>
  <c r="I28" s="1"/>
  <c r="J28" s="1"/>
  <c r="K28" s="1"/>
  <c r="L28" s="1"/>
  <c r="I23"/>
  <c r="I22"/>
  <c r="I21"/>
  <c r="L38" i="549"/>
  <c r="K38"/>
  <c r="J38"/>
  <c r="I38"/>
  <c r="H38"/>
  <c r="G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G28"/>
  <c r="H28" s="1"/>
  <c r="I28" s="1"/>
  <c r="J28" s="1"/>
  <c r="K28" s="1"/>
  <c r="L28" s="1"/>
  <c r="I23"/>
  <c r="I22"/>
  <c r="I21"/>
  <c r="G38" i="548"/>
  <c r="M38" s="1"/>
  <c r="N38" s="1"/>
  <c r="E38"/>
  <c r="M37"/>
  <c r="M36"/>
  <c r="N36" s="1"/>
  <c r="M35"/>
  <c r="D35"/>
  <c r="M34"/>
  <c r="N34" s="1"/>
  <c r="D34"/>
  <c r="M33"/>
  <c r="N33" s="1"/>
  <c r="D33"/>
  <c r="M32"/>
  <c r="N32" s="1"/>
  <c r="M31"/>
  <c r="N31" s="1"/>
  <c r="M30"/>
  <c r="M29"/>
  <c r="N29" s="1"/>
  <c r="D29"/>
  <c r="D38" s="1"/>
  <c r="I23"/>
  <c r="I22"/>
  <c r="G21"/>
  <c r="G38" i="547"/>
  <c r="M38" s="1"/>
  <c r="N38" s="1"/>
  <c r="E38"/>
  <c r="M37"/>
  <c r="M36"/>
  <c r="N36" s="1"/>
  <c r="M35"/>
  <c r="D35"/>
  <c r="M34"/>
  <c r="N34" s="1"/>
  <c r="D34"/>
  <c r="M33"/>
  <c r="N33" s="1"/>
  <c r="D33"/>
  <c r="M32"/>
  <c r="N32" s="1"/>
  <c r="M31"/>
  <c r="N31" s="1"/>
  <c r="M30"/>
  <c r="M29"/>
  <c r="N29" s="1"/>
  <c r="D29"/>
  <c r="D38" s="1"/>
  <c r="I23"/>
  <c r="I22"/>
  <c r="G21"/>
  <c r="G38" i="546"/>
  <c r="M38" s="1"/>
  <c r="N38" s="1"/>
  <c r="E38"/>
  <c r="M37"/>
  <c r="M36"/>
  <c r="N36" s="1"/>
  <c r="M35"/>
  <c r="D35"/>
  <c r="M34"/>
  <c r="N34" s="1"/>
  <c r="D34"/>
  <c r="M33"/>
  <c r="N33" s="1"/>
  <c r="D33"/>
  <c r="M32"/>
  <c r="N32" s="1"/>
  <c r="M31"/>
  <c r="N31" s="1"/>
  <c r="M30"/>
  <c r="M29"/>
  <c r="N29" s="1"/>
  <c r="D29"/>
  <c r="D38" s="1"/>
  <c r="I23"/>
  <c r="I22"/>
  <c r="G21"/>
  <c r="G38" i="545"/>
  <c r="M38" s="1"/>
  <c r="N38" s="1"/>
  <c r="E38"/>
  <c r="M37"/>
  <c r="M36"/>
  <c r="N36" s="1"/>
  <c r="M35"/>
  <c r="D35"/>
  <c r="M34"/>
  <c r="N34" s="1"/>
  <c r="D34"/>
  <c r="M33"/>
  <c r="N33" s="1"/>
  <c r="D33"/>
  <c r="M32"/>
  <c r="N32" s="1"/>
  <c r="M31"/>
  <c r="N31" s="1"/>
  <c r="M30"/>
  <c r="M29"/>
  <c r="N29" s="1"/>
  <c r="D29"/>
  <c r="D38" s="1"/>
  <c r="I23"/>
  <c r="I22"/>
  <c r="G21"/>
  <c r="G38" i="544"/>
  <c r="M38" s="1"/>
  <c r="N38" s="1"/>
  <c r="E38"/>
  <c r="M37"/>
  <c r="M36"/>
  <c r="N36" s="1"/>
  <c r="M35"/>
  <c r="D35"/>
  <c r="M34"/>
  <c r="N34" s="1"/>
  <c r="D34"/>
  <c r="M33"/>
  <c r="N33" s="1"/>
  <c r="D33"/>
  <c r="M32"/>
  <c r="N32" s="1"/>
  <c r="M31"/>
  <c r="N31" s="1"/>
  <c r="M30"/>
  <c r="M29"/>
  <c r="N29" s="1"/>
  <c r="D29"/>
  <c r="D38" s="1"/>
  <c r="I23"/>
  <c r="I22"/>
  <c r="G21"/>
  <c r="G38" i="543"/>
  <c r="M38" s="1"/>
  <c r="N38" s="1"/>
  <c r="E38"/>
  <c r="M37"/>
  <c r="M36"/>
  <c r="N36" s="1"/>
  <c r="M35"/>
  <c r="D35"/>
  <c r="M34"/>
  <c r="N34" s="1"/>
  <c r="D34"/>
  <c r="M33"/>
  <c r="N33" s="1"/>
  <c r="D33"/>
  <c r="M32"/>
  <c r="N32" s="1"/>
  <c r="M31"/>
  <c r="N31" s="1"/>
  <c r="M30"/>
  <c r="M29"/>
  <c r="N29" s="1"/>
  <c r="D29"/>
  <c r="D38" s="1"/>
  <c r="I23"/>
  <c r="I22"/>
  <c r="G21"/>
  <c r="G38" i="542"/>
  <c r="M38" s="1"/>
  <c r="N38" s="1"/>
  <c r="E38"/>
  <c r="M37"/>
  <c r="M36"/>
  <c r="N36" s="1"/>
  <c r="M35"/>
  <c r="D35"/>
  <c r="M34"/>
  <c r="N34" s="1"/>
  <c r="D34"/>
  <c r="M33"/>
  <c r="N33" s="1"/>
  <c r="D33"/>
  <c r="M32"/>
  <c r="N32" s="1"/>
  <c r="M31"/>
  <c r="N31" s="1"/>
  <c r="M30"/>
  <c r="M29"/>
  <c r="N29" s="1"/>
  <c r="D29"/>
  <c r="D38" s="1"/>
  <c r="I23"/>
  <c r="I22"/>
  <c r="G21"/>
  <c r="G38" i="541"/>
  <c r="M38" s="1"/>
  <c r="N38" s="1"/>
  <c r="E38"/>
  <c r="M37"/>
  <c r="M36"/>
  <c r="N36" s="1"/>
  <c r="M35"/>
  <c r="D35"/>
  <c r="M34"/>
  <c r="N34" s="1"/>
  <c r="D34"/>
  <c r="M33"/>
  <c r="N33" s="1"/>
  <c r="D33"/>
  <c r="M32"/>
  <c r="N32" s="1"/>
  <c r="M31"/>
  <c r="N31" s="1"/>
  <c r="M30"/>
  <c r="M29"/>
  <c r="N29" s="1"/>
  <c r="D29"/>
  <c r="D38" s="1"/>
  <c r="I23"/>
  <c r="I22"/>
  <c r="G38" i="540"/>
  <c r="M38" s="1"/>
  <c r="E38"/>
  <c r="M37"/>
  <c r="M36"/>
  <c r="N36" s="1"/>
  <c r="M35"/>
  <c r="D35"/>
  <c r="M34"/>
  <c r="N34" s="1"/>
  <c r="D34"/>
  <c r="M33"/>
  <c r="N33" s="1"/>
  <c r="D33"/>
  <c r="M32"/>
  <c r="N32" s="1"/>
  <c r="M31"/>
  <c r="N31" s="1"/>
  <c r="M30"/>
  <c r="M29"/>
  <c r="N29" s="1"/>
  <c r="D29"/>
  <c r="D38" s="1"/>
  <c r="I23"/>
  <c r="I22"/>
  <c r="G21"/>
  <c r="L38" i="539"/>
  <c r="K38"/>
  <c r="J38"/>
  <c r="I38"/>
  <c r="H38"/>
  <c r="G38"/>
  <c r="M38" s="1"/>
  <c r="N38" s="1"/>
  <c r="E38"/>
  <c r="M37"/>
  <c r="D37"/>
  <c r="M36"/>
  <c r="N36" s="1"/>
  <c r="D36"/>
  <c r="M35"/>
  <c r="D35"/>
  <c r="M34"/>
  <c r="N34" s="1"/>
  <c r="D34"/>
  <c r="N33"/>
  <c r="M33"/>
  <c r="D33"/>
  <c r="M32"/>
  <c r="N32" s="1"/>
  <c r="D32"/>
  <c r="M31"/>
  <c r="N31" s="1"/>
  <c r="D31"/>
  <c r="M30"/>
  <c r="D30"/>
  <c r="M29"/>
  <c r="N29" s="1"/>
  <c r="D29"/>
  <c r="D38" s="1"/>
  <c r="G28"/>
  <c r="H28" s="1"/>
  <c r="I28" s="1"/>
  <c r="J28" s="1"/>
  <c r="K28" s="1"/>
  <c r="L28" s="1"/>
  <c r="I23"/>
  <c r="I22"/>
  <c r="L37" i="538"/>
  <c r="K37"/>
  <c r="J37"/>
  <c r="I37"/>
  <c r="H37"/>
  <c r="G37"/>
  <c r="F37"/>
  <c r="M37" s="1"/>
  <c r="N37" s="1"/>
  <c r="E37"/>
  <c r="B37"/>
  <c r="M36"/>
  <c r="D36"/>
  <c r="D37" s="1"/>
  <c r="M35"/>
  <c r="N35" s="1"/>
  <c r="M34"/>
  <c r="M33"/>
  <c r="M32"/>
  <c r="N32" s="1"/>
  <c r="M31"/>
  <c r="N31" s="1"/>
  <c r="M30"/>
  <c r="N30" s="1"/>
  <c r="M29"/>
  <c r="M28"/>
  <c r="N28" s="1"/>
  <c r="I27"/>
  <c r="J27" s="1"/>
  <c r="K27" s="1"/>
  <c r="L27" s="1"/>
  <c r="L38" i="537"/>
  <c r="K38"/>
  <c r="J38"/>
  <c r="I38"/>
  <c r="H38"/>
  <c r="G38"/>
  <c r="F38"/>
  <c r="M38" s="1"/>
  <c r="N38" s="1"/>
  <c r="E38"/>
  <c r="B38"/>
  <c r="M37"/>
  <c r="D37"/>
  <c r="D38" s="1"/>
  <c r="M36"/>
  <c r="N36" s="1"/>
  <c r="M35"/>
  <c r="M34"/>
  <c r="N34" s="1"/>
  <c r="M33"/>
  <c r="N33" s="1"/>
  <c r="M32"/>
  <c r="N32" s="1"/>
  <c r="M31"/>
  <c r="N31" s="1"/>
  <c r="M30"/>
  <c r="M29"/>
  <c r="N29" s="1"/>
  <c r="I28"/>
  <c r="J28" s="1"/>
  <c r="K28" s="1"/>
  <c r="L28" s="1"/>
  <c r="L38" i="536"/>
  <c r="K38"/>
  <c r="J38"/>
  <c r="I38"/>
  <c r="H38"/>
  <c r="G38"/>
  <c r="F38"/>
  <c r="M38" s="1"/>
  <c r="N38" s="1"/>
  <c r="E38"/>
  <c r="D38"/>
  <c r="B38"/>
  <c r="M37"/>
  <c r="M36"/>
  <c r="N36" s="1"/>
  <c r="M35"/>
  <c r="M34"/>
  <c r="N34" s="1"/>
  <c r="M33"/>
  <c r="N33" s="1"/>
  <c r="M32"/>
  <c r="N32" s="1"/>
  <c r="M31"/>
  <c r="N31" s="1"/>
  <c r="M30"/>
  <c r="M29"/>
  <c r="N29" s="1"/>
  <c r="I28"/>
  <c r="J28" s="1"/>
  <c r="K28" s="1"/>
  <c r="L28" s="1"/>
  <c r="L38" i="535"/>
  <c r="K38"/>
  <c r="J38"/>
  <c r="I38"/>
  <c r="H38"/>
  <c r="G38"/>
  <c r="F38"/>
  <c r="M38" s="1"/>
  <c r="N38" s="1"/>
  <c r="E38"/>
  <c r="B38"/>
  <c r="M37"/>
  <c r="D37"/>
  <c r="M36"/>
  <c r="N36" s="1"/>
  <c r="M35"/>
  <c r="M34"/>
  <c r="M33"/>
  <c r="N33" s="1"/>
  <c r="M32"/>
  <c r="N32" s="1"/>
  <c r="M31"/>
  <c r="N31" s="1"/>
  <c r="M30"/>
  <c r="N29"/>
  <c r="M29"/>
  <c r="D29"/>
  <c r="D38" s="1"/>
  <c r="I28"/>
  <c r="J28" s="1"/>
  <c r="K28" s="1"/>
  <c r="L28" s="1"/>
  <c r="L38" i="534"/>
  <c r="K38"/>
  <c r="J38"/>
  <c r="I38"/>
  <c r="H38"/>
  <c r="G38"/>
  <c r="F38"/>
  <c r="M38" s="1"/>
  <c r="N38" s="1"/>
  <c r="E38"/>
  <c r="B38"/>
  <c r="M37"/>
  <c r="D37"/>
  <c r="D38" s="1"/>
  <c r="M36"/>
  <c r="N36" s="1"/>
  <c r="M35"/>
  <c r="M34"/>
  <c r="N34" s="1"/>
  <c r="M33"/>
  <c r="N33" s="1"/>
  <c r="M32"/>
  <c r="N32" s="1"/>
  <c r="M31"/>
  <c r="N31" s="1"/>
  <c r="M30"/>
  <c r="N29"/>
  <c r="M29"/>
  <c r="J28"/>
  <c r="K28" s="1"/>
  <c r="L28" s="1"/>
  <c r="I28"/>
  <c r="L38" i="533"/>
  <c r="K38"/>
  <c r="J38"/>
  <c r="I38"/>
  <c r="H38"/>
  <c r="G38"/>
  <c r="F38"/>
  <c r="M38" s="1"/>
  <c r="N38" s="1"/>
  <c r="E38"/>
  <c r="B38"/>
  <c r="M37"/>
  <c r="D37"/>
  <c r="D38" s="1"/>
  <c r="M36"/>
  <c r="N36" s="1"/>
  <c r="M35"/>
  <c r="M34"/>
  <c r="M33"/>
  <c r="N33" s="1"/>
  <c r="M32"/>
  <c r="N32" s="1"/>
  <c r="M31"/>
  <c r="N31" s="1"/>
  <c r="M30"/>
  <c r="M29"/>
  <c r="N29" s="1"/>
  <c r="I28"/>
  <c r="J28" s="1"/>
  <c r="K28" s="1"/>
  <c r="L28" s="1"/>
  <c r="L38" i="532"/>
  <c r="K38"/>
  <c r="J38"/>
  <c r="I38"/>
  <c r="H38"/>
  <c r="G38"/>
  <c r="F38"/>
  <c r="M38" s="1"/>
  <c r="N38" s="1"/>
  <c r="E38"/>
  <c r="B38"/>
  <c r="M37"/>
  <c r="D37"/>
  <c r="D38" s="1"/>
  <c r="M36"/>
  <c r="N36" s="1"/>
  <c r="M35"/>
  <c r="M34"/>
  <c r="N34" s="1"/>
  <c r="M33"/>
  <c r="N33" s="1"/>
  <c r="M32"/>
  <c r="N32" s="1"/>
  <c r="M31"/>
  <c r="N31" s="1"/>
  <c r="M30"/>
  <c r="N29"/>
  <c r="M29"/>
  <c r="J28"/>
  <c r="K28" s="1"/>
  <c r="L28" s="1"/>
  <c r="I28"/>
  <c r="L38" i="531"/>
  <c r="K38"/>
  <c r="J38"/>
  <c r="I38"/>
  <c r="H38"/>
  <c r="G38"/>
  <c r="F38"/>
  <c r="M38" s="1"/>
  <c r="N38" s="1"/>
  <c r="E38"/>
  <c r="D38"/>
  <c r="B38"/>
  <c r="M37"/>
  <c r="M36"/>
  <c r="N36" s="1"/>
  <c r="M35"/>
  <c r="M34"/>
  <c r="N33"/>
  <c r="M33"/>
  <c r="N32"/>
  <c r="M32"/>
  <c r="N31"/>
  <c r="M31"/>
  <c r="M30"/>
  <c r="M29"/>
  <c r="N29" s="1"/>
  <c r="I28"/>
  <c r="J28" s="1"/>
  <c r="K28" s="1"/>
  <c r="L28" s="1"/>
  <c r="L38" i="530"/>
  <c r="K38"/>
  <c r="J38"/>
  <c r="I38"/>
  <c r="H38"/>
  <c r="G38"/>
  <c r="F38"/>
  <c r="E38"/>
  <c r="B38"/>
  <c r="M37"/>
  <c r="D37"/>
  <c r="D38" s="1"/>
  <c r="M36"/>
  <c r="N36" s="1"/>
  <c r="M35"/>
  <c r="M34"/>
  <c r="N34" s="1"/>
  <c r="M33"/>
  <c r="N33" s="1"/>
  <c r="M32"/>
  <c r="N32" s="1"/>
  <c r="M31"/>
  <c r="N31" s="1"/>
  <c r="M30"/>
  <c r="M29"/>
  <c r="N29" s="1"/>
  <c r="I28"/>
  <c r="J28" s="1"/>
  <c r="K28" s="1"/>
  <c r="L28" s="1"/>
  <c r="L38" i="529"/>
  <c r="K38"/>
  <c r="J38"/>
  <c r="I38"/>
  <c r="H38"/>
  <c r="G38"/>
  <c r="F38"/>
  <c r="M38" s="1"/>
  <c r="N38" s="1"/>
  <c r="E38"/>
  <c r="B38"/>
  <c r="M37"/>
  <c r="M36"/>
  <c r="N36" s="1"/>
  <c r="M35"/>
  <c r="M34"/>
  <c r="N34" s="1"/>
  <c r="M33"/>
  <c r="N33" s="1"/>
  <c r="M32"/>
  <c r="N32" s="1"/>
  <c r="M31"/>
  <c r="N31" s="1"/>
  <c r="M30"/>
  <c r="D30"/>
  <c r="M29"/>
  <c r="N29" s="1"/>
  <c r="D29"/>
  <c r="D38" s="1"/>
  <c r="I28"/>
  <c r="J28" s="1"/>
  <c r="K28" s="1"/>
  <c r="L28" s="1"/>
  <c r="L38" i="528"/>
  <c r="K38"/>
  <c r="J38"/>
  <c r="I38"/>
  <c r="H38"/>
  <c r="G38"/>
  <c r="F38"/>
  <c r="M37"/>
  <c r="M36"/>
  <c r="N36" s="1"/>
  <c r="D36"/>
  <c r="M35"/>
  <c r="D35"/>
  <c r="M34"/>
  <c r="N34" s="1"/>
  <c r="E34"/>
  <c r="D34"/>
  <c r="M33"/>
  <c r="N33" s="1"/>
  <c r="D33"/>
  <c r="M32"/>
  <c r="N32" s="1"/>
  <c r="D32"/>
  <c r="M31"/>
  <c r="N31" s="1"/>
  <c r="D31"/>
  <c r="M30"/>
  <c r="D30"/>
  <c r="M29"/>
  <c r="N29" s="1"/>
  <c r="E29"/>
  <c r="E38" s="1"/>
  <c r="D29"/>
  <c r="D38" s="1"/>
  <c r="I28"/>
  <c r="J28" s="1"/>
  <c r="K28" s="1"/>
  <c r="L28" s="1"/>
  <c r="G23"/>
  <c r="C23"/>
  <c r="I23" s="1"/>
  <c r="G22"/>
  <c r="E22"/>
  <c r="C22"/>
  <c r="G21"/>
  <c r="E21"/>
  <c r="C21"/>
  <c r="I21" s="1"/>
  <c r="L38" i="527"/>
  <c r="K38"/>
  <c r="J38"/>
  <c r="I38"/>
  <c r="H38"/>
  <c r="G38"/>
  <c r="F38"/>
  <c r="M38" s="1"/>
  <c r="M37"/>
  <c r="M36"/>
  <c r="N36" s="1"/>
  <c r="D36"/>
  <c r="M35"/>
  <c r="D35"/>
  <c r="M34"/>
  <c r="N34" s="1"/>
  <c r="E34"/>
  <c r="D34"/>
  <c r="M33"/>
  <c r="N33" s="1"/>
  <c r="D33"/>
  <c r="M32"/>
  <c r="N32" s="1"/>
  <c r="D32"/>
  <c r="M31"/>
  <c r="N31" s="1"/>
  <c r="D31"/>
  <c r="M30"/>
  <c r="D30"/>
  <c r="M29"/>
  <c r="N29" s="1"/>
  <c r="E29"/>
  <c r="E38" s="1"/>
  <c r="D29"/>
  <c r="D38" s="1"/>
  <c r="I28"/>
  <c r="J28" s="1"/>
  <c r="K28" s="1"/>
  <c r="L28" s="1"/>
  <c r="E23"/>
  <c r="C23"/>
  <c r="E22"/>
  <c r="C22"/>
  <c r="I22" s="1"/>
  <c r="E21"/>
  <c r="C21"/>
  <c r="I21" s="1"/>
  <c r="L38" i="526"/>
  <c r="K38"/>
  <c r="J38"/>
  <c r="I38"/>
  <c r="H38"/>
  <c r="G38"/>
  <c r="F38"/>
  <c r="M37"/>
  <c r="M36"/>
  <c r="N36" s="1"/>
  <c r="D36"/>
  <c r="M35"/>
  <c r="D35"/>
  <c r="M34"/>
  <c r="E34"/>
  <c r="D34"/>
  <c r="M33"/>
  <c r="N33" s="1"/>
  <c r="D33"/>
  <c r="M32"/>
  <c r="N32" s="1"/>
  <c r="D32"/>
  <c r="M31"/>
  <c r="N31" s="1"/>
  <c r="D31"/>
  <c r="M30"/>
  <c r="D30"/>
  <c r="M29"/>
  <c r="N29" s="1"/>
  <c r="E29"/>
  <c r="E38" s="1"/>
  <c r="D29"/>
  <c r="D38" s="1"/>
  <c r="I28"/>
  <c r="J28" s="1"/>
  <c r="K28" s="1"/>
  <c r="L28" s="1"/>
  <c r="E23"/>
  <c r="C23"/>
  <c r="G22"/>
  <c r="E22"/>
  <c r="C22"/>
  <c r="I22" s="1"/>
  <c r="E21"/>
  <c r="C21"/>
  <c r="I21" s="1"/>
  <c r="L38" i="525"/>
  <c r="K38"/>
  <c r="J38"/>
  <c r="I38"/>
  <c r="H38"/>
  <c r="G38"/>
  <c r="F38"/>
  <c r="M37"/>
  <c r="M36"/>
  <c r="N36" s="1"/>
  <c r="D36"/>
  <c r="M35"/>
  <c r="D35"/>
  <c r="M34"/>
  <c r="E34"/>
  <c r="D34"/>
  <c r="M33"/>
  <c r="N33" s="1"/>
  <c r="D33"/>
  <c r="M32"/>
  <c r="N32" s="1"/>
  <c r="D32"/>
  <c r="M31"/>
  <c r="N31" s="1"/>
  <c r="D31"/>
  <c r="M30"/>
  <c r="D30"/>
  <c r="M29"/>
  <c r="N29" s="1"/>
  <c r="E29"/>
  <c r="E38" s="1"/>
  <c r="D29"/>
  <c r="D38" s="1"/>
  <c r="I28"/>
  <c r="J28" s="1"/>
  <c r="K28" s="1"/>
  <c r="L28" s="1"/>
  <c r="E23"/>
  <c r="C23"/>
  <c r="E22"/>
  <c r="C22"/>
  <c r="E21"/>
  <c r="C21"/>
  <c r="L38" i="524"/>
  <c r="K38"/>
  <c r="J38"/>
  <c r="I38"/>
  <c r="H38"/>
  <c r="G38"/>
  <c r="F38"/>
  <c r="M38" s="1"/>
  <c r="M37"/>
  <c r="M36"/>
  <c r="N36" s="1"/>
  <c r="D36"/>
  <c r="M35"/>
  <c r="D35"/>
  <c r="M34"/>
  <c r="N34" s="1"/>
  <c r="E34"/>
  <c r="D34"/>
  <c r="M33"/>
  <c r="N33" s="1"/>
  <c r="D33"/>
  <c r="M32"/>
  <c r="N32" s="1"/>
  <c r="D32"/>
  <c r="M31"/>
  <c r="N31" s="1"/>
  <c r="D31"/>
  <c r="M30"/>
  <c r="D30"/>
  <c r="M29"/>
  <c r="E29"/>
  <c r="E38" s="1"/>
  <c r="D29"/>
  <c r="D38" s="1"/>
  <c r="I28"/>
  <c r="J28" s="1"/>
  <c r="K28" s="1"/>
  <c r="L28" s="1"/>
  <c r="G23"/>
  <c r="E23"/>
  <c r="C23"/>
  <c r="I23" s="1"/>
  <c r="G22"/>
  <c r="E22"/>
  <c r="C22"/>
  <c r="K21"/>
  <c r="G21"/>
  <c r="E21"/>
  <c r="C21"/>
  <c r="I21" s="1"/>
  <c r="L38" i="523"/>
  <c r="K38"/>
  <c r="J38"/>
  <c r="I38"/>
  <c r="H38"/>
  <c r="G38"/>
  <c r="F38"/>
  <c r="M38" s="1"/>
  <c r="M37"/>
  <c r="M36"/>
  <c r="N36" s="1"/>
  <c r="D36"/>
  <c r="M35"/>
  <c r="D35"/>
  <c r="M34"/>
  <c r="N34" s="1"/>
  <c r="E34"/>
  <c r="D34"/>
  <c r="M33"/>
  <c r="N33" s="1"/>
  <c r="D33"/>
  <c r="M32"/>
  <c r="N32" s="1"/>
  <c r="D32"/>
  <c r="M31"/>
  <c r="N31" s="1"/>
  <c r="D31"/>
  <c r="M30"/>
  <c r="D30"/>
  <c r="M29"/>
  <c r="N29" s="1"/>
  <c r="E29"/>
  <c r="E38" s="1"/>
  <c r="D29"/>
  <c r="D38" s="1"/>
  <c r="I28"/>
  <c r="J28" s="1"/>
  <c r="K28" s="1"/>
  <c r="L28" s="1"/>
  <c r="C23"/>
  <c r="I23" s="1"/>
  <c r="E22"/>
  <c r="C22"/>
  <c r="I22" s="1"/>
  <c r="K21"/>
  <c r="E21"/>
  <c r="C21"/>
  <c r="L38" i="522"/>
  <c r="K38"/>
  <c r="J38"/>
  <c r="I38"/>
  <c r="H38"/>
  <c r="G38"/>
  <c r="F38"/>
  <c r="M38" s="1"/>
  <c r="M37"/>
  <c r="N36"/>
  <c r="M36"/>
  <c r="D36"/>
  <c r="M35"/>
  <c r="D35"/>
  <c r="M34"/>
  <c r="E34"/>
  <c r="D34"/>
  <c r="M33"/>
  <c r="N33" s="1"/>
  <c r="D33"/>
  <c r="N32"/>
  <c r="M32"/>
  <c r="D32"/>
  <c r="M31"/>
  <c r="N31" s="1"/>
  <c r="D31"/>
  <c r="M30"/>
  <c r="D30"/>
  <c r="M29"/>
  <c r="E29"/>
  <c r="E38" s="1"/>
  <c r="D29"/>
  <c r="D38" s="1"/>
  <c r="I28"/>
  <c r="J28" s="1"/>
  <c r="K28" s="1"/>
  <c r="L28" s="1"/>
  <c r="G23"/>
  <c r="E23"/>
  <c r="C23"/>
  <c r="G22"/>
  <c r="E22"/>
  <c r="C22"/>
  <c r="I21"/>
  <c r="L38" i="521"/>
  <c r="K38"/>
  <c r="J38"/>
  <c r="I38"/>
  <c r="H38"/>
  <c r="G38"/>
  <c r="F38"/>
  <c r="M37"/>
  <c r="M36"/>
  <c r="N36" s="1"/>
  <c r="D36"/>
  <c r="M35"/>
  <c r="D35"/>
  <c r="M34"/>
  <c r="E34"/>
  <c r="D34"/>
  <c r="M33"/>
  <c r="N33" s="1"/>
  <c r="D33"/>
  <c r="M32"/>
  <c r="N32" s="1"/>
  <c r="D32"/>
  <c r="M31"/>
  <c r="N31" s="1"/>
  <c r="D31"/>
  <c r="M30"/>
  <c r="D30"/>
  <c r="M29"/>
  <c r="N29" s="1"/>
  <c r="E29"/>
  <c r="E38" s="1"/>
  <c r="D29"/>
  <c r="D38" s="1"/>
  <c r="I28"/>
  <c r="J28" s="1"/>
  <c r="K28" s="1"/>
  <c r="L28" s="1"/>
  <c r="I23"/>
  <c r="I22"/>
  <c r="I21"/>
  <c r="L38" i="520"/>
  <c r="K38"/>
  <c r="J38"/>
  <c r="I38"/>
  <c r="H38"/>
  <c r="G38"/>
  <c r="F38"/>
  <c r="M38" s="1"/>
  <c r="M37"/>
  <c r="M36"/>
  <c r="N36" s="1"/>
  <c r="D36"/>
  <c r="M35"/>
  <c r="D35"/>
  <c r="M34"/>
  <c r="N34" s="1"/>
  <c r="E34"/>
  <c r="D34"/>
  <c r="M33"/>
  <c r="N33" s="1"/>
  <c r="D33"/>
  <c r="M32"/>
  <c r="N32" s="1"/>
  <c r="D32"/>
  <c r="M31"/>
  <c r="N31" s="1"/>
  <c r="D31"/>
  <c r="M30"/>
  <c r="D30"/>
  <c r="M29"/>
  <c r="E29"/>
  <c r="E38" s="1"/>
  <c r="D29"/>
  <c r="D38" s="1"/>
  <c r="I28"/>
  <c r="J28" s="1"/>
  <c r="K28" s="1"/>
  <c r="L28" s="1"/>
  <c r="E23"/>
  <c r="C23"/>
  <c r="I23" s="1"/>
  <c r="G22"/>
  <c r="E22"/>
  <c r="C22"/>
  <c r="G21"/>
  <c r="E21"/>
  <c r="C21"/>
  <c r="I21" s="1"/>
  <c r="L38" i="519"/>
  <c r="K38"/>
  <c r="J38"/>
  <c r="I38"/>
  <c r="H38"/>
  <c r="G38"/>
  <c r="F38"/>
  <c r="M38" s="1"/>
  <c r="M37"/>
  <c r="D37"/>
  <c r="M36"/>
  <c r="N36" s="1"/>
  <c r="D36"/>
  <c r="M35"/>
  <c r="D35"/>
  <c r="M34"/>
  <c r="N34" s="1"/>
  <c r="E34"/>
  <c r="D34"/>
  <c r="M33"/>
  <c r="N33" s="1"/>
  <c r="D33"/>
  <c r="M32"/>
  <c r="N32" s="1"/>
  <c r="D32"/>
  <c r="M31"/>
  <c r="N31" s="1"/>
  <c r="D31"/>
  <c r="M30"/>
  <c r="D30"/>
  <c r="M29"/>
  <c r="E29"/>
  <c r="E38" s="1"/>
  <c r="D29"/>
  <c r="D38" s="1"/>
  <c r="I28"/>
  <c r="J28" s="1"/>
  <c r="K28" s="1"/>
  <c r="L28" s="1"/>
  <c r="C23"/>
  <c r="I23" s="1"/>
  <c r="G22"/>
  <c r="C22"/>
  <c r="I22" s="1"/>
  <c r="K21"/>
  <c r="E21"/>
  <c r="C21"/>
  <c r="M31" i="516"/>
  <c r="L31"/>
  <c r="K31"/>
  <c r="J31"/>
  <c r="I31"/>
  <c r="H31"/>
  <c r="G31"/>
  <c r="M30"/>
  <c r="L30"/>
  <c r="I30"/>
  <c r="H30"/>
  <c r="G30"/>
  <c r="F30"/>
  <c r="K29"/>
  <c r="J29"/>
  <c r="N29" s="1"/>
  <c r="O29" s="1"/>
  <c r="G29"/>
  <c r="F29"/>
  <c r="L28"/>
  <c r="K28"/>
  <c r="N28" s="1"/>
  <c r="O28" s="1"/>
  <c r="G28"/>
  <c r="F28"/>
  <c r="M27"/>
  <c r="L27"/>
  <c r="K27"/>
  <c r="J27"/>
  <c r="N27" s="1"/>
  <c r="O27" s="1"/>
  <c r="G27"/>
  <c r="M26"/>
  <c r="L26"/>
  <c r="K26"/>
  <c r="J26"/>
  <c r="G26"/>
  <c r="M25"/>
  <c r="L25"/>
  <c r="K25"/>
  <c r="J25"/>
  <c r="N25" s="1"/>
  <c r="O25" s="1"/>
  <c r="G25"/>
  <c r="F25"/>
  <c r="M24"/>
  <c r="L24"/>
  <c r="L32" s="1"/>
  <c r="K24"/>
  <c r="J24"/>
  <c r="J32" s="1"/>
  <c r="I24"/>
  <c r="I32" s="1"/>
  <c r="H24"/>
  <c r="H32" s="1"/>
  <c r="G24"/>
  <c r="F24"/>
  <c r="F32" s="1"/>
  <c r="M31" i="515"/>
  <c r="L31"/>
  <c r="K31"/>
  <c r="J31"/>
  <c r="I31"/>
  <c r="H31"/>
  <c r="N31" s="1"/>
  <c r="O31" s="1"/>
  <c r="G31"/>
  <c r="M30"/>
  <c r="L30"/>
  <c r="J30"/>
  <c r="I30"/>
  <c r="H30"/>
  <c r="N30" s="1"/>
  <c r="O30" s="1"/>
  <c r="G30"/>
  <c r="F30"/>
  <c r="J29"/>
  <c r="I29"/>
  <c r="N29" s="1"/>
  <c r="O29" s="1"/>
  <c r="G29"/>
  <c r="F29"/>
  <c r="M28"/>
  <c r="L28"/>
  <c r="N28" s="1"/>
  <c r="O28" s="1"/>
  <c r="G28"/>
  <c r="F28"/>
  <c r="L27"/>
  <c r="K27"/>
  <c r="N27" s="1"/>
  <c r="J27"/>
  <c r="G27"/>
  <c r="M26"/>
  <c r="L26"/>
  <c r="K26"/>
  <c r="J26"/>
  <c r="N26" s="1"/>
  <c r="O26" s="1"/>
  <c r="G26"/>
  <c r="M25"/>
  <c r="L25"/>
  <c r="K25"/>
  <c r="J25"/>
  <c r="G25"/>
  <c r="F25"/>
  <c r="M24"/>
  <c r="M32" s="1"/>
  <c r="L24"/>
  <c r="K24"/>
  <c r="K32" s="1"/>
  <c r="J24"/>
  <c r="I24"/>
  <c r="I32" s="1"/>
  <c r="H24"/>
  <c r="G24"/>
  <c r="G32" s="1"/>
  <c r="F24"/>
  <c r="M31" i="514"/>
  <c r="L31"/>
  <c r="K31"/>
  <c r="J31"/>
  <c r="I31"/>
  <c r="H31"/>
  <c r="G31"/>
  <c r="M30"/>
  <c r="L30"/>
  <c r="J30"/>
  <c r="I30"/>
  <c r="N30" s="1"/>
  <c r="O30" s="1"/>
  <c r="G30"/>
  <c r="F30"/>
  <c r="K29"/>
  <c r="J29"/>
  <c r="N29" s="1"/>
  <c r="O29" s="1"/>
  <c r="G29"/>
  <c r="F29"/>
  <c r="M28"/>
  <c r="L28"/>
  <c r="N28" s="1"/>
  <c r="O28" s="1"/>
  <c r="G28"/>
  <c r="F28"/>
  <c r="M27"/>
  <c r="L27"/>
  <c r="K27"/>
  <c r="J27"/>
  <c r="N27" s="1"/>
  <c r="O27" s="1"/>
  <c r="G27"/>
  <c r="M26"/>
  <c r="L26"/>
  <c r="K26"/>
  <c r="J26"/>
  <c r="G26"/>
  <c r="M25"/>
  <c r="L25"/>
  <c r="K25"/>
  <c r="J25"/>
  <c r="N25" s="1"/>
  <c r="O25" s="1"/>
  <c r="G25"/>
  <c r="F25"/>
  <c r="M24"/>
  <c r="L24"/>
  <c r="L32" s="1"/>
  <c r="K24"/>
  <c r="J24"/>
  <c r="J32" s="1"/>
  <c r="I24"/>
  <c r="H24"/>
  <c r="H32" s="1"/>
  <c r="G24"/>
  <c r="F24"/>
  <c r="F32" s="1"/>
  <c r="M31" i="513"/>
  <c r="L31"/>
  <c r="K31"/>
  <c r="J31"/>
  <c r="I31"/>
  <c r="H31"/>
  <c r="N31" s="1"/>
  <c r="O31" s="1"/>
  <c r="G31"/>
  <c r="M30"/>
  <c r="L30"/>
  <c r="I30"/>
  <c r="N30" s="1"/>
  <c r="O30" s="1"/>
  <c r="G30"/>
  <c r="F30"/>
  <c r="K29"/>
  <c r="J29"/>
  <c r="N29" s="1"/>
  <c r="O29" s="1"/>
  <c r="G29"/>
  <c r="F29"/>
  <c r="M28"/>
  <c r="L28"/>
  <c r="N28" s="1"/>
  <c r="O28" s="1"/>
  <c r="G28"/>
  <c r="F28"/>
  <c r="L27"/>
  <c r="K27"/>
  <c r="N27" s="1"/>
  <c r="J27"/>
  <c r="G27"/>
  <c r="M26"/>
  <c r="L26"/>
  <c r="K26"/>
  <c r="J26"/>
  <c r="N26" s="1"/>
  <c r="O26" s="1"/>
  <c r="G26"/>
  <c r="M25"/>
  <c r="M32" s="1"/>
  <c r="L25"/>
  <c r="K25"/>
  <c r="K32" s="1"/>
  <c r="G25"/>
  <c r="F25"/>
  <c r="L24"/>
  <c r="J24"/>
  <c r="J32" s="1"/>
  <c r="I24"/>
  <c r="H24"/>
  <c r="H32" s="1"/>
  <c r="G24"/>
  <c r="F24"/>
  <c r="F32" s="1"/>
  <c r="F20"/>
  <c r="M31" i="512"/>
  <c r="L31"/>
  <c r="K31"/>
  <c r="J31"/>
  <c r="I31"/>
  <c r="H31"/>
  <c r="G31"/>
  <c r="M30"/>
  <c r="L30"/>
  <c r="J30"/>
  <c r="I30"/>
  <c r="N30" s="1"/>
  <c r="O30" s="1"/>
  <c r="G30"/>
  <c r="K29"/>
  <c r="J29"/>
  <c r="G29"/>
  <c r="F29"/>
  <c r="M28"/>
  <c r="L28"/>
  <c r="G28"/>
  <c r="L27"/>
  <c r="K27"/>
  <c r="J27"/>
  <c r="G27"/>
  <c r="M26"/>
  <c r="L26"/>
  <c r="K26"/>
  <c r="J26"/>
  <c r="N26" s="1"/>
  <c r="O26" s="1"/>
  <c r="G26"/>
  <c r="F26"/>
  <c r="N25"/>
  <c r="M24"/>
  <c r="M32" s="1"/>
  <c r="L24"/>
  <c r="K24"/>
  <c r="K32" s="1"/>
  <c r="J24"/>
  <c r="I24"/>
  <c r="I32" s="1"/>
  <c r="H24"/>
  <c r="H32" s="1"/>
  <c r="G24"/>
  <c r="G32" s="1"/>
  <c r="F24"/>
  <c r="M31" i="511"/>
  <c r="L31"/>
  <c r="K31"/>
  <c r="J31"/>
  <c r="I31"/>
  <c r="H31"/>
  <c r="G31"/>
  <c r="F31"/>
  <c r="M30"/>
  <c r="L30"/>
  <c r="I30"/>
  <c r="N30" s="1"/>
  <c r="O30" s="1"/>
  <c r="G30"/>
  <c r="F30"/>
  <c r="K29"/>
  <c r="J29"/>
  <c r="N29" s="1"/>
  <c r="O29" s="1"/>
  <c r="G29"/>
  <c r="F29"/>
  <c r="L28"/>
  <c r="K28"/>
  <c r="N28" s="1"/>
  <c r="O28" s="1"/>
  <c r="G28"/>
  <c r="F28"/>
  <c r="L27"/>
  <c r="K27"/>
  <c r="J27"/>
  <c r="G27"/>
  <c r="F27"/>
  <c r="M26"/>
  <c r="L26"/>
  <c r="K26"/>
  <c r="J26"/>
  <c r="G26"/>
  <c r="M25"/>
  <c r="L25"/>
  <c r="K25"/>
  <c r="J25"/>
  <c r="N25" s="1"/>
  <c r="O25" s="1"/>
  <c r="G25"/>
  <c r="F25"/>
  <c r="L24"/>
  <c r="K24"/>
  <c r="K32" s="1"/>
  <c r="J24"/>
  <c r="I24"/>
  <c r="I32" s="1"/>
  <c r="H24"/>
  <c r="H32" s="1"/>
  <c r="G24"/>
  <c r="G32" s="1"/>
  <c r="F24"/>
  <c r="M31" i="510"/>
  <c r="L31"/>
  <c r="K31"/>
  <c r="J31"/>
  <c r="I31"/>
  <c r="H31"/>
  <c r="G31"/>
  <c r="F31"/>
  <c r="M30"/>
  <c r="K30"/>
  <c r="I30"/>
  <c r="H30"/>
  <c r="G30"/>
  <c r="F30"/>
  <c r="K29"/>
  <c r="J29"/>
  <c r="I29"/>
  <c r="G29"/>
  <c r="F29"/>
  <c r="L28"/>
  <c r="K28"/>
  <c r="N28" s="1"/>
  <c r="O28" s="1"/>
  <c r="G28"/>
  <c r="F28"/>
  <c r="M27"/>
  <c r="L27"/>
  <c r="K27"/>
  <c r="J27"/>
  <c r="N27" s="1"/>
  <c r="O27" s="1"/>
  <c r="G27"/>
  <c r="F27"/>
  <c r="M26"/>
  <c r="L26"/>
  <c r="K26"/>
  <c r="J26"/>
  <c r="N26" s="1"/>
  <c r="O26" s="1"/>
  <c r="G26"/>
  <c r="F26"/>
  <c r="L25"/>
  <c r="K25"/>
  <c r="J25"/>
  <c r="G25"/>
  <c r="F25"/>
  <c r="L24"/>
  <c r="K24"/>
  <c r="J24"/>
  <c r="I24"/>
  <c r="H24"/>
  <c r="G24"/>
  <c r="F24"/>
  <c r="M31" i="509"/>
  <c r="L31"/>
  <c r="K31"/>
  <c r="J31"/>
  <c r="I31"/>
  <c r="H31"/>
  <c r="N31" s="1"/>
  <c r="O31" s="1"/>
  <c r="G31"/>
  <c r="F31"/>
  <c r="M30"/>
  <c r="K30"/>
  <c r="J30"/>
  <c r="I30"/>
  <c r="N30" s="1"/>
  <c r="O30" s="1"/>
  <c r="G30"/>
  <c r="F30"/>
  <c r="K29"/>
  <c r="J29"/>
  <c r="N29" s="1"/>
  <c r="O29" s="1"/>
  <c r="G29"/>
  <c r="F29"/>
  <c r="M28"/>
  <c r="L28"/>
  <c r="N28" s="1"/>
  <c r="O28" s="1"/>
  <c r="G28"/>
  <c r="F28"/>
  <c r="L27"/>
  <c r="K27"/>
  <c r="J27"/>
  <c r="G27"/>
  <c r="F27"/>
  <c r="M26"/>
  <c r="L26"/>
  <c r="K26"/>
  <c r="J26"/>
  <c r="G26"/>
  <c r="F26"/>
  <c r="M25"/>
  <c r="L25"/>
  <c r="K25"/>
  <c r="J25"/>
  <c r="G25"/>
  <c r="F25"/>
  <c r="M24"/>
  <c r="L24"/>
  <c r="K24"/>
  <c r="J24"/>
  <c r="I24"/>
  <c r="H24"/>
  <c r="G24"/>
  <c r="F24"/>
  <c r="P18"/>
  <c r="M31" i="508"/>
  <c r="L31"/>
  <c r="K31"/>
  <c r="J31"/>
  <c r="I31"/>
  <c r="H31"/>
  <c r="G31"/>
  <c r="F31"/>
  <c r="M30"/>
  <c r="L30"/>
  <c r="H30"/>
  <c r="G30"/>
  <c r="F30"/>
  <c r="J29"/>
  <c r="I29"/>
  <c r="G29"/>
  <c r="F29"/>
  <c r="L28"/>
  <c r="N28" s="1"/>
  <c r="O28" s="1"/>
  <c r="G28"/>
  <c r="F28"/>
  <c r="M27"/>
  <c r="L27"/>
  <c r="K27"/>
  <c r="J27"/>
  <c r="N27" s="1"/>
  <c r="O27" s="1"/>
  <c r="G27"/>
  <c r="F27"/>
  <c r="M26"/>
  <c r="L26"/>
  <c r="K26"/>
  <c r="J26"/>
  <c r="N26" s="1"/>
  <c r="O26" s="1"/>
  <c r="G26"/>
  <c r="F26"/>
  <c r="N25"/>
  <c r="L24"/>
  <c r="L32" s="1"/>
  <c r="K24"/>
  <c r="J24"/>
  <c r="J32" s="1"/>
  <c r="I24"/>
  <c r="H24"/>
  <c r="H32" s="1"/>
  <c r="G24"/>
  <c r="F24"/>
  <c r="F32" s="1"/>
  <c r="M31" i="507"/>
  <c r="L31"/>
  <c r="K31"/>
  <c r="J31"/>
  <c r="I31"/>
  <c r="H31"/>
  <c r="N31" s="1"/>
  <c r="O31" s="1"/>
  <c r="G31"/>
  <c r="F31"/>
  <c r="M30"/>
  <c r="L30"/>
  <c r="I30"/>
  <c r="H30"/>
  <c r="N30" s="1"/>
  <c r="O30" s="1"/>
  <c r="G30"/>
  <c r="F30"/>
  <c r="J29"/>
  <c r="I29"/>
  <c r="N29" s="1"/>
  <c r="O29" s="1"/>
  <c r="G29"/>
  <c r="F29"/>
  <c r="L28"/>
  <c r="K28"/>
  <c r="N28" s="1"/>
  <c r="O28" s="1"/>
  <c r="G28"/>
  <c r="F28"/>
  <c r="M27"/>
  <c r="L27"/>
  <c r="K27"/>
  <c r="J27"/>
  <c r="N27" s="1"/>
  <c r="O27" s="1"/>
  <c r="G27"/>
  <c r="F27"/>
  <c r="M26"/>
  <c r="L26"/>
  <c r="K26"/>
  <c r="J26"/>
  <c r="N26" s="1"/>
  <c r="O26" s="1"/>
  <c r="G26"/>
  <c r="F26"/>
  <c r="N25"/>
  <c r="M24"/>
  <c r="M32" s="1"/>
  <c r="L24"/>
  <c r="K24"/>
  <c r="K32" s="1"/>
  <c r="J24"/>
  <c r="I24"/>
  <c r="I32" s="1"/>
  <c r="H24"/>
  <c r="G24"/>
  <c r="G32" s="1"/>
  <c r="F24"/>
  <c r="F30" i="504"/>
  <c r="L29"/>
  <c r="K29"/>
  <c r="J29"/>
  <c r="I29"/>
  <c r="M29" s="1"/>
  <c r="H29"/>
  <c r="E29"/>
  <c r="L28"/>
  <c r="K28"/>
  <c r="I28"/>
  <c r="H28"/>
  <c r="M28" s="1"/>
  <c r="N28" s="1"/>
  <c r="E28"/>
  <c r="D28"/>
  <c r="J27"/>
  <c r="I27"/>
  <c r="M27" s="1"/>
  <c r="N27" s="1"/>
  <c r="E27"/>
  <c r="D27"/>
  <c r="L26"/>
  <c r="K26"/>
  <c r="M26" s="1"/>
  <c r="N26" s="1"/>
  <c r="E26"/>
  <c r="D26"/>
  <c r="K25"/>
  <c r="J25"/>
  <c r="M25" s="1"/>
  <c r="I25"/>
  <c r="E25"/>
  <c r="L24"/>
  <c r="K24"/>
  <c r="J24"/>
  <c r="I24"/>
  <c r="M24" s="1"/>
  <c r="N24" s="1"/>
  <c r="E24"/>
  <c r="L23"/>
  <c r="L30" s="1"/>
  <c r="K23"/>
  <c r="J23"/>
  <c r="M23" s="1"/>
  <c r="N23" s="1"/>
  <c r="E23"/>
  <c r="D23"/>
  <c r="K22"/>
  <c r="J22"/>
  <c r="J30" s="1"/>
  <c r="I22"/>
  <c r="H22"/>
  <c r="H30" s="1"/>
  <c r="G22"/>
  <c r="G30" s="1"/>
  <c r="E22"/>
  <c r="E30" s="1"/>
  <c r="D22"/>
  <c r="I17"/>
  <c r="I16"/>
  <c r="I15"/>
  <c r="J14"/>
  <c r="F31" i="503"/>
  <c r="L30"/>
  <c r="K30"/>
  <c r="J30"/>
  <c r="I30"/>
  <c r="M30" s="1"/>
  <c r="H30"/>
  <c r="E30"/>
  <c r="B30"/>
  <c r="L29"/>
  <c r="K29"/>
  <c r="H29"/>
  <c r="M29" s="1"/>
  <c r="N29" s="1"/>
  <c r="E29"/>
  <c r="D29"/>
  <c r="J28"/>
  <c r="I28"/>
  <c r="M28" s="1"/>
  <c r="N28" s="1"/>
  <c r="E28"/>
  <c r="D28"/>
  <c r="L27"/>
  <c r="K27"/>
  <c r="M27" s="1"/>
  <c r="N27" s="1"/>
  <c r="E27"/>
  <c r="D27"/>
  <c r="K26"/>
  <c r="J26"/>
  <c r="M26" s="1"/>
  <c r="I26"/>
  <c r="E26"/>
  <c r="L25"/>
  <c r="K25"/>
  <c r="J25"/>
  <c r="I25"/>
  <c r="M25" s="1"/>
  <c r="N25" s="1"/>
  <c r="E25"/>
  <c r="L24"/>
  <c r="L31" s="1"/>
  <c r="K24"/>
  <c r="E24"/>
  <c r="D24"/>
  <c r="K23"/>
  <c r="K31" s="1"/>
  <c r="J23"/>
  <c r="I23"/>
  <c r="I31" s="1"/>
  <c r="H23"/>
  <c r="G23"/>
  <c r="G31" s="1"/>
  <c r="E23"/>
  <c r="D23"/>
  <c r="D31" s="1"/>
  <c r="I18"/>
  <c r="I17"/>
  <c r="I16"/>
  <c r="J15"/>
  <c r="F30" i="502"/>
  <c r="L29"/>
  <c r="K29"/>
  <c r="J29"/>
  <c r="I29"/>
  <c r="H29"/>
  <c r="M29" s="1"/>
  <c r="N29" s="1"/>
  <c r="E29"/>
  <c r="L28"/>
  <c r="K28"/>
  <c r="I28"/>
  <c r="H28"/>
  <c r="E28"/>
  <c r="D28"/>
  <c r="J27"/>
  <c r="I27"/>
  <c r="E27"/>
  <c r="D27"/>
  <c r="L26"/>
  <c r="K26"/>
  <c r="E26"/>
  <c r="D26"/>
  <c r="K25"/>
  <c r="J25"/>
  <c r="I25"/>
  <c r="M25" s="1"/>
  <c r="N25" s="1"/>
  <c r="E25"/>
  <c r="L24"/>
  <c r="K24"/>
  <c r="J24"/>
  <c r="I24"/>
  <c r="E24"/>
  <c r="L23"/>
  <c r="K23"/>
  <c r="M23" s="1"/>
  <c r="J23"/>
  <c r="E23"/>
  <c r="D23"/>
  <c r="K22"/>
  <c r="K30" s="1"/>
  <c r="J22"/>
  <c r="I22"/>
  <c r="I30" s="1"/>
  <c r="H22"/>
  <c r="G22"/>
  <c r="M22" s="1"/>
  <c r="E22"/>
  <c r="D22"/>
  <c r="D30" s="1"/>
  <c r="I17"/>
  <c r="I16"/>
  <c r="I15"/>
  <c r="J14"/>
  <c r="F31" i="501"/>
  <c r="L30"/>
  <c r="K30"/>
  <c r="J30"/>
  <c r="I30"/>
  <c r="H30"/>
  <c r="E30"/>
  <c r="L29"/>
  <c r="K29"/>
  <c r="I29"/>
  <c r="H29"/>
  <c r="E29"/>
  <c r="D29"/>
  <c r="J28"/>
  <c r="I28"/>
  <c r="E28"/>
  <c r="D28"/>
  <c r="L27"/>
  <c r="K27"/>
  <c r="E27"/>
  <c r="D27"/>
  <c r="K26"/>
  <c r="J26"/>
  <c r="I26"/>
  <c r="E26"/>
  <c r="L25"/>
  <c r="K25"/>
  <c r="J25"/>
  <c r="I25"/>
  <c r="E25"/>
  <c r="L24"/>
  <c r="K24"/>
  <c r="M24" s="1"/>
  <c r="N24" s="1"/>
  <c r="E24"/>
  <c r="D24"/>
  <c r="L23"/>
  <c r="K23"/>
  <c r="K31" s="1"/>
  <c r="J23"/>
  <c r="I23"/>
  <c r="I31" s="1"/>
  <c r="H23"/>
  <c r="G23"/>
  <c r="G31" s="1"/>
  <c r="E23"/>
  <c r="D23"/>
  <c r="D31" s="1"/>
  <c r="I18"/>
  <c r="I17"/>
  <c r="I16"/>
  <c r="J15"/>
  <c r="F31" i="500"/>
  <c r="L30"/>
  <c r="K30"/>
  <c r="J30"/>
  <c r="I30"/>
  <c r="H30"/>
  <c r="M30" s="1"/>
  <c r="N30" s="1"/>
  <c r="E30"/>
  <c r="L29"/>
  <c r="K29"/>
  <c r="I29"/>
  <c r="H29"/>
  <c r="E29"/>
  <c r="D29"/>
  <c r="J28"/>
  <c r="I28"/>
  <c r="E28"/>
  <c r="D28"/>
  <c r="L27"/>
  <c r="K27"/>
  <c r="E27"/>
  <c r="D27"/>
  <c r="K26"/>
  <c r="J26"/>
  <c r="I26"/>
  <c r="E26"/>
  <c r="L25"/>
  <c r="K25"/>
  <c r="J25"/>
  <c r="I25"/>
  <c r="E25"/>
  <c r="L24"/>
  <c r="K24"/>
  <c r="J24"/>
  <c r="E24"/>
  <c r="D24"/>
  <c r="K23"/>
  <c r="K31" s="1"/>
  <c r="J23"/>
  <c r="I23"/>
  <c r="I31" s="1"/>
  <c r="H23"/>
  <c r="G23"/>
  <c r="G31" s="1"/>
  <c r="E23"/>
  <c r="D23"/>
  <c r="D31" s="1"/>
  <c r="I18"/>
  <c r="I17"/>
  <c r="I16"/>
  <c r="J15"/>
  <c r="F31" i="499"/>
  <c r="L30"/>
  <c r="K30"/>
  <c r="J30"/>
  <c r="I30"/>
  <c r="H30"/>
  <c r="E30"/>
  <c r="L29"/>
  <c r="K29"/>
  <c r="I29"/>
  <c r="H29"/>
  <c r="E29"/>
  <c r="D29"/>
  <c r="J28"/>
  <c r="I28"/>
  <c r="E28"/>
  <c r="D28"/>
  <c r="L27"/>
  <c r="K27"/>
  <c r="E27"/>
  <c r="D27"/>
  <c r="K26"/>
  <c r="J26"/>
  <c r="I26"/>
  <c r="E26"/>
  <c r="L25"/>
  <c r="K25"/>
  <c r="J25"/>
  <c r="I25"/>
  <c r="E25"/>
  <c r="L24"/>
  <c r="K24"/>
  <c r="J24"/>
  <c r="E24"/>
  <c r="D24"/>
  <c r="L23"/>
  <c r="L31" s="1"/>
  <c r="K23"/>
  <c r="J23"/>
  <c r="J31" s="1"/>
  <c r="I23"/>
  <c r="H23"/>
  <c r="H31" s="1"/>
  <c r="G23"/>
  <c r="E23"/>
  <c r="E31" s="1"/>
  <c r="D23"/>
  <c r="D31" s="1"/>
  <c r="I18"/>
  <c r="I17"/>
  <c r="I16"/>
  <c r="J15"/>
  <c r="F30" i="498"/>
  <c r="L29"/>
  <c r="K29"/>
  <c r="J29"/>
  <c r="I29"/>
  <c r="H29"/>
  <c r="E29"/>
  <c r="L28"/>
  <c r="K28"/>
  <c r="I28"/>
  <c r="H28"/>
  <c r="M28" s="1"/>
  <c r="N28" s="1"/>
  <c r="E28"/>
  <c r="D28"/>
  <c r="J27"/>
  <c r="I27"/>
  <c r="M27" s="1"/>
  <c r="N27" s="1"/>
  <c r="E27"/>
  <c r="D27"/>
  <c r="L26"/>
  <c r="K26"/>
  <c r="M26" s="1"/>
  <c r="N26" s="1"/>
  <c r="E26"/>
  <c r="D26"/>
  <c r="K25"/>
  <c r="J25"/>
  <c r="M25" s="1"/>
  <c r="I25"/>
  <c r="E25"/>
  <c r="L24"/>
  <c r="K24"/>
  <c r="J24"/>
  <c r="I24"/>
  <c r="M24" s="1"/>
  <c r="N24" s="1"/>
  <c r="E24"/>
  <c r="L23"/>
  <c r="L30" s="1"/>
  <c r="K23"/>
  <c r="J23"/>
  <c r="M23" s="1"/>
  <c r="N23" s="1"/>
  <c r="E23"/>
  <c r="D23"/>
  <c r="K22"/>
  <c r="J22"/>
  <c r="J30" s="1"/>
  <c r="I22"/>
  <c r="H22"/>
  <c r="H30" s="1"/>
  <c r="G22"/>
  <c r="G30" s="1"/>
  <c r="E22"/>
  <c r="E30" s="1"/>
  <c r="D22"/>
  <c r="I17"/>
  <c r="I16"/>
  <c r="I15"/>
  <c r="J14"/>
  <c r="F31" i="497"/>
  <c r="L30"/>
  <c r="K30"/>
  <c r="J30"/>
  <c r="I30"/>
  <c r="H30"/>
  <c r="E30"/>
  <c r="L29"/>
  <c r="K29"/>
  <c r="H29"/>
  <c r="E29"/>
  <c r="D29"/>
  <c r="J28"/>
  <c r="I28"/>
  <c r="E28"/>
  <c r="D28"/>
  <c r="L27"/>
  <c r="K27"/>
  <c r="E27"/>
  <c r="D27"/>
  <c r="K26"/>
  <c r="J26"/>
  <c r="I26"/>
  <c r="E26"/>
  <c r="K25"/>
  <c r="J25"/>
  <c r="I25"/>
  <c r="E25"/>
  <c r="L24"/>
  <c r="K24"/>
  <c r="J24"/>
  <c r="E24"/>
  <c r="D24"/>
  <c r="L23"/>
  <c r="K23"/>
  <c r="K31" s="1"/>
  <c r="J23"/>
  <c r="I23"/>
  <c r="I31" s="1"/>
  <c r="H23"/>
  <c r="H31" s="1"/>
  <c r="G23"/>
  <c r="G31" s="1"/>
  <c r="E23"/>
  <c r="D23"/>
  <c r="D31" s="1"/>
  <c r="I18"/>
  <c r="I17"/>
  <c r="I16"/>
  <c r="J15"/>
  <c r="G31" i="496"/>
  <c r="F31"/>
  <c r="L30"/>
  <c r="K30"/>
  <c r="J30"/>
  <c r="I30"/>
  <c r="H30"/>
  <c r="E30"/>
  <c r="B30"/>
  <c r="L29"/>
  <c r="K29"/>
  <c r="I29"/>
  <c r="H29"/>
  <c r="E29"/>
  <c r="D29"/>
  <c r="J28"/>
  <c r="I28"/>
  <c r="E28"/>
  <c r="D28"/>
  <c r="L27"/>
  <c r="K27"/>
  <c r="E27"/>
  <c r="D27"/>
  <c r="K26"/>
  <c r="J26"/>
  <c r="I26"/>
  <c r="E26"/>
  <c r="L25"/>
  <c r="K25"/>
  <c r="J25"/>
  <c r="I25"/>
  <c r="E25"/>
  <c r="L24"/>
  <c r="K24"/>
  <c r="M24" s="1"/>
  <c r="N24" s="1"/>
  <c r="E24"/>
  <c r="D24"/>
  <c r="L23"/>
  <c r="K23"/>
  <c r="K31" s="1"/>
  <c r="J23"/>
  <c r="I23"/>
  <c r="I31" s="1"/>
  <c r="H23"/>
  <c r="H31" s="1"/>
  <c r="E23"/>
  <c r="E31" s="1"/>
  <c r="D23"/>
  <c r="C18"/>
  <c r="I18" s="1"/>
  <c r="C17"/>
  <c r="I17" s="1"/>
  <c r="C16"/>
  <c r="I16" s="1"/>
  <c r="J15"/>
  <c r="F31" i="495"/>
  <c r="L30"/>
  <c r="K30"/>
  <c r="J30"/>
  <c r="I30"/>
  <c r="H30"/>
  <c r="E30"/>
  <c r="L29"/>
  <c r="K29"/>
  <c r="I29"/>
  <c r="H29"/>
  <c r="M29" s="1"/>
  <c r="N29" s="1"/>
  <c r="E29"/>
  <c r="D29"/>
  <c r="J28"/>
  <c r="I28"/>
  <c r="M28" s="1"/>
  <c r="N28" s="1"/>
  <c r="E28"/>
  <c r="D28"/>
  <c r="L27"/>
  <c r="K27"/>
  <c r="M27" s="1"/>
  <c r="N27" s="1"/>
  <c r="E27"/>
  <c r="D27"/>
  <c r="K26"/>
  <c r="J26"/>
  <c r="M26" s="1"/>
  <c r="I26"/>
  <c r="E26"/>
  <c r="L25"/>
  <c r="K25"/>
  <c r="J25"/>
  <c r="I25"/>
  <c r="M25" s="1"/>
  <c r="N25" s="1"/>
  <c r="E25"/>
  <c r="L24"/>
  <c r="L31" s="1"/>
  <c r="K24"/>
  <c r="J24"/>
  <c r="M24" s="1"/>
  <c r="N24" s="1"/>
  <c r="E24"/>
  <c r="D24"/>
  <c r="K23"/>
  <c r="J23"/>
  <c r="J31" s="1"/>
  <c r="I23"/>
  <c r="H23"/>
  <c r="H31" s="1"/>
  <c r="G23"/>
  <c r="G31" s="1"/>
  <c r="E23"/>
  <c r="E31" s="1"/>
  <c r="D23"/>
  <c r="I18"/>
  <c r="I17"/>
  <c r="I16"/>
  <c r="J15"/>
  <c r="Q32" i="492"/>
  <c r="P32"/>
  <c r="O32"/>
  <c r="N32"/>
  <c r="M32"/>
  <c r="L32"/>
  <c r="J32"/>
  <c r="I32"/>
  <c r="P31"/>
  <c r="M31"/>
  <c r="L31"/>
  <c r="J31"/>
  <c r="I31"/>
  <c r="O30"/>
  <c r="N30"/>
  <c r="M30"/>
  <c r="J30"/>
  <c r="I30"/>
  <c r="R29"/>
  <c r="P29"/>
  <c r="J29"/>
  <c r="I29"/>
  <c r="O28"/>
  <c r="N28"/>
  <c r="J28"/>
  <c r="I28"/>
  <c r="Q27"/>
  <c r="Q33" s="1"/>
  <c r="P27"/>
  <c r="O27"/>
  <c r="N27"/>
  <c r="J27"/>
  <c r="I27"/>
  <c r="R26"/>
  <c r="P25"/>
  <c r="O25"/>
  <c r="O33" s="1"/>
  <c r="N25"/>
  <c r="M25"/>
  <c r="M33" s="1"/>
  <c r="L25"/>
  <c r="J25"/>
  <c r="J33" s="1"/>
  <c r="I25"/>
  <c r="Q32" i="491"/>
  <c r="P32"/>
  <c r="O32"/>
  <c r="N32"/>
  <c r="M32"/>
  <c r="L32"/>
  <c r="J32"/>
  <c r="I32"/>
  <c r="P31"/>
  <c r="M31"/>
  <c r="L31"/>
  <c r="R31" s="1"/>
  <c r="S31" s="1"/>
  <c r="J31"/>
  <c r="I31"/>
  <c r="O30"/>
  <c r="N30"/>
  <c r="R30" s="1"/>
  <c r="M30"/>
  <c r="J30"/>
  <c r="I30"/>
  <c r="Q29"/>
  <c r="P29"/>
  <c r="J29"/>
  <c r="I29"/>
  <c r="P28"/>
  <c r="O28"/>
  <c r="N28"/>
  <c r="R28" s="1"/>
  <c r="S28" s="1"/>
  <c r="J28"/>
  <c r="I28"/>
  <c r="Q27"/>
  <c r="P27"/>
  <c r="O27"/>
  <c r="N27"/>
  <c r="R27" s="1"/>
  <c r="S27" s="1"/>
  <c r="J27"/>
  <c r="I27"/>
  <c r="Q26"/>
  <c r="P26"/>
  <c r="R26" s="1"/>
  <c r="O26"/>
  <c r="J26"/>
  <c r="I26"/>
  <c r="Q25"/>
  <c r="Q33" s="1"/>
  <c r="P25"/>
  <c r="O25"/>
  <c r="O33" s="1"/>
  <c r="N25"/>
  <c r="M25"/>
  <c r="M33" s="1"/>
  <c r="L25"/>
  <c r="J25"/>
  <c r="J33" s="1"/>
  <c r="I25"/>
  <c r="Q32" i="490"/>
  <c r="P32"/>
  <c r="O32"/>
  <c r="N32"/>
  <c r="M32"/>
  <c r="L32"/>
  <c r="J32"/>
  <c r="I32"/>
  <c r="Q31"/>
  <c r="Q33" s="1"/>
  <c r="P31"/>
  <c r="M31"/>
  <c r="R31" s="1"/>
  <c r="S31" s="1"/>
  <c r="J31"/>
  <c r="I31"/>
  <c r="O30"/>
  <c r="N30"/>
  <c r="R30" s="1"/>
  <c r="S30" s="1"/>
  <c r="J30"/>
  <c r="I30"/>
  <c r="Q29"/>
  <c r="P29"/>
  <c r="R29" s="1"/>
  <c r="S29" s="1"/>
  <c r="J29"/>
  <c r="I29"/>
  <c r="O28"/>
  <c r="N28"/>
  <c r="R28" s="1"/>
  <c r="S28" s="1"/>
  <c r="J28"/>
  <c r="I28"/>
  <c r="Q27"/>
  <c r="P27"/>
  <c r="O27"/>
  <c r="N27"/>
  <c r="R27" s="1"/>
  <c r="S27" s="1"/>
  <c r="J27"/>
  <c r="I27"/>
  <c r="P26"/>
  <c r="O26"/>
  <c r="R26" s="1"/>
  <c r="S26" s="1"/>
  <c r="J26"/>
  <c r="I26"/>
  <c r="P25"/>
  <c r="O25"/>
  <c r="O33" s="1"/>
  <c r="N25"/>
  <c r="M25"/>
  <c r="M33" s="1"/>
  <c r="L25"/>
  <c r="L33" s="1"/>
  <c r="J25"/>
  <c r="J33" s="1"/>
  <c r="I25"/>
  <c r="K33" i="489"/>
  <c r="Q32"/>
  <c r="P32"/>
  <c r="O32"/>
  <c r="N32"/>
  <c r="M32"/>
  <c r="L32"/>
  <c r="R32" s="1"/>
  <c r="S32" s="1"/>
  <c r="J32"/>
  <c r="I32"/>
  <c r="P31"/>
  <c r="M31"/>
  <c r="M33" s="1"/>
  <c r="J31"/>
  <c r="I31"/>
  <c r="O30"/>
  <c r="N30"/>
  <c r="R30" s="1"/>
  <c r="M30"/>
  <c r="J30"/>
  <c r="I30"/>
  <c r="Q29"/>
  <c r="Q33" s="1"/>
  <c r="P29"/>
  <c r="J29"/>
  <c r="I29"/>
  <c r="O28"/>
  <c r="R28" s="1"/>
  <c r="S28" s="1"/>
  <c r="J28"/>
  <c r="I28"/>
  <c r="Q27"/>
  <c r="P27"/>
  <c r="R27" s="1"/>
  <c r="N27"/>
  <c r="J27"/>
  <c r="I27"/>
  <c r="P26"/>
  <c r="O26"/>
  <c r="J26"/>
  <c r="I26"/>
  <c r="P25"/>
  <c r="P33" s="1"/>
  <c r="O25"/>
  <c r="N25"/>
  <c r="N33" s="1"/>
  <c r="M25"/>
  <c r="L25"/>
  <c r="L33" s="1"/>
  <c r="J25"/>
  <c r="I25"/>
  <c r="I33" s="1"/>
  <c r="Q32" i="488"/>
  <c r="P32"/>
  <c r="O32"/>
  <c r="N32"/>
  <c r="M32"/>
  <c r="L32"/>
  <c r="R32" s="1"/>
  <c r="S32" s="1"/>
  <c r="J32"/>
  <c r="I32"/>
  <c r="Q31"/>
  <c r="P31"/>
  <c r="M31"/>
  <c r="L31"/>
  <c r="R31" s="1"/>
  <c r="S31" s="1"/>
  <c r="J31"/>
  <c r="I31"/>
  <c r="O30"/>
  <c r="N30"/>
  <c r="R30" s="1"/>
  <c r="S30" s="1"/>
  <c r="J30"/>
  <c r="I30"/>
  <c r="P29"/>
  <c r="O29"/>
  <c r="R29" s="1"/>
  <c r="S29" s="1"/>
  <c r="J29"/>
  <c r="I29"/>
  <c r="O28"/>
  <c r="N28"/>
  <c r="R28" s="1"/>
  <c r="S28" s="1"/>
  <c r="J28"/>
  <c r="I28"/>
  <c r="Q27"/>
  <c r="Q33" s="1"/>
  <c r="P27"/>
  <c r="R27" s="1"/>
  <c r="N27"/>
  <c r="J27"/>
  <c r="I27"/>
  <c r="P26"/>
  <c r="O26"/>
  <c r="J26"/>
  <c r="I26"/>
  <c r="P25"/>
  <c r="P33" s="1"/>
  <c r="O25"/>
  <c r="N25"/>
  <c r="N33" s="1"/>
  <c r="M25"/>
  <c r="M33" s="1"/>
  <c r="L25"/>
  <c r="R25" s="1"/>
  <c r="J25"/>
  <c r="I25"/>
  <c r="I33" s="1"/>
  <c r="Q32" i="487"/>
  <c r="P32"/>
  <c r="O32"/>
  <c r="N32"/>
  <c r="M32"/>
  <c r="L32"/>
  <c r="R32" s="1"/>
  <c r="S32" s="1"/>
  <c r="J32"/>
  <c r="I32"/>
  <c r="P31"/>
  <c r="M31"/>
  <c r="R31" s="1"/>
  <c r="L31"/>
  <c r="J31"/>
  <c r="I31"/>
  <c r="O30"/>
  <c r="N30"/>
  <c r="J30"/>
  <c r="I30"/>
  <c r="Q29"/>
  <c r="P29"/>
  <c r="J29"/>
  <c r="I29"/>
  <c r="O28"/>
  <c r="R28" s="1"/>
  <c r="S28" s="1"/>
  <c r="J28"/>
  <c r="I28"/>
  <c r="Q27"/>
  <c r="P27"/>
  <c r="R27" s="1"/>
  <c r="O27"/>
  <c r="J27"/>
  <c r="I27"/>
  <c r="P26"/>
  <c r="O26"/>
  <c r="J26"/>
  <c r="I26"/>
  <c r="P25"/>
  <c r="P33" s="1"/>
  <c r="O25"/>
  <c r="N25"/>
  <c r="N33" s="1"/>
  <c r="M25"/>
  <c r="L25"/>
  <c r="R25" s="1"/>
  <c r="J25"/>
  <c r="I25"/>
  <c r="I33" s="1"/>
  <c r="Q32" i="486"/>
  <c r="P32"/>
  <c r="O32"/>
  <c r="N32"/>
  <c r="M32"/>
  <c r="L32"/>
  <c r="J32"/>
  <c r="I32"/>
  <c r="P31"/>
  <c r="M31"/>
  <c r="R31" s="1"/>
  <c r="L31"/>
  <c r="J31"/>
  <c r="I31"/>
  <c r="O30"/>
  <c r="N30"/>
  <c r="M30"/>
  <c r="R30" s="1"/>
  <c r="S30" s="1"/>
  <c r="J30"/>
  <c r="I30"/>
  <c r="P29"/>
  <c r="O29"/>
  <c r="R29" s="1"/>
  <c r="S29" s="1"/>
  <c r="J29"/>
  <c r="I29"/>
  <c r="O28"/>
  <c r="R28" s="1"/>
  <c r="J28"/>
  <c r="I28"/>
  <c r="Q27"/>
  <c r="Q33" s="1"/>
  <c r="P27"/>
  <c r="O27"/>
  <c r="J27"/>
  <c r="I27"/>
  <c r="P26"/>
  <c r="O26"/>
  <c r="J26"/>
  <c r="I26"/>
  <c r="P25"/>
  <c r="O25"/>
  <c r="N25"/>
  <c r="M25"/>
  <c r="L25"/>
  <c r="J25"/>
  <c r="I25"/>
  <c r="K33" i="485"/>
  <c r="Q32"/>
  <c r="P32"/>
  <c r="O32"/>
  <c r="N32"/>
  <c r="M32"/>
  <c r="L32"/>
  <c r="J32"/>
  <c r="I32"/>
  <c r="Q31"/>
  <c r="P31"/>
  <c r="M31"/>
  <c r="L31"/>
  <c r="J31"/>
  <c r="I31"/>
  <c r="O30"/>
  <c r="N30"/>
  <c r="M30"/>
  <c r="J30"/>
  <c r="I30"/>
  <c r="P29"/>
  <c r="O29"/>
  <c r="J29"/>
  <c r="I29"/>
  <c r="O28"/>
  <c r="R28" s="1"/>
  <c r="J28"/>
  <c r="I28"/>
  <c r="Q27"/>
  <c r="P27"/>
  <c r="O27"/>
  <c r="J27"/>
  <c r="I27"/>
  <c r="P26"/>
  <c r="O26"/>
  <c r="J26"/>
  <c r="I26"/>
  <c r="Q25"/>
  <c r="P25"/>
  <c r="O25"/>
  <c r="N25"/>
  <c r="M25"/>
  <c r="L25"/>
  <c r="J25"/>
  <c r="I25"/>
  <c r="K33" i="484"/>
  <c r="Q32"/>
  <c r="P32"/>
  <c r="O32"/>
  <c r="N32"/>
  <c r="M32"/>
  <c r="L32"/>
  <c r="J32"/>
  <c r="I32"/>
  <c r="P31"/>
  <c r="M31"/>
  <c r="L31"/>
  <c r="J31"/>
  <c r="I31"/>
  <c r="Q30"/>
  <c r="O30"/>
  <c r="N30"/>
  <c r="J30"/>
  <c r="I30"/>
  <c r="P29"/>
  <c r="R29" s="1"/>
  <c r="J29"/>
  <c r="I29"/>
  <c r="O28"/>
  <c r="N28"/>
  <c r="J28"/>
  <c r="I28"/>
  <c r="Q27"/>
  <c r="P27"/>
  <c r="O27"/>
  <c r="N27"/>
  <c r="J27"/>
  <c r="I27"/>
  <c r="P26"/>
  <c r="O26"/>
  <c r="J26"/>
  <c r="I26"/>
  <c r="P25"/>
  <c r="O25"/>
  <c r="N25"/>
  <c r="M25"/>
  <c r="L25"/>
  <c r="J25"/>
  <c r="I25"/>
  <c r="K33" i="483"/>
  <c r="Q32"/>
  <c r="P32"/>
  <c r="O32"/>
  <c r="N32"/>
  <c r="M32"/>
  <c r="L32"/>
  <c r="J32"/>
  <c r="I32"/>
  <c r="P31"/>
  <c r="M31"/>
  <c r="L31"/>
  <c r="J31"/>
  <c r="I31"/>
  <c r="O30"/>
  <c r="N30"/>
  <c r="J30"/>
  <c r="I30"/>
  <c r="P29"/>
  <c r="R29" s="1"/>
  <c r="J29"/>
  <c r="I29"/>
  <c r="O28"/>
  <c r="N28"/>
  <c r="J28"/>
  <c r="I28"/>
  <c r="Q27"/>
  <c r="P27"/>
  <c r="O27"/>
  <c r="N27"/>
  <c r="J27"/>
  <c r="I27"/>
  <c r="P25"/>
  <c r="O25"/>
  <c r="N25"/>
  <c r="M25"/>
  <c r="L25"/>
  <c r="J25"/>
  <c r="I25"/>
  <c r="L35" i="480"/>
  <c r="K35"/>
  <c r="J35"/>
  <c r="I35"/>
  <c r="H35"/>
  <c r="M34"/>
  <c r="N34" s="1"/>
  <c r="G33"/>
  <c r="F33"/>
  <c r="E33"/>
  <c r="D33"/>
  <c r="M32"/>
  <c r="D32"/>
  <c r="F31"/>
  <c r="M31" s="1"/>
  <c r="E31"/>
  <c r="D31"/>
  <c r="M30"/>
  <c r="E30"/>
  <c r="D30"/>
  <c r="F29"/>
  <c r="M29" s="1"/>
  <c r="E29"/>
  <c r="G28"/>
  <c r="F28"/>
  <c r="E28"/>
  <c r="M27"/>
  <c r="D27"/>
  <c r="G26"/>
  <c r="F26"/>
  <c r="E26"/>
  <c r="D26"/>
  <c r="M36" i="479"/>
  <c r="L36"/>
  <c r="K36"/>
  <c r="J36"/>
  <c r="I36"/>
  <c r="F36"/>
  <c r="N35"/>
  <c r="O35" s="1"/>
  <c r="H34"/>
  <c r="G34"/>
  <c r="E34"/>
  <c r="D34"/>
  <c r="N33"/>
  <c r="D33"/>
  <c r="G32"/>
  <c r="N32" s="1"/>
  <c r="E32"/>
  <c r="D32"/>
  <c r="H31"/>
  <c r="N31" s="1"/>
  <c r="E31"/>
  <c r="D31"/>
  <c r="G30"/>
  <c r="N30" s="1"/>
  <c r="E30"/>
  <c r="H29"/>
  <c r="G29"/>
  <c r="E29"/>
  <c r="N28"/>
  <c r="D28"/>
  <c r="H27"/>
  <c r="G27"/>
  <c r="E27"/>
  <c r="D27"/>
  <c r="M35" i="478"/>
  <c r="L35"/>
  <c r="K35"/>
  <c r="J35"/>
  <c r="I35"/>
  <c r="F35"/>
  <c r="B35"/>
  <c r="N34"/>
  <c r="O34" s="1"/>
  <c r="H33"/>
  <c r="G33"/>
  <c r="E33"/>
  <c r="D33"/>
  <c r="N32"/>
  <c r="D32"/>
  <c r="G31"/>
  <c r="N31" s="1"/>
  <c r="E31"/>
  <c r="D31"/>
  <c r="H30"/>
  <c r="N30" s="1"/>
  <c r="E30"/>
  <c r="D30"/>
  <c r="G29"/>
  <c r="N29" s="1"/>
  <c r="E29"/>
  <c r="H28"/>
  <c r="G28"/>
  <c r="E28"/>
  <c r="N27"/>
  <c r="D27"/>
  <c r="H26"/>
  <c r="G26"/>
  <c r="E26"/>
  <c r="D26"/>
  <c r="L35" i="477"/>
  <c r="K35"/>
  <c r="J35"/>
  <c r="I35"/>
  <c r="H35"/>
  <c r="B35"/>
  <c r="M34"/>
  <c r="N34" s="1"/>
  <c r="G33"/>
  <c r="F33"/>
  <c r="E33"/>
  <c r="D33"/>
  <c r="M32"/>
  <c r="D32"/>
  <c r="F31"/>
  <c r="M31" s="1"/>
  <c r="E31"/>
  <c r="D31"/>
  <c r="G30"/>
  <c r="M30" s="1"/>
  <c r="E30"/>
  <c r="D30"/>
  <c r="F29"/>
  <c r="M29" s="1"/>
  <c r="E29"/>
  <c r="G28"/>
  <c r="F28"/>
  <c r="E28"/>
  <c r="M27"/>
  <c r="D27"/>
  <c r="G26"/>
  <c r="F26"/>
  <c r="E26"/>
  <c r="D26"/>
  <c r="L35" i="476"/>
  <c r="K35"/>
  <c r="J35"/>
  <c r="I35"/>
  <c r="H35"/>
  <c r="M34"/>
  <c r="N34" s="1"/>
  <c r="G33"/>
  <c r="F33"/>
  <c r="E33"/>
  <c r="D33"/>
  <c r="M32"/>
  <c r="D32"/>
  <c r="F31"/>
  <c r="M31" s="1"/>
  <c r="E31"/>
  <c r="D31"/>
  <c r="G30"/>
  <c r="M30" s="1"/>
  <c r="E30"/>
  <c r="D30"/>
  <c r="F29"/>
  <c r="M29" s="1"/>
  <c r="E29"/>
  <c r="G28"/>
  <c r="F28"/>
  <c r="E28"/>
  <c r="M27"/>
  <c r="D27"/>
  <c r="G26"/>
  <c r="F26"/>
  <c r="E26"/>
  <c r="D26"/>
  <c r="M35" i="475"/>
  <c r="L35"/>
  <c r="K35"/>
  <c r="J35"/>
  <c r="I35"/>
  <c r="F35"/>
  <c r="N34"/>
  <c r="O34" s="1"/>
  <c r="H33"/>
  <c r="G33"/>
  <c r="E33"/>
  <c r="D33"/>
  <c r="N32"/>
  <c r="D32"/>
  <c r="G31"/>
  <c r="N31" s="1"/>
  <c r="E31"/>
  <c r="D31"/>
  <c r="H30"/>
  <c r="N30" s="1"/>
  <c r="E30"/>
  <c r="D30"/>
  <c r="G29"/>
  <c r="N29" s="1"/>
  <c r="E29"/>
  <c r="H28"/>
  <c r="G28"/>
  <c r="E28"/>
  <c r="N27"/>
  <c r="D27"/>
  <c r="H26"/>
  <c r="G26"/>
  <c r="E26"/>
  <c r="D26"/>
  <c r="L35" i="474"/>
  <c r="K35"/>
  <c r="J35"/>
  <c r="I35"/>
  <c r="H35"/>
  <c r="M34"/>
  <c r="N34" s="1"/>
  <c r="G33"/>
  <c r="F33"/>
  <c r="E33"/>
  <c r="D33"/>
  <c r="M32"/>
  <c r="D32"/>
  <c r="F31"/>
  <c r="M31" s="1"/>
  <c r="E31"/>
  <c r="D31"/>
  <c r="G30"/>
  <c r="M30" s="1"/>
  <c r="E30"/>
  <c r="D30"/>
  <c r="F29"/>
  <c r="M29" s="1"/>
  <c r="E29"/>
  <c r="G28"/>
  <c r="F28"/>
  <c r="E28"/>
  <c r="M27"/>
  <c r="D27"/>
  <c r="G26"/>
  <c r="F26"/>
  <c r="E26"/>
  <c r="D26"/>
  <c r="M35" i="473"/>
  <c r="L35"/>
  <c r="K35"/>
  <c r="J35"/>
  <c r="I35"/>
  <c r="F35"/>
  <c r="N34"/>
  <c r="O34" s="1"/>
  <c r="H33"/>
  <c r="G33"/>
  <c r="E33"/>
  <c r="D33"/>
  <c r="N32"/>
  <c r="D32"/>
  <c r="G31"/>
  <c r="N31" s="1"/>
  <c r="E31"/>
  <c r="D31"/>
  <c r="H30"/>
  <c r="N30" s="1"/>
  <c r="E30"/>
  <c r="D30"/>
  <c r="G29"/>
  <c r="N29" s="1"/>
  <c r="E29"/>
  <c r="H28"/>
  <c r="G28"/>
  <c r="E28"/>
  <c r="N27"/>
  <c r="D27"/>
  <c r="H26"/>
  <c r="G26"/>
  <c r="E26"/>
  <c r="D26"/>
  <c r="M35" i="472"/>
  <c r="L35"/>
  <c r="K35"/>
  <c r="J35"/>
  <c r="I35"/>
  <c r="F35"/>
  <c r="H33"/>
  <c r="G33"/>
  <c r="E33"/>
  <c r="N32"/>
  <c r="D32"/>
  <c r="G31"/>
  <c r="N31" s="1"/>
  <c r="E31"/>
  <c r="D31"/>
  <c r="H30"/>
  <c r="N30" s="1"/>
  <c r="E30"/>
  <c r="D30"/>
  <c r="G29"/>
  <c r="N29" s="1"/>
  <c r="E29"/>
  <c r="H28"/>
  <c r="G28"/>
  <c r="E28"/>
  <c r="N27"/>
  <c r="D27"/>
  <c r="H26"/>
  <c r="G26"/>
  <c r="E26"/>
  <c r="D26"/>
  <c r="M35" i="471"/>
  <c r="L35"/>
  <c r="K35"/>
  <c r="J35"/>
  <c r="I35"/>
  <c r="F35"/>
  <c r="H33"/>
  <c r="G33"/>
  <c r="E33"/>
  <c r="N32"/>
  <c r="D32"/>
  <c r="G31"/>
  <c r="N31" s="1"/>
  <c r="O31" s="1"/>
  <c r="E31"/>
  <c r="D31"/>
  <c r="H30"/>
  <c r="N30" s="1"/>
  <c r="E30"/>
  <c r="D30"/>
  <c r="G29"/>
  <c r="N29" s="1"/>
  <c r="O29" s="1"/>
  <c r="E29"/>
  <c r="H28"/>
  <c r="G28"/>
  <c r="E28"/>
  <c r="N27"/>
  <c r="D27"/>
  <c r="H26"/>
  <c r="G26"/>
  <c r="G35" s="1"/>
  <c r="E26"/>
  <c r="D26"/>
  <c r="D35" s="1"/>
  <c r="M32" i="469"/>
  <c r="L32"/>
  <c r="K32"/>
  <c r="J32"/>
  <c r="G32"/>
  <c r="N31"/>
  <c r="O31" s="1"/>
  <c r="E31"/>
  <c r="I30"/>
  <c r="H30"/>
  <c r="F30"/>
  <c r="E30"/>
  <c r="C30"/>
  <c r="N29"/>
  <c r="E29"/>
  <c r="H28"/>
  <c r="N28" s="1"/>
  <c r="F28"/>
  <c r="E28"/>
  <c r="I27"/>
  <c r="N27" s="1"/>
  <c r="F27"/>
  <c r="E27"/>
  <c r="H26"/>
  <c r="N26" s="1"/>
  <c r="F26"/>
  <c r="I25"/>
  <c r="H25"/>
  <c r="F25"/>
  <c r="N24"/>
  <c r="E24"/>
  <c r="I23"/>
  <c r="H23"/>
  <c r="F23"/>
  <c r="E23"/>
  <c r="I18"/>
  <c r="I17"/>
  <c r="I16"/>
  <c r="M32" i="468"/>
  <c r="L32"/>
  <c r="K32"/>
  <c r="J32"/>
  <c r="G32"/>
  <c r="N31"/>
  <c r="O31" s="1"/>
  <c r="E31"/>
  <c r="I30"/>
  <c r="H30"/>
  <c r="F30"/>
  <c r="E30"/>
  <c r="N29"/>
  <c r="E29"/>
  <c r="H28"/>
  <c r="N28" s="1"/>
  <c r="F28"/>
  <c r="E28"/>
  <c r="N27"/>
  <c r="F27"/>
  <c r="E27"/>
  <c r="H26"/>
  <c r="N26" s="1"/>
  <c r="F26"/>
  <c r="I25"/>
  <c r="H25"/>
  <c r="F25"/>
  <c r="E25"/>
  <c r="N24"/>
  <c r="E24"/>
  <c r="I23"/>
  <c r="H23"/>
  <c r="F23"/>
  <c r="E23"/>
  <c r="I18"/>
  <c r="I17"/>
  <c r="I16"/>
  <c r="M32" i="467"/>
  <c r="L32"/>
  <c r="K32"/>
  <c r="J32"/>
  <c r="G32"/>
  <c r="N31"/>
  <c r="O31" s="1"/>
  <c r="E31"/>
  <c r="I30"/>
  <c r="H30"/>
  <c r="F30"/>
  <c r="E30"/>
  <c r="N29"/>
  <c r="E29"/>
  <c r="H28"/>
  <c r="N28" s="1"/>
  <c r="F28"/>
  <c r="E28"/>
  <c r="I27"/>
  <c r="N27" s="1"/>
  <c r="F27"/>
  <c r="E27"/>
  <c r="H26"/>
  <c r="N26" s="1"/>
  <c r="F26"/>
  <c r="I25"/>
  <c r="H25"/>
  <c r="F25"/>
  <c r="N24"/>
  <c r="E24"/>
  <c r="I23"/>
  <c r="H23"/>
  <c r="F23"/>
  <c r="E23"/>
  <c r="I18"/>
  <c r="I17"/>
  <c r="I16"/>
  <c r="N32" i="466"/>
  <c r="M32"/>
  <c r="L32"/>
  <c r="K32"/>
  <c r="H32"/>
  <c r="G32"/>
  <c r="I31"/>
  <c r="O31" s="1"/>
  <c r="F31"/>
  <c r="E31"/>
  <c r="J30"/>
  <c r="I30"/>
  <c r="F30"/>
  <c r="E30"/>
  <c r="O29"/>
  <c r="E29"/>
  <c r="I28"/>
  <c r="O28" s="1"/>
  <c r="F28"/>
  <c r="E28"/>
  <c r="J27"/>
  <c r="O27" s="1"/>
  <c r="F27"/>
  <c r="E27"/>
  <c r="I26"/>
  <c r="O26" s="1"/>
  <c r="F26"/>
  <c r="E26"/>
  <c r="J25"/>
  <c r="I25"/>
  <c r="F25"/>
  <c r="E25"/>
  <c r="O24"/>
  <c r="E24"/>
  <c r="J23"/>
  <c r="I23"/>
  <c r="F23"/>
  <c r="E23"/>
  <c r="J18"/>
  <c r="J17"/>
  <c r="J16"/>
  <c r="M32" i="465"/>
  <c r="L32"/>
  <c r="K32"/>
  <c r="J32"/>
  <c r="G32"/>
  <c r="H31"/>
  <c r="N31" s="1"/>
  <c r="F31"/>
  <c r="E31"/>
  <c r="I30"/>
  <c r="H30"/>
  <c r="F30"/>
  <c r="E30"/>
  <c r="C30"/>
  <c r="N29"/>
  <c r="E29"/>
  <c r="H28"/>
  <c r="N28" s="1"/>
  <c r="F28"/>
  <c r="E28"/>
  <c r="I27"/>
  <c r="N27" s="1"/>
  <c r="F27"/>
  <c r="E27"/>
  <c r="H26"/>
  <c r="N26" s="1"/>
  <c r="F26"/>
  <c r="I25"/>
  <c r="H25"/>
  <c r="F25"/>
  <c r="N24"/>
  <c r="E24"/>
  <c r="I23"/>
  <c r="H23"/>
  <c r="F23"/>
  <c r="E23"/>
  <c r="I18"/>
  <c r="I17"/>
  <c r="C16"/>
  <c r="I16" s="1"/>
  <c r="G32" i="464"/>
  <c r="H31"/>
  <c r="N31" s="1"/>
  <c r="F31"/>
  <c r="E31"/>
  <c r="I30"/>
  <c r="H30"/>
  <c r="F30"/>
  <c r="E30"/>
  <c r="C30"/>
  <c r="N29"/>
  <c r="E29"/>
  <c r="H28"/>
  <c r="N28" s="1"/>
  <c r="F28"/>
  <c r="E28"/>
  <c r="I27"/>
  <c r="N27" s="1"/>
  <c r="F27"/>
  <c r="E27"/>
  <c r="H26"/>
  <c r="N26" s="1"/>
  <c r="F26"/>
  <c r="I25"/>
  <c r="H25"/>
  <c r="F25"/>
  <c r="N24"/>
  <c r="E24"/>
  <c r="I23"/>
  <c r="H23"/>
  <c r="F23"/>
  <c r="E23"/>
  <c r="I17"/>
  <c r="I16"/>
  <c r="G32" i="463"/>
  <c r="H31"/>
  <c r="N31" s="1"/>
  <c r="F31"/>
  <c r="E31"/>
  <c r="I30"/>
  <c r="H30"/>
  <c r="F30"/>
  <c r="E30"/>
  <c r="C30"/>
  <c r="N29"/>
  <c r="E29"/>
  <c r="H28"/>
  <c r="N28" s="1"/>
  <c r="F28"/>
  <c r="E28"/>
  <c r="I27"/>
  <c r="N27" s="1"/>
  <c r="F27"/>
  <c r="E27"/>
  <c r="H26"/>
  <c r="N26" s="1"/>
  <c r="F26"/>
  <c r="I25"/>
  <c r="H25"/>
  <c r="F25"/>
  <c r="N24"/>
  <c r="E24"/>
  <c r="I23"/>
  <c r="H23"/>
  <c r="F23"/>
  <c r="E23"/>
  <c r="I18"/>
  <c r="I17"/>
  <c r="I16"/>
  <c r="G32" i="462"/>
  <c r="H31"/>
  <c r="N31" s="1"/>
  <c r="F31"/>
  <c r="E31"/>
  <c r="I30"/>
  <c r="H30"/>
  <c r="F30"/>
  <c r="E30"/>
  <c r="C30"/>
  <c r="N29"/>
  <c r="E29"/>
  <c r="H28"/>
  <c r="N28" s="1"/>
  <c r="F28"/>
  <c r="E28"/>
  <c r="I27"/>
  <c r="N27" s="1"/>
  <c r="F27"/>
  <c r="E27"/>
  <c r="H26"/>
  <c r="N26" s="1"/>
  <c r="F26"/>
  <c r="I25"/>
  <c r="H25"/>
  <c r="F25"/>
  <c r="N24"/>
  <c r="E24"/>
  <c r="I23"/>
  <c r="H23"/>
  <c r="F23"/>
  <c r="E23"/>
  <c r="I18"/>
  <c r="I17"/>
  <c r="I16"/>
  <c r="G32" i="461"/>
  <c r="H31"/>
  <c r="N31" s="1"/>
  <c r="F31"/>
  <c r="E31"/>
  <c r="I30"/>
  <c r="H30"/>
  <c r="F30"/>
  <c r="E30"/>
  <c r="C30"/>
  <c r="N29"/>
  <c r="E29"/>
  <c r="H28"/>
  <c r="N28" s="1"/>
  <c r="F28"/>
  <c r="E28"/>
  <c r="I27"/>
  <c r="N27" s="1"/>
  <c r="F27"/>
  <c r="E27"/>
  <c r="H26"/>
  <c r="N26" s="1"/>
  <c r="F26"/>
  <c r="I25"/>
  <c r="H25"/>
  <c r="F25"/>
  <c r="N24"/>
  <c r="E24"/>
  <c r="I23"/>
  <c r="H23"/>
  <c r="F23"/>
  <c r="E23"/>
  <c r="I18"/>
  <c r="I17"/>
  <c r="C16"/>
  <c r="I16" s="1"/>
  <c r="M32" i="460"/>
  <c r="L32"/>
  <c r="K32"/>
  <c r="J32"/>
  <c r="G32"/>
  <c r="H31"/>
  <c r="N31" s="1"/>
  <c r="F31"/>
  <c r="E31"/>
  <c r="I30"/>
  <c r="H30"/>
  <c r="F30"/>
  <c r="E30"/>
  <c r="N29"/>
  <c r="E29"/>
  <c r="H28"/>
  <c r="N28" s="1"/>
  <c r="F28"/>
  <c r="E28"/>
  <c r="I27"/>
  <c r="N27" s="1"/>
  <c r="O27" s="1"/>
  <c r="F27"/>
  <c r="E27"/>
  <c r="H26"/>
  <c r="N26" s="1"/>
  <c r="F26"/>
  <c r="I25"/>
  <c r="H25"/>
  <c r="N25" s="1"/>
  <c r="O25" s="1"/>
  <c r="F25"/>
  <c r="N24"/>
  <c r="E24"/>
  <c r="I23"/>
  <c r="I32" s="1"/>
  <c r="H23"/>
  <c r="F23"/>
  <c r="F32" s="1"/>
  <c r="E23"/>
  <c r="I18"/>
  <c r="I17"/>
  <c r="I16"/>
  <c r="K34" i="457"/>
  <c r="J34"/>
  <c r="I34"/>
  <c r="H34"/>
  <c r="G34"/>
  <c r="F34"/>
  <c r="M34" s="1"/>
  <c r="N34" s="1"/>
  <c r="E34"/>
  <c r="D34"/>
  <c r="K33"/>
  <c r="J33"/>
  <c r="H33"/>
  <c r="G33"/>
  <c r="M33" s="1"/>
  <c r="N33" s="1"/>
  <c r="E33"/>
  <c r="D33"/>
  <c r="I32"/>
  <c r="H32"/>
  <c r="M32" s="1"/>
  <c r="G32"/>
  <c r="E32"/>
  <c r="D32"/>
  <c r="K31"/>
  <c r="J31"/>
  <c r="E31"/>
  <c r="D31"/>
  <c r="K30"/>
  <c r="J30"/>
  <c r="I30"/>
  <c r="H30"/>
  <c r="E30"/>
  <c r="D30"/>
  <c r="K29"/>
  <c r="J29"/>
  <c r="I29"/>
  <c r="H29"/>
  <c r="E29"/>
  <c r="D29"/>
  <c r="K28"/>
  <c r="J28"/>
  <c r="I28"/>
  <c r="E28"/>
  <c r="D28"/>
  <c r="K27"/>
  <c r="J27"/>
  <c r="J35" s="1"/>
  <c r="I27"/>
  <c r="H27"/>
  <c r="H35" s="1"/>
  <c r="G27"/>
  <c r="F27"/>
  <c r="F35" s="1"/>
  <c r="E27"/>
  <c r="D27"/>
  <c r="D35" s="1"/>
  <c r="I22"/>
  <c r="I21"/>
  <c r="K34" i="456"/>
  <c r="J34"/>
  <c r="I34"/>
  <c r="H34"/>
  <c r="G34"/>
  <c r="F34"/>
  <c r="M34" s="1"/>
  <c r="N34" s="1"/>
  <c r="E34"/>
  <c r="D34"/>
  <c r="K33"/>
  <c r="J33"/>
  <c r="H33"/>
  <c r="E33"/>
  <c r="D33"/>
  <c r="I32"/>
  <c r="H32"/>
  <c r="E32"/>
  <c r="D32"/>
  <c r="M31"/>
  <c r="J31"/>
  <c r="E31"/>
  <c r="D31"/>
  <c r="I30"/>
  <c r="H30"/>
  <c r="E30"/>
  <c r="D30"/>
  <c r="K29"/>
  <c r="J29"/>
  <c r="I29"/>
  <c r="H29"/>
  <c r="E29"/>
  <c r="D29"/>
  <c r="K27"/>
  <c r="K35" s="1"/>
  <c r="J27"/>
  <c r="I27"/>
  <c r="I35" s="1"/>
  <c r="H27"/>
  <c r="G27"/>
  <c r="G35" s="1"/>
  <c r="F27"/>
  <c r="E27"/>
  <c r="E35" s="1"/>
  <c r="D27"/>
  <c r="I22"/>
  <c r="I21"/>
  <c r="B35" i="455"/>
  <c r="K34"/>
  <c r="J34"/>
  <c r="I34"/>
  <c r="H34"/>
  <c r="G34"/>
  <c r="F34"/>
  <c r="M34" s="1"/>
  <c r="N34" s="1"/>
  <c r="E34"/>
  <c r="D34"/>
  <c r="K33"/>
  <c r="J33"/>
  <c r="I33"/>
  <c r="G33"/>
  <c r="M33" s="1"/>
  <c r="N33" s="1"/>
  <c r="E33"/>
  <c r="D33"/>
  <c r="I32"/>
  <c r="H32"/>
  <c r="M32" s="1"/>
  <c r="N32" s="1"/>
  <c r="E32"/>
  <c r="D32"/>
  <c r="K31"/>
  <c r="J31"/>
  <c r="M31" s="1"/>
  <c r="N31" s="1"/>
  <c r="E31"/>
  <c r="D31"/>
  <c r="I30"/>
  <c r="H30"/>
  <c r="M30" s="1"/>
  <c r="N30" s="1"/>
  <c r="E30"/>
  <c r="D30"/>
  <c r="K29"/>
  <c r="J29"/>
  <c r="I29"/>
  <c r="H29"/>
  <c r="M29" s="1"/>
  <c r="N29" s="1"/>
  <c r="E29"/>
  <c r="D29"/>
  <c r="D28"/>
  <c r="K27"/>
  <c r="K35" s="1"/>
  <c r="J27"/>
  <c r="I27"/>
  <c r="I35" s="1"/>
  <c r="H27"/>
  <c r="G27"/>
  <c r="G35" s="1"/>
  <c r="F27"/>
  <c r="E27"/>
  <c r="E35" s="1"/>
  <c r="D27"/>
  <c r="B35" i="454"/>
  <c r="K34"/>
  <c r="J34"/>
  <c r="I34"/>
  <c r="H34"/>
  <c r="G34"/>
  <c r="F34"/>
  <c r="M34" s="1"/>
  <c r="N34" s="1"/>
  <c r="E34"/>
  <c r="D34"/>
  <c r="K33"/>
  <c r="J33"/>
  <c r="I33"/>
  <c r="G33"/>
  <c r="M33" s="1"/>
  <c r="N33" s="1"/>
  <c r="E33"/>
  <c r="D33"/>
  <c r="I32"/>
  <c r="H32"/>
  <c r="M32" s="1"/>
  <c r="N32" s="1"/>
  <c r="E32"/>
  <c r="D32"/>
  <c r="K31"/>
  <c r="J31"/>
  <c r="M31" s="1"/>
  <c r="N31" s="1"/>
  <c r="E31"/>
  <c r="D31"/>
  <c r="J30"/>
  <c r="I30"/>
  <c r="M30" s="1"/>
  <c r="H30"/>
  <c r="E30"/>
  <c r="D30"/>
  <c r="J29"/>
  <c r="I29"/>
  <c r="H29"/>
  <c r="M29" s="1"/>
  <c r="N29" s="1"/>
  <c r="E29"/>
  <c r="D29"/>
  <c r="K28"/>
  <c r="K35" s="1"/>
  <c r="J28"/>
  <c r="M28" s="1"/>
  <c r="I28"/>
  <c r="E28"/>
  <c r="D28"/>
  <c r="J27"/>
  <c r="J35" s="1"/>
  <c r="I27"/>
  <c r="H27"/>
  <c r="H35" s="1"/>
  <c r="G27"/>
  <c r="F27"/>
  <c r="F35" s="1"/>
  <c r="E27"/>
  <c r="D27"/>
  <c r="D35" s="1"/>
  <c r="I22"/>
  <c r="I21"/>
  <c r="L35" i="453"/>
  <c r="K34"/>
  <c r="J34"/>
  <c r="I34"/>
  <c r="H34"/>
  <c r="G34"/>
  <c r="F34"/>
  <c r="E34"/>
  <c r="D34"/>
  <c r="K33"/>
  <c r="J33"/>
  <c r="I33"/>
  <c r="H33"/>
  <c r="G33"/>
  <c r="M33" s="1"/>
  <c r="N33" s="1"/>
  <c r="E33"/>
  <c r="D33"/>
  <c r="I32"/>
  <c r="H32"/>
  <c r="M32" s="1"/>
  <c r="N32" s="1"/>
  <c r="E32"/>
  <c r="D32"/>
  <c r="K31"/>
  <c r="J31"/>
  <c r="M31" s="1"/>
  <c r="N31" s="1"/>
  <c r="E31"/>
  <c r="D31"/>
  <c r="I30"/>
  <c r="H30"/>
  <c r="M30" s="1"/>
  <c r="N30" s="1"/>
  <c r="E30"/>
  <c r="D30"/>
  <c r="K29"/>
  <c r="J29"/>
  <c r="I29"/>
  <c r="H29"/>
  <c r="M29" s="1"/>
  <c r="N29" s="1"/>
  <c r="E29"/>
  <c r="D29"/>
  <c r="K28"/>
  <c r="J28"/>
  <c r="M28" s="1"/>
  <c r="I28"/>
  <c r="E28"/>
  <c r="D28"/>
  <c r="K27"/>
  <c r="K35" s="1"/>
  <c r="J27"/>
  <c r="I27"/>
  <c r="I35" s="1"/>
  <c r="H27"/>
  <c r="G27"/>
  <c r="G35" s="1"/>
  <c r="F27"/>
  <c r="F35" s="1"/>
  <c r="E27"/>
  <c r="E35" s="1"/>
  <c r="D27"/>
  <c r="I22"/>
  <c r="I21"/>
  <c r="L35" i="452"/>
  <c r="B35"/>
  <c r="K34"/>
  <c r="J34"/>
  <c r="I34"/>
  <c r="H34"/>
  <c r="G34"/>
  <c r="F34"/>
  <c r="E34"/>
  <c r="D34"/>
  <c r="K33"/>
  <c r="J33"/>
  <c r="I33"/>
  <c r="G33"/>
  <c r="E33"/>
  <c r="D33"/>
  <c r="I32"/>
  <c r="H32"/>
  <c r="E32"/>
  <c r="D32"/>
  <c r="K31"/>
  <c r="J31"/>
  <c r="E31"/>
  <c r="D31"/>
  <c r="J30"/>
  <c r="I30"/>
  <c r="H30"/>
  <c r="E30"/>
  <c r="D30"/>
  <c r="K29"/>
  <c r="J29"/>
  <c r="I29"/>
  <c r="H29"/>
  <c r="M29" s="1"/>
  <c r="N29" s="1"/>
  <c r="E29"/>
  <c r="D29"/>
  <c r="D28"/>
  <c r="J27"/>
  <c r="J35" s="1"/>
  <c r="I27"/>
  <c r="H27"/>
  <c r="H35" s="1"/>
  <c r="G27"/>
  <c r="F27"/>
  <c r="F35" s="1"/>
  <c r="E27"/>
  <c r="D27"/>
  <c r="D35" s="1"/>
  <c r="I22"/>
  <c r="I21"/>
  <c r="L35" i="451"/>
  <c r="B35"/>
  <c r="K34"/>
  <c r="J34"/>
  <c r="I34"/>
  <c r="H34"/>
  <c r="G34"/>
  <c r="F34"/>
  <c r="M34" s="1"/>
  <c r="N34" s="1"/>
  <c r="E34"/>
  <c r="D34"/>
  <c r="K33"/>
  <c r="J33"/>
  <c r="I33"/>
  <c r="H33"/>
  <c r="G33"/>
  <c r="F33"/>
  <c r="M33" s="1"/>
  <c r="N33" s="1"/>
  <c r="E33"/>
  <c r="D33"/>
  <c r="I32"/>
  <c r="H32"/>
  <c r="M32" s="1"/>
  <c r="N32" s="1"/>
  <c r="E32"/>
  <c r="D32"/>
  <c r="K31"/>
  <c r="J31"/>
  <c r="M31" s="1"/>
  <c r="N31" s="1"/>
  <c r="E31"/>
  <c r="D31"/>
  <c r="K30"/>
  <c r="J30"/>
  <c r="I30"/>
  <c r="H30"/>
  <c r="M30" s="1"/>
  <c r="N30" s="1"/>
  <c r="E30"/>
  <c r="D30"/>
  <c r="K29"/>
  <c r="J29"/>
  <c r="I29"/>
  <c r="H29"/>
  <c r="M29" s="1"/>
  <c r="N29" s="1"/>
  <c r="E29"/>
  <c r="D29"/>
  <c r="K27"/>
  <c r="K35" s="1"/>
  <c r="J27"/>
  <c r="J35" s="1"/>
  <c r="I27"/>
  <c r="I35" s="1"/>
  <c r="H27"/>
  <c r="H35" s="1"/>
  <c r="G27"/>
  <c r="G35" s="1"/>
  <c r="F27"/>
  <c r="F35" s="1"/>
  <c r="E27"/>
  <c r="E35" s="1"/>
  <c r="D27"/>
  <c r="D35" s="1"/>
  <c r="B35" i="450"/>
  <c r="K34"/>
  <c r="J34"/>
  <c r="I34"/>
  <c r="H34"/>
  <c r="G34"/>
  <c r="F34"/>
  <c r="E34"/>
  <c r="D34"/>
  <c r="K33"/>
  <c r="J33"/>
  <c r="I33"/>
  <c r="H33"/>
  <c r="G33"/>
  <c r="M33" s="1"/>
  <c r="N33" s="1"/>
  <c r="E33"/>
  <c r="D33"/>
  <c r="I32"/>
  <c r="H32"/>
  <c r="G32"/>
  <c r="E32"/>
  <c r="D32"/>
  <c r="K31"/>
  <c r="J31"/>
  <c r="E31"/>
  <c r="D31"/>
  <c r="J30"/>
  <c r="I30"/>
  <c r="E30"/>
  <c r="D30"/>
  <c r="K29"/>
  <c r="J29"/>
  <c r="I29"/>
  <c r="H29"/>
  <c r="E29"/>
  <c r="D29"/>
  <c r="K28"/>
  <c r="J28"/>
  <c r="I28"/>
  <c r="E28"/>
  <c r="D28"/>
  <c r="K27"/>
  <c r="J27"/>
  <c r="J35" s="1"/>
  <c r="I27"/>
  <c r="H27"/>
  <c r="H35" s="1"/>
  <c r="G27"/>
  <c r="F27"/>
  <c r="F35" s="1"/>
  <c r="E27"/>
  <c r="D27"/>
  <c r="D35" s="1"/>
  <c r="N22"/>
  <c r="I22"/>
  <c r="I21"/>
  <c r="L35" i="449"/>
  <c r="B35"/>
  <c r="K34"/>
  <c r="J34"/>
  <c r="I34"/>
  <c r="H34"/>
  <c r="G34"/>
  <c r="F34"/>
  <c r="E34"/>
  <c r="D34"/>
  <c r="K33"/>
  <c r="J33"/>
  <c r="H33"/>
  <c r="G33"/>
  <c r="F33"/>
  <c r="M33" s="1"/>
  <c r="N33" s="1"/>
  <c r="E33"/>
  <c r="D33"/>
  <c r="I32"/>
  <c r="H32"/>
  <c r="M32" s="1"/>
  <c r="N32" s="1"/>
  <c r="E32"/>
  <c r="D32"/>
  <c r="K31"/>
  <c r="J31"/>
  <c r="M31" s="1"/>
  <c r="N31" s="1"/>
  <c r="E31"/>
  <c r="D31"/>
  <c r="K30"/>
  <c r="J30"/>
  <c r="M30" s="1"/>
  <c r="I30"/>
  <c r="E30"/>
  <c r="D30"/>
  <c r="K29"/>
  <c r="J29"/>
  <c r="I29"/>
  <c r="M29" s="1"/>
  <c r="N29" s="1"/>
  <c r="E29"/>
  <c r="D29"/>
  <c r="K28"/>
  <c r="J28"/>
  <c r="M28" s="1"/>
  <c r="I28"/>
  <c r="E28"/>
  <c r="D28"/>
  <c r="K27"/>
  <c r="K35" s="1"/>
  <c r="J27"/>
  <c r="I27"/>
  <c r="I35" s="1"/>
  <c r="H27"/>
  <c r="G27"/>
  <c r="G35" s="1"/>
  <c r="F27"/>
  <c r="E27"/>
  <c r="E35" s="1"/>
  <c r="D27"/>
  <c r="N22"/>
  <c r="I22"/>
  <c r="I21"/>
  <c r="F54" i="448"/>
  <c r="F53"/>
  <c r="F52"/>
  <c r="F51"/>
  <c r="F50"/>
  <c r="L35"/>
  <c r="K34"/>
  <c r="J34"/>
  <c r="I34"/>
  <c r="H34"/>
  <c r="G34"/>
  <c r="F34"/>
  <c r="M34" s="1"/>
  <c r="N34" s="1"/>
  <c r="E34"/>
  <c r="D34"/>
  <c r="K33"/>
  <c r="J33"/>
  <c r="I33"/>
  <c r="G33"/>
  <c r="M33" s="1"/>
  <c r="N33" s="1"/>
  <c r="E33"/>
  <c r="D33"/>
  <c r="I32"/>
  <c r="H32"/>
  <c r="M32" s="1"/>
  <c r="N32" s="1"/>
  <c r="E32"/>
  <c r="D32"/>
  <c r="K31"/>
  <c r="J31"/>
  <c r="M31" s="1"/>
  <c r="N31" s="1"/>
  <c r="E31"/>
  <c r="D31"/>
  <c r="K30"/>
  <c r="J30"/>
  <c r="M30" s="1"/>
  <c r="I30"/>
  <c r="E30"/>
  <c r="D30"/>
  <c r="J29"/>
  <c r="I29"/>
  <c r="E29"/>
  <c r="D29"/>
  <c r="K28"/>
  <c r="J28"/>
  <c r="I28"/>
  <c r="M28" s="1"/>
  <c r="N28" s="1"/>
  <c r="E28"/>
  <c r="D28"/>
  <c r="K27"/>
  <c r="J27"/>
  <c r="J35" s="1"/>
  <c r="I27"/>
  <c r="H27"/>
  <c r="H35" s="1"/>
  <c r="G27"/>
  <c r="F27"/>
  <c r="F35" s="1"/>
  <c r="E27"/>
  <c r="D27"/>
  <c r="D35" s="1"/>
  <c r="M22"/>
  <c r="I22"/>
  <c r="I21"/>
  <c r="I19" i="404"/>
  <c r="I18"/>
  <c r="I17"/>
  <c r="I19" i="403"/>
  <c r="I18"/>
  <c r="I17"/>
  <c r="I19" i="401"/>
  <c r="I18"/>
  <c r="I17"/>
  <c r="I19" i="398"/>
  <c r="I18"/>
  <c r="I17"/>
  <c r="L31" i="349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D22"/>
  <c r="J17"/>
  <c r="J16"/>
  <c r="L30" i="348"/>
  <c r="K30"/>
  <c r="J30"/>
  <c r="I30"/>
  <c r="H30"/>
  <c r="G30"/>
  <c r="F30"/>
  <c r="E30"/>
  <c r="M29"/>
  <c r="N29" s="1"/>
  <c r="M28"/>
  <c r="N28" s="1"/>
  <c r="M27"/>
  <c r="N27" s="1"/>
  <c r="D27"/>
  <c r="M26"/>
  <c r="N26" s="1"/>
  <c r="D26"/>
  <c r="M25"/>
  <c r="N25" s="1"/>
  <c r="D25"/>
  <c r="M24"/>
  <c r="N24" s="1"/>
  <c r="M23"/>
  <c r="N23" s="1"/>
  <c r="D23"/>
  <c r="M22"/>
  <c r="N22" s="1"/>
  <c r="D22"/>
  <c r="M21"/>
  <c r="N21" s="1"/>
  <c r="D21"/>
  <c r="J17"/>
  <c r="J16"/>
  <c r="L33" i="347"/>
  <c r="K33"/>
  <c r="J33"/>
  <c r="I33"/>
  <c r="H33"/>
  <c r="G33"/>
  <c r="F33"/>
  <c r="E33"/>
  <c r="M32"/>
  <c r="N32" s="1"/>
  <c r="M31"/>
  <c r="N31" s="1"/>
  <c r="M30"/>
  <c r="N30" s="1"/>
  <c r="D30"/>
  <c r="M29"/>
  <c r="N29" s="1"/>
  <c r="D29"/>
  <c r="M28"/>
  <c r="N28" s="1"/>
  <c r="D28"/>
  <c r="M27"/>
  <c r="N27" s="1"/>
  <c r="M26"/>
  <c r="N26" s="1"/>
  <c r="D26"/>
  <c r="M25"/>
  <c r="N25" s="1"/>
  <c r="D25"/>
  <c r="M24"/>
  <c r="D24"/>
  <c r="J20"/>
  <c r="J19"/>
  <c r="L31" i="346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N22" s="1"/>
  <c r="D22"/>
  <c r="J18"/>
  <c r="J17"/>
  <c r="L32" i="345"/>
  <c r="K32"/>
  <c r="J32"/>
  <c r="I32"/>
  <c r="H32"/>
  <c r="G32"/>
  <c r="F32"/>
  <c r="E32"/>
  <c r="M31"/>
  <c r="N31" s="1"/>
  <c r="M30"/>
  <c r="N30" s="1"/>
  <c r="M29"/>
  <c r="N29" s="1"/>
  <c r="D29"/>
  <c r="M28"/>
  <c r="N28" s="1"/>
  <c r="D28"/>
  <c r="M27"/>
  <c r="N27" s="1"/>
  <c r="D27"/>
  <c r="M26"/>
  <c r="N26" s="1"/>
  <c r="M25"/>
  <c r="N25" s="1"/>
  <c r="D25"/>
  <c r="M24"/>
  <c r="N24" s="1"/>
  <c r="D24"/>
  <c r="M23"/>
  <c r="D23"/>
  <c r="J18"/>
  <c r="J17"/>
  <c r="L32" i="344"/>
  <c r="K32"/>
  <c r="J32"/>
  <c r="I32"/>
  <c r="H32"/>
  <c r="G32"/>
  <c r="F32"/>
  <c r="E32"/>
  <c r="M31"/>
  <c r="N31" s="1"/>
  <c r="M30"/>
  <c r="N30" s="1"/>
  <c r="M29"/>
  <c r="N29" s="1"/>
  <c r="D29"/>
  <c r="M28"/>
  <c r="N28" s="1"/>
  <c r="D28"/>
  <c r="M27"/>
  <c r="N27" s="1"/>
  <c r="D27"/>
  <c r="M26"/>
  <c r="N26" s="1"/>
  <c r="M25"/>
  <c r="N25" s="1"/>
  <c r="D25"/>
  <c r="M24"/>
  <c r="N24" s="1"/>
  <c r="D24"/>
  <c r="M23"/>
  <c r="N23" s="1"/>
  <c r="D23"/>
  <c r="J18"/>
  <c r="J17"/>
  <c r="L31" i="343"/>
  <c r="K31"/>
  <c r="J31"/>
  <c r="I31"/>
  <c r="H31"/>
  <c r="G31"/>
  <c r="F31"/>
  <c r="E31"/>
  <c r="M30"/>
  <c r="N30" s="1"/>
  <c r="M29"/>
  <c r="N29" s="1"/>
  <c r="M28"/>
  <c r="N28" s="1"/>
  <c r="D28"/>
  <c r="M27"/>
  <c r="N27" s="1"/>
  <c r="M26"/>
  <c r="N26" s="1"/>
  <c r="D26"/>
  <c r="M25"/>
  <c r="N25" s="1"/>
  <c r="M24"/>
  <c r="N24" s="1"/>
  <c r="D24"/>
  <c r="M23"/>
  <c r="N23" s="1"/>
  <c r="D23"/>
  <c r="M22"/>
  <c r="M31" s="1"/>
  <c r="N31" s="1"/>
  <c r="D22"/>
  <c r="J17"/>
  <c r="J16"/>
  <c r="L30" i="342"/>
  <c r="K30"/>
  <c r="J30"/>
  <c r="I30"/>
  <c r="H30"/>
  <c r="G30"/>
  <c r="F30"/>
  <c r="E30"/>
  <c r="N29"/>
  <c r="M29"/>
  <c r="N28"/>
  <c r="M28"/>
  <c r="N27"/>
  <c r="M27"/>
  <c r="D27"/>
  <c r="M26"/>
  <c r="N26" s="1"/>
  <c r="D26"/>
  <c r="M25"/>
  <c r="N25" s="1"/>
  <c r="D25"/>
  <c r="M24"/>
  <c r="N24" s="1"/>
  <c r="M23"/>
  <c r="N23" s="1"/>
  <c r="D23"/>
  <c r="M22"/>
  <c r="N22" s="1"/>
  <c r="D22"/>
  <c r="M21"/>
  <c r="M30" s="1"/>
  <c r="N30" s="1"/>
  <c r="D21"/>
  <c r="J17"/>
  <c r="J16"/>
  <c r="L31" i="341"/>
  <c r="K31"/>
  <c r="J31"/>
  <c r="I31"/>
  <c r="H31"/>
  <c r="G31"/>
  <c r="F31"/>
  <c r="E31"/>
  <c r="M30"/>
  <c r="N30" s="1"/>
  <c r="M29"/>
  <c r="N29" s="1"/>
  <c r="M28"/>
  <c r="N28" s="1"/>
  <c r="D28"/>
  <c r="N27"/>
  <c r="M27"/>
  <c r="D27"/>
  <c r="M26"/>
  <c r="N26" s="1"/>
  <c r="D26"/>
  <c r="M25"/>
  <c r="N25" s="1"/>
  <c r="M24"/>
  <c r="N24" s="1"/>
  <c r="D24"/>
  <c r="M23"/>
  <c r="N23" s="1"/>
  <c r="D23"/>
  <c r="N22"/>
  <c r="M22"/>
  <c r="D22"/>
  <c r="D31" s="1"/>
  <c r="J18"/>
  <c r="J17"/>
  <c r="L31" i="340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D22"/>
  <c r="J17"/>
  <c r="J16"/>
  <c r="I22" i="522" l="1"/>
  <c r="N29" i="524"/>
  <c r="M38" i="528"/>
  <c r="N26" i="663"/>
  <c r="N30"/>
  <c r="M35" i="711"/>
  <c r="E32" i="461"/>
  <c r="H32"/>
  <c r="O26"/>
  <c r="E32" i="463"/>
  <c r="H32"/>
  <c r="O26"/>
  <c r="F32" i="464"/>
  <c r="I32"/>
  <c r="N25"/>
  <c r="O25" s="1"/>
  <c r="O27"/>
  <c r="O28" i="465"/>
  <c r="N30"/>
  <c r="O30" s="1"/>
  <c r="O31"/>
  <c r="F32" i="466"/>
  <c r="J32"/>
  <c r="P28"/>
  <c r="E35" i="473"/>
  <c r="H35"/>
  <c r="N28"/>
  <c r="O28" s="1"/>
  <c r="O31"/>
  <c r="N33" i="475"/>
  <c r="O33" s="1"/>
  <c r="E35" i="476"/>
  <c r="G35"/>
  <c r="M28"/>
  <c r="N28" s="1"/>
  <c r="N31"/>
  <c r="N30" i="477"/>
  <c r="D35" i="478"/>
  <c r="N26"/>
  <c r="O29"/>
  <c r="N34" i="479"/>
  <c r="O34" s="1"/>
  <c r="E35" i="480"/>
  <c r="G35"/>
  <c r="M28"/>
  <c r="N28" s="1"/>
  <c r="M33" i="483"/>
  <c r="O33"/>
  <c r="R27"/>
  <c r="S27" s="1"/>
  <c r="R28"/>
  <c r="S28" s="1"/>
  <c r="S29"/>
  <c r="N25" i="695"/>
  <c r="M28" i="718"/>
  <c r="M31" i="340"/>
  <c r="N31" s="1"/>
  <c r="D32" i="344"/>
  <c r="M32" i="345"/>
  <c r="N32" s="1"/>
  <c r="D31" i="346"/>
  <c r="M33" i="347"/>
  <c r="N33" s="1"/>
  <c r="D30" i="348"/>
  <c r="M31" i="349"/>
  <c r="N31" s="1"/>
  <c r="O28" i="460"/>
  <c r="O27" i="461"/>
  <c r="N30"/>
  <c r="O30" s="1"/>
  <c r="O31"/>
  <c r="F32" i="462"/>
  <c r="I32"/>
  <c r="N25"/>
  <c r="O25" s="1"/>
  <c r="O28"/>
  <c r="O28" i="464"/>
  <c r="N30"/>
  <c r="O30" s="1"/>
  <c r="O31"/>
  <c r="F32" i="465"/>
  <c r="I32"/>
  <c r="N25"/>
  <c r="O25" s="1"/>
  <c r="O27"/>
  <c r="O30" i="466"/>
  <c r="P30" s="1"/>
  <c r="P31"/>
  <c r="E32" i="467"/>
  <c r="N23"/>
  <c r="O26"/>
  <c r="N30"/>
  <c r="O30" s="1"/>
  <c r="E32" i="468"/>
  <c r="N23"/>
  <c r="N25"/>
  <c r="O25" s="1"/>
  <c r="O28"/>
  <c r="F32" i="469"/>
  <c r="I32"/>
  <c r="N25"/>
  <c r="O25" s="1"/>
  <c r="O28"/>
  <c r="E35" i="472"/>
  <c r="H35"/>
  <c r="N28"/>
  <c r="O28" s="1"/>
  <c r="O31"/>
  <c r="N33" i="473"/>
  <c r="O33" s="1"/>
  <c r="E35" i="474"/>
  <c r="G35"/>
  <c r="M28"/>
  <c r="N28" s="1"/>
  <c r="N30"/>
  <c r="E35" i="475"/>
  <c r="H35"/>
  <c r="N28"/>
  <c r="O28" s="1"/>
  <c r="O31"/>
  <c r="M33" i="476"/>
  <c r="N33" s="1"/>
  <c r="D35" i="477"/>
  <c r="F35"/>
  <c r="N29"/>
  <c r="O30" i="478"/>
  <c r="E36" i="479"/>
  <c r="H36"/>
  <c r="N29"/>
  <c r="O29" s="1"/>
  <c r="O32"/>
  <c r="R30" i="483"/>
  <c r="S30" s="1"/>
  <c r="R31"/>
  <c r="S31" s="1"/>
  <c r="I33" i="484"/>
  <c r="L33"/>
  <c r="N33"/>
  <c r="P33"/>
  <c r="O33"/>
  <c r="Q33"/>
  <c r="L33" i="485"/>
  <c r="N33"/>
  <c r="P33"/>
  <c r="R26"/>
  <c r="S26" s="1"/>
  <c r="R29"/>
  <c r="S29" s="1"/>
  <c r="S28" i="486"/>
  <c r="N31" i="516"/>
  <c r="O31" s="1"/>
  <c r="N34" i="521"/>
  <c r="M38"/>
  <c r="I22" i="524"/>
  <c r="I23" i="527"/>
  <c r="E35" i="670"/>
  <c r="I35"/>
  <c r="X37" i="682"/>
  <c r="Y37" s="1"/>
  <c r="D37" i="712"/>
  <c r="H37"/>
  <c r="N38" i="540"/>
  <c r="N31" i="663"/>
  <c r="N31" i="672"/>
  <c r="X37" i="673"/>
  <c r="X46" s="1"/>
  <c r="X37" i="674"/>
  <c r="X46" s="1"/>
  <c r="X37" i="675"/>
  <c r="X46" s="1"/>
  <c r="N25" i="685"/>
  <c r="N25" i="686"/>
  <c r="N25" i="688"/>
  <c r="N25" i="690"/>
  <c r="N25" i="693"/>
  <c r="N25" i="696"/>
  <c r="D37" i="714"/>
  <c r="N22" i="745"/>
  <c r="M32" i="747"/>
  <c r="D31" i="340"/>
  <c r="M31" i="341"/>
  <c r="N31" s="1"/>
  <c r="D30" i="342"/>
  <c r="D31" i="343"/>
  <c r="N22"/>
  <c r="D32" i="345"/>
  <c r="D33" i="347"/>
  <c r="D31" i="349"/>
  <c r="E35" i="448"/>
  <c r="G35"/>
  <c r="I35"/>
  <c r="K35"/>
  <c r="M29"/>
  <c r="N29" s="1"/>
  <c r="D35" i="449"/>
  <c r="M27"/>
  <c r="H35"/>
  <c r="J35"/>
  <c r="M34"/>
  <c r="N34" s="1"/>
  <c r="E35" i="450"/>
  <c r="G35"/>
  <c r="I35"/>
  <c r="K35"/>
  <c r="M28"/>
  <c r="N28" s="1"/>
  <c r="M29"/>
  <c r="N29" s="1"/>
  <c r="M30"/>
  <c r="N30" s="1"/>
  <c r="M31"/>
  <c r="N31" s="1"/>
  <c r="M32"/>
  <c r="N32" s="1"/>
  <c r="M34"/>
  <c r="N34" s="1"/>
  <c r="E35" i="452"/>
  <c r="G35"/>
  <c r="I35"/>
  <c r="K35"/>
  <c r="M30"/>
  <c r="N30" s="1"/>
  <c r="M31"/>
  <c r="N31" s="1"/>
  <c r="M32"/>
  <c r="N32" s="1"/>
  <c r="M33"/>
  <c r="N33" s="1"/>
  <c r="M34"/>
  <c r="N34" s="1"/>
  <c r="D35" i="453"/>
  <c r="H35"/>
  <c r="J35"/>
  <c r="M34"/>
  <c r="N34" s="1"/>
  <c r="E35" i="454"/>
  <c r="G35"/>
  <c r="I35"/>
  <c r="D35" i="455"/>
  <c r="F35"/>
  <c r="H35"/>
  <c r="J35"/>
  <c r="D35" i="456"/>
  <c r="F35"/>
  <c r="H35"/>
  <c r="J35"/>
  <c r="M29"/>
  <c r="N29" s="1"/>
  <c r="M30"/>
  <c r="N30" s="1"/>
  <c r="M32"/>
  <c r="N32" s="1"/>
  <c r="M33"/>
  <c r="N33" s="1"/>
  <c r="E35" i="457"/>
  <c r="G35"/>
  <c r="I35"/>
  <c r="K35"/>
  <c r="M28"/>
  <c r="N28" s="1"/>
  <c r="M29"/>
  <c r="N29" s="1"/>
  <c r="M30"/>
  <c r="N30" s="1"/>
  <c r="M31"/>
  <c r="N31" s="1"/>
  <c r="E32" i="460"/>
  <c r="H32"/>
  <c r="O26"/>
  <c r="N30"/>
  <c r="O30" s="1"/>
  <c r="F32" i="461"/>
  <c r="I32"/>
  <c r="N25"/>
  <c r="O25" s="1"/>
  <c r="E32" i="462"/>
  <c r="H32"/>
  <c r="O27"/>
  <c r="N30"/>
  <c r="O30" s="1"/>
  <c r="O31"/>
  <c r="F32" i="463"/>
  <c r="I32"/>
  <c r="N25"/>
  <c r="O25" s="1"/>
  <c r="O28"/>
  <c r="N30"/>
  <c r="O30" s="1"/>
  <c r="O31"/>
  <c r="E32" i="464"/>
  <c r="H32"/>
  <c r="O26"/>
  <c r="E32" i="465"/>
  <c r="H32"/>
  <c r="O26"/>
  <c r="E32" i="466"/>
  <c r="I32"/>
  <c r="O25"/>
  <c r="P25" s="1"/>
  <c r="P27"/>
  <c r="F32" i="467"/>
  <c r="I32"/>
  <c r="N25"/>
  <c r="O25" s="1"/>
  <c r="O28"/>
  <c r="F32" i="468"/>
  <c r="I32"/>
  <c r="O27"/>
  <c r="N30"/>
  <c r="O30" s="1"/>
  <c r="E32" i="469"/>
  <c r="H32"/>
  <c r="O27"/>
  <c r="N30"/>
  <c r="O30" s="1"/>
  <c r="E35" i="471"/>
  <c r="H35"/>
  <c r="N28"/>
  <c r="O28" s="1"/>
  <c r="O30"/>
  <c r="N33"/>
  <c r="O33" s="1"/>
  <c r="D35" i="472"/>
  <c r="G35"/>
  <c r="O30"/>
  <c r="N33"/>
  <c r="O33" s="1"/>
  <c r="D35" i="473"/>
  <c r="G35"/>
  <c r="O30"/>
  <c r="D35" i="474"/>
  <c r="M26"/>
  <c r="N29"/>
  <c r="M33"/>
  <c r="N33" s="1"/>
  <c r="D35" i="475"/>
  <c r="G35"/>
  <c r="O30"/>
  <c r="D35" i="476"/>
  <c r="F35"/>
  <c r="N30"/>
  <c r="E35" i="477"/>
  <c r="G35"/>
  <c r="M28"/>
  <c r="N28" s="1"/>
  <c r="M33"/>
  <c r="N33" s="1"/>
  <c r="E35" i="478"/>
  <c r="H35"/>
  <c r="N28"/>
  <c r="O28" s="1"/>
  <c r="N33"/>
  <c r="O33" s="1"/>
  <c r="D36" i="479"/>
  <c r="G36"/>
  <c r="O31"/>
  <c r="D35" i="480"/>
  <c r="F35"/>
  <c r="N29"/>
  <c r="N30"/>
  <c r="M33"/>
  <c r="N33" s="1"/>
  <c r="I33" i="483"/>
  <c r="R25"/>
  <c r="N33"/>
  <c r="P33"/>
  <c r="J33"/>
  <c r="Q33"/>
  <c r="R32"/>
  <c r="S32" s="1"/>
  <c r="J33" i="484"/>
  <c r="R26"/>
  <c r="S26" s="1"/>
  <c r="R27"/>
  <c r="S27" s="1"/>
  <c r="R28"/>
  <c r="S28" s="1"/>
  <c r="R30"/>
  <c r="S30" s="1"/>
  <c r="M33"/>
  <c r="R32"/>
  <c r="S32" s="1"/>
  <c r="J33" i="485"/>
  <c r="M33"/>
  <c r="O33"/>
  <c r="Q33"/>
  <c r="R27"/>
  <c r="S27" s="1"/>
  <c r="I33"/>
  <c r="S28"/>
  <c r="R30"/>
  <c r="S30" s="1"/>
  <c r="R31"/>
  <c r="S31" s="1"/>
  <c r="R32"/>
  <c r="S32" s="1"/>
  <c r="J33" i="486"/>
  <c r="M33"/>
  <c r="O33"/>
  <c r="I33"/>
  <c r="R26"/>
  <c r="S26" s="1"/>
  <c r="R27"/>
  <c r="S27" s="1"/>
  <c r="J33" i="487"/>
  <c r="M33"/>
  <c r="O33"/>
  <c r="R26"/>
  <c r="S26" s="1"/>
  <c r="Q33"/>
  <c r="R29"/>
  <c r="S29" s="1"/>
  <c r="R30"/>
  <c r="S30" s="1"/>
  <c r="J33" i="488"/>
  <c r="O33"/>
  <c r="R26"/>
  <c r="S26" s="1"/>
  <c r="J33" i="489"/>
  <c r="R26"/>
  <c r="S26" s="1"/>
  <c r="R29"/>
  <c r="S29" s="1"/>
  <c r="I33" i="490"/>
  <c r="N33"/>
  <c r="P33"/>
  <c r="R32"/>
  <c r="S32" s="1"/>
  <c r="I33" i="491"/>
  <c r="L33"/>
  <c r="N33"/>
  <c r="P33"/>
  <c r="R29"/>
  <c r="S29" s="1"/>
  <c r="R32"/>
  <c r="S32" s="1"/>
  <c r="R27" i="492"/>
  <c r="S27" s="1"/>
  <c r="R28"/>
  <c r="S28" s="1"/>
  <c r="I33"/>
  <c r="R30"/>
  <c r="S30" s="1"/>
  <c r="R31"/>
  <c r="S31" s="1"/>
  <c r="L33"/>
  <c r="N33"/>
  <c r="P33"/>
  <c r="D31" i="495"/>
  <c r="I31"/>
  <c r="K31"/>
  <c r="M30"/>
  <c r="N30" s="1"/>
  <c r="D31" i="496"/>
  <c r="J31"/>
  <c r="L31"/>
  <c r="M25"/>
  <c r="N25" s="1"/>
  <c r="M26"/>
  <c r="N26" s="1"/>
  <c r="M27"/>
  <c r="N27" s="1"/>
  <c r="M28"/>
  <c r="N28" s="1"/>
  <c r="M29"/>
  <c r="N29" s="1"/>
  <c r="M30"/>
  <c r="N30" s="1"/>
  <c r="E31" i="497"/>
  <c r="J31"/>
  <c r="L31"/>
  <c r="M24"/>
  <c r="N24" s="1"/>
  <c r="M25"/>
  <c r="N25" s="1"/>
  <c r="M26"/>
  <c r="N26" s="1"/>
  <c r="M27"/>
  <c r="N27" s="1"/>
  <c r="M28"/>
  <c r="N28" s="1"/>
  <c r="M29"/>
  <c r="N29" s="1"/>
  <c r="M30"/>
  <c r="N30" s="1"/>
  <c r="D30" i="498"/>
  <c r="I30"/>
  <c r="K30"/>
  <c r="M29"/>
  <c r="N29" s="1"/>
  <c r="M23" i="499"/>
  <c r="I31"/>
  <c r="K31"/>
  <c r="M24"/>
  <c r="N24" s="1"/>
  <c r="N30" i="448"/>
  <c r="N28" i="449"/>
  <c r="N30"/>
  <c r="N28" i="453"/>
  <c r="N28" i="454"/>
  <c r="N30"/>
  <c r="N31" i="456"/>
  <c r="N32" i="457"/>
  <c r="O31" i="460"/>
  <c r="O28" i="461"/>
  <c r="O26" i="462"/>
  <c r="O27" i="463"/>
  <c r="P26" i="466"/>
  <c r="O27" i="467"/>
  <c r="O26" i="468"/>
  <c r="O26" i="469"/>
  <c r="O29" i="472"/>
  <c r="O29" i="473"/>
  <c r="N31" i="474"/>
  <c r="O29" i="475"/>
  <c r="N29" i="476"/>
  <c r="N31" i="477"/>
  <c r="O31" i="478"/>
  <c r="O30" i="479"/>
  <c r="N31" i="480"/>
  <c r="S29" i="484"/>
  <c r="S31" i="486"/>
  <c r="L33"/>
  <c r="N33"/>
  <c r="P33"/>
  <c r="S27" i="487"/>
  <c r="S31"/>
  <c r="S27" i="488"/>
  <c r="S27" i="489"/>
  <c r="S30"/>
  <c r="S26" i="491"/>
  <c r="S30"/>
  <c r="S29" i="492"/>
  <c r="N26" i="495"/>
  <c r="N25" i="498"/>
  <c r="N23" i="502"/>
  <c r="N26" i="503"/>
  <c r="N30"/>
  <c r="N25" i="504"/>
  <c r="N29"/>
  <c r="O27" i="513"/>
  <c r="O27" i="515"/>
  <c r="N30" i="516"/>
  <c r="O30" s="1"/>
  <c r="I22" i="520"/>
  <c r="N29"/>
  <c r="N38" i="527"/>
  <c r="I22" i="528"/>
  <c r="I23" i="552"/>
  <c r="N38"/>
  <c r="X37" i="678"/>
  <c r="Y37" s="1"/>
  <c r="Y46" s="1"/>
  <c r="X37" i="679"/>
  <c r="Y37" s="1"/>
  <c r="Y46" s="1"/>
  <c r="X37" i="680"/>
  <c r="Y37" s="1"/>
  <c r="Y46" s="1"/>
  <c r="X37" i="681"/>
  <c r="Y37" s="1"/>
  <c r="Y46" s="1"/>
  <c r="X37" i="683"/>
  <c r="X46" s="1"/>
  <c r="M34" i="697"/>
  <c r="M35"/>
  <c r="M38"/>
  <c r="N38" s="1"/>
  <c r="M39"/>
  <c r="N39" s="1"/>
  <c r="M40"/>
  <c r="M41"/>
  <c r="N41" s="1"/>
  <c r="M42"/>
  <c r="M35" i="698"/>
  <c r="M36"/>
  <c r="N36" s="1"/>
  <c r="M37"/>
  <c r="N37" s="1"/>
  <c r="M38"/>
  <c r="N38" s="1"/>
  <c r="M39"/>
  <c r="N39" s="1"/>
  <c r="M42"/>
  <c r="M36" i="699"/>
  <c r="M38"/>
  <c r="N38" s="1"/>
  <c r="M39"/>
  <c r="N39" s="1"/>
  <c r="M40"/>
  <c r="N40" s="1"/>
  <c r="M43"/>
  <c r="M35" i="700"/>
  <c r="M36"/>
  <c r="N36" s="1"/>
  <c r="M37"/>
  <c r="N37" s="1"/>
  <c r="M38"/>
  <c r="N38" s="1"/>
  <c r="M39"/>
  <c r="N39" s="1"/>
  <c r="M40"/>
  <c r="M42"/>
  <c r="M36" i="701"/>
  <c r="N36" s="1"/>
  <c r="M37"/>
  <c r="N37" s="1"/>
  <c r="M38"/>
  <c r="N38" s="1"/>
  <c r="M41"/>
  <c r="N41" s="1"/>
  <c r="M34" i="702"/>
  <c r="M35"/>
  <c r="M38"/>
  <c r="N38" s="1"/>
  <c r="M39"/>
  <c r="N39" s="1"/>
  <c r="M40"/>
  <c r="M42"/>
  <c r="M35" i="703"/>
  <c r="M36"/>
  <c r="M42"/>
  <c r="N42" s="1"/>
  <c r="M43"/>
  <c r="M35" i="704"/>
  <c r="M36"/>
  <c r="N36" s="1"/>
  <c r="M37"/>
  <c r="N37" s="1"/>
  <c r="M38"/>
  <c r="N38" s="1"/>
  <c r="M39"/>
  <c r="N39" s="1"/>
  <c r="M40"/>
  <c r="M37" i="705"/>
  <c r="N37" s="1"/>
  <c r="M38"/>
  <c r="N38" s="1"/>
  <c r="M39"/>
  <c r="N39" s="1"/>
  <c r="M40"/>
  <c r="N40" s="1"/>
  <c r="M41"/>
  <c r="M43"/>
  <c r="M36" i="706"/>
  <c r="N36" s="1"/>
  <c r="M37"/>
  <c r="N37" s="1"/>
  <c r="M39"/>
  <c r="N39" s="1"/>
  <c r="M35" i="707"/>
  <c r="M38"/>
  <c r="N38" s="1"/>
  <c r="M34" i="708"/>
  <c r="M35"/>
  <c r="M41"/>
  <c r="N41" s="1"/>
  <c r="M42"/>
  <c r="M35" i="709"/>
  <c r="M28" i="710"/>
  <c r="M35"/>
  <c r="M35" i="714"/>
  <c r="M28" i="715"/>
  <c r="M31" i="738"/>
  <c r="N23" i="747"/>
  <c r="M25" i="499"/>
  <c r="N25" s="1"/>
  <c r="M26"/>
  <c r="N26" s="1"/>
  <c r="M27"/>
  <c r="N27" s="1"/>
  <c r="M28"/>
  <c r="N28" s="1"/>
  <c r="M29"/>
  <c r="N29" s="1"/>
  <c r="M30"/>
  <c r="N30" s="1"/>
  <c r="E31" i="500"/>
  <c r="H31"/>
  <c r="J31"/>
  <c r="M24"/>
  <c r="N24" s="1"/>
  <c r="L31"/>
  <c r="M25"/>
  <c r="N25" s="1"/>
  <c r="M26"/>
  <c r="N26" s="1"/>
  <c r="M27"/>
  <c r="N27" s="1"/>
  <c r="M28"/>
  <c r="N28" s="1"/>
  <c r="M29"/>
  <c r="N29" s="1"/>
  <c r="E31" i="501"/>
  <c r="H31"/>
  <c r="J31"/>
  <c r="L31"/>
  <c r="M25"/>
  <c r="N25" s="1"/>
  <c r="M26"/>
  <c r="N26" s="1"/>
  <c r="M27"/>
  <c r="N27" s="1"/>
  <c r="M28"/>
  <c r="N28" s="1"/>
  <c r="M29"/>
  <c r="N29" s="1"/>
  <c r="M30"/>
  <c r="N30" s="1"/>
  <c r="E30" i="502"/>
  <c r="H30"/>
  <c r="J30"/>
  <c r="L30"/>
  <c r="M24"/>
  <c r="N24" s="1"/>
  <c r="M26"/>
  <c r="N26" s="1"/>
  <c r="M27"/>
  <c r="N27" s="1"/>
  <c r="M28"/>
  <c r="N28" s="1"/>
  <c r="E31" i="503"/>
  <c r="J31"/>
  <c r="M24"/>
  <c r="N24" s="1"/>
  <c r="D30" i="504"/>
  <c r="I30"/>
  <c r="K30"/>
  <c r="F32" i="507"/>
  <c r="N24"/>
  <c r="J32"/>
  <c r="L32"/>
  <c r="N29" i="508"/>
  <c r="O29" s="1"/>
  <c r="N30"/>
  <c r="O30" s="1"/>
  <c r="J32" i="509"/>
  <c r="G32" i="510"/>
  <c r="N24"/>
  <c r="K32"/>
  <c r="F32"/>
  <c r="J32"/>
  <c r="L32"/>
  <c r="M32"/>
  <c r="N29"/>
  <c r="O29" s="1"/>
  <c r="H32"/>
  <c r="N31"/>
  <c r="O31" s="1"/>
  <c r="F32" i="511"/>
  <c r="J32"/>
  <c r="L32"/>
  <c r="M32"/>
  <c r="N26"/>
  <c r="O26" s="1"/>
  <c r="N27"/>
  <c r="O27" s="1"/>
  <c r="N31"/>
  <c r="O31" s="1"/>
  <c r="F32" i="512"/>
  <c r="J32"/>
  <c r="L32"/>
  <c r="N27"/>
  <c r="O27" s="1"/>
  <c r="N28"/>
  <c r="O28" s="1"/>
  <c r="N29"/>
  <c r="O29" s="1"/>
  <c r="N31"/>
  <c r="O31" s="1"/>
  <c r="G32" i="513"/>
  <c r="I32"/>
  <c r="L32"/>
  <c r="G32" i="514"/>
  <c r="I32"/>
  <c r="K32"/>
  <c r="M32"/>
  <c r="N26"/>
  <c r="O26" s="1"/>
  <c r="N31"/>
  <c r="O31" s="1"/>
  <c r="F32" i="515"/>
  <c r="N24"/>
  <c r="J32"/>
  <c r="L32"/>
  <c r="N25"/>
  <c r="O25" s="1"/>
  <c r="G32" i="516"/>
  <c r="K32"/>
  <c r="M32"/>
  <c r="N26"/>
  <c r="O26" s="1"/>
  <c r="I21" i="519"/>
  <c r="I23" i="522"/>
  <c r="N34"/>
  <c r="I21" i="523"/>
  <c r="I21" i="525"/>
  <c r="I22"/>
  <c r="I23"/>
  <c r="N34"/>
  <c r="M38"/>
  <c r="I23" i="526"/>
  <c r="N34"/>
  <c r="M38"/>
  <c r="M38" i="530"/>
  <c r="N38" s="1"/>
  <c r="M38" i="550"/>
  <c r="N38" s="1"/>
  <c r="M38" i="554"/>
  <c r="N38" s="1"/>
  <c r="I22" i="556"/>
  <c r="M38" i="557"/>
  <c r="N38" s="1"/>
  <c r="M38" i="567"/>
  <c r="N38" s="1"/>
  <c r="D35" i="661"/>
  <c r="M32"/>
  <c r="N32" s="1"/>
  <c r="D35" i="662"/>
  <c r="E35" i="663"/>
  <c r="N29"/>
  <c r="N33"/>
  <c r="D35" i="665"/>
  <c r="M32"/>
  <c r="N32" s="1"/>
  <c r="D35" i="666"/>
  <c r="N29"/>
  <c r="N33"/>
  <c r="D35" i="667"/>
  <c r="M35" i="668"/>
  <c r="N35" s="1"/>
  <c r="D35" i="669"/>
  <c r="M32"/>
  <c r="N32" s="1"/>
  <c r="D35" i="670"/>
  <c r="M29"/>
  <c r="N29" s="1"/>
  <c r="J35"/>
  <c r="M32"/>
  <c r="N32" s="1"/>
  <c r="N33"/>
  <c r="M32" i="671"/>
  <c r="N32" s="1"/>
  <c r="D35" i="672"/>
  <c r="M32"/>
  <c r="N32" s="1"/>
  <c r="N33"/>
  <c r="Y46" i="676"/>
  <c r="M36" i="697"/>
  <c r="N36" s="1"/>
  <c r="M37"/>
  <c r="N37" s="1"/>
  <c r="M40" i="698"/>
  <c r="M41"/>
  <c r="N41" s="1"/>
  <c r="M37" i="699"/>
  <c r="N37" s="1"/>
  <c r="M41"/>
  <c r="M42"/>
  <c r="N42" s="1"/>
  <c r="M41" i="700"/>
  <c r="N41" s="1"/>
  <c r="M34" i="701"/>
  <c r="M35"/>
  <c r="M39"/>
  <c r="N39" s="1"/>
  <c r="M40"/>
  <c r="M42"/>
  <c r="M36" i="702"/>
  <c r="N36" s="1"/>
  <c r="M41"/>
  <c r="N41" s="1"/>
  <c r="M37" i="703"/>
  <c r="N37" s="1"/>
  <c r="M38"/>
  <c r="N38" s="1"/>
  <c r="M39"/>
  <c r="N39" s="1"/>
  <c r="M40"/>
  <c r="N40" s="1"/>
  <c r="M41"/>
  <c r="M41" i="704"/>
  <c r="N41" s="1"/>
  <c r="M42"/>
  <c r="M36" i="705"/>
  <c r="M42"/>
  <c r="N42" s="1"/>
  <c r="M35" i="706"/>
  <c r="M38"/>
  <c r="N38" s="1"/>
  <c r="M40"/>
  <c r="M41"/>
  <c r="N41" s="1"/>
  <c r="M42"/>
  <c r="M36" i="707"/>
  <c r="N36" s="1"/>
  <c r="M37"/>
  <c r="N37" s="1"/>
  <c r="M39"/>
  <c r="N39" s="1"/>
  <c r="M40"/>
  <c r="M41"/>
  <c r="N41" s="1"/>
  <c r="M42"/>
  <c r="M36" i="708"/>
  <c r="N36" s="1"/>
  <c r="M37"/>
  <c r="N37" s="1"/>
  <c r="M38"/>
  <c r="N38" s="1"/>
  <c r="M39"/>
  <c r="N39" s="1"/>
  <c r="M40"/>
  <c r="M35" i="712"/>
  <c r="M28" i="713"/>
  <c r="M37" s="1"/>
  <c r="M35" i="716"/>
  <c r="D37" i="717"/>
  <c r="H37"/>
  <c r="M35"/>
  <c r="D37" i="718"/>
  <c r="H37"/>
  <c r="M35"/>
  <c r="M37" s="1"/>
  <c r="M31" i="720"/>
  <c r="M31" i="721"/>
  <c r="M31" i="722"/>
  <c r="M31" i="723"/>
  <c r="M31" i="725"/>
  <c r="M31" i="726"/>
  <c r="D31" i="727"/>
  <c r="M31"/>
  <c r="D31" i="728"/>
  <c r="N22"/>
  <c r="M31" i="729"/>
  <c r="M31" i="731"/>
  <c r="M31" i="733"/>
  <c r="M31" i="735"/>
  <c r="M31" i="737"/>
  <c r="G32" i="508"/>
  <c r="I32"/>
  <c r="K32"/>
  <c r="M32"/>
  <c r="N31"/>
  <c r="O31" s="1"/>
  <c r="F32" i="509"/>
  <c r="N24"/>
  <c r="L32"/>
  <c r="N25"/>
  <c r="O25" s="1"/>
  <c r="N26"/>
  <c r="O26" s="1"/>
  <c r="N27"/>
  <c r="O27" s="1"/>
  <c r="G32"/>
  <c r="M32"/>
  <c r="K32"/>
  <c r="I32"/>
  <c r="N22" i="721"/>
  <c r="N22" i="722"/>
  <c r="N22" i="724"/>
  <c r="N22" i="726"/>
  <c r="N22" i="730"/>
  <c r="N22" i="731"/>
  <c r="N22" i="732"/>
  <c r="N22" i="733"/>
  <c r="N22" i="734"/>
  <c r="N22" i="735"/>
  <c r="N22" i="736"/>
  <c r="N22" i="737"/>
  <c r="N22" i="738"/>
  <c r="N22" i="739"/>
  <c r="N22" i="741"/>
  <c r="M32" i="749"/>
  <c r="N22" i="720"/>
  <c r="N21" i="740"/>
  <c r="N22" i="742"/>
  <c r="N22" i="743"/>
  <c r="N22" i="744"/>
  <c r="N22" i="746"/>
  <c r="N24" i="748"/>
  <c r="M43" i="701"/>
  <c r="N43" s="1"/>
  <c r="N34"/>
  <c r="N26" i="661"/>
  <c r="M30"/>
  <c r="N30" s="1"/>
  <c r="I35" i="663"/>
  <c r="N26" i="664"/>
  <c r="M30"/>
  <c r="N30" s="1"/>
  <c r="M35" i="665"/>
  <c r="N35" s="1"/>
  <c r="M32" i="666"/>
  <c r="N32" s="1"/>
  <c r="M32" i="667"/>
  <c r="N32" s="1"/>
  <c r="N26" i="668"/>
  <c r="I35"/>
  <c r="N26" i="669"/>
  <c r="N26" i="670"/>
  <c r="M30" i="671"/>
  <c r="N30" s="1"/>
  <c r="Y37" i="673"/>
  <c r="Y46" s="1"/>
  <c r="E39"/>
  <c r="E40" s="1"/>
  <c r="E41"/>
  <c r="E43" s="1"/>
  <c r="Y37" i="674"/>
  <c r="Y46" s="1"/>
  <c r="E39"/>
  <c r="E40" s="1"/>
  <c r="E41"/>
  <c r="E43" s="1"/>
  <c r="Y37" i="675"/>
  <c r="Y46" s="1"/>
  <c r="E39"/>
  <c r="E40" s="1"/>
  <c r="E41"/>
  <c r="E43" s="1"/>
  <c r="E42" i="676"/>
  <c r="X46"/>
  <c r="Y46" i="682"/>
  <c r="Y37" i="677"/>
  <c r="Y46" s="1"/>
  <c r="X46"/>
  <c r="M43" i="697"/>
  <c r="N43" s="1"/>
  <c r="N34"/>
  <c r="N34" i="702"/>
  <c r="M44" i="703"/>
  <c r="N44" s="1"/>
  <c r="N35"/>
  <c r="M43" i="708"/>
  <c r="N43" s="1"/>
  <c r="N34"/>
  <c r="M30" i="662"/>
  <c r="M35" s="1"/>
  <c r="M32" i="663"/>
  <c r="N32" s="1"/>
  <c r="N26" i="666"/>
  <c r="M30" i="667"/>
  <c r="N30" s="1"/>
  <c r="N26" i="672"/>
  <c r="M30"/>
  <c r="N30" s="1"/>
  <c r="E39" i="676"/>
  <c r="E40" s="1"/>
  <c r="I43" i="702"/>
  <c r="M37"/>
  <c r="N37" s="1"/>
  <c r="M37" i="715"/>
  <c r="E42" i="677"/>
  <c r="E42" i="678"/>
  <c r="X46"/>
  <c r="E42" i="679"/>
  <c r="X46"/>
  <c r="E42" i="680"/>
  <c r="X46"/>
  <c r="E42" i="681"/>
  <c r="X46"/>
  <c r="E42" i="682"/>
  <c r="X46"/>
  <c r="Y37" i="683"/>
  <c r="Y46" s="1"/>
  <c r="E39"/>
  <c r="E40" s="1"/>
  <c r="E41"/>
  <c r="E43" s="1"/>
  <c r="L43" i="697"/>
  <c r="M34" i="698"/>
  <c r="M34" i="700"/>
  <c r="K43" i="701"/>
  <c r="K43" i="702"/>
  <c r="L44" i="703"/>
  <c r="M34" i="704"/>
  <c r="M35" i="705"/>
  <c r="M34" i="706"/>
  <c r="M34" i="707"/>
  <c r="K43" i="708"/>
  <c r="G37" i="710"/>
  <c r="M28" i="711"/>
  <c r="M37" s="1"/>
  <c r="M28" i="712"/>
  <c r="M37" s="1"/>
  <c r="G37" i="713"/>
  <c r="G37" i="715"/>
  <c r="M28" i="717"/>
  <c r="M37" s="1"/>
  <c r="G37" i="718"/>
  <c r="E39" i="677"/>
  <c r="E40" s="1"/>
  <c r="E39" i="678"/>
  <c r="E40" s="1"/>
  <c r="E39" i="679"/>
  <c r="E40" s="1"/>
  <c r="E39" i="680"/>
  <c r="E40" s="1"/>
  <c r="E39" i="681"/>
  <c r="E40" s="1"/>
  <c r="E39" i="682"/>
  <c r="E40" s="1"/>
  <c r="M35" i="699"/>
  <c r="M28" i="709"/>
  <c r="M37" s="1"/>
  <c r="M28" i="714"/>
  <c r="M37" s="1"/>
  <c r="M28" i="716"/>
  <c r="M37" s="1"/>
  <c r="N38" i="519"/>
  <c r="N38" i="521"/>
  <c r="N38" i="522"/>
  <c r="N38" i="520"/>
  <c r="N29" i="519"/>
  <c r="N29" i="522"/>
  <c r="N38" i="524"/>
  <c r="N38" i="523"/>
  <c r="N38" i="525"/>
  <c r="N38" i="526"/>
  <c r="N32" i="507"/>
  <c r="O32" s="1"/>
  <c r="O24"/>
  <c r="N32" i="509"/>
  <c r="O32" s="1"/>
  <c r="O24"/>
  <c r="O24" i="510"/>
  <c r="N32" i="515"/>
  <c r="O32" s="1"/>
  <c r="O24"/>
  <c r="H32" i="507"/>
  <c r="H32" i="509"/>
  <c r="N25" i="510"/>
  <c r="O25" s="1"/>
  <c r="I32"/>
  <c r="N24" i="511"/>
  <c r="N24" i="513"/>
  <c r="N24" i="514"/>
  <c r="H32" i="515"/>
  <c r="N24" i="516"/>
  <c r="N24" i="508"/>
  <c r="N30" i="510"/>
  <c r="O30" s="1"/>
  <c r="N24" i="512"/>
  <c r="N25" i="513"/>
  <c r="O25" s="1"/>
  <c r="M30" i="502"/>
  <c r="N30" s="1"/>
  <c r="N22"/>
  <c r="M31" i="499"/>
  <c r="N31" s="1"/>
  <c r="N23"/>
  <c r="M23" i="495"/>
  <c r="M23" i="497"/>
  <c r="M22" i="498"/>
  <c r="G31" i="499"/>
  <c r="M23" i="501"/>
  <c r="G30" i="502"/>
  <c r="H31" i="503"/>
  <c r="M22" i="504"/>
  <c r="M23" i="496"/>
  <c r="M23" i="500"/>
  <c r="M23" i="503"/>
  <c r="R33" i="487"/>
  <c r="S33" s="1"/>
  <c r="S25"/>
  <c r="R33" i="488"/>
  <c r="S33" s="1"/>
  <c r="S25"/>
  <c r="R33" i="483"/>
  <c r="S33" s="1"/>
  <c r="S25"/>
  <c r="L33"/>
  <c r="R31" i="484"/>
  <c r="S31" s="1"/>
  <c r="R25" i="486"/>
  <c r="R32"/>
  <c r="S32" s="1"/>
  <c r="L33" i="487"/>
  <c r="L33" i="488"/>
  <c r="R31" i="489"/>
  <c r="S31" s="1"/>
  <c r="O33"/>
  <c r="R25" i="490"/>
  <c r="R25" i="492"/>
  <c r="R32"/>
  <c r="S32" s="1"/>
  <c r="R25" i="484"/>
  <c r="R25" i="485"/>
  <c r="R25" i="489"/>
  <c r="R25" i="491"/>
  <c r="N35" i="478"/>
  <c r="O35" s="1"/>
  <c r="O26"/>
  <c r="M35" i="474"/>
  <c r="N35" s="1"/>
  <c r="N26"/>
  <c r="N26" i="471"/>
  <c r="N26" i="472"/>
  <c r="N26" i="473"/>
  <c r="F35" i="474"/>
  <c r="M26" i="476"/>
  <c r="M26" i="477"/>
  <c r="G35" i="478"/>
  <c r="M26" i="480"/>
  <c r="N26" i="475"/>
  <c r="N27" i="479"/>
  <c r="N32" i="467"/>
  <c r="O32" s="1"/>
  <c r="O23"/>
  <c r="N32" i="468"/>
  <c r="O32" s="1"/>
  <c r="O23"/>
  <c r="N23" i="460"/>
  <c r="N23" i="462"/>
  <c r="O23" i="466"/>
  <c r="H32" i="467"/>
  <c r="H32" i="468"/>
  <c r="N23" i="461"/>
  <c r="N23" i="463"/>
  <c r="N23" i="464"/>
  <c r="N23" i="465"/>
  <c r="N23" i="469"/>
  <c r="M35" i="449"/>
  <c r="N35" s="1"/>
  <c r="N27"/>
  <c r="M27" i="448"/>
  <c r="F35" i="449"/>
  <c r="M27" i="450"/>
  <c r="M27" i="451"/>
  <c r="M27" i="452"/>
  <c r="M27" i="453"/>
  <c r="M27" i="454"/>
  <c r="M27" i="455"/>
  <c r="M27" i="456"/>
  <c r="M27" i="457"/>
  <c r="N22" i="340"/>
  <c r="N21" i="342"/>
  <c r="M32" i="344"/>
  <c r="N32" s="1"/>
  <c r="N23" i="345"/>
  <c r="M31" i="346"/>
  <c r="N31" s="1"/>
  <c r="N24" i="347"/>
  <c r="M30" i="348"/>
  <c r="N30" s="1"/>
  <c r="N22" i="349"/>
  <c r="L31" i="339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D22"/>
  <c r="J17"/>
  <c r="J16"/>
  <c r="L31" i="338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N22" s="1"/>
  <c r="D22"/>
  <c r="J17"/>
  <c r="J16"/>
  <c r="L31" i="337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D22"/>
  <c r="D31" s="1"/>
  <c r="J17"/>
  <c r="J16"/>
  <c r="L31" i="336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N22" s="1"/>
  <c r="D22"/>
  <c r="J17"/>
  <c r="J16"/>
  <c r="L31" i="335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N25"/>
  <c r="M25"/>
  <c r="N24"/>
  <c r="M24"/>
  <c r="D24"/>
  <c r="M23"/>
  <c r="N23" s="1"/>
  <c r="D23"/>
  <c r="M22"/>
  <c r="D22"/>
  <c r="D31" s="1"/>
  <c r="J17"/>
  <c r="J16"/>
  <c r="L34" i="334"/>
  <c r="K34"/>
  <c r="J34"/>
  <c r="I34"/>
  <c r="H34"/>
  <c r="G34"/>
  <c r="F34"/>
  <c r="E34"/>
  <c r="M33"/>
  <c r="N33" s="1"/>
  <c r="M32"/>
  <c r="N32" s="1"/>
  <c r="M31"/>
  <c r="N31" s="1"/>
  <c r="D31"/>
  <c r="M30"/>
  <c r="N30" s="1"/>
  <c r="D30"/>
  <c r="M29"/>
  <c r="N29" s="1"/>
  <c r="D29"/>
  <c r="M28"/>
  <c r="N28" s="1"/>
  <c r="M27"/>
  <c r="N27" s="1"/>
  <c r="D27"/>
  <c r="M26"/>
  <c r="N26" s="1"/>
  <c r="D26"/>
  <c r="M25"/>
  <c r="N25" s="1"/>
  <c r="D25"/>
  <c r="J20"/>
  <c r="J19"/>
  <c r="L32" i="333"/>
  <c r="K32"/>
  <c r="J32"/>
  <c r="I32"/>
  <c r="H32"/>
  <c r="G32"/>
  <c r="F32"/>
  <c r="E32"/>
  <c r="M31"/>
  <c r="N31" s="1"/>
  <c r="M30"/>
  <c r="N30" s="1"/>
  <c r="M29"/>
  <c r="N29" s="1"/>
  <c r="D29"/>
  <c r="M28"/>
  <c r="N28" s="1"/>
  <c r="D28"/>
  <c r="M27"/>
  <c r="N27" s="1"/>
  <c r="D27"/>
  <c r="M26"/>
  <c r="N26" s="1"/>
  <c r="M25"/>
  <c r="N25" s="1"/>
  <c r="D25"/>
  <c r="M24"/>
  <c r="N24" s="1"/>
  <c r="D24"/>
  <c r="M23"/>
  <c r="M32" s="1"/>
  <c r="N32" s="1"/>
  <c r="D23"/>
  <c r="D32" s="1"/>
  <c r="J17"/>
  <c r="J16"/>
  <c r="L31" i="332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N22" s="1"/>
  <c r="D22"/>
  <c r="D31" s="1"/>
  <c r="J17"/>
  <c r="J16"/>
  <c r="L31" i="331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M31" s="1"/>
  <c r="N31" s="1"/>
  <c r="D22"/>
  <c r="D31" s="1"/>
  <c r="J17"/>
  <c r="J16"/>
  <c r="L30" i="330"/>
  <c r="K30"/>
  <c r="J30"/>
  <c r="I30"/>
  <c r="H30"/>
  <c r="G30"/>
  <c r="F30"/>
  <c r="E30"/>
  <c r="M29"/>
  <c r="N29" s="1"/>
  <c r="M28"/>
  <c r="N28" s="1"/>
  <c r="M27"/>
  <c r="N27" s="1"/>
  <c r="D27"/>
  <c r="M26"/>
  <c r="N26" s="1"/>
  <c r="D26"/>
  <c r="M25"/>
  <c r="N25" s="1"/>
  <c r="D25"/>
  <c r="M24"/>
  <c r="N24" s="1"/>
  <c r="M23"/>
  <c r="N23" s="1"/>
  <c r="D23"/>
  <c r="M22"/>
  <c r="N22" s="1"/>
  <c r="D22"/>
  <c r="M21"/>
  <c r="N21" s="1"/>
  <c r="D21"/>
  <c r="D30" s="1"/>
  <c r="J17"/>
  <c r="J16"/>
  <c r="D34" i="334" l="1"/>
  <c r="M31" i="335"/>
  <c r="N31" s="1"/>
  <c r="D31" i="336"/>
  <c r="M31" i="337"/>
  <c r="N31" s="1"/>
  <c r="D31" i="338"/>
  <c r="M31" i="339"/>
  <c r="N31" s="1"/>
  <c r="N22" i="335"/>
  <c r="M35" i="669"/>
  <c r="N35" s="1"/>
  <c r="D31" i="339"/>
  <c r="M35" i="670"/>
  <c r="N35" s="1"/>
  <c r="M37" i="710"/>
  <c r="N34" i="707"/>
  <c r="M43"/>
  <c r="N43" s="1"/>
  <c r="M44" i="705"/>
  <c r="N44" s="1"/>
  <c r="N35"/>
  <c r="N34" i="698"/>
  <c r="M43"/>
  <c r="N43" s="1"/>
  <c r="M35" i="663"/>
  <c r="N35" s="1"/>
  <c r="M35" i="667"/>
  <c r="N35" s="1"/>
  <c r="M35" i="661"/>
  <c r="N35" s="1"/>
  <c r="M35" i="671"/>
  <c r="N35" s="1"/>
  <c r="M35" i="664"/>
  <c r="N35" s="1"/>
  <c r="M44" i="699"/>
  <c r="N44" s="1"/>
  <c r="N35"/>
  <c r="M43" i="706"/>
  <c r="N43" s="1"/>
  <c r="N34"/>
  <c r="M43" i="704"/>
  <c r="N43" s="1"/>
  <c r="N34"/>
  <c r="N34" i="700"/>
  <c r="M43"/>
  <c r="N43" s="1"/>
  <c r="M43" i="702"/>
  <c r="N43" s="1"/>
  <c r="M35" i="672"/>
  <c r="N35" s="1"/>
  <c r="M35" i="666"/>
  <c r="N35" s="1"/>
  <c r="N32" i="516"/>
  <c r="O32" s="1"/>
  <c r="O24"/>
  <c r="N32" i="514"/>
  <c r="O32" s="1"/>
  <c r="O24"/>
  <c r="N32" i="511"/>
  <c r="O32" s="1"/>
  <c r="O24"/>
  <c r="N32" i="510"/>
  <c r="O32" s="1"/>
  <c r="N32" i="512"/>
  <c r="O32" s="1"/>
  <c r="O24"/>
  <c r="N32" i="508"/>
  <c r="O32" s="1"/>
  <c r="O24"/>
  <c r="O24" i="513"/>
  <c r="N32"/>
  <c r="O32" s="1"/>
  <c r="M31" i="503"/>
  <c r="N31" s="1"/>
  <c r="N23"/>
  <c r="M31" i="496"/>
  <c r="N31" s="1"/>
  <c r="N23"/>
  <c r="N23" i="501"/>
  <c r="M31"/>
  <c r="N31" s="1"/>
  <c r="M30" i="498"/>
  <c r="N30" s="1"/>
  <c r="N22"/>
  <c r="M31" i="495"/>
  <c r="N31" s="1"/>
  <c r="N23"/>
  <c r="M31" i="500"/>
  <c r="N31" s="1"/>
  <c r="N23"/>
  <c r="M30" i="504"/>
  <c r="N30" s="1"/>
  <c r="N22"/>
  <c r="M31" i="497"/>
  <c r="N31" s="1"/>
  <c r="N23"/>
  <c r="R33" i="491"/>
  <c r="S33" s="1"/>
  <c r="S25"/>
  <c r="R33" i="485"/>
  <c r="S33" s="1"/>
  <c r="S25"/>
  <c r="R33" i="490"/>
  <c r="S33" s="1"/>
  <c r="S25"/>
  <c r="S25" i="486"/>
  <c r="R33"/>
  <c r="S33" s="1"/>
  <c r="R33" i="489"/>
  <c r="S33" s="1"/>
  <c r="S25"/>
  <c r="R33" i="484"/>
  <c r="S33" s="1"/>
  <c r="S25"/>
  <c r="S25" i="492"/>
  <c r="R33"/>
  <c r="S33" s="1"/>
  <c r="N35" i="475"/>
  <c r="O35" s="1"/>
  <c r="O26"/>
  <c r="N26" i="476"/>
  <c r="M35"/>
  <c r="N35" s="1"/>
  <c r="N35" i="473"/>
  <c r="O35" s="1"/>
  <c r="O26"/>
  <c r="O26" i="471"/>
  <c r="N35"/>
  <c r="O35" s="1"/>
  <c r="N36" i="479"/>
  <c r="O36" s="1"/>
  <c r="O27"/>
  <c r="M35" i="480"/>
  <c r="N35" s="1"/>
  <c r="N26"/>
  <c r="M35" i="477"/>
  <c r="N35" s="1"/>
  <c r="N26"/>
  <c r="O26" i="472"/>
  <c r="N35"/>
  <c r="O35" s="1"/>
  <c r="N32" i="465"/>
  <c r="O32" s="1"/>
  <c r="O23"/>
  <c r="N32" i="463"/>
  <c r="O32" s="1"/>
  <c r="O23"/>
  <c r="P23" i="466"/>
  <c r="O32"/>
  <c r="P32" s="1"/>
  <c r="N32" i="460"/>
  <c r="O32" s="1"/>
  <c r="O23"/>
  <c r="N32" i="469"/>
  <c r="O32" s="1"/>
  <c r="O23"/>
  <c r="N32" i="464"/>
  <c r="O32" s="1"/>
  <c r="O23"/>
  <c r="N32" i="461"/>
  <c r="O32" s="1"/>
  <c r="O23"/>
  <c r="O23" i="462"/>
  <c r="N32"/>
  <c r="O32" s="1"/>
  <c r="M35" i="456"/>
  <c r="N35" s="1"/>
  <c r="N27"/>
  <c r="M35" i="454"/>
  <c r="N35" s="1"/>
  <c r="N27"/>
  <c r="M35" i="452"/>
  <c r="N35" s="1"/>
  <c r="N27"/>
  <c r="N27" i="450"/>
  <c r="M35"/>
  <c r="N35" s="1"/>
  <c r="M35" i="448"/>
  <c r="N35" s="1"/>
  <c r="N27"/>
  <c r="M35" i="457"/>
  <c r="N35" s="1"/>
  <c r="N27"/>
  <c r="M35" i="455"/>
  <c r="N35" s="1"/>
  <c r="N27"/>
  <c r="M35" i="453"/>
  <c r="N35" s="1"/>
  <c r="N27"/>
  <c r="N27" i="451"/>
  <c r="M35"/>
  <c r="N35" s="1"/>
  <c r="M30" i="330"/>
  <c r="N30" s="1"/>
  <c r="N22" i="331"/>
  <c r="M31" i="332"/>
  <c r="N31" s="1"/>
  <c r="N23" i="333"/>
  <c r="M34" i="334"/>
  <c r="N34" s="1"/>
  <c r="M31" i="336"/>
  <c r="N31" s="1"/>
  <c r="N22" i="337"/>
  <c r="M31" i="338"/>
  <c r="N31" s="1"/>
  <c r="N22" i="339"/>
  <c r="L32" i="329" l="1"/>
  <c r="K32"/>
  <c r="J32"/>
  <c r="I32"/>
  <c r="H32"/>
  <c r="G32"/>
  <c r="F32"/>
  <c r="E32"/>
  <c r="M31"/>
  <c r="N31" s="1"/>
  <c r="M30"/>
  <c r="N30" s="1"/>
  <c r="M29"/>
  <c r="N29" s="1"/>
  <c r="D29"/>
  <c r="M28"/>
  <c r="N28" s="1"/>
  <c r="D28"/>
  <c r="M27"/>
  <c r="N27" s="1"/>
  <c r="D27"/>
  <c r="M26"/>
  <c r="N26" s="1"/>
  <c r="M25"/>
  <c r="N25" s="1"/>
  <c r="D25"/>
  <c r="M24"/>
  <c r="N24" s="1"/>
  <c r="D24"/>
  <c r="M23"/>
  <c r="M32" s="1"/>
  <c r="N32" s="1"/>
  <c r="D23"/>
  <c r="D32" s="1"/>
  <c r="J17"/>
  <c r="J16"/>
  <c r="L33" i="328"/>
  <c r="K33"/>
  <c r="J33"/>
  <c r="I33"/>
  <c r="H33"/>
  <c r="G33"/>
  <c r="F33"/>
  <c r="E33"/>
  <c r="M32"/>
  <c r="N32" s="1"/>
  <c r="M31"/>
  <c r="N31" s="1"/>
  <c r="M30"/>
  <c r="N30" s="1"/>
  <c r="D30"/>
  <c r="M29"/>
  <c r="N29" s="1"/>
  <c r="D29"/>
  <c r="M28"/>
  <c r="N28" s="1"/>
  <c r="D28"/>
  <c r="M27"/>
  <c r="N27" s="1"/>
  <c r="M26"/>
  <c r="N26" s="1"/>
  <c r="D26"/>
  <c r="M25"/>
  <c r="N25" s="1"/>
  <c r="D25"/>
  <c r="M24"/>
  <c r="N24" s="1"/>
  <c r="D24"/>
  <c r="D33" s="1"/>
  <c r="J18"/>
  <c r="J17"/>
  <c r="L32" i="327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D25"/>
  <c r="N24"/>
  <c r="M24"/>
  <c r="D24"/>
  <c r="M23"/>
  <c r="M32" s="1"/>
  <c r="N32" s="1"/>
  <c r="D23"/>
  <c r="D32" s="1"/>
  <c r="J18"/>
  <c r="J17"/>
  <c r="L33" i="326"/>
  <c r="K33"/>
  <c r="J33"/>
  <c r="I33"/>
  <c r="H33"/>
  <c r="G33"/>
  <c r="F33"/>
  <c r="E33"/>
  <c r="M32"/>
  <c r="N32" s="1"/>
  <c r="M31"/>
  <c r="N31" s="1"/>
  <c r="M30"/>
  <c r="N30" s="1"/>
  <c r="D30"/>
  <c r="M29"/>
  <c r="N29" s="1"/>
  <c r="D29"/>
  <c r="M28"/>
  <c r="N28" s="1"/>
  <c r="D28"/>
  <c r="M27"/>
  <c r="N27" s="1"/>
  <c r="M26"/>
  <c r="N26" s="1"/>
  <c r="D26"/>
  <c r="M25"/>
  <c r="N25" s="1"/>
  <c r="D25"/>
  <c r="M24"/>
  <c r="M33" s="1"/>
  <c r="N33" s="1"/>
  <c r="D24"/>
  <c r="D33" s="1"/>
  <c r="J18"/>
  <c r="J17"/>
  <c r="L31" i="325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N22" s="1"/>
  <c r="D22"/>
  <c r="D31" s="1"/>
  <c r="J17"/>
  <c r="J16"/>
  <c r="L35" i="324"/>
  <c r="K35"/>
  <c r="J35"/>
  <c r="I35"/>
  <c r="H35"/>
  <c r="G35"/>
  <c r="F35"/>
  <c r="E35"/>
  <c r="M34"/>
  <c r="N34" s="1"/>
  <c r="M33"/>
  <c r="N33" s="1"/>
  <c r="M32"/>
  <c r="N32" s="1"/>
  <c r="D32"/>
  <c r="M31"/>
  <c r="N31" s="1"/>
  <c r="M30"/>
  <c r="N30" s="1"/>
  <c r="D30"/>
  <c r="M29"/>
  <c r="N29" s="1"/>
  <c r="M28"/>
  <c r="N28" s="1"/>
  <c r="D28"/>
  <c r="M27"/>
  <c r="N27" s="1"/>
  <c r="D27"/>
  <c r="M26"/>
  <c r="M35" s="1"/>
  <c r="N35" s="1"/>
  <c r="D26"/>
  <c r="J21"/>
  <c r="J20"/>
  <c r="L33" i="323"/>
  <c r="K33"/>
  <c r="J33"/>
  <c r="I33"/>
  <c r="H33"/>
  <c r="G33"/>
  <c r="F33"/>
  <c r="E33"/>
  <c r="M32"/>
  <c r="N32" s="1"/>
  <c r="M31"/>
  <c r="N31" s="1"/>
  <c r="M30"/>
  <c r="N30" s="1"/>
  <c r="D30"/>
  <c r="M29"/>
  <c r="N29" s="1"/>
  <c r="D29"/>
  <c r="M28"/>
  <c r="N28" s="1"/>
  <c r="D28"/>
  <c r="M27"/>
  <c r="N27" s="1"/>
  <c r="M26"/>
  <c r="N26" s="1"/>
  <c r="D26"/>
  <c r="M25"/>
  <c r="N25" s="1"/>
  <c r="D25"/>
  <c r="M24"/>
  <c r="M33" s="1"/>
  <c r="N33" s="1"/>
  <c r="D24"/>
  <c r="D33" s="1"/>
  <c r="J18"/>
  <c r="J17"/>
  <c r="L33" i="322"/>
  <c r="K33"/>
  <c r="J33"/>
  <c r="I33"/>
  <c r="H33"/>
  <c r="G33"/>
  <c r="F33"/>
  <c r="E33"/>
  <c r="M32"/>
  <c r="N32" s="1"/>
  <c r="M31"/>
  <c r="N31" s="1"/>
  <c r="M30"/>
  <c r="N30" s="1"/>
  <c r="D30"/>
  <c r="M29"/>
  <c r="N29" s="1"/>
  <c r="D29"/>
  <c r="M28"/>
  <c r="N28" s="1"/>
  <c r="D28"/>
  <c r="M27"/>
  <c r="N27" s="1"/>
  <c r="M26"/>
  <c r="N26" s="1"/>
  <c r="D26"/>
  <c r="M25"/>
  <c r="N25" s="1"/>
  <c r="D25"/>
  <c r="M24"/>
  <c r="N24" s="1"/>
  <c r="D24"/>
  <c r="D33" s="1"/>
  <c r="J18"/>
  <c r="J17"/>
  <c r="L31" i="321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M31" s="1"/>
  <c r="N31" s="1"/>
  <c r="D22"/>
  <c r="D31" s="1"/>
  <c r="J17"/>
  <c r="J16"/>
  <c r="L31" i="320"/>
  <c r="K31"/>
  <c r="J31"/>
  <c r="I31"/>
  <c r="H31"/>
  <c r="G31"/>
  <c r="F31"/>
  <c r="E31"/>
  <c r="M30"/>
  <c r="N30" s="1"/>
  <c r="M29"/>
  <c r="N29" s="1"/>
  <c r="M28"/>
  <c r="N28" s="1"/>
  <c r="D28"/>
  <c r="M27"/>
  <c r="N27" s="1"/>
  <c r="D27"/>
  <c r="M26"/>
  <c r="N26" s="1"/>
  <c r="D26"/>
  <c r="M25"/>
  <c r="N25" s="1"/>
  <c r="M24"/>
  <c r="N24" s="1"/>
  <c r="D24"/>
  <c r="M23"/>
  <c r="N23" s="1"/>
  <c r="D23"/>
  <c r="M22"/>
  <c r="N22" s="1"/>
  <c r="D22"/>
  <c r="D31" s="1"/>
  <c r="J17"/>
  <c r="J16"/>
  <c r="N24" i="326" l="1"/>
  <c r="N22" i="321"/>
  <c r="N24" i="323"/>
  <c r="D35" i="324"/>
  <c r="M31" i="320"/>
  <c r="N31" s="1"/>
  <c r="M33" i="322"/>
  <c r="N33" s="1"/>
  <c r="M31" i="325"/>
  <c r="N31" s="1"/>
  <c r="M33" i="328"/>
  <c r="N33" s="1"/>
  <c r="N23" i="329"/>
  <c r="N26" i="324"/>
  <c r="N23" i="327"/>
  <c r="L32" i="319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D25"/>
  <c r="M24"/>
  <c r="N24" s="1"/>
  <c r="D24"/>
  <c r="M23"/>
  <c r="M32" s="1"/>
  <c r="N32" s="1"/>
  <c r="D23"/>
  <c r="D32" s="1"/>
  <c r="J18"/>
  <c r="J17"/>
  <c r="L35" i="318"/>
  <c r="K35"/>
  <c r="J35"/>
  <c r="I35"/>
  <c r="H35"/>
  <c r="G35"/>
  <c r="F35"/>
  <c r="E35"/>
  <c r="M34"/>
  <c r="N34" s="1"/>
  <c r="M33"/>
  <c r="N33" s="1"/>
  <c r="D33"/>
  <c r="M32"/>
  <c r="N32" s="1"/>
  <c r="D32"/>
  <c r="M31"/>
  <c r="N31" s="1"/>
  <c r="D31"/>
  <c r="M30"/>
  <c r="N30" s="1"/>
  <c r="D30"/>
  <c r="M29"/>
  <c r="N29" s="1"/>
  <c r="M28"/>
  <c r="N28" s="1"/>
  <c r="D28"/>
  <c r="M27"/>
  <c r="D27"/>
  <c r="M26"/>
  <c r="N26" s="1"/>
  <c r="D26"/>
  <c r="D35" s="1"/>
  <c r="J21"/>
  <c r="J20"/>
  <c r="L33" i="317"/>
  <c r="K33"/>
  <c r="J33"/>
  <c r="I33"/>
  <c r="H33"/>
  <c r="G33"/>
  <c r="F33"/>
  <c r="E33"/>
  <c r="M32"/>
  <c r="N32" s="1"/>
  <c r="M31"/>
  <c r="N31" s="1"/>
  <c r="M30"/>
  <c r="N30" s="1"/>
  <c r="D30"/>
  <c r="M29"/>
  <c r="N29" s="1"/>
  <c r="D29"/>
  <c r="M28"/>
  <c r="N28" s="1"/>
  <c r="D28"/>
  <c r="M27"/>
  <c r="N27" s="1"/>
  <c r="M26"/>
  <c r="N26" s="1"/>
  <c r="D26"/>
  <c r="M25"/>
  <c r="N25" s="1"/>
  <c r="D25"/>
  <c r="M24"/>
  <c r="M33" s="1"/>
  <c r="N33" s="1"/>
  <c r="D24"/>
  <c r="D33" s="1"/>
  <c r="J19"/>
  <c r="J18"/>
  <c r="L67" i="316"/>
  <c r="K67"/>
  <c r="J67"/>
  <c r="I67"/>
  <c r="H67"/>
  <c r="G67"/>
  <c r="F67"/>
  <c r="E67"/>
  <c r="M66"/>
  <c r="N66" s="1"/>
  <c r="M65"/>
  <c r="N65" s="1"/>
  <c r="M64"/>
  <c r="N64" s="1"/>
  <c r="D64"/>
  <c r="M63"/>
  <c r="N63" s="1"/>
  <c r="M62"/>
  <c r="N62" s="1"/>
  <c r="D62"/>
  <c r="M61"/>
  <c r="N61" s="1"/>
  <c r="M60"/>
  <c r="N60" s="1"/>
  <c r="D60"/>
  <c r="M59"/>
  <c r="N59" s="1"/>
  <c r="D59"/>
  <c r="M58"/>
  <c r="M67" s="1"/>
  <c r="N67" s="1"/>
  <c r="D58"/>
  <c r="J53"/>
  <c r="J52"/>
  <c r="L32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D25"/>
  <c r="M24"/>
  <c r="N24" s="1"/>
  <c r="D24"/>
  <c r="M23"/>
  <c r="M32" s="1"/>
  <c r="N32" s="1"/>
  <c r="D23"/>
  <c r="J18"/>
  <c r="J17"/>
  <c r="L33" i="315"/>
  <c r="K33"/>
  <c r="J33"/>
  <c r="I33"/>
  <c r="H33"/>
  <c r="G33"/>
  <c r="F33"/>
  <c r="E33"/>
  <c r="M32"/>
  <c r="N32" s="1"/>
  <c r="M31"/>
  <c r="N31" s="1"/>
  <c r="M30"/>
  <c r="N30" s="1"/>
  <c r="D30"/>
  <c r="M29"/>
  <c r="N29" s="1"/>
  <c r="D29"/>
  <c r="M28"/>
  <c r="N28" s="1"/>
  <c r="D28"/>
  <c r="M27"/>
  <c r="N27" s="1"/>
  <c r="M26"/>
  <c r="N26" s="1"/>
  <c r="D26"/>
  <c r="M25"/>
  <c r="N25" s="1"/>
  <c r="D25"/>
  <c r="M24"/>
  <c r="M33" s="1"/>
  <c r="N33" s="1"/>
  <c r="D24"/>
  <c r="J19"/>
  <c r="J18"/>
  <c r="L32" i="314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D25"/>
  <c r="M24"/>
  <c r="N24" s="1"/>
  <c r="D24"/>
  <c r="M23"/>
  <c r="M32" s="1"/>
  <c r="N32" s="1"/>
  <c r="D23"/>
  <c r="D32" s="1"/>
  <c r="J18"/>
  <c r="J17"/>
  <c r="L33" i="313"/>
  <c r="K33"/>
  <c r="J33"/>
  <c r="I33"/>
  <c r="H33"/>
  <c r="G33"/>
  <c r="F33"/>
  <c r="E33"/>
  <c r="M32"/>
  <c r="N32" s="1"/>
  <c r="M31"/>
  <c r="N31" s="1"/>
  <c r="M30"/>
  <c r="N30" s="1"/>
  <c r="D30"/>
  <c r="M29"/>
  <c r="N29" s="1"/>
  <c r="D29"/>
  <c r="M28"/>
  <c r="N28" s="1"/>
  <c r="D28"/>
  <c r="M27"/>
  <c r="N27" s="1"/>
  <c r="M26"/>
  <c r="N26" s="1"/>
  <c r="D26"/>
  <c r="M25"/>
  <c r="N25" s="1"/>
  <c r="D25"/>
  <c r="M24"/>
  <c r="M33" s="1"/>
  <c r="N33" s="1"/>
  <c r="D24"/>
  <c r="D33" s="1"/>
  <c r="J19"/>
  <c r="J18"/>
  <c r="L33" i="312"/>
  <c r="K33"/>
  <c r="J33"/>
  <c r="I33"/>
  <c r="H33"/>
  <c r="G33"/>
  <c r="F33"/>
  <c r="E33"/>
  <c r="M32"/>
  <c r="N32" s="1"/>
  <c r="M31"/>
  <c r="N31" s="1"/>
  <c r="M30"/>
  <c r="N30" s="1"/>
  <c r="D30"/>
  <c r="M29"/>
  <c r="N29" s="1"/>
  <c r="D29"/>
  <c r="M28"/>
  <c r="N28" s="1"/>
  <c r="D28"/>
  <c r="N27"/>
  <c r="M27"/>
  <c r="N26"/>
  <c r="M26"/>
  <c r="D26"/>
  <c r="M25"/>
  <c r="N25" s="1"/>
  <c r="D25"/>
  <c r="M24"/>
  <c r="M33" s="1"/>
  <c r="N33" s="1"/>
  <c r="D24"/>
  <c r="D33" s="1"/>
  <c r="J19"/>
  <c r="J18"/>
  <c r="L33" i="311"/>
  <c r="K33"/>
  <c r="J33"/>
  <c r="I33"/>
  <c r="H33"/>
  <c r="G33"/>
  <c r="F33"/>
  <c r="E33"/>
  <c r="M32"/>
  <c r="N32" s="1"/>
  <c r="M31"/>
  <c r="N31" s="1"/>
  <c r="M30"/>
  <c r="N30" s="1"/>
  <c r="D30"/>
  <c r="M29"/>
  <c r="N29" s="1"/>
  <c r="M28"/>
  <c r="N28" s="1"/>
  <c r="D28"/>
  <c r="M27"/>
  <c r="N27" s="1"/>
  <c r="M26"/>
  <c r="N26" s="1"/>
  <c r="D26"/>
  <c r="M25"/>
  <c r="N25" s="1"/>
  <c r="D25"/>
  <c r="M24"/>
  <c r="M33" s="1"/>
  <c r="N33" s="1"/>
  <c r="D24"/>
  <c r="D33" s="1"/>
  <c r="J19"/>
  <c r="J18"/>
  <c r="L32" i="310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D25"/>
  <c r="M24"/>
  <c r="N24" s="1"/>
  <c r="D24"/>
  <c r="M23"/>
  <c r="M32" s="1"/>
  <c r="N32" s="1"/>
  <c r="D23"/>
  <c r="D32" s="1"/>
  <c r="J18"/>
  <c r="J17"/>
  <c r="D33" i="315" l="1"/>
  <c r="N24"/>
  <c r="N23" i="319"/>
  <c r="N24" i="311"/>
  <c r="N24" i="312"/>
  <c r="N23" i="314"/>
  <c r="D67" i="316"/>
  <c r="D32"/>
  <c r="M35" i="318"/>
  <c r="N35" s="1"/>
  <c r="N24" i="313"/>
  <c r="N23" i="316"/>
  <c r="N58"/>
  <c r="N24" i="317"/>
  <c r="N27" i="318"/>
  <c r="N23" i="310"/>
  <c r="L32" i="309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M32" s="1"/>
  <c r="N32" s="1"/>
  <c r="D23"/>
  <c r="D32" s="1"/>
  <c r="J18"/>
  <c r="J17"/>
  <c r="L32" i="308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M32" s="1"/>
  <c r="N32" s="1"/>
  <c r="D23"/>
  <c r="D32" s="1"/>
  <c r="J18"/>
  <c r="J17"/>
  <c r="L32" i="307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D23"/>
  <c r="D32" s="1"/>
  <c r="J18"/>
  <c r="J17"/>
  <c r="L32" i="306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D23"/>
  <c r="D32" s="1"/>
  <c r="J18"/>
  <c r="J17"/>
  <c r="L32" i="305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D23"/>
  <c r="D32" s="1"/>
  <c r="J18"/>
  <c r="J17"/>
  <c r="L32" i="304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M32" s="1"/>
  <c r="N32" s="1"/>
  <c r="D23"/>
  <c r="D32" s="1"/>
  <c r="J18"/>
  <c r="J17"/>
  <c r="L32" i="303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D23"/>
  <c r="D32" s="1"/>
  <c r="J18"/>
  <c r="J17"/>
  <c r="L32" i="302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D23"/>
  <c r="D32" s="1"/>
  <c r="J18"/>
  <c r="J17"/>
  <c r="L35" i="301"/>
  <c r="K35"/>
  <c r="J35"/>
  <c r="I35"/>
  <c r="H35"/>
  <c r="G35"/>
  <c r="F35"/>
  <c r="E35"/>
  <c r="M34"/>
  <c r="N34" s="1"/>
  <c r="M33"/>
  <c r="N33" s="1"/>
  <c r="M32"/>
  <c r="N32" s="1"/>
  <c r="D32"/>
  <c r="M31"/>
  <c r="N31" s="1"/>
  <c r="M30"/>
  <c r="N30" s="1"/>
  <c r="D30"/>
  <c r="M29"/>
  <c r="N29" s="1"/>
  <c r="M28"/>
  <c r="N28" s="1"/>
  <c r="M27"/>
  <c r="N27" s="1"/>
  <c r="M26"/>
  <c r="D26"/>
  <c r="D35" s="1"/>
  <c r="J21"/>
  <c r="J20"/>
  <c r="L32" i="300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D23"/>
  <c r="D32" s="1"/>
  <c r="J18"/>
  <c r="J17"/>
  <c r="M32" i="305" l="1"/>
  <c r="N32" s="1"/>
  <c r="M32" i="306"/>
  <c r="N32" s="1"/>
  <c r="M32" i="307"/>
  <c r="N32" s="1"/>
  <c r="M32" i="300"/>
  <c r="N32" s="1"/>
  <c r="M35" i="301"/>
  <c r="N35" s="1"/>
  <c r="M32" i="302"/>
  <c r="N32" s="1"/>
  <c r="M32" i="303"/>
  <c r="N32" s="1"/>
  <c r="N23" i="308"/>
  <c r="N23" i="309"/>
  <c r="N23" i="307"/>
  <c r="N23" i="300"/>
  <c r="N26" i="301"/>
  <c r="N23" i="302"/>
  <c r="N23" i="303"/>
  <c r="N23" i="304"/>
  <c r="N23" i="305"/>
  <c r="N23" i="306"/>
  <c r="J17" i="299" l="1"/>
  <c r="J18"/>
  <c r="D23"/>
  <c r="M23"/>
  <c r="N23" s="1"/>
  <c r="M24"/>
  <c r="N24" s="1"/>
  <c r="M25"/>
  <c r="N25" s="1"/>
  <c r="M26"/>
  <c r="N26" s="1"/>
  <c r="D27"/>
  <c r="M27"/>
  <c r="N27" s="1"/>
  <c r="M28"/>
  <c r="N28" s="1"/>
  <c r="D29"/>
  <c r="M29"/>
  <c r="N29" s="1"/>
  <c r="M30"/>
  <c r="N30" s="1"/>
  <c r="M31"/>
  <c r="N31" s="1"/>
  <c r="D32"/>
  <c r="E32"/>
  <c r="F32"/>
  <c r="G32"/>
  <c r="H32"/>
  <c r="I32"/>
  <c r="J32"/>
  <c r="K32"/>
  <c r="L32"/>
  <c r="M32"/>
  <c r="N32"/>
  <c r="J17" i="298"/>
  <c r="J18"/>
  <c r="D23"/>
  <c r="M23"/>
  <c r="N23" s="1"/>
  <c r="M24"/>
  <c r="N24" s="1"/>
  <c r="M25"/>
  <c r="N25" s="1"/>
  <c r="M26"/>
  <c r="N26" s="1"/>
  <c r="D27"/>
  <c r="M27"/>
  <c r="N27" s="1"/>
  <c r="M28"/>
  <c r="N28" s="1"/>
  <c r="D29"/>
  <c r="M29"/>
  <c r="N29" s="1"/>
  <c r="M30"/>
  <c r="N30" s="1"/>
  <c r="M31"/>
  <c r="N31" s="1"/>
  <c r="D32"/>
  <c r="E32"/>
  <c r="F32"/>
  <c r="G32"/>
  <c r="H32"/>
  <c r="I32"/>
  <c r="J32"/>
  <c r="K32"/>
  <c r="L32"/>
  <c r="M32"/>
  <c r="N32" s="1"/>
  <c r="J17" i="297"/>
  <c r="J18"/>
  <c r="D23"/>
  <c r="M23"/>
  <c r="N23" s="1"/>
  <c r="M24"/>
  <c r="N24" s="1"/>
  <c r="M25"/>
  <c r="N25" s="1"/>
  <c r="M26"/>
  <c r="N26" s="1"/>
  <c r="D27"/>
  <c r="M27"/>
  <c r="N27" s="1"/>
  <c r="M28"/>
  <c r="N28" s="1"/>
  <c r="D29"/>
  <c r="M29"/>
  <c r="N29" s="1"/>
  <c r="M30"/>
  <c r="N30" s="1"/>
  <c r="M31"/>
  <c r="N31" s="1"/>
  <c r="D32"/>
  <c r="E32"/>
  <c r="F32"/>
  <c r="G32"/>
  <c r="H32"/>
  <c r="I32"/>
  <c r="J32"/>
  <c r="K32"/>
  <c r="L32"/>
  <c r="M32"/>
  <c r="N32" s="1"/>
  <c r="J17" i="296"/>
  <c r="J18"/>
  <c r="D23"/>
  <c r="M23"/>
  <c r="N23" s="1"/>
  <c r="M24"/>
  <c r="N24" s="1"/>
  <c r="M25"/>
  <c r="N25" s="1"/>
  <c r="M26"/>
  <c r="N26" s="1"/>
  <c r="D27"/>
  <c r="M27"/>
  <c r="N27" s="1"/>
  <c r="M28"/>
  <c r="N28" s="1"/>
  <c r="D29"/>
  <c r="M29"/>
  <c r="N29" s="1"/>
  <c r="M30"/>
  <c r="N30" s="1"/>
  <c r="M31"/>
  <c r="N31" s="1"/>
  <c r="D32"/>
  <c r="E32"/>
  <c r="F32"/>
  <c r="G32"/>
  <c r="H32"/>
  <c r="I32"/>
  <c r="J32"/>
  <c r="K32"/>
  <c r="L32"/>
  <c r="M32"/>
  <c r="N32" s="1"/>
  <c r="J17" i="295"/>
  <c r="J18"/>
  <c r="D23"/>
  <c r="M23"/>
  <c r="N23" s="1"/>
  <c r="M24"/>
  <c r="N24" s="1"/>
  <c r="M25"/>
  <c r="N25" s="1"/>
  <c r="M26"/>
  <c r="N26" s="1"/>
  <c r="D27"/>
  <c r="M27"/>
  <c r="N27" s="1"/>
  <c r="M28"/>
  <c r="N28" s="1"/>
  <c r="D29"/>
  <c r="M29"/>
  <c r="N29" s="1"/>
  <c r="M30"/>
  <c r="N30" s="1"/>
  <c r="M31"/>
  <c r="N31" s="1"/>
  <c r="D32"/>
  <c r="E32"/>
  <c r="F32"/>
  <c r="G32"/>
  <c r="H32"/>
  <c r="I32"/>
  <c r="J32"/>
  <c r="K32"/>
  <c r="L32"/>
  <c r="M32"/>
  <c r="N32" s="1"/>
  <c r="J17" i="294"/>
  <c r="J18"/>
  <c r="D23"/>
  <c r="M23"/>
  <c r="N23" s="1"/>
  <c r="M24"/>
  <c r="N24" s="1"/>
  <c r="M25"/>
  <c r="N25" s="1"/>
  <c r="M26"/>
  <c r="N26" s="1"/>
  <c r="D27"/>
  <c r="M27"/>
  <c r="N27" s="1"/>
  <c r="M28"/>
  <c r="N28" s="1"/>
  <c r="D29"/>
  <c r="M29"/>
  <c r="N29" s="1"/>
  <c r="M30"/>
  <c r="N30" s="1"/>
  <c r="M31"/>
  <c r="N31" s="1"/>
  <c r="D32"/>
  <c r="E32"/>
  <c r="F32"/>
  <c r="G32"/>
  <c r="H32"/>
  <c r="I32"/>
  <c r="J32"/>
  <c r="K32"/>
  <c r="L32"/>
  <c r="M32"/>
  <c r="N32" s="1"/>
  <c r="J17" i="293"/>
  <c r="J18"/>
  <c r="D23"/>
  <c r="M23"/>
  <c r="N23" s="1"/>
  <c r="M24"/>
  <c r="N24" s="1"/>
  <c r="M25"/>
  <c r="N25" s="1"/>
  <c r="M26"/>
  <c r="N26" s="1"/>
  <c r="D27"/>
  <c r="M27"/>
  <c r="N27" s="1"/>
  <c r="M28"/>
  <c r="N28" s="1"/>
  <c r="D29"/>
  <c r="M29"/>
  <c r="N29" s="1"/>
  <c r="M30"/>
  <c r="N30" s="1"/>
  <c r="M31"/>
  <c r="N31" s="1"/>
  <c r="D32"/>
  <c r="E32"/>
  <c r="F32"/>
  <c r="G32"/>
  <c r="H32"/>
  <c r="I32"/>
  <c r="J32"/>
  <c r="K32"/>
  <c r="L32"/>
  <c r="M32"/>
  <c r="N32"/>
  <c r="J17" i="292"/>
  <c r="J18"/>
  <c r="D23"/>
  <c r="M23"/>
  <c r="N23" s="1"/>
  <c r="M24"/>
  <c r="N24" s="1"/>
  <c r="M25"/>
  <c r="N25" s="1"/>
  <c r="M26"/>
  <c r="N26" s="1"/>
  <c r="D27"/>
  <c r="M27"/>
  <c r="N27" s="1"/>
  <c r="M28"/>
  <c r="N28" s="1"/>
  <c r="D29"/>
  <c r="M29"/>
  <c r="N29" s="1"/>
  <c r="M30"/>
  <c r="N30" s="1"/>
  <c r="M31"/>
  <c r="N31" s="1"/>
  <c r="D32"/>
  <c r="E32"/>
  <c r="F32"/>
  <c r="G32"/>
  <c r="H32"/>
  <c r="I32"/>
  <c r="J32"/>
  <c r="K32"/>
  <c r="L32"/>
  <c r="M32"/>
  <c r="N32" s="1"/>
  <c r="J17" i="291"/>
  <c r="J18"/>
  <c r="D23"/>
  <c r="M23"/>
  <c r="N23"/>
  <c r="M24"/>
  <c r="N24" s="1"/>
  <c r="M25"/>
  <c r="N25" s="1"/>
  <c r="M26"/>
  <c r="N26" s="1"/>
  <c r="D27"/>
  <c r="M27"/>
  <c r="N27" s="1"/>
  <c r="M28"/>
  <c r="N28" s="1"/>
  <c r="D29"/>
  <c r="M29"/>
  <c r="N29" s="1"/>
  <c r="M30"/>
  <c r="N30"/>
  <c r="M31"/>
  <c r="N31"/>
  <c r="D32"/>
  <c r="E32"/>
  <c r="F32"/>
  <c r="G32"/>
  <c r="H32"/>
  <c r="I32"/>
  <c r="J32"/>
  <c r="K32"/>
  <c r="L32"/>
  <c r="M32"/>
  <c r="N32" s="1"/>
  <c r="J20" i="290"/>
  <c r="J21"/>
  <c r="D26"/>
  <c r="M26"/>
  <c r="N26" s="1"/>
  <c r="M27"/>
  <c r="N27" s="1"/>
  <c r="M28"/>
  <c r="N28" s="1"/>
  <c r="M29"/>
  <c r="N29" s="1"/>
  <c r="D30"/>
  <c r="M30"/>
  <c r="N30" s="1"/>
  <c r="M31"/>
  <c r="N31" s="1"/>
  <c r="D32"/>
  <c r="M32"/>
  <c r="N32" s="1"/>
  <c r="M33"/>
  <c r="N33" s="1"/>
  <c r="M34"/>
  <c r="N34" s="1"/>
  <c r="D35"/>
  <c r="E35"/>
  <c r="F35"/>
  <c r="G35"/>
  <c r="H35"/>
  <c r="I35"/>
  <c r="J35"/>
  <c r="K35"/>
  <c r="L35"/>
  <c r="M35"/>
  <c r="N35" s="1"/>
  <c r="L32" i="289" l="1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D23"/>
  <c r="D32" s="1"/>
  <c r="J18"/>
  <c r="J17"/>
  <c r="L31" i="288"/>
  <c r="K31"/>
  <c r="J31"/>
  <c r="I31"/>
  <c r="H31"/>
  <c r="G31"/>
  <c r="F31"/>
  <c r="E31"/>
  <c r="M30"/>
  <c r="N30" s="1"/>
  <c r="M29"/>
  <c r="N29" s="1"/>
  <c r="M28"/>
  <c r="N28" s="1"/>
  <c r="D28"/>
  <c r="M27"/>
  <c r="N27" s="1"/>
  <c r="M26"/>
  <c r="N26" s="1"/>
  <c r="D26"/>
  <c r="M25"/>
  <c r="N25" s="1"/>
  <c r="M24"/>
  <c r="N24" s="1"/>
  <c r="M23"/>
  <c r="N23" s="1"/>
  <c r="M22"/>
  <c r="M31" s="1"/>
  <c r="N31" s="1"/>
  <c r="D22"/>
  <c r="D31" s="1"/>
  <c r="J17"/>
  <c r="J16"/>
  <c r="L31" i="287"/>
  <c r="K31"/>
  <c r="J31"/>
  <c r="I31"/>
  <c r="H31"/>
  <c r="G31"/>
  <c r="F31"/>
  <c r="E31"/>
  <c r="M30"/>
  <c r="N30" s="1"/>
  <c r="M29"/>
  <c r="N29" s="1"/>
  <c r="M28"/>
  <c r="N28" s="1"/>
  <c r="D28"/>
  <c r="M27"/>
  <c r="N27" s="1"/>
  <c r="M26"/>
  <c r="N26" s="1"/>
  <c r="D26"/>
  <c r="M25"/>
  <c r="N25" s="1"/>
  <c r="M24"/>
  <c r="N24" s="1"/>
  <c r="M23"/>
  <c r="N23" s="1"/>
  <c r="M22"/>
  <c r="M31" s="1"/>
  <c r="N31" s="1"/>
  <c r="D22"/>
  <c r="D31" s="1"/>
  <c r="J17"/>
  <c r="J16"/>
  <c r="L32" i="286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M32" s="1"/>
  <c r="N32" s="1"/>
  <c r="D23"/>
  <c r="D32" s="1"/>
  <c r="J18"/>
  <c r="J17"/>
  <c r="L31" i="285"/>
  <c r="K31"/>
  <c r="J31"/>
  <c r="I31"/>
  <c r="H31"/>
  <c r="G31"/>
  <c r="F31"/>
  <c r="E31"/>
  <c r="M30"/>
  <c r="N30" s="1"/>
  <c r="M29"/>
  <c r="N29" s="1"/>
  <c r="M28"/>
  <c r="N28" s="1"/>
  <c r="D28"/>
  <c r="M27"/>
  <c r="N27" s="1"/>
  <c r="M26"/>
  <c r="N26" s="1"/>
  <c r="D26"/>
  <c r="M25"/>
  <c r="N25" s="1"/>
  <c r="M24"/>
  <c r="N24" s="1"/>
  <c r="M23"/>
  <c r="N23" s="1"/>
  <c r="M22"/>
  <c r="M31" s="1"/>
  <c r="N31" s="1"/>
  <c r="D22"/>
  <c r="D31" s="1"/>
  <c r="J17"/>
  <c r="J16"/>
  <c r="L32" i="284"/>
  <c r="K32"/>
  <c r="J32"/>
  <c r="I32"/>
  <c r="H32"/>
  <c r="G32"/>
  <c r="F32"/>
  <c r="E32"/>
  <c r="M31"/>
  <c r="N31" s="1"/>
  <c r="M30"/>
  <c r="N30" s="1"/>
  <c r="M29"/>
  <c r="N29" s="1"/>
  <c r="M28"/>
  <c r="N28" s="1"/>
  <c r="D28"/>
  <c r="M27"/>
  <c r="N27" s="1"/>
  <c r="M26"/>
  <c r="N26" s="1"/>
  <c r="M25"/>
  <c r="N25" s="1"/>
  <c r="M24"/>
  <c r="N24" s="1"/>
  <c r="M23"/>
  <c r="M32" s="1"/>
  <c r="N32" s="1"/>
  <c r="D23"/>
  <c r="D32" s="1"/>
  <c r="J18"/>
  <c r="J17"/>
  <c r="L32" i="283"/>
  <c r="K32"/>
  <c r="J32"/>
  <c r="I32"/>
  <c r="H32"/>
  <c r="G32"/>
  <c r="F32"/>
  <c r="E32"/>
  <c r="M31"/>
  <c r="N31" s="1"/>
  <c r="M30"/>
  <c r="N30" s="1"/>
  <c r="M29"/>
  <c r="N29" s="1"/>
  <c r="D29"/>
  <c r="M28"/>
  <c r="N28" s="1"/>
  <c r="D28"/>
  <c r="M27"/>
  <c r="N27" s="1"/>
  <c r="D27"/>
  <c r="M26"/>
  <c r="N26" s="1"/>
  <c r="M25"/>
  <c r="N25" s="1"/>
  <c r="M24"/>
  <c r="N24" s="1"/>
  <c r="M23"/>
  <c r="N23" s="1"/>
  <c r="D23"/>
  <c r="D32" s="1"/>
  <c r="J18"/>
  <c r="J17"/>
  <c r="L32" i="282"/>
  <c r="K32"/>
  <c r="J32"/>
  <c r="I32"/>
  <c r="H32"/>
  <c r="G32"/>
  <c r="F32"/>
  <c r="E32"/>
  <c r="M31"/>
  <c r="N31" s="1"/>
  <c r="M30"/>
  <c r="N30" s="1"/>
  <c r="M29"/>
  <c r="N29" s="1"/>
  <c r="D29"/>
  <c r="M28"/>
  <c r="N28" s="1"/>
  <c r="D28"/>
  <c r="M27"/>
  <c r="N27" s="1"/>
  <c r="D27"/>
  <c r="M26"/>
  <c r="N26" s="1"/>
  <c r="M25"/>
  <c r="N25" s="1"/>
  <c r="M24"/>
  <c r="N24" s="1"/>
  <c r="M23"/>
  <c r="M32" s="1"/>
  <c r="N32" s="1"/>
  <c r="D23"/>
  <c r="D32" s="1"/>
  <c r="J18"/>
  <c r="J17"/>
  <c r="L35" i="281"/>
  <c r="K35"/>
  <c r="J35"/>
  <c r="I35"/>
  <c r="H35"/>
  <c r="G35"/>
  <c r="F35"/>
  <c r="E35"/>
  <c r="M34"/>
  <c r="N34" s="1"/>
  <c r="M33"/>
  <c r="N33" s="1"/>
  <c r="M32"/>
  <c r="N32" s="1"/>
  <c r="D32"/>
  <c r="M31"/>
  <c r="N31" s="1"/>
  <c r="D31"/>
  <c r="M30"/>
  <c r="N30" s="1"/>
  <c r="D30"/>
  <c r="M29"/>
  <c r="N29" s="1"/>
  <c r="M28"/>
  <c r="N28" s="1"/>
  <c r="M27"/>
  <c r="N27" s="1"/>
  <c r="M26"/>
  <c r="N26" s="1"/>
  <c r="D26"/>
  <c r="D35" s="1"/>
  <c r="J21"/>
  <c r="J20"/>
  <c r="L32" i="280"/>
  <c r="K32"/>
  <c r="J32"/>
  <c r="I32"/>
  <c r="H32"/>
  <c r="G32"/>
  <c r="F32"/>
  <c r="E32"/>
  <c r="M31"/>
  <c r="N31" s="1"/>
  <c r="M30"/>
  <c r="N30" s="1"/>
  <c r="M29"/>
  <c r="N29" s="1"/>
  <c r="D29"/>
  <c r="M28"/>
  <c r="N28" s="1"/>
  <c r="M27"/>
  <c r="N27" s="1"/>
  <c r="D27"/>
  <c r="M26"/>
  <c r="N26" s="1"/>
  <c r="M25"/>
  <c r="N25" s="1"/>
  <c r="M24"/>
  <c r="N24" s="1"/>
  <c r="M23"/>
  <c r="M32" s="1"/>
  <c r="N32" s="1"/>
  <c r="D23"/>
  <c r="D32" s="1"/>
  <c r="J18"/>
  <c r="J17"/>
  <c r="M32" i="289" l="1"/>
  <c r="N32" s="1"/>
  <c r="M35" i="281"/>
  <c r="N35" s="1"/>
  <c r="N23" i="282"/>
  <c r="M32" i="283"/>
  <c r="N32" s="1"/>
  <c r="N23" i="284"/>
  <c r="N23" i="280"/>
  <c r="N22" i="285"/>
  <c r="N23" i="286"/>
  <c r="N22" i="287"/>
  <c r="N22" i="288"/>
  <c r="N23" i="289"/>
</calcChain>
</file>

<file path=xl/comments1.xml><?xml version="1.0" encoding="utf-8"?>
<comments xmlns="http://schemas.openxmlformats.org/spreadsheetml/2006/main">
  <authors>
    <author>Author</author>
  </authors>
  <commentList>
    <comment ref="B5" authorId="0">
      <text>
        <r>
          <rPr>
            <b/>
            <sz val="8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<sst xmlns="http://schemas.openxmlformats.org/spreadsheetml/2006/main" count="31694" uniqueCount="5816">
  <si>
    <t>Sl. No.</t>
  </si>
  <si>
    <t>District</t>
  </si>
  <si>
    <t>Block</t>
  </si>
  <si>
    <t>FNGO</t>
  </si>
  <si>
    <t>Name of the VDC</t>
  </si>
  <si>
    <t>Treatable Area</t>
  </si>
  <si>
    <t>Kalahandi</t>
  </si>
  <si>
    <t>Th. Rampur</t>
  </si>
  <si>
    <t>Gram Vikas</t>
  </si>
  <si>
    <t>Mataji GUS, Sargipadar</t>
  </si>
  <si>
    <t>Kanbura GUS, Talampadar</t>
  </si>
  <si>
    <t>Maa Thakurani GUS, Chulbadi</t>
  </si>
  <si>
    <t>Siklimali GUS, Khakes</t>
  </si>
  <si>
    <t>Tribeni GUS, Karang</t>
  </si>
  <si>
    <t>Maa Gayatri GUS, Bhataguda</t>
  </si>
  <si>
    <t>Khandual GUS, Jabang</t>
  </si>
  <si>
    <t>Laxmi GUS, Kathaghara</t>
  </si>
  <si>
    <t>Maa Adimata GUS, Sialipadar</t>
  </si>
  <si>
    <t>Nagabali GUS, Semelpadar</t>
  </si>
  <si>
    <t>Dharitri GUS, Polingpadar</t>
  </si>
  <si>
    <t>Subhashree GUS, Kerpai</t>
  </si>
  <si>
    <t>Antodaya</t>
  </si>
  <si>
    <t>Maa Gundirani GUS, Pindapadar</t>
  </si>
  <si>
    <t>Tijraja GUS, Amjhola</t>
  </si>
  <si>
    <t>Maa Dharni GUS, Nakrundi</t>
  </si>
  <si>
    <t>Maa Dokri GUS, Taramundi</t>
  </si>
  <si>
    <t>Badaraja Madi GUS, Kirkicha</t>
  </si>
  <si>
    <t>Nagavali GUS, Turibhejiguda</t>
  </si>
  <si>
    <t>Duibhauni Debi GUS, Melrafa</t>
  </si>
  <si>
    <t>Adishakti GUS, Sikerguda</t>
  </si>
  <si>
    <t>Devgiri GUS, Kandulguda</t>
  </si>
  <si>
    <t>Chandragiri GUS, Malatipadar</t>
  </si>
  <si>
    <t>Kiaphul Mali GUS, Melghara</t>
  </si>
  <si>
    <t>Lanjigarh</t>
  </si>
  <si>
    <t>GVT</t>
  </si>
  <si>
    <t>Maa Dharani Debta GUS, Chachagaon</t>
  </si>
  <si>
    <t>Maa Agni Bhairabi GUS, Usabahali</t>
  </si>
  <si>
    <t>Om Sibaya GUS, Malijubang</t>
  </si>
  <si>
    <t>Dharani Debata GUS, Madanguda</t>
  </si>
  <si>
    <t>Maa Tarini GUS, Punjam</t>
  </si>
  <si>
    <t>Bhairab GUS, Jiragaon</t>
  </si>
  <si>
    <t>Siba Shakti GUS, Panpadar</t>
  </si>
  <si>
    <t>Maa Manikeswari GUS, Baterpada</t>
  </si>
  <si>
    <t>Jay Bagha Duar GUS, Salpadar</t>
  </si>
  <si>
    <t>Penu Debta GUS, Badsemelpadar</t>
  </si>
  <si>
    <t>Maa Kanakdurga GUS, Danariguda</t>
  </si>
  <si>
    <t>Jay Bajrangi GUS, Kalakupa</t>
  </si>
  <si>
    <t>Patrabuda Budaraja GUS, Bankakundru</t>
  </si>
  <si>
    <t>Koraput</t>
  </si>
  <si>
    <t>Laxmipur</t>
  </si>
  <si>
    <t>CYSD</t>
  </si>
  <si>
    <t>Dui Samuduni WDA (Bhalujodi)</t>
  </si>
  <si>
    <t>Maa Manidei WDA (Khalkona)</t>
  </si>
  <si>
    <t>Ranasingha WDA (Karaguda)</t>
  </si>
  <si>
    <t>Kadingamali WDA (Biriguda)</t>
  </si>
  <si>
    <t>Ama Dei WDA (Bhitarguda)</t>
  </si>
  <si>
    <t>Birisaunra WDA (U.Kuttinga)</t>
  </si>
  <si>
    <t>Timibandha WDA (Talakutinga)</t>
  </si>
  <si>
    <t>Majji Gouri WDA (Balingi)</t>
  </si>
  <si>
    <t>Bateswar WDA (Kundar)</t>
  </si>
  <si>
    <t>Pataleswar WDA (A.Ambaguda)</t>
  </si>
  <si>
    <t>Bandhugaon</t>
  </si>
  <si>
    <t>RASS</t>
  </si>
  <si>
    <t>Maa Mangala VDA  (Jaguguda)</t>
  </si>
  <si>
    <t>Maa Bhabani VDA (Lading)</t>
  </si>
  <si>
    <t>Trinath VDA (Parting)</t>
  </si>
  <si>
    <t>Maa Tarini VDA (Kutrabeda)</t>
  </si>
  <si>
    <t>Godahada VDA (Kanagam)</t>
  </si>
  <si>
    <t>Agni Gangama VDA (Sodabadi)</t>
  </si>
  <si>
    <t>Jhankiriama   VDA (Hatigeda)</t>
  </si>
  <si>
    <t>Maa Taradevi VDA (Badabankidi)</t>
  </si>
  <si>
    <t>Padalamma VDA (Katulpeta)</t>
  </si>
  <si>
    <t>Majji Gouri VDA (Yesseda)</t>
  </si>
  <si>
    <t>Narayanpatna</t>
  </si>
  <si>
    <t>Vikas</t>
  </si>
  <si>
    <t>Paramakanda WA (Borigi)</t>
  </si>
  <si>
    <t>Atamama WA (Podapadar)</t>
  </si>
  <si>
    <t>Gangadevi WA (Berla, Borigi)</t>
  </si>
  <si>
    <t>Gangadevata WA (Kelubadi)</t>
  </si>
  <si>
    <t>Santinagar WA (Kilmis)</t>
  </si>
  <si>
    <t>Indrama WA (Langalbeda)</t>
  </si>
  <si>
    <t>Penubandha WA (Pipalpadar)</t>
  </si>
  <si>
    <t>Jhankiriamma WA (Pongapalur)</t>
  </si>
  <si>
    <t>Penukupa WA (Bhitarlacha)</t>
  </si>
  <si>
    <t>Banadurga WA (Kaspavalsa)</t>
  </si>
  <si>
    <t>Gajapati</t>
  </si>
  <si>
    <t>Gumma</t>
  </si>
  <si>
    <t>CCD</t>
  </si>
  <si>
    <t>Debagiri   VDA , Panguda</t>
  </si>
  <si>
    <t>Pison VDA ,Tohojang</t>
  </si>
  <si>
    <t>Hemayan VDA ,Tala Abasing</t>
  </si>
  <si>
    <t>Alemba VDA ,Sindhiba</t>
  </si>
  <si>
    <t>Gamma VDA , Tumulo</t>
  </si>
  <si>
    <t>Emani VDA,Badakalakote</t>
  </si>
  <si>
    <t>Syon VDA,Tumkar</t>
  </si>
  <si>
    <t>Shanti VDA,Jangjanglo</t>
  </si>
  <si>
    <t>Balingda VDA , Sindising</t>
  </si>
  <si>
    <t>Nila VDA,Bantalada</t>
  </si>
  <si>
    <t>Rayagada</t>
  </si>
  <si>
    <t>SWWS</t>
  </si>
  <si>
    <t>Jambanala,VDA, Bangusahi</t>
  </si>
  <si>
    <t>Baghanala VDA,Sankurda</t>
  </si>
  <si>
    <t>Mahendratanya VDALanjipadar</t>
  </si>
  <si>
    <t>Darubrahma VDA, Badamasing</t>
  </si>
  <si>
    <t>Badapathara VDA, Padasahi</t>
  </si>
  <si>
    <t>Ajayagadadhara VDA, Badatundi</t>
  </si>
  <si>
    <t>Debagiri VDA, Hirapur</t>
  </si>
  <si>
    <t>Gandakhal VDA, Raising</t>
  </si>
  <si>
    <t>Satabahuni VDA ,M Laupur</t>
  </si>
  <si>
    <t>Darusunki  VDA , Munigabada</t>
  </si>
  <si>
    <t>Nuagada</t>
  </si>
  <si>
    <t>PEACE</t>
  </si>
  <si>
    <t xml:space="preserve">Mutukua VDA ,Buripadar  </t>
  </si>
  <si>
    <t>Nidhigudi VDA ,  Nidhigud</t>
  </si>
  <si>
    <t>Dahiamba VDA ,Tatarang</t>
  </si>
  <si>
    <t>Bapedi VDA,Jamusahi</t>
  </si>
  <si>
    <t>Tandarang VDA, Tandrang</t>
  </si>
  <si>
    <t>Puaspanga  VDA ,Puspanga</t>
  </si>
  <si>
    <t>Dhenka BandhaVDA ,N.Rogeising</t>
  </si>
  <si>
    <t>Bhamara Nala VDA Burduguda</t>
  </si>
  <si>
    <t>Badanala VDA ,Jarigidua</t>
  </si>
  <si>
    <t xml:space="preserve">Dalimbapur VDA ,Dalimbapur </t>
  </si>
  <si>
    <t>JKP</t>
  </si>
  <si>
    <t>Sauri VDA,Sauri</t>
  </si>
  <si>
    <t>Pallapur VDA,Palapur</t>
  </si>
  <si>
    <t>Ketungpada VDA  ,Ketungpada</t>
  </si>
  <si>
    <t>Badadev  VDA,Burusingi</t>
  </si>
  <si>
    <t>Konkorda VDA,Konkorda</t>
  </si>
  <si>
    <t>Attarasing VDA,Atarsingi</t>
  </si>
  <si>
    <t>Tuman VDA,Tuman</t>
  </si>
  <si>
    <t>Luthar VDA,Luthar</t>
  </si>
  <si>
    <t>Saralapadar VDA,Saralapadar</t>
  </si>
  <si>
    <t>Rubudising VDA,Rugudising</t>
  </si>
  <si>
    <t>Kandhamal</t>
  </si>
  <si>
    <t>Tumudibandha</t>
  </si>
  <si>
    <t>PRDATA</t>
  </si>
  <si>
    <t>Kallibudha</t>
  </si>
  <si>
    <t>Maa Bhagabati</t>
  </si>
  <si>
    <t>Sivasakti</t>
  </si>
  <si>
    <t>Jayahanuman</t>
  </si>
  <si>
    <t>Janachetana</t>
  </si>
  <si>
    <t>Dimbuli</t>
  </si>
  <si>
    <t>Raniadu</t>
  </si>
  <si>
    <t>Uteitanaya</t>
  </si>
  <si>
    <t xml:space="preserve">Maa Manikeswari </t>
  </si>
  <si>
    <t>Sapengada</t>
  </si>
  <si>
    <t>Maa Tulasi</t>
  </si>
  <si>
    <t>Maa Tarini</t>
  </si>
  <si>
    <t>Sitiguda</t>
  </si>
  <si>
    <t>Dharanimata</t>
  </si>
  <si>
    <t>Kotagarh</t>
  </si>
  <si>
    <t>Jagruti</t>
  </si>
  <si>
    <t>Maa Subasini</t>
  </si>
  <si>
    <t>Krusibakash</t>
  </si>
  <si>
    <t>Maa Manikeswari</t>
  </si>
  <si>
    <t>Sangram</t>
  </si>
  <si>
    <t>Jibanjyoti</t>
  </si>
  <si>
    <t>Sasakti</t>
  </si>
  <si>
    <t>Lazera</t>
  </si>
  <si>
    <t>Jeobajheri</t>
  </si>
  <si>
    <t>Dr. Ambedkar</t>
  </si>
  <si>
    <t>Mother Teresa</t>
  </si>
  <si>
    <t>Sahid Bhagat Sing</t>
  </si>
  <si>
    <t>Bethel</t>
  </si>
  <si>
    <t>Triranga</t>
  </si>
  <si>
    <t>Santidata</t>
  </si>
  <si>
    <t>Jay Sriram</t>
  </si>
  <si>
    <t>Orissa Tribal Empowerment &amp; Livelihoods Programme (OTELP)</t>
  </si>
  <si>
    <t>Form A: MWS Fact Sheet</t>
  </si>
  <si>
    <t>Name of the MWS/VDC:</t>
  </si>
  <si>
    <t>Maa Thakurani, Chulbadi</t>
  </si>
  <si>
    <t>MWS Code (as per Orsac):</t>
  </si>
  <si>
    <t>Tretable Area:</t>
  </si>
  <si>
    <t>Forest Treatable Area:</t>
  </si>
  <si>
    <t>Name of the VDC President:</t>
  </si>
  <si>
    <t>TIKNA MAJHI</t>
  </si>
  <si>
    <t>Name of the VDC Secretary:</t>
  </si>
  <si>
    <t>UDE SING MAJHI</t>
  </si>
  <si>
    <t>Name of the PRI Member of VDC:</t>
  </si>
  <si>
    <t>PUNI MAJHI</t>
  </si>
  <si>
    <t>Contact Address:(including telephone number if any</t>
  </si>
  <si>
    <t>AT=chul badi</t>
  </si>
  <si>
    <t>Name of the Villages of VDC</t>
  </si>
  <si>
    <t>Chulbadi</t>
  </si>
  <si>
    <t>Tendakamuhin</t>
  </si>
  <si>
    <t>Sigini</t>
  </si>
  <si>
    <t>Tarapadar</t>
  </si>
  <si>
    <t>VLSC Leaders Name:</t>
  </si>
  <si>
    <t>MAHENDRA BAG</t>
  </si>
  <si>
    <t>BAL SINGH MAJHI</t>
  </si>
  <si>
    <t>MUNU MAJHI</t>
  </si>
  <si>
    <t>BAINA MAJHI</t>
  </si>
  <si>
    <t>VLSC Village Volunteer's Name:</t>
  </si>
  <si>
    <t>NAVEEN BAG(NRM)</t>
  </si>
  <si>
    <t>KAMESWAR BAG(L-S)</t>
  </si>
  <si>
    <t>JAYSING MAJHI(AGRI)</t>
  </si>
  <si>
    <t>MANJULA ROUT(SHG)</t>
  </si>
  <si>
    <t>Name of the PRI Member of the VLSC:</t>
  </si>
  <si>
    <t>No. of Villages within the MWS:</t>
  </si>
  <si>
    <t>No. of VLSCs within the MWS:</t>
  </si>
  <si>
    <t>No. of SHGs:</t>
  </si>
  <si>
    <t>No. of VSS:</t>
  </si>
  <si>
    <t>No. of UG:</t>
  </si>
  <si>
    <t>Household Details:</t>
  </si>
  <si>
    <t>ST</t>
  </si>
  <si>
    <t>SC</t>
  </si>
  <si>
    <t>Others</t>
  </si>
  <si>
    <t>Landless</t>
  </si>
  <si>
    <t>Vulnerable/Destitute:</t>
  </si>
  <si>
    <t>Population Details</t>
  </si>
  <si>
    <t>ST Male</t>
  </si>
  <si>
    <t>SC Male</t>
  </si>
  <si>
    <t>Others Male</t>
  </si>
  <si>
    <t>ST Female</t>
  </si>
  <si>
    <t>SC Female</t>
  </si>
  <si>
    <t>Others Female</t>
  </si>
  <si>
    <t>Financial Progress</t>
  </si>
  <si>
    <t>Programme Component</t>
  </si>
  <si>
    <t>Unit Cost (in Rs.)</t>
  </si>
  <si>
    <t>Unit</t>
  </si>
  <si>
    <t>Allocation (in Rs.Lakh)</t>
  </si>
  <si>
    <t>Receipt (in Rs. Lakh)</t>
  </si>
  <si>
    <t>Financial Year Wise Expenditure (in Rs. Lakhs)</t>
  </si>
  <si>
    <t>2004-05</t>
  </si>
  <si>
    <t>2005-06</t>
  </si>
  <si>
    <t>2006-07</t>
  </si>
  <si>
    <t>2007-08</t>
  </si>
  <si>
    <t>2008-09</t>
  </si>
  <si>
    <t>2009-10</t>
  </si>
  <si>
    <t>2010-11</t>
  </si>
  <si>
    <t>Total</t>
  </si>
  <si>
    <t>% of Exp.</t>
  </si>
  <si>
    <t>Land &amp; Water Management</t>
  </si>
  <si>
    <t>Hectare</t>
  </si>
  <si>
    <t>Participatory Forest Management</t>
  </si>
  <si>
    <t>Agriculture &amp; Horticulture Production</t>
  </si>
  <si>
    <t>MWS</t>
  </si>
  <si>
    <t>Livestock &amp; Acquaculture Development</t>
  </si>
  <si>
    <t>Community Infrastructure Fund</t>
  </si>
  <si>
    <t>Rural Finance Services</t>
  </si>
  <si>
    <t>Development Initiatives Fund</t>
  </si>
  <si>
    <t>Administrative Cost of VDC</t>
  </si>
  <si>
    <t>Month</t>
  </si>
  <si>
    <t>One Time Cycle Grant</t>
  </si>
  <si>
    <t>Lumpsum</t>
  </si>
  <si>
    <t>TOTAL</t>
  </si>
  <si>
    <t>Subhasree, Kerpai</t>
  </si>
  <si>
    <t>LAXMAN MAJHI</t>
  </si>
  <si>
    <t>BUTU MAJHI</t>
  </si>
  <si>
    <t>MASKU MAJHI</t>
  </si>
  <si>
    <t>AT- KERPAI</t>
  </si>
  <si>
    <t>Kerpai</t>
  </si>
  <si>
    <t>Chimrangpadar</t>
  </si>
  <si>
    <t>Kachalekha</t>
  </si>
  <si>
    <t>Ranibali</t>
  </si>
  <si>
    <t>Mahajala</t>
  </si>
  <si>
    <t>Tadadei</t>
  </si>
  <si>
    <t>GANESH MAJHI</t>
  </si>
  <si>
    <t>DERUK MAJHI</t>
  </si>
  <si>
    <t>PANDURU MAJHI</t>
  </si>
  <si>
    <t>SANA DEI</t>
  </si>
  <si>
    <t>BADRU MAJHI</t>
  </si>
  <si>
    <t>BANGAR MAJHI</t>
  </si>
  <si>
    <t>TAITU MAJHI(SHG)</t>
  </si>
  <si>
    <t>SANTOSH NAIK(L-S)</t>
  </si>
  <si>
    <t>SAJA MANI NAIK(HEALTH)</t>
  </si>
  <si>
    <t>SUKRU MAJHI(M-E)</t>
  </si>
  <si>
    <t>SALPU MAJHI(AGRI)</t>
  </si>
  <si>
    <t>MUNA MAJHI</t>
  </si>
  <si>
    <t>Nagabali VDC, Semilipadar</t>
  </si>
  <si>
    <t>DHANESWAR MAJHI</t>
  </si>
  <si>
    <t>DASHRU MAJHI</t>
  </si>
  <si>
    <t>RAJENDRA MAJHI</t>
  </si>
  <si>
    <t>AT-balisara PO-gunpur VIA-T.h Rampur</t>
  </si>
  <si>
    <t>Semilipadar</t>
  </si>
  <si>
    <t>Balisara</t>
  </si>
  <si>
    <t>Jatangpada</t>
  </si>
  <si>
    <t>Mardanguda</t>
  </si>
  <si>
    <t>SUNA SINGH MAJHI</t>
  </si>
  <si>
    <t>BUDU MAJHI</t>
  </si>
  <si>
    <t>LAI MAJHI</t>
  </si>
  <si>
    <t>SARANGA MAJHI</t>
  </si>
  <si>
    <t>SANDU MAJHI( AGRI)</t>
  </si>
  <si>
    <t>AKHILA NAG (NRM)</t>
  </si>
  <si>
    <t>DIYAN MAJHI(SHG)</t>
  </si>
  <si>
    <t>DAN DEI(HEALTH)</t>
  </si>
  <si>
    <t>Ma Gayatri, Bhataguda</t>
  </si>
  <si>
    <t>PURAN MAJHI</t>
  </si>
  <si>
    <t>RUKA DEI</t>
  </si>
  <si>
    <t>AT-bhataguda,PO-gunpur,VIA-T.h Ramour</t>
  </si>
  <si>
    <t>Bhataguda</t>
  </si>
  <si>
    <t>Kumarguda</t>
  </si>
  <si>
    <t>Tentulipadar</t>
  </si>
  <si>
    <t>SUNA MAJHI</t>
  </si>
  <si>
    <t>DANA MAJHI</t>
  </si>
  <si>
    <t>SUNADHAR MAJHI</t>
  </si>
  <si>
    <t>BITU MAJHI</t>
  </si>
  <si>
    <t>GURU BARI DEI</t>
  </si>
  <si>
    <t>SUKRU MAJHI</t>
  </si>
  <si>
    <t>Maa Adimata, Sialipadar</t>
  </si>
  <si>
    <t>SITARAM MAJHI</t>
  </si>
  <si>
    <t>BUDA MAJHI</t>
  </si>
  <si>
    <t>AT-seali padar PO-gunpur</t>
  </si>
  <si>
    <t>Sialipadar</t>
  </si>
  <si>
    <t>Karnibel</t>
  </si>
  <si>
    <t>SHYAMA MAJHI</t>
  </si>
  <si>
    <t>DAN MAJHI</t>
  </si>
  <si>
    <t>HAJANG MAJHI(SHG)</t>
  </si>
  <si>
    <t>ALING DEI(HEALTH)</t>
  </si>
  <si>
    <t>RUPSING MAJHI(NRM)</t>
  </si>
  <si>
    <t>MANTI MAJHI</t>
  </si>
  <si>
    <t>CHANDAN MAJHI</t>
  </si>
  <si>
    <t>AT-karang,PO-gunpur,VIA-T.h-Rampur</t>
  </si>
  <si>
    <t>Korang</t>
  </si>
  <si>
    <t>Tikiraguda</t>
  </si>
  <si>
    <t>Pokhresh</t>
  </si>
  <si>
    <t>DAMBARU DHAR NAIK</t>
  </si>
  <si>
    <t>CHANDAN MAJHI(NRM)</t>
  </si>
  <si>
    <t>PULSUN MAJHI(SHG)</t>
  </si>
  <si>
    <t>CHANDAN MAJHI(AGRI)</t>
  </si>
  <si>
    <t>BIRI MAJHI</t>
  </si>
  <si>
    <t>LAKI MAJHI</t>
  </si>
  <si>
    <t>AT-pooling padar,PO.gunpur.VIA-T.h Rampur</t>
  </si>
  <si>
    <t>Pulingpadar</t>
  </si>
  <si>
    <t>Kurkuti</t>
  </si>
  <si>
    <t>LELI MAJHI</t>
  </si>
  <si>
    <t>UMAR SINGH MAJHI</t>
  </si>
  <si>
    <t>SUNDRU MAJHI(SHG)</t>
  </si>
  <si>
    <t>BUDRU MAJHI(NRM)</t>
  </si>
  <si>
    <t>SUSIL MAJHI(AGRI)</t>
  </si>
  <si>
    <t>SUREKHA MAJHI(HEALTH)</t>
  </si>
  <si>
    <t>KESARI MAJHI</t>
  </si>
  <si>
    <t>KUMARI NAIK</t>
  </si>
  <si>
    <t>AT-Pusti guda,PO-Gunpur,VIA- T.h Rampur</t>
  </si>
  <si>
    <t>Pustiguda</t>
  </si>
  <si>
    <t>Jabang</t>
  </si>
  <si>
    <t>SANHAKI MAJHI</t>
  </si>
  <si>
    <t>ABHIRAM NAIK</t>
  </si>
  <si>
    <t>LAXMI NAIK (health)</t>
  </si>
  <si>
    <t>ABHIRAM NAIK(c marketing)</t>
  </si>
  <si>
    <t>RAJENDRA NAIK(l-s)</t>
  </si>
  <si>
    <t>HAKI MAJHI(nrm)</t>
  </si>
  <si>
    <t>Laxmi, Kathghara</t>
  </si>
  <si>
    <t>BUI MAJHI</t>
  </si>
  <si>
    <t>BADA MAJHI</t>
  </si>
  <si>
    <t>AT-kathaghara, PO-gunpur, VIA-kalampur</t>
  </si>
  <si>
    <t>Kathaghara</t>
  </si>
  <si>
    <t>Gokalama</t>
  </si>
  <si>
    <t>Mundapada</t>
  </si>
  <si>
    <t>GHENU MAJHI</t>
  </si>
  <si>
    <t>TIKAN MAJHI</t>
  </si>
  <si>
    <t>KRUSHNA NAIK(L-S)</t>
  </si>
  <si>
    <t>DAYA MAJHI(AGRI)</t>
  </si>
  <si>
    <t>KESHARI MAJHI(SHG)</t>
  </si>
  <si>
    <t>RAM SINGH MAJHI</t>
  </si>
  <si>
    <t>MURTI MAJHI</t>
  </si>
  <si>
    <t>BAMINI DEI</t>
  </si>
  <si>
    <t>Majhigaon</t>
  </si>
  <si>
    <t>Sargipadar</t>
  </si>
  <si>
    <t>Serkapai</t>
  </si>
  <si>
    <t>HAJE MAJHI</t>
  </si>
  <si>
    <t>RAMSINGH MAJHI</t>
  </si>
  <si>
    <t>PARMESWAR NAIK</t>
  </si>
  <si>
    <t>JAIMAL MAJHI</t>
  </si>
  <si>
    <t>SOBHA SINGH MAJHI</t>
  </si>
  <si>
    <t>BANANG MAJHI</t>
  </si>
  <si>
    <t>BALI MAJHI</t>
  </si>
  <si>
    <t>PURNA MAJHI</t>
  </si>
  <si>
    <t>AT-talampadar,PO-nak rundi,VIA-T.h Rampur</t>
  </si>
  <si>
    <t>Talampadar</t>
  </si>
  <si>
    <t>Upparampadar</t>
  </si>
  <si>
    <t>Tundamuhin</t>
  </si>
  <si>
    <t>Kutruguda</t>
  </si>
  <si>
    <t>SULA DHAR MAJHI</t>
  </si>
  <si>
    <t>HAMDU MAJHI</t>
  </si>
  <si>
    <t>KRUSHNA JAL</t>
  </si>
  <si>
    <t>KRUSHNA MAJHI(L-S)</t>
  </si>
  <si>
    <t>BUK SING MAJHI(AGRI)</t>
  </si>
  <si>
    <t>KRUSHNA JAL(SHG)</t>
  </si>
  <si>
    <t>KANA MAJHI(NRM)</t>
  </si>
  <si>
    <t>Sikilimali VDC, Khakesh</t>
  </si>
  <si>
    <t>KUMIA MAJHI</t>
  </si>
  <si>
    <t>JAGAL SING MAJHI</t>
  </si>
  <si>
    <t>RUKA MAJHI</t>
  </si>
  <si>
    <t>AT-Khakes PO-gunpur, VIA -Th.Rampur</t>
  </si>
  <si>
    <t>Khakesh</t>
  </si>
  <si>
    <t>Nundresh</t>
  </si>
  <si>
    <t>LAKIA MAJHI</t>
  </si>
  <si>
    <t>JHARI MAJHI</t>
  </si>
  <si>
    <t>GOBARDHAN NAIK(L-S)</t>
  </si>
  <si>
    <t>PULU MAJHI(C-marketing)</t>
  </si>
  <si>
    <t>DAN DEI (Health)</t>
  </si>
  <si>
    <t>Umakanta Nayak</t>
  </si>
  <si>
    <t>One time cycle Grant</t>
  </si>
  <si>
    <t>Administrative Cost to VDC</t>
  </si>
  <si>
    <t>Rural Financial Service</t>
  </si>
  <si>
    <t>Livestock &amp; Aquaculture Development</t>
  </si>
  <si>
    <t xml:space="preserve">Agriculture &amp; Horticulture Production </t>
  </si>
  <si>
    <t>Land&amp; Water Management</t>
  </si>
  <si>
    <t>(2011-2012)</t>
  </si>
  <si>
    <t>(2010-2011)</t>
  </si>
  <si>
    <t>(2009-2010)</t>
  </si>
  <si>
    <t>(2008-2009)</t>
  </si>
  <si>
    <t>3(2007-2008)</t>
  </si>
  <si>
    <t>2 (2006-2007)</t>
  </si>
  <si>
    <t>Financial Year Wise Expenditure (in Rs. )</t>
  </si>
  <si>
    <t xml:space="preserve">Receipt (in Rs. ) </t>
  </si>
  <si>
    <t>Allocation (in Rs. Lakhs</t>
  </si>
  <si>
    <t>Unit cost (in Rs.)</t>
  </si>
  <si>
    <t>Financial Progress:</t>
  </si>
  <si>
    <t>Total Female</t>
  </si>
  <si>
    <t>Total Male</t>
  </si>
  <si>
    <t xml:space="preserve">Population Details: </t>
  </si>
  <si>
    <t>Vulnerable/ Destitude:29</t>
  </si>
  <si>
    <t>Land Less</t>
  </si>
  <si>
    <t xml:space="preserve">Others </t>
  </si>
  <si>
    <t xml:space="preserve">Household Details: </t>
  </si>
  <si>
    <t xml:space="preserve">No. of VSS: </t>
  </si>
  <si>
    <t>No. of VLSCs with yhe MWS:</t>
  </si>
  <si>
    <t>-</t>
  </si>
  <si>
    <t>Name of the PRI Member of the VLSC</t>
  </si>
  <si>
    <t>Subri Maji, Sani Majhi &amp; Malki Majhi</t>
  </si>
  <si>
    <t xml:space="preserve">Rai Singh Majhi &amp; Sanang Majhi  </t>
  </si>
  <si>
    <t xml:space="preserve">Pulu Majhi </t>
  </si>
  <si>
    <t xml:space="preserve">Guni Majhi </t>
  </si>
  <si>
    <t>VLSC Leader Name:</t>
  </si>
  <si>
    <t>Podapai</t>
  </si>
  <si>
    <t>Pindapadar</t>
  </si>
  <si>
    <t>Name of the village of the VDC</t>
  </si>
  <si>
    <t>telephone number if any)</t>
  </si>
  <si>
    <t>At : Pindapadar, Po. : Kerpai, Via. : Th. Rampur, Kalahandi PIN: 766037</t>
  </si>
  <si>
    <t xml:space="preserve">Contact Address: (Including </t>
  </si>
  <si>
    <t xml:space="preserve">Name of the PRI Member of VDC </t>
  </si>
  <si>
    <t xml:space="preserve">Nandu Majhi </t>
  </si>
  <si>
    <t xml:space="preserve">Kumti Majhi </t>
  </si>
  <si>
    <t xml:space="preserve">Name of the VDC President: </t>
  </si>
  <si>
    <t>Forest Treatable Area</t>
  </si>
  <si>
    <t>MWS Code (as per orsac):</t>
  </si>
  <si>
    <t xml:space="preserve">Maa Gundi Rani GUS, Pindapadar </t>
  </si>
  <si>
    <t>Name 0f the MMS / VDC</t>
  </si>
  <si>
    <t xml:space="preserve">Orissa Tribal Empowerment&amp; Livelihoods Programme (OTELP) </t>
  </si>
  <si>
    <t>Vulnerable/ Destitude:12</t>
  </si>
  <si>
    <t xml:space="preserve">Maagu Naik </t>
  </si>
  <si>
    <t xml:space="preserve">Brujang Majhi </t>
  </si>
  <si>
    <t xml:space="preserve">Saru Majhi &amp; </t>
  </si>
  <si>
    <t xml:space="preserve">Rameshwar Naik </t>
  </si>
  <si>
    <t xml:space="preserve">Laxman Majhi, Mahari Dei &amp; Bali Majhi </t>
  </si>
  <si>
    <t xml:space="preserve">Balsingh Majhi </t>
  </si>
  <si>
    <t xml:space="preserve">Binod Naik </t>
  </si>
  <si>
    <t>Tijmali</t>
  </si>
  <si>
    <t xml:space="preserve">Espanj </t>
  </si>
  <si>
    <t xml:space="preserve">Amjhola </t>
  </si>
  <si>
    <t>At : Amjhola, Po. : Nakrundi, Via. : Th. Rampur, Kalahandi PIN: 766037</t>
  </si>
  <si>
    <t>Sanu Majhi</t>
  </si>
  <si>
    <t>Karuna Majhi</t>
  </si>
  <si>
    <t xml:space="preserve">Tijraja GUS, Amjhola </t>
  </si>
  <si>
    <t>Vulnerable/ Destitude:42</t>
  </si>
  <si>
    <t xml:space="preserve">Paagu Majhi </t>
  </si>
  <si>
    <t xml:space="preserve">Uansi Naik </t>
  </si>
  <si>
    <t xml:space="preserve">Dambu Majhi &amp; Sambaru Majhi </t>
  </si>
  <si>
    <t xml:space="preserve">Kana Majhi </t>
  </si>
  <si>
    <t xml:space="preserve">Shankar Majhi &amp; Balsingh Majhi </t>
  </si>
  <si>
    <t xml:space="preserve">Suka Dei </t>
  </si>
  <si>
    <t xml:space="preserve">Roopsingh Majhi </t>
  </si>
  <si>
    <t xml:space="preserve">Tikana Majhi </t>
  </si>
  <si>
    <t xml:space="preserve">Swing </t>
  </si>
  <si>
    <t>Sepeskanda</t>
  </si>
  <si>
    <t xml:space="preserve">Nakrundi </t>
  </si>
  <si>
    <t>At : Nakrundi, Po. : Nakrundi, Via. : Th. Rampur, Kalahandi PIN: 766037</t>
  </si>
  <si>
    <t>Ram Das Majhi</t>
  </si>
  <si>
    <t xml:space="preserve">Dahana Majhi </t>
  </si>
  <si>
    <t>Maa Dharani GUS, Nakrundi</t>
  </si>
  <si>
    <t>Vulnerable/ Destitude:13</t>
  </si>
  <si>
    <t>Akhila Naik</t>
  </si>
  <si>
    <t xml:space="preserve">Arjun Majhi </t>
  </si>
  <si>
    <t>Pujhari Majhi</t>
  </si>
  <si>
    <t>Bada Majhi</t>
  </si>
  <si>
    <t>Taramundi</t>
  </si>
  <si>
    <t>At : Taramundi, Po. : Kerpai, Via. : Th. Rampur, Kalahandi PIN: 766037</t>
  </si>
  <si>
    <t>Sahadev Majhi</t>
  </si>
  <si>
    <t xml:space="preserve">Maa DokriGUS, Taramundi </t>
  </si>
  <si>
    <t>Vulnerable/ Destitude:39</t>
  </si>
  <si>
    <t>Mani Dei</t>
  </si>
  <si>
    <t xml:space="preserve">Akhila Naik </t>
  </si>
  <si>
    <t xml:space="preserve">Birsingh Majhi </t>
  </si>
  <si>
    <t xml:space="preserve">Sobha Majhi </t>
  </si>
  <si>
    <t xml:space="preserve">Meru Majhi </t>
  </si>
  <si>
    <t xml:space="preserve">Lelie Majhi </t>
  </si>
  <si>
    <t>Bhanumati Naik</t>
  </si>
  <si>
    <t>Sunadhar Majhi</t>
  </si>
  <si>
    <t>Kunuja Majhi</t>
  </si>
  <si>
    <t>Sanei Dei</t>
  </si>
  <si>
    <t>Dial Dei</t>
  </si>
  <si>
    <t>Mohangiri</t>
  </si>
  <si>
    <t>Khandala</t>
  </si>
  <si>
    <t xml:space="preserve">Sorisbondel </t>
  </si>
  <si>
    <t>Ushamaska</t>
  </si>
  <si>
    <t xml:space="preserve">Kirkicha </t>
  </si>
  <si>
    <t>At : Khandala, Po. : Nakrundi, Via. : Th. Rampur, Kalahandi PIN: 766037</t>
  </si>
  <si>
    <t xml:space="preserve">Mani Dei </t>
  </si>
  <si>
    <t>Krushna Majhi</t>
  </si>
  <si>
    <t>Sana Majhi</t>
  </si>
  <si>
    <t xml:space="preserve">Badrajamadhi GUS, Kirkicha </t>
  </si>
  <si>
    <t>Vulnerable/ Destitude:88</t>
  </si>
  <si>
    <t xml:space="preserve">Mali Majhi </t>
  </si>
  <si>
    <t xml:space="preserve">Sana Majhi </t>
  </si>
  <si>
    <t xml:space="preserve">Ramchandra Naik </t>
  </si>
  <si>
    <t xml:space="preserve">Pata Dei &amp; Dashru Majhi </t>
  </si>
  <si>
    <t>Birsingh Parabhoi</t>
  </si>
  <si>
    <t xml:space="preserve">Ranig Dei </t>
  </si>
  <si>
    <t xml:space="preserve">Ujir Dei </t>
  </si>
  <si>
    <t xml:space="preserve">Miri Majhi </t>
  </si>
  <si>
    <t>Raimal</t>
  </si>
  <si>
    <t xml:space="preserve">Kelua </t>
  </si>
  <si>
    <t xml:space="preserve">Jhudingzore </t>
  </si>
  <si>
    <t xml:space="preserve">T. Bhejiguda </t>
  </si>
  <si>
    <t>At : T. Bhejiguda, Po. : Nakrundi, Via. : Th. Rampur, Kalahandi PIN: 766037</t>
  </si>
  <si>
    <t>Bishwanath Majhi</t>
  </si>
  <si>
    <t xml:space="preserve">Jama Majhi </t>
  </si>
  <si>
    <t>Nagabali GUS, T. Bhejiguda</t>
  </si>
  <si>
    <t>Vulnerable/ Destitude:35</t>
  </si>
  <si>
    <t xml:space="preserve">Laki Majhi </t>
  </si>
  <si>
    <t xml:space="preserve">Jada Majhi </t>
  </si>
  <si>
    <t xml:space="preserve">Samru Majhi </t>
  </si>
  <si>
    <t xml:space="preserve">Muni Majhi </t>
  </si>
  <si>
    <t xml:space="preserve">Dali Majhi </t>
  </si>
  <si>
    <t xml:space="preserve">Kadmi Dei </t>
  </si>
  <si>
    <t>Semikhal</t>
  </si>
  <si>
    <t xml:space="preserve">Rupen </t>
  </si>
  <si>
    <t>Melrafa</t>
  </si>
  <si>
    <t>At : Melrafa, Po. : Kerpai, Via. : Th. Rampur, Kalahandi PIN: 766037</t>
  </si>
  <si>
    <t>Naranga Majhi</t>
  </si>
  <si>
    <t xml:space="preserve">Dana Majhi </t>
  </si>
  <si>
    <t>Duibhauni Devi GUS, Melrafa</t>
  </si>
  <si>
    <t>Vulnerable/ Destitude:58</t>
  </si>
  <si>
    <t>Ranjan Naik</t>
  </si>
  <si>
    <t xml:space="preserve">Indra Majhi </t>
  </si>
  <si>
    <t xml:space="preserve">Dina Majhi </t>
  </si>
  <si>
    <t xml:space="preserve">Natha Majhi </t>
  </si>
  <si>
    <t xml:space="preserve">Aiku Majhi </t>
  </si>
  <si>
    <t xml:space="preserve">Nabin Naik </t>
  </si>
  <si>
    <t xml:space="preserve">Sambad Majhi </t>
  </si>
  <si>
    <t xml:space="preserve">Bujuli Dei </t>
  </si>
  <si>
    <t xml:space="preserve">Phul Dei </t>
  </si>
  <si>
    <t>Dandpadar</t>
  </si>
  <si>
    <t>Durbelguda</t>
  </si>
  <si>
    <t xml:space="preserve">Jhanji </t>
  </si>
  <si>
    <t xml:space="preserve">Silet </t>
  </si>
  <si>
    <t xml:space="preserve">Sikerguda </t>
  </si>
  <si>
    <t>At : Sikerguda, Po. : Nakrundi, Via. : Th. Rampur, Kalahandi PIN: 766037</t>
  </si>
  <si>
    <t>Jayu Majhi</t>
  </si>
  <si>
    <t>Gundi Majhi</t>
  </si>
  <si>
    <t xml:space="preserve">Aadishakti GUS, Sikerguda </t>
  </si>
  <si>
    <t>Vulnerable/ Destitude:41</t>
  </si>
  <si>
    <t xml:space="preserve">Aarju Majhi </t>
  </si>
  <si>
    <t xml:space="preserve">Kalia Majhi </t>
  </si>
  <si>
    <t xml:space="preserve">Kambulu Majhi &amp; Dhansingh Majhi  </t>
  </si>
  <si>
    <t>Aandi Dei</t>
  </si>
  <si>
    <t>Laaki Majhi</t>
  </si>
  <si>
    <t>Bishi Majhi</t>
  </si>
  <si>
    <t xml:space="preserve">Dhansingh Majhi </t>
  </si>
  <si>
    <t xml:space="preserve">Bangar Dei </t>
  </si>
  <si>
    <t xml:space="preserve">Kordapadar &amp; Bondel </t>
  </si>
  <si>
    <t xml:space="preserve">Bilamal </t>
  </si>
  <si>
    <t>Sarmandi</t>
  </si>
  <si>
    <t>Kandulguda</t>
  </si>
  <si>
    <t>At : Kandulguda, Po. : Kerpai, Via. : Th. Rampur, Kalahandi PIN: 766037</t>
  </si>
  <si>
    <t>Lachhana Majhi</t>
  </si>
  <si>
    <t>Muktu Majhi</t>
  </si>
  <si>
    <t>Dev Giri GUS, Kandulguda</t>
  </si>
  <si>
    <t>Vulnerable/ Destitude:26</t>
  </si>
  <si>
    <t xml:space="preserve">Rajing Majhi </t>
  </si>
  <si>
    <t xml:space="preserve">Jaisingh Majhi </t>
  </si>
  <si>
    <t xml:space="preserve">Budu Majhi </t>
  </si>
  <si>
    <t xml:space="preserve">Aadshe Majhi </t>
  </si>
  <si>
    <t xml:space="preserve">Sabi Majhi </t>
  </si>
  <si>
    <t xml:space="preserve">Jama Dei </t>
  </si>
  <si>
    <t xml:space="preserve">Gutli Dei </t>
  </si>
  <si>
    <t xml:space="preserve">Bamani Dei </t>
  </si>
  <si>
    <t xml:space="preserve">Tipang Dei </t>
  </si>
  <si>
    <t xml:space="preserve">Dane Dei </t>
  </si>
  <si>
    <t xml:space="preserve">Muspanj </t>
  </si>
  <si>
    <t>Marguma</t>
  </si>
  <si>
    <t>Pajikhal</t>
  </si>
  <si>
    <t xml:space="preserve">Kutkhal </t>
  </si>
  <si>
    <t xml:space="preserve">Maltipadar </t>
  </si>
  <si>
    <t>At : Maltipadar, Po. : Kerpai, Via. : Th. Rampur, Kalahandi PIN: 766037</t>
  </si>
  <si>
    <t xml:space="preserve">Malaya Majhi </t>
  </si>
  <si>
    <t>Chandangiri GUS, Maltipadar</t>
  </si>
  <si>
    <t>Vulnerable/ Destitude:62</t>
  </si>
  <si>
    <t xml:space="preserve">Raisingh Majhi </t>
  </si>
  <si>
    <t xml:space="preserve">Bisi Keshan Naik </t>
  </si>
  <si>
    <t xml:space="preserve">Lingaraj Naik </t>
  </si>
  <si>
    <t xml:space="preserve">Dambu Majhi </t>
  </si>
  <si>
    <t xml:space="preserve">Masku Majhi </t>
  </si>
  <si>
    <t>Mahari Dei</t>
  </si>
  <si>
    <t>Kamdev Naik</t>
  </si>
  <si>
    <t>Phool Dei</t>
  </si>
  <si>
    <t xml:space="preserve">Mahendra Majhi </t>
  </si>
  <si>
    <t>Khajurguda &amp; Phukerpadar</t>
  </si>
  <si>
    <t xml:space="preserve">Dengen </t>
  </si>
  <si>
    <t>Mali Anikana</t>
  </si>
  <si>
    <t>Kandha Anikana</t>
  </si>
  <si>
    <t>Melghara</t>
  </si>
  <si>
    <t>At : Melghara, Po. : Nakrundi, Via. : Th. Rampur, Kalahandi PIN: 766037</t>
  </si>
  <si>
    <t xml:space="preserve">Jitu Majhi </t>
  </si>
  <si>
    <t>Kiaphulmali GUS, Melghara</t>
  </si>
  <si>
    <t>Administrative Cost</t>
  </si>
  <si>
    <t>Orissa Tribal Empowerment &amp; Livelihoods Programme(OTELP)
Form A : MWS Fact Sheet</t>
  </si>
  <si>
    <t>Name of 
the VDC</t>
  </si>
  <si>
    <t>Maa Dharanidebata GUS</t>
  </si>
  <si>
    <t>VDC Code</t>
  </si>
  <si>
    <t>Treatable
 Area</t>
  </si>
  <si>
    <t>Forest 
Treatable Area</t>
  </si>
  <si>
    <t>Name of the 
VDC President</t>
  </si>
  <si>
    <t>Patara Majhi</t>
  </si>
  <si>
    <t>Name of the 
VDC Secretary</t>
  </si>
  <si>
    <t>Rupi Majhi</t>
  </si>
  <si>
    <t>Name of the PRI Member of VDC</t>
  </si>
  <si>
    <t>Bulka Majhi</t>
  </si>
  <si>
    <t>Contact Address if any</t>
  </si>
  <si>
    <t>At-Chachagaon,Po-Bijepur,Lanjigarh,Kalahandi</t>
  </si>
  <si>
    <t>Name of the villages of the VDC</t>
  </si>
  <si>
    <t>Bhejaranga</t>
  </si>
  <si>
    <t>chachagaon</t>
  </si>
  <si>
    <t>Durpadar</t>
  </si>
  <si>
    <t>Ijrupa</t>
  </si>
  <si>
    <t>Paikthuaguda</t>
  </si>
  <si>
    <t>VLSC Leader Name</t>
  </si>
  <si>
    <t>Akura Majhi</t>
  </si>
  <si>
    <t>Sanara Majhi</t>
  </si>
  <si>
    <t>Jaya Majhi</t>
  </si>
  <si>
    <t>Danmali Majhi</t>
  </si>
  <si>
    <t>Lanji Pujhari</t>
  </si>
  <si>
    <t>VLSC Village
Volunteer Name</t>
  </si>
  <si>
    <t>Patra Majhi</t>
  </si>
  <si>
    <t>Rajanikanta Naik ,Arjun Naik</t>
  </si>
  <si>
    <t>Dame Majhi</t>
  </si>
  <si>
    <t>Chaitanya Pujhari</t>
  </si>
  <si>
    <t>Name of PRI Member of VLSC</t>
  </si>
  <si>
    <t>Puli Dei</t>
  </si>
  <si>
    <t>No of Villages 
within the MWS</t>
  </si>
  <si>
    <t>No of VLSC</t>
  </si>
  <si>
    <t>No of SHGs</t>
  </si>
  <si>
    <t>No of VSS</t>
  </si>
  <si>
    <t>No of UG</t>
  </si>
  <si>
    <t>Household Details</t>
  </si>
  <si>
    <t>Land less</t>
  </si>
  <si>
    <t>Vulnerable</t>
  </si>
  <si>
    <t>Sc Male</t>
  </si>
  <si>
    <t>Sc Female</t>
  </si>
  <si>
    <t>Unit Cost</t>
  </si>
  <si>
    <t>Allocation
(in Rs Lakhs)</t>
  </si>
  <si>
    <t>Receipt</t>
  </si>
  <si>
    <t>Expenditure ( in Rs )</t>
  </si>
  <si>
    <t>Year 1</t>
  </si>
  <si>
    <t>Year 2</t>
  </si>
  <si>
    <t>Year 3</t>
  </si>
  <si>
    <t>Year 4</t>
  </si>
  <si>
    <t>Year 5</t>
  </si>
  <si>
    <t>Year 6</t>
  </si>
  <si>
    <t>Year 7</t>
  </si>
  <si>
    <t>% of Exp</t>
  </si>
  <si>
    <t>Land &amp; Water Mangt</t>
  </si>
  <si>
    <t>Hectre</t>
  </si>
  <si>
    <t>participatory Forest Mangt</t>
  </si>
  <si>
    <t>Live Stock Acquaculture Development</t>
  </si>
  <si>
    <t>Rural Financial Services</t>
  </si>
  <si>
    <t>Devlopment Initiatives Fund</t>
  </si>
  <si>
    <t xml:space="preserve">Admin Cost to VDC </t>
  </si>
  <si>
    <t>One time Cycle Grant</t>
  </si>
  <si>
    <t>Maa Angibhairabi GUS,Ushabahali</t>
  </si>
  <si>
    <t>Dana Majhi</t>
  </si>
  <si>
    <t>Sitanta Majhi</t>
  </si>
  <si>
    <t>Dake Majhi</t>
  </si>
  <si>
    <t>At-Kutruguda,Po-Malijubang,Lanjigarh,Kalahandi</t>
  </si>
  <si>
    <t>Ushabahali</t>
  </si>
  <si>
    <t>Kanaksarpa</t>
  </si>
  <si>
    <t>Laka Majhi</t>
  </si>
  <si>
    <t>Denga Majhi</t>
  </si>
  <si>
    <t>Sukru Jani</t>
  </si>
  <si>
    <t>Ganeswar Naik,Indra Majhi</t>
  </si>
  <si>
    <t>Narendra Naik</t>
  </si>
  <si>
    <t>Budu Majhi,Dhabali Dei</t>
  </si>
  <si>
    <t>___</t>
  </si>
  <si>
    <t>Omm Sibaya GUS,Malijubang</t>
  </si>
  <si>
    <t>Nakula Dandasena</t>
  </si>
  <si>
    <t>Hemalata Dandasena,Sadhu Naik</t>
  </si>
  <si>
    <t>At-Kajuiguda,Malijubang,Laarhnjig,Kalahandi</t>
  </si>
  <si>
    <t>Malijubang</t>
  </si>
  <si>
    <t>Nisanpur</t>
  </si>
  <si>
    <t>Kandhajubang</t>
  </si>
  <si>
    <t>Khajuguda</t>
  </si>
  <si>
    <t>Sukru Mali</t>
  </si>
  <si>
    <t>Murali Naik</t>
  </si>
  <si>
    <t>Siman majhi</t>
  </si>
  <si>
    <t>Chandrasekhar Naik</t>
  </si>
  <si>
    <t>Subash Behera</t>
  </si>
  <si>
    <t>Sakuntala naik</t>
  </si>
  <si>
    <t>__</t>
  </si>
  <si>
    <t>Dibakar Bag</t>
  </si>
  <si>
    <t>Hemalata Dandasena</t>
  </si>
  <si>
    <t>Dharanidebata GUS,Madanguda</t>
  </si>
  <si>
    <t>Tula Majhi</t>
  </si>
  <si>
    <t>Raimati Naik</t>
  </si>
  <si>
    <t>At-sunakhadika,Po-Malijubang,Lamjigarh,Kalahandi</t>
  </si>
  <si>
    <t>Sunakhadika</t>
  </si>
  <si>
    <t>Madanguda</t>
  </si>
  <si>
    <t>Dasana Majhi</t>
  </si>
  <si>
    <t>Rabi naik,Sakuntala naik,Dana Majhi</t>
  </si>
  <si>
    <t>Ramanath Naik</t>
  </si>
  <si>
    <t>____</t>
  </si>
  <si>
    <t>Maa Tirini GUS,Punjam</t>
  </si>
  <si>
    <t>Saje Majhi</t>
  </si>
  <si>
    <t>Lima Majhi(Sarapancha)</t>
  </si>
  <si>
    <t>At-punjam,Po-Malijubang,Lanjigarh,Kalahandi</t>
  </si>
  <si>
    <t>Punjam</t>
  </si>
  <si>
    <t>Sama Majhi</t>
  </si>
  <si>
    <t>Abhi Harijan,Ananga Majhi,Chandra Majhi,Sana Majhi,Ananta Majhi</t>
  </si>
  <si>
    <t>Bhairaba GUS,Jiragaon</t>
  </si>
  <si>
    <t>Ananta Majhi</t>
  </si>
  <si>
    <t>Durjadhana Majhi</t>
  </si>
  <si>
    <t>Jagatram Benia</t>
  </si>
  <si>
    <t>At-Jiragaon,Malijubang Lanjigarh,Kalahandi</t>
  </si>
  <si>
    <t xml:space="preserve">Jiragaon </t>
  </si>
  <si>
    <t>Tainpadar</t>
  </si>
  <si>
    <t>Dhanurja Majhi</t>
  </si>
  <si>
    <t>Ghasiram Naik</t>
  </si>
  <si>
    <t>Ananda Majhi,Surendra Majhi,Parameswar Majhi</t>
  </si>
  <si>
    <t>Sibaram naik,Sukhamal Naik</t>
  </si>
  <si>
    <t>Sibasakti GUS,Panpadar</t>
  </si>
  <si>
    <t>Laxmi Dei</t>
  </si>
  <si>
    <t>Gajendra Majhi</t>
  </si>
  <si>
    <t>Bamana Majhi,Gadan Majhi</t>
  </si>
  <si>
    <t>At-panpadar,Po-Malijubang,Lanjigarh,kalahandi</t>
  </si>
  <si>
    <t>Panpadar</t>
  </si>
  <si>
    <t>Kendupet</t>
  </si>
  <si>
    <t>Serkojhola</t>
  </si>
  <si>
    <t>Durlabundel</t>
  </si>
  <si>
    <t>Budura Majhi</t>
  </si>
  <si>
    <t>Buduri Majhi</t>
  </si>
  <si>
    <t>Baya Majhi</t>
  </si>
  <si>
    <t>Lakana Majhi</t>
  </si>
  <si>
    <t>Puyu Majhiu,Chandra Majhi</t>
  </si>
  <si>
    <t>Bachu Majhi</t>
  </si>
  <si>
    <t>Pulu Majhi,Sabi Majhi</t>
  </si>
  <si>
    <t>_____</t>
  </si>
  <si>
    <t>Bamana Majhi</t>
  </si>
  <si>
    <t>Maa Manikeswari 
GUS,Baterpada</t>
  </si>
  <si>
    <t>200 Ha</t>
  </si>
  <si>
    <t>Lengu Majhi</t>
  </si>
  <si>
    <t>Arjun Sahoo</t>
  </si>
  <si>
    <t>At- Baterpada,Po-Bijepur,Lanjigarh ,Kalahandi</t>
  </si>
  <si>
    <t>Baterpada</t>
  </si>
  <si>
    <t>Poiguda</t>
  </si>
  <si>
    <t xml:space="preserve">Sagiguda </t>
  </si>
  <si>
    <t>Pidisal</t>
  </si>
  <si>
    <t>Saimaska</t>
  </si>
  <si>
    <t>Chandra Majhi</t>
  </si>
  <si>
    <t>Deba Majhi</t>
  </si>
  <si>
    <t>Dambaru Majhi</t>
  </si>
  <si>
    <t>Tuli Majhi</t>
  </si>
  <si>
    <t>Digambara Sahu,Budu Naik,Tela Sahu,Sua Dei</t>
  </si>
  <si>
    <t>Lakhanu Majhi</t>
  </si>
  <si>
    <t>Muni Majhi</t>
  </si>
  <si>
    <t>Jay Baghadwar GUS,
Salpadar</t>
  </si>
  <si>
    <t>Muguri Majhi</t>
  </si>
  <si>
    <t>Mahadev Naik</t>
  </si>
  <si>
    <t>Alinga Dei</t>
  </si>
  <si>
    <t>At-salpadar,Po-malijubang,Lanjigarh,Kalahandi</t>
  </si>
  <si>
    <t>Salpadar</t>
  </si>
  <si>
    <t>Turisemel</t>
  </si>
  <si>
    <t>Kashi Majhi</t>
  </si>
  <si>
    <t>Sananga Majhi</t>
  </si>
  <si>
    <t>Sabhasing Majhi,Saibu Majhiu</t>
  </si>
  <si>
    <t>Narsing Majhi,Sana Majhi, Ispara Naik</t>
  </si>
  <si>
    <t>Penudebata GUS,
Badsemelpadar</t>
  </si>
  <si>
    <t>Lipa Majhi</t>
  </si>
  <si>
    <t>Basanta Majhi</t>
  </si>
  <si>
    <t>Bami Majhi</t>
  </si>
  <si>
    <t>At-Kanchanmunhi,po-Malijubang,Lanjigarh,Kalahandi</t>
  </si>
  <si>
    <t>Kanchanmunhi</t>
  </si>
  <si>
    <t>Badsemelpadar</t>
  </si>
  <si>
    <t>Rajing Majhi</t>
  </si>
  <si>
    <t>Abhi Behera</t>
  </si>
  <si>
    <t>Mahan Majhi,Mana Majhi,Umesh Harijan</t>
  </si>
  <si>
    <t>Bhubane Majhi</t>
  </si>
  <si>
    <t>Mindu Majhi</t>
  </si>
  <si>
    <t>Maa Kanakdurga GUS,
Dnariguda</t>
  </si>
  <si>
    <t>Sabi Majhi</t>
  </si>
  <si>
    <t>Parikhita Naik</t>
  </si>
  <si>
    <t>Danariguda,Bijepur,Lanjigarh ,Kalahandi</t>
  </si>
  <si>
    <t>Bijepur</t>
  </si>
  <si>
    <t>Melbahali</t>
  </si>
  <si>
    <t>Danariguda</t>
  </si>
  <si>
    <t>Jalkrida</t>
  </si>
  <si>
    <t>Binayak Naik</t>
  </si>
  <si>
    <t>Suna Majhi</t>
  </si>
  <si>
    <t>Udhaba Naik</t>
  </si>
  <si>
    <t>Laba Naik,Sukal Dei,Rajesh Naik</t>
  </si>
  <si>
    <t>Dambarudhar Mahakud</t>
  </si>
  <si>
    <t>Jay bajarangi GUS,Kalakupa</t>
  </si>
  <si>
    <t>Kalia Majhi</t>
  </si>
  <si>
    <t>Lalit Naik</t>
  </si>
  <si>
    <t>Siba Majhi</t>
  </si>
  <si>
    <t>At-fuker,Po-Bijepur,Lanjigara,Kalahandi</t>
  </si>
  <si>
    <t>Kalakupa</t>
  </si>
  <si>
    <t>Fuker</t>
  </si>
  <si>
    <t>Dangamundi</t>
  </si>
  <si>
    <t>Sarlanji</t>
  </si>
  <si>
    <t>Sana majhi</t>
  </si>
  <si>
    <t>Mangala Majhi</t>
  </si>
  <si>
    <t>Budu majhi</t>
  </si>
  <si>
    <t>Rai Majhi</t>
  </si>
  <si>
    <t>Duryadhana Majhi</t>
  </si>
  <si>
    <t>Tika Majhi</t>
  </si>
  <si>
    <t>______</t>
  </si>
  <si>
    <t>,Jambu Maji,Kalia Majhi</t>
  </si>
  <si>
    <t>Patrabudabudaraja GUS,
Bankakunduru</t>
  </si>
  <si>
    <t>Lanji Majhi</t>
  </si>
  <si>
    <t>Ambi Majhi</t>
  </si>
  <si>
    <t>Bankakunduru</t>
  </si>
  <si>
    <t>Mandipita</t>
  </si>
  <si>
    <t>Ajit Naik</t>
  </si>
  <si>
    <t>Makar Majhi</t>
  </si>
  <si>
    <t>Sridhar Naik,Sabita Naik,Chamara Naik,Surena Sahu</t>
  </si>
  <si>
    <t>Orissa Tribal Empowerment  &amp; Livelihoods Programme (OTELP)</t>
  </si>
  <si>
    <t>Form A:MWS Fact Sheet</t>
  </si>
  <si>
    <t>Name of the MWS/VDC</t>
  </si>
  <si>
    <t>DEVAGIRI</t>
  </si>
  <si>
    <t>MWS code (as per Orsac:)</t>
  </si>
  <si>
    <t>Forest treatable Area</t>
  </si>
  <si>
    <t>Name of the VDC President</t>
  </si>
  <si>
    <t>ASINO BHUYAN</t>
  </si>
  <si>
    <t>SIMON GOMANGO</t>
  </si>
  <si>
    <t>Name of the PRI Members of VDC</t>
  </si>
  <si>
    <t>DINISESH GOMANGO</t>
  </si>
  <si>
    <t>Contact Adress(including tele No if any):-9438719683</t>
  </si>
  <si>
    <t>Name of the Villages of the VDC</t>
  </si>
  <si>
    <t>PONGUDA</t>
  </si>
  <si>
    <t>VLSC Leaders Name</t>
  </si>
  <si>
    <t>Etor Bhuyan</t>
  </si>
  <si>
    <t>Salami Bhuyan</t>
  </si>
  <si>
    <t>Susoni Bhuyan</t>
  </si>
  <si>
    <t>VLSC Village Volunteers Name</t>
  </si>
  <si>
    <t>Jikoniyo Mondol</t>
  </si>
  <si>
    <t>Ismel Raito</t>
  </si>
  <si>
    <t>Suresh Bhuyan</t>
  </si>
  <si>
    <t>Sulomi Raito</t>
  </si>
  <si>
    <t>Onuku Mandal</t>
  </si>
  <si>
    <t>Name of the PRI Member of the  VLSC</t>
  </si>
  <si>
    <t>TIMOTI GOMANGO</t>
  </si>
  <si>
    <t>No of Villages Within the MWS</t>
  </si>
  <si>
    <t>No of VLSCs within the MWS</t>
  </si>
  <si>
    <t>House hold Details</t>
  </si>
  <si>
    <t>Vulnerable/Destitute</t>
  </si>
  <si>
    <t>APL</t>
  </si>
  <si>
    <t>AAY</t>
  </si>
  <si>
    <t>ST  Female</t>
  </si>
  <si>
    <t>BPL</t>
  </si>
  <si>
    <t>TOTAL HH</t>
  </si>
  <si>
    <t>Progress Component</t>
  </si>
  <si>
    <t>Unit cost (in Rupees )</t>
  </si>
  <si>
    <t>Allocation Rs Lakhs</t>
  </si>
  <si>
    <t>Receipt (in Rs Lakhs)</t>
  </si>
  <si>
    <t>Financial year wise Expenditure (in Rs Lakhs)</t>
  </si>
  <si>
    <t>Year 1                        (2005-2006)</t>
  </si>
  <si>
    <t>Year 2  (2006-07)</t>
  </si>
  <si>
    <t>Year 3                  (2007-2008)</t>
  </si>
  <si>
    <t>Year 4                   (2008-09)</t>
  </si>
  <si>
    <t>Year 5     (2009-2010)</t>
  </si>
  <si>
    <t>Year 6                     (2010-2011)</t>
  </si>
  <si>
    <t>Year 7                    (2011-2012)</t>
  </si>
  <si>
    <t>Hector</t>
  </si>
  <si>
    <t>Particpatory Foresty Management</t>
  </si>
  <si>
    <t>Live Stock &amp;Acquaculture Development</t>
  </si>
  <si>
    <t>Development Intative Fund</t>
  </si>
  <si>
    <t>Mty</t>
  </si>
  <si>
    <t>PISION</t>
  </si>
  <si>
    <t>NAVOMO GOMANGO</t>
  </si>
  <si>
    <t>KILIOPASS GOMANGO</t>
  </si>
  <si>
    <t>SADHU GOMANGO</t>
  </si>
  <si>
    <t>Contact Adress:  (including tele No if any):-9438526886</t>
  </si>
  <si>
    <t>TOHOJANG</t>
  </si>
  <si>
    <t>Tabita Bhuyan</t>
  </si>
  <si>
    <t>Betoni Raita</t>
  </si>
  <si>
    <t>Sabedri Raita</t>
  </si>
  <si>
    <t>Rubi Raita</t>
  </si>
  <si>
    <t>Ajya Raito</t>
  </si>
  <si>
    <t>Saulo Gomango</t>
  </si>
  <si>
    <t>Eliyasi Raito</t>
  </si>
  <si>
    <t>Jacobo Bhuyan</t>
  </si>
  <si>
    <t>Kirtno Raito</t>
  </si>
  <si>
    <t>SUNDORO RAITO</t>
  </si>
  <si>
    <t>HEMAYANA</t>
  </si>
  <si>
    <t>BENJAMIN NAIKA</t>
  </si>
  <si>
    <t>DAUD MONDOL</t>
  </si>
  <si>
    <t>SADRAK GOMANGO</t>
  </si>
  <si>
    <t>Contact Adress:  (including tele No if any</t>
  </si>
  <si>
    <t>TOLO-ABBASING</t>
  </si>
  <si>
    <t>Juani Gomango</t>
  </si>
  <si>
    <t>Galami Mandal</t>
  </si>
  <si>
    <t>Rutani Naika</t>
  </si>
  <si>
    <t>Niyami Bhuyan</t>
  </si>
  <si>
    <t>Eliyasi Monadal</t>
  </si>
  <si>
    <t>Jikriya Raito</t>
  </si>
  <si>
    <t>Pitro Raito</t>
  </si>
  <si>
    <t>JAYANTI NAIKA</t>
  </si>
  <si>
    <t>ALENGBA</t>
  </si>
  <si>
    <t>RUPO SOBORO</t>
  </si>
  <si>
    <t>DASURU BHUYAN</t>
  </si>
  <si>
    <t>JATTIBHUYAN</t>
  </si>
  <si>
    <t>Contact Adress:                                                  (including tele No if any</t>
  </si>
  <si>
    <t>SINDIBA</t>
  </si>
  <si>
    <t>Aliya Mandal</t>
  </si>
  <si>
    <t>Soibano Mandal</t>
  </si>
  <si>
    <t>Lupedi Gomango</t>
  </si>
  <si>
    <t>Gadlani Bhuyan</t>
  </si>
  <si>
    <t>Jonesh Sabara</t>
  </si>
  <si>
    <t>Sahadev Bhuyan</t>
  </si>
  <si>
    <t>Devan Gamango</t>
  </si>
  <si>
    <t>Suroth Mandal</t>
  </si>
  <si>
    <t>Rajeeve Bhuyan</t>
  </si>
  <si>
    <t xml:space="preserve">ANKO MANDOLO </t>
  </si>
  <si>
    <t>GAMMA</t>
  </si>
  <si>
    <t>VIKASH  BHUYAN</t>
  </si>
  <si>
    <t>SALITO BHUYAN</t>
  </si>
  <si>
    <t>SAKUNTALA SOBORO</t>
  </si>
  <si>
    <t>TUMULO</t>
  </si>
  <si>
    <t>Paulo Bhuyan</t>
  </si>
  <si>
    <t>Asen Raita</t>
  </si>
  <si>
    <t>Gourobo Soboro</t>
  </si>
  <si>
    <t>Simiyo Soboro</t>
  </si>
  <si>
    <t>Tebilo Bhhuyan</t>
  </si>
  <si>
    <t>Panuel Karjee</t>
  </si>
  <si>
    <t>Tinipo Mondol</t>
  </si>
  <si>
    <t>Bidopa Mandal</t>
  </si>
  <si>
    <t>EMANI</t>
  </si>
  <si>
    <t xml:space="preserve">Kiliopass Gamngo </t>
  </si>
  <si>
    <t>Allem Gomango</t>
  </si>
  <si>
    <t>MARTHA Bodo RAITO</t>
  </si>
  <si>
    <t>Contact Adress: (including tele No if any</t>
  </si>
  <si>
    <t>BODO KOLOKOTE</t>
  </si>
  <si>
    <t>Ashisha Sabara</t>
  </si>
  <si>
    <t>Salchar Luara</t>
  </si>
  <si>
    <t>Lalita Sabara</t>
  </si>
  <si>
    <t>Jadiel Gomango</t>
  </si>
  <si>
    <t>Brijabal Soboro</t>
  </si>
  <si>
    <t>Sucitro Raito</t>
  </si>
  <si>
    <t>Sabilo Soboro</t>
  </si>
  <si>
    <t>Bimal Soboro</t>
  </si>
  <si>
    <t>LALITA SOBORO</t>
  </si>
  <si>
    <t>SION</t>
  </si>
  <si>
    <t>ELIZIAR GOMANGO</t>
  </si>
  <si>
    <t>PUSKAR BHUYAN</t>
  </si>
  <si>
    <t>KIRTANO SOBORO</t>
  </si>
  <si>
    <t>TUMKUR</t>
  </si>
  <si>
    <t>Disambar Gomango</t>
  </si>
  <si>
    <t>Kuttan Manda</t>
  </si>
  <si>
    <t>Dis Eswar Gomango</t>
  </si>
  <si>
    <t>Bismoti Gomango</t>
  </si>
  <si>
    <t>Juouda Mondal</t>
  </si>
  <si>
    <t>Jibanta Roul</t>
  </si>
  <si>
    <t>Namita Gomango</t>
  </si>
  <si>
    <t>GATINO SOBORO</t>
  </si>
  <si>
    <t>SHANTI</t>
  </si>
  <si>
    <t>LANCHNO GOMANGO</t>
  </si>
  <si>
    <t>APPOLO GOMANGO</t>
  </si>
  <si>
    <t>MATHEW BHUYAN</t>
  </si>
  <si>
    <t>JANGJANGLO</t>
  </si>
  <si>
    <t>Suboni Gomango</t>
  </si>
  <si>
    <t>Anuki Raita</t>
  </si>
  <si>
    <t>Baseni Gomango</t>
  </si>
  <si>
    <t>Hirid Gomango</t>
  </si>
  <si>
    <t>Samuel Dolo Behara</t>
  </si>
  <si>
    <t xml:space="preserve">Anesh Soboro </t>
  </si>
  <si>
    <t>Maidoko Dalabehera</t>
  </si>
  <si>
    <t>Dauda Gamango</t>
  </si>
  <si>
    <t>Dauda Bhuyan</t>
  </si>
  <si>
    <t>PHILLIOMAN GOMANGO</t>
  </si>
  <si>
    <t>BALINGDA</t>
  </si>
  <si>
    <t>ABRAHAM BHUYAN</t>
  </si>
  <si>
    <t>JIKHEL MONDOLO</t>
  </si>
  <si>
    <t>SUMITRO GOMANGO</t>
  </si>
  <si>
    <t>SINDISING</t>
  </si>
  <si>
    <t>BETEA NAIKA</t>
  </si>
  <si>
    <t>JUEL GOMANGO</t>
  </si>
  <si>
    <t>Jikorya GOMANGO</t>
  </si>
  <si>
    <t>BIGNO GOMANGO</t>
  </si>
  <si>
    <t>Pitomani Raito</t>
  </si>
  <si>
    <t>Abusalem Gomango</t>
  </si>
  <si>
    <t>Jikorya Raito</t>
  </si>
  <si>
    <t>Benjamin Raito</t>
  </si>
  <si>
    <t>Sabulan Gomango</t>
  </si>
  <si>
    <t>PRAHALLAD BHUYAN</t>
  </si>
  <si>
    <t>NILLA</t>
  </si>
  <si>
    <t>GANJU GOMANGO</t>
  </si>
  <si>
    <t>PAINO GOMANGO</t>
  </si>
  <si>
    <t>SHUBAS MITA BHUYAN</t>
  </si>
  <si>
    <t>Contact Adress:    (including tele No if any</t>
  </si>
  <si>
    <t>BONTILIDA</t>
  </si>
  <si>
    <t>GUNJU GOMANGO</t>
  </si>
  <si>
    <t>Orissa Tribal Empowerment &amp; Livelyhood Programme (OTELP)</t>
  </si>
  <si>
    <t>Jambanala</t>
  </si>
  <si>
    <t>MWS code as per orsac</t>
  </si>
  <si>
    <t>Treateable Area</t>
  </si>
  <si>
    <t xml:space="preserve">Name of the President </t>
  </si>
  <si>
    <t>Swetambar sabar</t>
  </si>
  <si>
    <t>Name of the VDC secratery</t>
  </si>
  <si>
    <t>Sripati Bhuyan</t>
  </si>
  <si>
    <t>Parbati sabar</t>
  </si>
  <si>
    <t>contact Address including phone no</t>
  </si>
  <si>
    <t>at:Bangusahi,po:Jirango,ph:9338851734</t>
  </si>
  <si>
    <t xml:space="preserve"> Name of the Village of VDC </t>
  </si>
  <si>
    <t>Bangusahi</t>
  </si>
  <si>
    <t>Angaraba</t>
  </si>
  <si>
    <t>VLSC Leader Name :</t>
  </si>
  <si>
    <t>Sankar sabar</t>
  </si>
  <si>
    <t xml:space="preserve">Padmacharan Badarait </t>
  </si>
  <si>
    <t>VLSC Village Volunteers Name:</t>
  </si>
  <si>
    <t>Narayana Bhuyan</t>
  </si>
  <si>
    <t>Manjula Bhuyan</t>
  </si>
  <si>
    <t>Name of the PRI Members of the VLSC:</t>
  </si>
  <si>
    <t>Srimati Sabar</t>
  </si>
  <si>
    <t>No of vi llage within the MWS</t>
  </si>
  <si>
    <t>No of VLSC within the MWs</t>
  </si>
  <si>
    <t>No of SHG</t>
  </si>
  <si>
    <t>No of vss</t>
  </si>
  <si>
    <t>Vulnerable/Destitude:</t>
  </si>
  <si>
    <t>Population Details:</t>
  </si>
  <si>
    <t>ST male</t>
  </si>
  <si>
    <t>Unit Cost(in Rs)</t>
  </si>
  <si>
    <t>Allocation(in Rs Lakh)</t>
  </si>
  <si>
    <t>Receipt(in Lakh)</t>
  </si>
  <si>
    <t>Financial Year Wise Expenditure (in Rs Lakh)</t>
  </si>
  <si>
    <t>% of exp</t>
  </si>
  <si>
    <t>Ha</t>
  </si>
  <si>
    <t>Livestock Acquaculture Devlopement</t>
  </si>
  <si>
    <t>Community Infracture Fund</t>
  </si>
  <si>
    <t>Development Initiave Fund</t>
  </si>
  <si>
    <t>Administrative cost of VDC</t>
  </si>
  <si>
    <t>Baghanala</t>
  </si>
  <si>
    <t>Jagana sabar</t>
  </si>
  <si>
    <t>Bhima Sabar</t>
  </si>
  <si>
    <t>at:Sankurda,po:Narayanpur,ph:933887907</t>
  </si>
  <si>
    <t>Sankurada</t>
  </si>
  <si>
    <t>Bonda</t>
  </si>
  <si>
    <t>Subash sabar</t>
  </si>
  <si>
    <t>Biven ku sabar</t>
  </si>
  <si>
    <t>naresh sabar</t>
  </si>
  <si>
    <t>Dilip sabar</t>
  </si>
  <si>
    <t>Dubi Bhuyan</t>
  </si>
  <si>
    <t>Mahendratanaya</t>
  </si>
  <si>
    <t>Janardana Khandapatra</t>
  </si>
  <si>
    <t>Narsinga Sabar</t>
  </si>
  <si>
    <t>at:Langipadar,po:Narayanpur,ph:9668105687</t>
  </si>
  <si>
    <t>Pegada</t>
  </si>
  <si>
    <t>Lanjipadar</t>
  </si>
  <si>
    <t>Paramananda Bhuyan</t>
  </si>
  <si>
    <t>Banamali Rauta</t>
  </si>
  <si>
    <t>Harihara Bhuyan</t>
  </si>
  <si>
    <t>Hemanta Nayak</t>
  </si>
  <si>
    <t>Narsinga sabar</t>
  </si>
  <si>
    <t>Darubramha</t>
  </si>
  <si>
    <t>Manoranjan Karjee</t>
  </si>
  <si>
    <t>Sanjeet Karjee</t>
  </si>
  <si>
    <t>Jasoda Nayak</t>
  </si>
  <si>
    <t>at:Badamasing,po:kainpur,ph:06815214220</t>
  </si>
  <si>
    <t>Badamasing</t>
  </si>
  <si>
    <t>Teraba</t>
  </si>
  <si>
    <t>Madava</t>
  </si>
  <si>
    <t>Kantagan</t>
  </si>
  <si>
    <t>Bisikesan Karjee</t>
  </si>
  <si>
    <t>Surendra Bhuyan</t>
  </si>
  <si>
    <t>Laba Bhuyan</t>
  </si>
  <si>
    <t>Senapati Karjee</t>
  </si>
  <si>
    <t>Laxman Sabar</t>
  </si>
  <si>
    <t>Madhusudan Bhuyan</t>
  </si>
  <si>
    <t>Gurunath Ssabar</t>
  </si>
  <si>
    <t>Rajendra Sabar</t>
  </si>
  <si>
    <t>Rambha Bhuyan</t>
  </si>
  <si>
    <t>Ramakant Dhamunda</t>
  </si>
  <si>
    <t>Badapathara</t>
  </si>
  <si>
    <t>Sarat chandra Nayak</t>
  </si>
  <si>
    <t>Padmabati Nayak</t>
  </si>
  <si>
    <t>Laxmi Bhuyan</t>
  </si>
  <si>
    <t>at.padasahi  po.Rayagada. Ph no.06815212187</t>
  </si>
  <si>
    <t>Rajpuru</t>
  </si>
  <si>
    <t>Muhana</t>
  </si>
  <si>
    <t>Hatibadi</t>
  </si>
  <si>
    <t>Padasahi</t>
  </si>
  <si>
    <t>Radhakrushna Raghaba</t>
  </si>
  <si>
    <t>Trinath Khandapatra</t>
  </si>
  <si>
    <t>Hadia sabar</t>
  </si>
  <si>
    <t>Kantaruni Nayak</t>
  </si>
  <si>
    <t>Dandasi Khanduala</t>
  </si>
  <si>
    <t>Bhabani Khanduala</t>
  </si>
  <si>
    <t>Trinath Bhuyan</t>
  </si>
  <si>
    <t>Porosatama Rauta</t>
  </si>
  <si>
    <t>Marjanda Dalai</t>
  </si>
  <si>
    <t>Simanchal Nayak</t>
  </si>
  <si>
    <t>No</t>
  </si>
  <si>
    <t>Ajaygadadhara</t>
  </si>
  <si>
    <t>Ramakanta Nayak</t>
  </si>
  <si>
    <t>Purostama  Rauta</t>
  </si>
  <si>
    <t>Ananta Bhuyan</t>
  </si>
  <si>
    <t>at/po.sanatundi. Rayagada.ph no .8763246757</t>
  </si>
  <si>
    <t>Badatundi</t>
  </si>
  <si>
    <t>Sanatundi</t>
  </si>
  <si>
    <t>Tubursing</t>
  </si>
  <si>
    <t>Gunipriya Raula</t>
  </si>
  <si>
    <t>Krushna ch Khandapatra</t>
  </si>
  <si>
    <t>Makar Bhuyan</t>
  </si>
  <si>
    <t>Ashok Raut</t>
  </si>
  <si>
    <t>Niranjan Nayak</t>
  </si>
  <si>
    <t>Srinibas Khanduala</t>
  </si>
  <si>
    <t>Debagiri</t>
  </si>
  <si>
    <t>Bhaskar</t>
  </si>
  <si>
    <t>Simadri Kumbha</t>
  </si>
  <si>
    <t>at:Hirapur,po:Rayagada,ph:9438719690</t>
  </si>
  <si>
    <t>Rempi</t>
  </si>
  <si>
    <t>Hirapur</t>
  </si>
  <si>
    <t>Kaithapadar</t>
  </si>
  <si>
    <t>Bahadapada</t>
  </si>
  <si>
    <t>Narasinga Sabar</t>
  </si>
  <si>
    <t>Ghanasyama  Nayak</t>
  </si>
  <si>
    <t>Mahendra Bhuyan</t>
  </si>
  <si>
    <t>Karanta Bhuyan</t>
  </si>
  <si>
    <t>Brundabana Kumbha</t>
  </si>
  <si>
    <t>Samanath Sabar</t>
  </si>
  <si>
    <t>Rajesh Sabar</t>
  </si>
  <si>
    <t>Laxmi Kumbha</t>
  </si>
  <si>
    <t>Bhaskar Dalai</t>
  </si>
  <si>
    <t>Gandakhala</t>
  </si>
  <si>
    <t>Syam sundar Bhuyan</t>
  </si>
  <si>
    <t>Maheswar Bhuyan</t>
  </si>
  <si>
    <t>at:Raising,po:koinpur,ph:8895161436</t>
  </si>
  <si>
    <t>Langasahi</t>
  </si>
  <si>
    <t>Raising</t>
  </si>
  <si>
    <t>Dunddunga</t>
  </si>
  <si>
    <t>Suaba</t>
  </si>
  <si>
    <t>Baya madak</t>
  </si>
  <si>
    <t>Laxman Karjee</t>
  </si>
  <si>
    <t>Jasbanta Bhuyan</t>
  </si>
  <si>
    <t>Govinda sabar</t>
  </si>
  <si>
    <t>Ramchandra Manbdal</t>
  </si>
  <si>
    <t>Kailsah Badaraita</t>
  </si>
  <si>
    <t>Ramesh Bhuyan</t>
  </si>
  <si>
    <t>sekhara sabar</t>
  </si>
  <si>
    <t>Kesaba Sabar</t>
  </si>
  <si>
    <t>Satabhauni</t>
  </si>
  <si>
    <t>Puniya sabar</t>
  </si>
  <si>
    <t>Sebati Bhuyan</t>
  </si>
  <si>
    <t>Kandra Bhuyan</t>
  </si>
  <si>
    <t>at:M.Luapur,po:Gandahati,ph7894555263</t>
  </si>
  <si>
    <t>M.Laupur</t>
  </si>
  <si>
    <t>Muliguma</t>
  </si>
  <si>
    <t>Padnav a Rauta</t>
  </si>
  <si>
    <t>Rukuna Bhuyan</t>
  </si>
  <si>
    <t>Abraham sabar</t>
  </si>
  <si>
    <t>Chini Sabar</t>
  </si>
  <si>
    <t>Duarasunki</t>
  </si>
  <si>
    <t>Chakra gauri</t>
  </si>
  <si>
    <t>Dauda Raik</t>
  </si>
  <si>
    <t>at:Muningbada,po:Gandahati,ph:933547584</t>
  </si>
  <si>
    <t>Muningabada</t>
  </si>
  <si>
    <t>Kuising</t>
  </si>
  <si>
    <t>Munising</t>
  </si>
  <si>
    <t>Talamanda</t>
  </si>
  <si>
    <t>Baika Bhuyan</t>
  </si>
  <si>
    <t>Sambari</t>
  </si>
  <si>
    <t>Sunku Sabar</t>
  </si>
  <si>
    <t>Jejaba Sabar</t>
  </si>
  <si>
    <t>Mujesh Sabar</t>
  </si>
  <si>
    <t>Rabi Sabar</t>
  </si>
  <si>
    <t>Hect</t>
  </si>
  <si>
    <t>Development Intiative Fund</t>
  </si>
  <si>
    <t>Hec</t>
  </si>
  <si>
    <t>2010-2011</t>
  </si>
  <si>
    <t>2009-2010</t>
  </si>
  <si>
    <t>2008-2009</t>
  </si>
  <si>
    <t>2007-2008</t>
  </si>
  <si>
    <t>2006-2007</t>
  </si>
  <si>
    <t>2005-2006</t>
  </si>
  <si>
    <t>2004-2005</t>
  </si>
  <si>
    <t>Financial Year wise Expenditure (in Rs.)</t>
  </si>
  <si>
    <t>Receipt( in Rs.Lakhs)</t>
  </si>
  <si>
    <t>Allocation in Rs.Lakhs)</t>
  </si>
  <si>
    <t>Unit (in Hector)</t>
  </si>
  <si>
    <t>Unit Cost in Rs</t>
  </si>
  <si>
    <t>Porgramme Component</t>
  </si>
  <si>
    <t>Population detail</t>
  </si>
  <si>
    <t>Household detail</t>
  </si>
  <si>
    <t>No of VLSCs within the MWs</t>
  </si>
  <si>
    <t>No of the villages within the MWs</t>
  </si>
  <si>
    <t>Grabriel Bhuiyan</t>
  </si>
  <si>
    <t>Name of the PRI member of the VLSC</t>
  </si>
  <si>
    <t>Bhima Raita</t>
  </si>
  <si>
    <t>Lata Bira</t>
  </si>
  <si>
    <t>Sulmana Dalabehera</t>
  </si>
  <si>
    <t>Nitaniel Raita</t>
  </si>
  <si>
    <t>Lazar Gamango</t>
  </si>
  <si>
    <t>VLSC Volunteers Name</t>
  </si>
  <si>
    <t>Village leaders Name</t>
  </si>
  <si>
    <t>Buripadara</t>
  </si>
  <si>
    <t>At-Buripadara,Po-Anuguru,Dist-Gajapati</t>
  </si>
  <si>
    <t>Contact Address (including telephone number if any)</t>
  </si>
  <si>
    <t>Suman Dalabehera</t>
  </si>
  <si>
    <t>Name of the VDC Secretary</t>
  </si>
  <si>
    <t>Susena Raita</t>
  </si>
  <si>
    <t>Forest Treatable Area in hac</t>
  </si>
  <si>
    <t>Tretable area in hac</t>
  </si>
  <si>
    <t>MWS code (As per Orsac)</t>
  </si>
  <si>
    <t>Mutukua</t>
  </si>
  <si>
    <t>Name of the MWs/VDC</t>
  </si>
  <si>
    <t>FORM A MWS Fact sheet</t>
  </si>
  <si>
    <t>ORISSA TRIBAL EMPOWERMENT &amp; LIVILIHOODS PROGRAMME</t>
  </si>
  <si>
    <t>NB:During the year 2010-2011 Rs 1,00,000.00 was divertied from unutilised Rural Financial Services fund lying at VDC level to Agriculture &amp; Horticulture Production fund for upscling.</t>
  </si>
  <si>
    <t>Simiya Mandala</t>
  </si>
  <si>
    <t>Padma Mandal</t>
  </si>
  <si>
    <t>Esriel Mandal</t>
  </si>
  <si>
    <t>Asina Raita</t>
  </si>
  <si>
    <t>Jayamani Gamango</t>
  </si>
  <si>
    <t>Janath Mandala</t>
  </si>
  <si>
    <t>Junesh Gamango</t>
  </si>
  <si>
    <t>Nidhigudi</t>
  </si>
  <si>
    <t>At-Nidhigudi,Po-Anuguru,Dist-Gajapati</t>
  </si>
  <si>
    <t>Padma Mandala,Simiya Mandala</t>
  </si>
  <si>
    <t>Sulman Mandal</t>
  </si>
  <si>
    <t>Jorama Behera</t>
  </si>
  <si>
    <t>Susila Beherdalai</t>
  </si>
  <si>
    <t>Rajendra Nayak</t>
  </si>
  <si>
    <t>Durjyodhana Beherdalai</t>
  </si>
  <si>
    <t>Bhisma Beherdalai</t>
  </si>
  <si>
    <t>Kumuda Beherdalai</t>
  </si>
  <si>
    <t>Lambodara Beherdalai</t>
  </si>
  <si>
    <t>Lazar Majhi</t>
  </si>
  <si>
    <t>Eso Majhi</t>
  </si>
  <si>
    <t>Bhimasena Karjee</t>
  </si>
  <si>
    <t>Village Leaders Name</t>
  </si>
  <si>
    <t>Ramagiri</t>
  </si>
  <si>
    <t>Tataranga</t>
  </si>
  <si>
    <t>At-Tataranga ,Po-Anuguru,Dist-Gajapati</t>
  </si>
  <si>
    <t>Narasingha Beherdalai</t>
  </si>
  <si>
    <t>Adikanda Beher Dalai</t>
  </si>
  <si>
    <t>Dahiamba</t>
  </si>
  <si>
    <t>Siman Gamango</t>
  </si>
  <si>
    <t>Saidraka Bhuiyan</t>
  </si>
  <si>
    <t>Siman Majhi</t>
  </si>
  <si>
    <t>Jhaleri</t>
  </si>
  <si>
    <t>Haruma</t>
  </si>
  <si>
    <t>Hatikuda</t>
  </si>
  <si>
    <t>Jamusahi</t>
  </si>
  <si>
    <t>At-Jamusahi ,Po-Anuguru,Dist-Gajapati</t>
  </si>
  <si>
    <t>Samuel Majhi</t>
  </si>
  <si>
    <t>Mathew Majhi</t>
  </si>
  <si>
    <t>Bapedi</t>
  </si>
  <si>
    <t>Sinama Gamango</t>
  </si>
  <si>
    <t>Teresa Majhi</t>
  </si>
  <si>
    <t>Samiel Majhi</t>
  </si>
  <si>
    <t>Joseph Gamango</t>
  </si>
  <si>
    <t>Sunemi Majhi</t>
  </si>
  <si>
    <t>Ananda Raita</t>
  </si>
  <si>
    <t>Andriya Gamango</t>
  </si>
  <si>
    <t>Kaina Majhi</t>
  </si>
  <si>
    <t>Kapilipadara</t>
  </si>
  <si>
    <t>Katama</t>
  </si>
  <si>
    <t>Tandrango</t>
  </si>
  <si>
    <t>Samson Majhi</t>
  </si>
  <si>
    <t>Nil</t>
  </si>
  <si>
    <t>Puspango</t>
  </si>
  <si>
    <t>Binoda Raita</t>
  </si>
  <si>
    <t>Prasanta Dalabehera</t>
  </si>
  <si>
    <t>Sanatana Dalabehera</t>
  </si>
  <si>
    <t>Narendra Dalabehera</t>
  </si>
  <si>
    <t>Enosa Raita</t>
  </si>
  <si>
    <t>Hari Raita</t>
  </si>
  <si>
    <t>Suku Dalabehera</t>
  </si>
  <si>
    <t>Timati Mandal</t>
  </si>
  <si>
    <t>Debendra Badaraita</t>
  </si>
  <si>
    <t>Puspango VDA</t>
  </si>
  <si>
    <t>Syama Bagsing</t>
  </si>
  <si>
    <t>Jagabandhu Beherdalai</t>
  </si>
  <si>
    <t>Ruben Mandal</t>
  </si>
  <si>
    <t>Asha Mandal</t>
  </si>
  <si>
    <t>Brahmana Dalapati</t>
  </si>
  <si>
    <t>Pabitra Mandal</t>
  </si>
  <si>
    <t>Krushana Paika</t>
  </si>
  <si>
    <t>Bikrama Dalapati</t>
  </si>
  <si>
    <t>Gorada</t>
  </si>
  <si>
    <t>N.Rugeising</t>
  </si>
  <si>
    <t>At-N.Rugeising ,Po-Sambalapur,Dist-Gajapati</t>
  </si>
  <si>
    <t>Johan Raita</t>
  </si>
  <si>
    <t>Bharat Beherdalai</t>
  </si>
  <si>
    <t>Dhenkabandha</t>
  </si>
  <si>
    <t>Manasi Raita</t>
  </si>
  <si>
    <t>Jasmini Dalabehera</t>
  </si>
  <si>
    <t>Sinjibi Gamango</t>
  </si>
  <si>
    <t>Saroja Raita</t>
  </si>
  <si>
    <t>Simiya Bhuina</t>
  </si>
  <si>
    <t>Kumuda Raita</t>
  </si>
  <si>
    <t>Sumanta Gamango</t>
  </si>
  <si>
    <t>Burduguda</t>
  </si>
  <si>
    <t>At-Burduguda,Po-Sambalapur,Dist-Gajapati</t>
  </si>
  <si>
    <t>Ujaya Raita</t>
  </si>
  <si>
    <t>Jayanta Dalabehera</t>
  </si>
  <si>
    <t>Bhamaranala</t>
  </si>
  <si>
    <t>Eliya Mandala</t>
  </si>
  <si>
    <t>Sumbra Dalabehera</t>
  </si>
  <si>
    <t>Balazi Maji</t>
  </si>
  <si>
    <t>Samuel Bhuiyan</t>
  </si>
  <si>
    <t>Karniel Raita</t>
  </si>
  <si>
    <t>Paulo Majhi</t>
  </si>
  <si>
    <t>Johan Gamango</t>
  </si>
  <si>
    <t>Jakhya Gamango</t>
  </si>
  <si>
    <t>Joseph Majhi</t>
  </si>
  <si>
    <t>Bimanapur</t>
  </si>
  <si>
    <t>Patangipadara</t>
  </si>
  <si>
    <t>Jarigidua</t>
  </si>
  <si>
    <t>At-Jarigidua ,Po-Sambalapur,Dist-Gajapati</t>
  </si>
  <si>
    <t>Balaji Majhi</t>
  </si>
  <si>
    <t>Semo Bada Raita</t>
  </si>
  <si>
    <t>Joseph Raita</t>
  </si>
  <si>
    <t>Badanala</t>
  </si>
  <si>
    <t>Baga Majhi</t>
  </si>
  <si>
    <t>Santani Raita</t>
  </si>
  <si>
    <t>Sulami Majhi</t>
  </si>
  <si>
    <t>Meneka Gamango</t>
  </si>
  <si>
    <t>Sumanta Raita</t>
  </si>
  <si>
    <t>Sundara Majhi</t>
  </si>
  <si>
    <t>Paulo Gamango</t>
  </si>
  <si>
    <t>Pedikapadara</t>
  </si>
  <si>
    <t>Dalimbapur</t>
  </si>
  <si>
    <t>Kalasi Bhuiyan</t>
  </si>
  <si>
    <t>Manasi Gamango</t>
  </si>
  <si>
    <t xml:space="preserve">Form A: MWS Fact Sheet </t>
  </si>
  <si>
    <t>Name of the VDC:</t>
  </si>
  <si>
    <t>Souri</t>
  </si>
  <si>
    <t>Forest Treatable area</t>
  </si>
  <si>
    <t>80Hect</t>
  </si>
  <si>
    <t xml:space="preserve">Name of the VDC President </t>
  </si>
  <si>
    <t>Trupa Dalabehera</t>
  </si>
  <si>
    <t>Devis Bhuyan</t>
  </si>
  <si>
    <t>Jusiya Mandal</t>
  </si>
  <si>
    <t>Contact Address:(Including telephone number if any</t>
  </si>
  <si>
    <t>At - Souri, Po - Luhangar, Via - Nuagada, Dist - Gajapati</t>
  </si>
  <si>
    <t xml:space="preserve">VLSC Leaders Name </t>
  </si>
  <si>
    <t>Ranjan Manadl</t>
  </si>
  <si>
    <t>Gai Gamango</t>
  </si>
  <si>
    <t>Sundam Raita</t>
  </si>
  <si>
    <t>Limpan Raita</t>
  </si>
  <si>
    <t>Siman Raita</t>
  </si>
  <si>
    <t>Luka Raita</t>
  </si>
  <si>
    <t>Nimbruta Raita</t>
  </si>
  <si>
    <t>Sebika Mandal</t>
  </si>
  <si>
    <t>Eliajar Badaraita</t>
  </si>
  <si>
    <t>No of Villages within the MWS:</t>
  </si>
  <si>
    <t>No of VLSC. Within the MWS:</t>
  </si>
  <si>
    <t>No of VSS:</t>
  </si>
  <si>
    <t>No of  UG</t>
  </si>
  <si>
    <t>Vulnerable Destitute:</t>
  </si>
  <si>
    <t>Unit Cost (in Rs.</t>
  </si>
  <si>
    <t xml:space="preserve">Unit </t>
  </si>
  <si>
    <t>Allocation (in Rs. Lakhs)</t>
  </si>
  <si>
    <t xml:space="preserve">Receipt (in Rs Lakhs </t>
  </si>
  <si>
    <t>1(04-05)</t>
  </si>
  <si>
    <t>2(05-06)</t>
  </si>
  <si>
    <t>3(06-07)</t>
  </si>
  <si>
    <t>4(07-08)</t>
  </si>
  <si>
    <t>5(08-09)</t>
  </si>
  <si>
    <t>6(09-10)</t>
  </si>
  <si>
    <t>7(10-11)</t>
  </si>
  <si>
    <t xml:space="preserve"> Hect</t>
  </si>
  <si>
    <t>Agriculture &amp; Horticulture production</t>
  </si>
  <si>
    <t>Community Infrastucture fund</t>
  </si>
  <si>
    <t>Rural Fianancial Services</t>
  </si>
  <si>
    <t>Development initiatives Fund</t>
  </si>
  <si>
    <t>Palapur</t>
  </si>
  <si>
    <t>Nilakantha karjee</t>
  </si>
  <si>
    <t>Subas chandra Nayak</t>
  </si>
  <si>
    <t>Namita nayak</t>
  </si>
  <si>
    <t>At.-palapur,Via-Nuagada,Po-Karadanga,Dist-gajapati</t>
  </si>
  <si>
    <t>Dalapati Mondal</t>
  </si>
  <si>
    <t>Aruna Bhuyan</t>
  </si>
  <si>
    <t>Tilatama Pujari</t>
  </si>
  <si>
    <t>Trinath Raita</t>
  </si>
  <si>
    <t>No of UG:</t>
  </si>
  <si>
    <t>2(005-06)</t>
  </si>
  <si>
    <t>Ketung  Pada</t>
  </si>
  <si>
    <t>Galash Mandal</t>
  </si>
  <si>
    <t>Suresh Raita</t>
  </si>
  <si>
    <t>Ketunga Pada</t>
  </si>
  <si>
    <t>Simiya Dalabehera</t>
  </si>
  <si>
    <t>Kumari Mandal</t>
  </si>
  <si>
    <t>Sujana Mandal</t>
  </si>
  <si>
    <t xml:space="preserve"> Badadev</t>
  </si>
  <si>
    <t>Gouranga Mondal</t>
  </si>
  <si>
    <t>Gurubada</t>
  </si>
  <si>
    <t>Kanchan Mondal</t>
  </si>
  <si>
    <t>At -Aradi Po- R.udaygiri, Via - R. Udayagiri, Dist - Gajapati,Mob-8895664608</t>
  </si>
  <si>
    <t>Badadev</t>
  </si>
  <si>
    <t>Pratap sabar</t>
  </si>
  <si>
    <t>Champa mondal</t>
  </si>
  <si>
    <t>Srinath karjee</t>
  </si>
  <si>
    <t>Srimati raita</t>
  </si>
  <si>
    <t>Bigheneswar Mandal</t>
  </si>
  <si>
    <t>Masia Raita</t>
  </si>
  <si>
    <t>Devraj Mandal</t>
  </si>
  <si>
    <t>Jamuna Mandal</t>
  </si>
  <si>
    <t>Chaitanya Mandal</t>
  </si>
  <si>
    <t>Madhab Mandal</t>
  </si>
  <si>
    <t>Konkarada</t>
  </si>
  <si>
    <t>Gangadhara mondal</t>
  </si>
  <si>
    <t>Suriesh Raita</t>
  </si>
  <si>
    <t>Sumanata saya</t>
  </si>
  <si>
    <t>At-konkarada,Po-attarsing,Via-R.Udaygiri,Dist-paralakhemundi</t>
  </si>
  <si>
    <t>Daniyal bhuyan</t>
  </si>
  <si>
    <t>Banita Mondal</t>
  </si>
  <si>
    <t>Rajumondal</t>
  </si>
  <si>
    <t>Attarsing</t>
  </si>
  <si>
    <t>Sunemmi Raika</t>
  </si>
  <si>
    <t>Rajeeb Dora</t>
  </si>
  <si>
    <t>Manika Dora</t>
  </si>
  <si>
    <t>Sujaya Raita</t>
  </si>
  <si>
    <t>Manoj Raika</t>
  </si>
  <si>
    <t>Tuman</t>
  </si>
  <si>
    <t>Kartika Raita</t>
  </si>
  <si>
    <t>Digamber Raita</t>
  </si>
  <si>
    <t>Sahadev Pradhan</t>
  </si>
  <si>
    <t>Tuman village, Po-R.Udayagiri, Dt-Gagapati,</t>
  </si>
  <si>
    <t>Siba Rama Raita</t>
  </si>
  <si>
    <t xml:space="preserve"> Pitamabar raita</t>
  </si>
  <si>
    <t>Visaka ratita</t>
  </si>
  <si>
    <t>Luther</t>
  </si>
  <si>
    <t>Anam Gamango</t>
  </si>
  <si>
    <t>Dumki Raika</t>
  </si>
  <si>
    <t>At -Luther, Po- Parimal, Via - R. Udayagiri, Dist - Gajapati</t>
  </si>
  <si>
    <t>Surath Raita</t>
  </si>
  <si>
    <t>Mikhael Gamango</t>
  </si>
  <si>
    <t>Junesh Kata</t>
  </si>
  <si>
    <t>Prafulla Mandal</t>
  </si>
  <si>
    <t>Jikhariya Raita</t>
  </si>
  <si>
    <t>Nayami Raita</t>
  </si>
  <si>
    <t>Arati Dalabehera</t>
  </si>
  <si>
    <t>Junesh Raita</t>
  </si>
  <si>
    <t>Saralapadar</t>
  </si>
  <si>
    <t>Ismail Gamango</t>
  </si>
  <si>
    <t>Hadibandhu Karjee</t>
  </si>
  <si>
    <t>Janaki Nayak</t>
  </si>
  <si>
    <t>At - Saralapadar, Po - Parimal - Via - R. Udayagiri, Dist - Gajapati</t>
  </si>
  <si>
    <t>Ramachandra Karjee</t>
  </si>
  <si>
    <t>Surendra Raiaka</t>
  </si>
  <si>
    <t>Andriya Raika</t>
  </si>
  <si>
    <t>Laxman Raiata</t>
  </si>
  <si>
    <t>Nares Karjee</t>
  </si>
  <si>
    <t>Sulami Raita</t>
  </si>
  <si>
    <t>Dasarathi Karjee</t>
  </si>
  <si>
    <t>RUBUDISING</t>
  </si>
  <si>
    <t>Philpa Dalabehera</t>
  </si>
  <si>
    <t>Karniyal raita</t>
  </si>
  <si>
    <t>Gasana raita</t>
  </si>
  <si>
    <t>Hanuka raita</t>
  </si>
  <si>
    <t>Gasi Raika</t>
  </si>
  <si>
    <t>Hec.</t>
  </si>
  <si>
    <t>Orissa Tribal Empowerment &amp; Livelihoods Programme (OTELP)
Form A; MWS Fact Sheet</t>
  </si>
  <si>
    <t>Name of the MWS / VDC</t>
  </si>
  <si>
    <t>Kalibudha</t>
  </si>
  <si>
    <t>MWS Code (as per ORSAC)</t>
  </si>
  <si>
    <t>0407010505100103</t>
  </si>
  <si>
    <t>Forest Tratable Area</t>
  </si>
  <si>
    <t>Bharat Pradhani</t>
  </si>
  <si>
    <t>Name of VDC Secretary</t>
  </si>
  <si>
    <t>Biswanath Mallick</t>
  </si>
  <si>
    <t>Name of the PRI Member</t>
  </si>
  <si>
    <t>Jaleswar Beherdalai</t>
  </si>
  <si>
    <t>Contact Address (Including
telephone number if any)</t>
  </si>
  <si>
    <t>At - Telimunda, Po - Tumudibandh, Dist - Kandhamal</t>
  </si>
  <si>
    <t>Name of the Village of VDC</t>
  </si>
  <si>
    <t>Kalisapadar / Killupadi</t>
  </si>
  <si>
    <t>Telemunda</t>
  </si>
  <si>
    <t>Bhalliapani</t>
  </si>
  <si>
    <t>Kineswar Mallick</t>
  </si>
  <si>
    <t>Midiali Mallick</t>
  </si>
  <si>
    <t>Kineswar Mallick, Dendena Majhi, Sini Mallick</t>
  </si>
  <si>
    <t>Kistama Ghadei</t>
  </si>
  <si>
    <t>Padmini Mallick</t>
  </si>
  <si>
    <t>Kinura Majhi</t>
  </si>
  <si>
    <t>Urbasi Beherdalai</t>
  </si>
  <si>
    <t>Gobinda Mallick</t>
  </si>
  <si>
    <t>No. of Villages within the MWS</t>
  </si>
  <si>
    <t>No. of VLSCs within the MWS</t>
  </si>
  <si>
    <t>No. of SHGs</t>
  </si>
  <si>
    <t>No. of VSS</t>
  </si>
  <si>
    <t>No. of UG</t>
  </si>
  <si>
    <t>Other Female</t>
  </si>
  <si>
    <t>Unit Cost 
(in Rs.)</t>
  </si>
  <si>
    <t>Allocation 
(in Rs. Lakhs)</t>
  </si>
  <si>
    <t>Receipt
(in Rs. Lakhs)</t>
  </si>
  <si>
    <t>Financial Year Wise Expenditure ( In Rs. Lakhs)</t>
  </si>
  <si>
    <t>2011-12</t>
  </si>
  <si>
    <t>Hactare</t>
  </si>
  <si>
    <t>Live Stock &amp; Acquaculture Development</t>
  </si>
  <si>
    <t>Rural Finance Service</t>
  </si>
  <si>
    <t>Development Initiative Fund</t>
  </si>
  <si>
    <t>04070105060190201</t>
  </si>
  <si>
    <t>Somanath Beruk</t>
  </si>
  <si>
    <t>Ramesh Pradhani</t>
  </si>
  <si>
    <t>Anita Patra</t>
  </si>
  <si>
    <t>At - Dangarpadar, Po - Tumudibandh, Dist - Kandhamal</t>
  </si>
  <si>
    <t>Dangarpadar / Guduguda</t>
  </si>
  <si>
    <t>Abhimanyu Dandasena</t>
  </si>
  <si>
    <t>Ananda Beruk, Sharat Beruk, Ratnakar Nayak, Chanchala Dalapati, Surendra Ghadei</t>
  </si>
  <si>
    <t>Kania Bisimajhi</t>
  </si>
  <si>
    <t>Orissa Tribal Empowerment &amp; Livelihoods Programme (OTELP)
Form A MWS Fact Sheet</t>
  </si>
  <si>
    <t>Siba Shakti</t>
  </si>
  <si>
    <t>0407010506100201</t>
  </si>
  <si>
    <t>Samanta Patra</t>
  </si>
  <si>
    <t>Daitari Patra</t>
  </si>
  <si>
    <t>Sunasira Patra</t>
  </si>
  <si>
    <t>At - Barengili, Po. - Lankagada, Via - Tumudibnadh, Dist. - Kandhamal</t>
  </si>
  <si>
    <t>Jarna</t>
  </si>
  <si>
    <t>Arjunapur</t>
  </si>
  <si>
    <t>Siba</t>
  </si>
  <si>
    <t>Barangili - A</t>
  </si>
  <si>
    <t>Budu Majhi</t>
  </si>
  <si>
    <t>Judhistira Patra</t>
  </si>
  <si>
    <t>Kumar Patra</t>
  </si>
  <si>
    <t>Laxmidhara Patra</t>
  </si>
  <si>
    <t xml:space="preserve"> Kishore Majhi</t>
  </si>
  <si>
    <t>Jayasingh Patra</t>
  </si>
  <si>
    <t>Budha Patra</t>
  </si>
  <si>
    <t>Jayadhara Patra, Chitrasen Patra</t>
  </si>
  <si>
    <t>Pabitra Patra</t>
  </si>
  <si>
    <t>Mana Patra</t>
  </si>
  <si>
    <t>Sibaram Patra</t>
  </si>
  <si>
    <t>modified</t>
  </si>
  <si>
    <t>Jaya Hanuman</t>
  </si>
  <si>
    <t>040701006100202</t>
  </si>
  <si>
    <t>Tulasi Patra</t>
  </si>
  <si>
    <t>Jaya Mangala Patra</t>
  </si>
  <si>
    <t>Sukadev Patra</t>
  </si>
  <si>
    <t>Hatimunda</t>
  </si>
  <si>
    <t>Barengili - B</t>
  </si>
  <si>
    <t>Bandika</t>
  </si>
  <si>
    <t>Hara Prasad Patra</t>
  </si>
  <si>
    <t>Samataray Patra</t>
  </si>
  <si>
    <t>Pitambar Jani</t>
  </si>
  <si>
    <t>Gopal Patra, Urbasi Patra, Sundari Patra, Dhaneswar Patra</t>
  </si>
  <si>
    <t>Sugri Majhi</t>
  </si>
  <si>
    <t>Jana Chetana</t>
  </si>
  <si>
    <t>0407010506180102</t>
  </si>
  <si>
    <t>Subandar Majhi</t>
  </si>
  <si>
    <t>Sidheswar Nayak</t>
  </si>
  <si>
    <t>Rajiv Patra</t>
  </si>
  <si>
    <t>At/Po- Mundigada, Via - Tumudibandh, Dist - Kandhamal</t>
  </si>
  <si>
    <t>Tarlangi</t>
  </si>
  <si>
    <t>Pingadi / Selangi</t>
  </si>
  <si>
    <t>Indra Majhi</t>
  </si>
  <si>
    <t>Sikina Majhi</t>
  </si>
  <si>
    <t>Pitambar Nayak, Hira Nayak</t>
  </si>
  <si>
    <t>Titana Majhi, Pankaj Nayak, Rebika Majhi</t>
  </si>
  <si>
    <t>Sushanta Nayak</t>
  </si>
  <si>
    <t>Kutika Majhi, Banigiladu Majhi</t>
  </si>
  <si>
    <t>0407010506160203</t>
  </si>
  <si>
    <t>Karunakar Majhi</t>
  </si>
  <si>
    <t>Saroj Kumar Majhi</t>
  </si>
  <si>
    <t>Balaram Majhi</t>
  </si>
  <si>
    <t>At / Po - Batipada, Belghar, Via - Tumudibandh, Dist- Kandhamal</t>
  </si>
  <si>
    <t>Batipada</t>
  </si>
  <si>
    <t>Gurlimaska</t>
  </si>
  <si>
    <t>Targabali</t>
  </si>
  <si>
    <t>Sabita Majhi</t>
  </si>
  <si>
    <t>Munga Majhi</t>
  </si>
  <si>
    <t>Karna Majhi, Balaram Majhi, Ramesh Majhi</t>
  </si>
  <si>
    <t>Barge Majhi</t>
  </si>
  <si>
    <t>Dakudi Majhi</t>
  </si>
  <si>
    <t>0407010506170203</t>
  </si>
  <si>
    <t>Kamadeb Majhi</t>
  </si>
  <si>
    <t>Limbadhara Majhi</t>
  </si>
  <si>
    <t>Lokanath Majhi</t>
  </si>
  <si>
    <t>At/ po- Guma, Via - Tumudibandha, Dist. - Kandhamal</t>
  </si>
  <si>
    <t>Sushabhata</t>
  </si>
  <si>
    <t>Salapata</t>
  </si>
  <si>
    <t>Pageripadi</t>
  </si>
  <si>
    <t>Saperi</t>
  </si>
  <si>
    <t>Gambhari</t>
  </si>
  <si>
    <t>Tidipadar</t>
  </si>
  <si>
    <t>Nandini Majhi</t>
  </si>
  <si>
    <t>Lukendra Majhi</t>
  </si>
  <si>
    <t>Ratani Majhi</t>
  </si>
  <si>
    <t>Narendra Majhi</t>
  </si>
  <si>
    <t>Ramakanta Majhi</t>
  </si>
  <si>
    <t>Baleswar Majhi</t>
  </si>
  <si>
    <t>Madhaba Majhi</t>
  </si>
  <si>
    <t>Bhimraj Majhi</t>
  </si>
  <si>
    <t>Bhumi Majhi</t>
  </si>
  <si>
    <t>Birendra Majhi</t>
  </si>
  <si>
    <t>Susanta Majhi</t>
  </si>
  <si>
    <t>Prasanta Majhi</t>
  </si>
  <si>
    <t>Ganesh Majhi</t>
  </si>
  <si>
    <t>Utei Tanaya</t>
  </si>
  <si>
    <t>0407010506190201</t>
  </si>
  <si>
    <t>Abhimanyu Desinayak</t>
  </si>
  <si>
    <t>Dinabandhu Sanseth</t>
  </si>
  <si>
    <t>Chitra Hazarinayak</t>
  </si>
  <si>
    <t>At - Lankagada, Po. - Lankagada, Via - Tumudibnadh, Dist. - Kandhamal</t>
  </si>
  <si>
    <t>Minakeri</t>
  </si>
  <si>
    <t xml:space="preserve">Lankagada </t>
  </si>
  <si>
    <t>Kanhar Nayak, Ratnakar Patra</t>
  </si>
  <si>
    <t>Simanchal Hajari Nayak, Nayak Gangadhar Dalai, Hajari Nayak, Ramakanta Dalapati, Kapa Sanseth</t>
  </si>
  <si>
    <t>0407010506190102</t>
  </si>
  <si>
    <t>Bhuleswar Patra</t>
  </si>
  <si>
    <t>Sadananda Majhi</t>
  </si>
  <si>
    <t>At - Karkudi, Po- Lankagada, Via-Tumudibandh, Dist- Kandhamal</t>
  </si>
  <si>
    <t>Artabali / Panjabali</t>
  </si>
  <si>
    <t>Sikeripada / Katadaganda</t>
  </si>
  <si>
    <t>Chandrasekhar Patra</t>
  </si>
  <si>
    <t>Gilara Majhi, Chitrasen Majhi</t>
  </si>
  <si>
    <t>Indura Majhi, Biswambar Majhi</t>
  </si>
  <si>
    <t>Kuber Patra, Gopal Patra, Chaitanya Patra</t>
  </si>
  <si>
    <t>Digambar Majhi, Sugri Majhi</t>
  </si>
  <si>
    <t>Uttam Patra</t>
  </si>
  <si>
    <t>Gillara Majhi, Sugri Majhi</t>
  </si>
  <si>
    <t>Biswambar Majhi</t>
  </si>
  <si>
    <t>0407010505100102</t>
  </si>
  <si>
    <t>Dase Majhi</t>
  </si>
  <si>
    <t>Nuamunda</t>
  </si>
  <si>
    <t>Randang</t>
  </si>
  <si>
    <t>Kinadi</t>
  </si>
  <si>
    <t>Bakiram Majhi</t>
  </si>
  <si>
    <t>Pedemadu Majhi</t>
  </si>
  <si>
    <t>Tikeswar Majhi, Krushna Majhi</t>
  </si>
  <si>
    <t>Nilambar Majhi, Baleswar Majhi</t>
  </si>
  <si>
    <t>Sindera Majhi</t>
  </si>
  <si>
    <t>Baibarta Majhi</t>
  </si>
  <si>
    <t>0406020109280202</t>
  </si>
  <si>
    <t>Badda Majhi</t>
  </si>
  <si>
    <t>Gyansingh Bijuliseth</t>
  </si>
  <si>
    <t>Bandaka Paraseth</t>
  </si>
  <si>
    <t>At / Po - Bilamal, Via - Tumudibandh, Dist - Kandhamal</t>
  </si>
  <si>
    <t>Bilamal</t>
  </si>
  <si>
    <t>Dhumamaska</t>
  </si>
  <si>
    <t>Gumupadar</t>
  </si>
  <si>
    <t>Balaji Nayak</t>
  </si>
  <si>
    <t>Tilaram Majhi</t>
  </si>
  <si>
    <t>Laxman Bijuliseth</t>
  </si>
  <si>
    <t>Baruna Majhi, Kadamadu Majhi, Iswar Majhi</t>
  </si>
  <si>
    <t>0407010506190203</t>
  </si>
  <si>
    <t>Radi Majhi</t>
  </si>
  <si>
    <t>Subash Majhi</t>
  </si>
  <si>
    <t>Maina Majhi</t>
  </si>
  <si>
    <t>Karkudi</t>
  </si>
  <si>
    <t>Goili</t>
  </si>
  <si>
    <t>Bamuni</t>
  </si>
  <si>
    <t>Guluka / Kendulipata</t>
  </si>
  <si>
    <t>Pabitra Majhi</t>
  </si>
  <si>
    <t>Tundadu Majhi</t>
  </si>
  <si>
    <t>Budhei Patra</t>
  </si>
  <si>
    <t>Masra Majhi</t>
  </si>
  <si>
    <t>Ramdas Majhi, Ajambar Majhi</t>
  </si>
  <si>
    <t>Uansu Patra, Lokanath Majhi</t>
  </si>
  <si>
    <t>Lalita Jani</t>
  </si>
  <si>
    <t>Ajambar Majhi</t>
  </si>
  <si>
    <t>Rajendra Majhi</t>
  </si>
  <si>
    <t>Uansu Patra</t>
  </si>
  <si>
    <t>Banda Majhi</t>
  </si>
  <si>
    <t>0407010506100101</t>
  </si>
  <si>
    <t>Kanta Majhi</t>
  </si>
  <si>
    <t>Rama Chandra Majhi</t>
  </si>
  <si>
    <t>Rama Majhi</t>
  </si>
  <si>
    <t>At - Ushabali, Po - Guma, Via - Tumudibandh, Dist- Kandhamal</t>
  </si>
  <si>
    <t>Pikusi</t>
  </si>
  <si>
    <t>Ushabali / San Guchuka</t>
  </si>
  <si>
    <t>Balmati Majhi</t>
  </si>
  <si>
    <t>Ram Majhi, Baleswar Majhi</t>
  </si>
  <si>
    <t>Rajendra Majhi, Purendra Majhi</t>
  </si>
  <si>
    <t>Hadipa Majhiaseth, Baleswar Majhi, Badadev Nayak</t>
  </si>
  <si>
    <t>Gije Majhi</t>
  </si>
  <si>
    <t>Ram Majhi</t>
  </si>
  <si>
    <t>0407010506160102</t>
  </si>
  <si>
    <t>Dasaratha Majhi</t>
  </si>
  <si>
    <t>Srikanta Majhi</t>
  </si>
  <si>
    <t>Jyotshna Konhar</t>
  </si>
  <si>
    <t>At / Po - Belghar, Via - Tumudibandha, Dist - Kandhamal</t>
  </si>
  <si>
    <t>Kadapana</t>
  </si>
  <si>
    <t>Tuakola</t>
  </si>
  <si>
    <t>San Tuakola</t>
  </si>
  <si>
    <t>Subala Majhi</t>
  </si>
  <si>
    <t>Dhruba Charana Majhi</t>
  </si>
  <si>
    <t>Trinath Majhi, Budhiram Majhi, Purendra Majhi</t>
  </si>
  <si>
    <t>Jayanti Majhi</t>
  </si>
  <si>
    <t>Dinabandhu Majhi</t>
  </si>
  <si>
    <t>Orissa Tribal Empowerment &amp; Livelihods Programme (OTELP)</t>
  </si>
  <si>
    <t>0406020108290201</t>
  </si>
  <si>
    <t>Mukinta Baliarsingh</t>
  </si>
  <si>
    <t>Tuna Sukamjhi</t>
  </si>
  <si>
    <t>Contact Adress: (including telephone number if any)</t>
  </si>
  <si>
    <t>Name of the villages of the VDC:</t>
  </si>
  <si>
    <t>Kupudamaha</t>
  </si>
  <si>
    <t>Ora</t>
  </si>
  <si>
    <t>Dadumaha</t>
  </si>
  <si>
    <t>Sindhiguda</t>
  </si>
  <si>
    <t>VLSC Leaders name:</t>
  </si>
  <si>
    <t>Bikri Pradhan</t>
  </si>
  <si>
    <t>Hadipa Uthansingh</t>
  </si>
  <si>
    <t>Rubu Pradhan</t>
  </si>
  <si>
    <t>Krushna Baliarsingh</t>
  </si>
  <si>
    <t>VLSC Villgage Volunteer's Name:</t>
  </si>
  <si>
    <t>Prasanta Pradhan, Dipak Pradhan</t>
  </si>
  <si>
    <t>Ashok Baliarsingh</t>
  </si>
  <si>
    <t>Kanchana Baliarsingh</t>
  </si>
  <si>
    <t>Bandana Pradhan (Kupudamaha)</t>
  </si>
  <si>
    <t>No of SHGs:</t>
  </si>
  <si>
    <t>Receipt (in Rs. Lakhs)</t>
  </si>
  <si>
    <t>Financial year Wise Expenditure (in Rs. Lakhs)</t>
  </si>
  <si>
    <t>Partcipatory Forest Management</t>
  </si>
  <si>
    <t>month</t>
  </si>
  <si>
    <t>One time Cycle grant</t>
  </si>
  <si>
    <t>Krusibikash</t>
  </si>
  <si>
    <t>0406020108310204</t>
  </si>
  <si>
    <t>Santosh Kaarjimajhi</t>
  </si>
  <si>
    <t>Isak Nuamajhi</t>
  </si>
  <si>
    <t>Pillery</t>
  </si>
  <si>
    <t>Malliguda</t>
  </si>
  <si>
    <t>Siman Sukamajhi, Joseph Mallick</t>
  </si>
  <si>
    <t>Chinu Karjimajhi,                            Bipra Nuamajhi</t>
  </si>
  <si>
    <t>Moses Karjimajhi (Maliguda)</t>
  </si>
  <si>
    <t>0406020108290202</t>
  </si>
  <si>
    <t>Basudev Pradhan</t>
  </si>
  <si>
    <t>Rambilash Baliarsingh</t>
  </si>
  <si>
    <t>Kandaguda</t>
  </si>
  <si>
    <t>Srirampur</t>
  </si>
  <si>
    <t>Bichinga Danamajhi</t>
  </si>
  <si>
    <t>Gandhi Pradhani</t>
  </si>
  <si>
    <t>Prasanta Muthamajhi</t>
  </si>
  <si>
    <t>Indrani Baganayak                               Gandhi Pradhani</t>
  </si>
  <si>
    <t>Mina Baliarsingh                            Tarini Baliarsingh</t>
  </si>
  <si>
    <t>0406020108180203</t>
  </si>
  <si>
    <t>Banchhanidhi Pradhan</t>
  </si>
  <si>
    <t>Justin Beheramajhi</t>
  </si>
  <si>
    <t>Tikarigaon</t>
  </si>
  <si>
    <t>Bangada</t>
  </si>
  <si>
    <t>Badazal</t>
  </si>
  <si>
    <t>Siddheswara Baliarsingh</t>
  </si>
  <si>
    <t>Sunara Patamajhi</t>
  </si>
  <si>
    <t>Sami Patamajhi</t>
  </si>
  <si>
    <t>Basanti Patamajhi           Radhika Badanayak</t>
  </si>
  <si>
    <t>Sagara Mallick</t>
  </si>
  <si>
    <t>Madana Beheramajhi</t>
  </si>
  <si>
    <t>Padana Patamajhi (Tikarigaon)</t>
  </si>
  <si>
    <t>JeevanJyoti</t>
  </si>
  <si>
    <t>0406020108180202</t>
  </si>
  <si>
    <t>Prasanta Mallick</t>
  </si>
  <si>
    <t>Bisikesan Mallick</t>
  </si>
  <si>
    <t>Matikeda</t>
  </si>
  <si>
    <t xml:space="preserve">Janjekpatta </t>
  </si>
  <si>
    <t>Saula Mallick</t>
  </si>
  <si>
    <t>Buna Mallick</t>
  </si>
  <si>
    <t>Pramila Mallick                Mangisa Mallick</t>
  </si>
  <si>
    <t>Arsela Patmajhi                                  Kristina Mallick</t>
  </si>
  <si>
    <t>Ananta Uthansingh (Matikeda)</t>
  </si>
  <si>
    <t>Sashakti</t>
  </si>
  <si>
    <t>Nilakantha BaliarSingh</t>
  </si>
  <si>
    <t>Manoj Patamajhi</t>
  </si>
  <si>
    <t>Duabada</t>
  </si>
  <si>
    <t>Kahamguda</t>
  </si>
  <si>
    <t>Kutiguda</t>
  </si>
  <si>
    <t>Basudev Rupamajhi</t>
  </si>
  <si>
    <t>Sarbi Patasingh</t>
  </si>
  <si>
    <t>Simanchal Chhatia</t>
  </si>
  <si>
    <t>Mark Rupamajhi, Sudhira Pradhan</t>
  </si>
  <si>
    <t>Haba Baliarsingh</t>
  </si>
  <si>
    <t>Khadala Baliarsingh</t>
  </si>
  <si>
    <t>Tada Rupamajhi (Duabada)</t>
  </si>
  <si>
    <t>0406020108300101</t>
  </si>
  <si>
    <t>Sukanta Patamajhi</t>
  </si>
  <si>
    <t>Henery patamajhi</t>
  </si>
  <si>
    <t>Lalita Patamajhi</t>
  </si>
  <si>
    <t xml:space="preserve">AT- Patamaha               PO-Ora                     Via-Kotagarh            Dist-Kandhamal            </t>
  </si>
  <si>
    <t>Patamaha</t>
  </si>
  <si>
    <t>Bearmaha</t>
  </si>
  <si>
    <t>Sangadamaha</t>
  </si>
  <si>
    <t xml:space="preserve">Narendra Patamajhi </t>
  </si>
  <si>
    <t>Pitara Mallick</t>
  </si>
  <si>
    <t>Prakash Pradhan</t>
  </si>
  <si>
    <t xml:space="preserve">Narendra Patamajhi           Pradeep Patamajhi </t>
  </si>
  <si>
    <t>Jeetendra Mallick                             Abendana Patamajhi</t>
  </si>
  <si>
    <t>Kishore Patamajhi (Bearmaha)</t>
  </si>
  <si>
    <t>Jihobajiri</t>
  </si>
  <si>
    <t>0406020108300102</t>
  </si>
  <si>
    <t>Mahuriya Nayak</t>
  </si>
  <si>
    <t>George Beheramajhi</t>
  </si>
  <si>
    <t>Sanat Beheramajhi</t>
  </si>
  <si>
    <t>AT-Sarikan                                                        PO-Ora                                                         Dist-Kandhamal</t>
  </si>
  <si>
    <t>Suruguda</t>
  </si>
  <si>
    <t>Pranaranjan Mallick</t>
  </si>
  <si>
    <t>Lemanta Beheramajhi                       Paul Beheramajhi</t>
  </si>
  <si>
    <t>Judash Pradhan                           Sukalsingh Nayak</t>
  </si>
  <si>
    <t>040602108320102</t>
  </si>
  <si>
    <t>Nilambar Mallick</t>
  </si>
  <si>
    <t>Digambar Mallick</t>
  </si>
  <si>
    <t>Ladimaha</t>
  </si>
  <si>
    <t>Meherguda</t>
  </si>
  <si>
    <t>Sankirtan Mallick</t>
  </si>
  <si>
    <t>Dilesha Madan Majhi</t>
  </si>
  <si>
    <t>Dhiren Patmajhi</t>
  </si>
  <si>
    <t>Dhamesh Pradhan</t>
  </si>
  <si>
    <t>0406020108320202</t>
  </si>
  <si>
    <t>Madan Mundamajhi</t>
  </si>
  <si>
    <t>Basudev Mundamajhi</t>
  </si>
  <si>
    <t>Gugurmaha</t>
  </si>
  <si>
    <t>Duriguda</t>
  </si>
  <si>
    <t>Silandra Patmajhi</t>
  </si>
  <si>
    <t>Namendra Mallick</t>
  </si>
  <si>
    <t xml:space="preserve">Minati Mundamajhi  Rusi Rupamajhi </t>
  </si>
  <si>
    <t>Namita Rupamajhi</t>
  </si>
  <si>
    <t>Mithu Uthansingn                     Vinayak Rupamajhi (Gugurmaha)</t>
  </si>
  <si>
    <t>Sahid Bhagasingh</t>
  </si>
  <si>
    <t>0406020108330201</t>
  </si>
  <si>
    <t>Divakara Badaseth</t>
  </si>
  <si>
    <t>Stephen Pradhan</t>
  </si>
  <si>
    <t>Jubaguda</t>
  </si>
  <si>
    <t>Kuchimila</t>
  </si>
  <si>
    <t>Ashok Uthansingh</t>
  </si>
  <si>
    <t>Kalista Katimajhi</t>
  </si>
  <si>
    <t>Bachila Pradhan     Tapidi Patmajhi</t>
  </si>
  <si>
    <t>Ananta Patmajhi</t>
  </si>
  <si>
    <t xml:space="preserve">Kirti Chandra Digal                     Unati Uthansingh (Jubaguda) </t>
  </si>
  <si>
    <t>0406020108330203</t>
  </si>
  <si>
    <t>Isak Patamajhi</t>
  </si>
  <si>
    <t>Sanatan Mallick</t>
  </si>
  <si>
    <t>Gohirigaon</t>
  </si>
  <si>
    <t>Sandimaha</t>
  </si>
  <si>
    <t>Dharmendra Mallick</t>
  </si>
  <si>
    <t>Amosh mallick</t>
  </si>
  <si>
    <t>Ismael Mallick        Hirabati Patmajhi</t>
  </si>
  <si>
    <t>John Mallick                              Naresh Patmajhi</t>
  </si>
  <si>
    <t>Sonita Mallick (Gohirigaon)</t>
  </si>
  <si>
    <t>0406020108340203</t>
  </si>
  <si>
    <t>Nidisha Rupamajhi</t>
  </si>
  <si>
    <t>Pitara behermajhi</t>
  </si>
  <si>
    <t>Padugudi</t>
  </si>
  <si>
    <t>Basurigaon</t>
  </si>
  <si>
    <t>Sanatana Mallick</t>
  </si>
  <si>
    <t>Johan Mallick</t>
  </si>
  <si>
    <t>Rabi Beheramajhi   Stephen Beheramajhi</t>
  </si>
  <si>
    <t>Salestoin Mallick</t>
  </si>
  <si>
    <t>Sampa Rupamajhi                    Tarun Beheramajhi (Padugudi)</t>
  </si>
  <si>
    <t>Shantidata</t>
  </si>
  <si>
    <t>0406020108330101</t>
  </si>
  <si>
    <t>Baga Gundramajhi</t>
  </si>
  <si>
    <t>Mariyam Mallick</t>
  </si>
  <si>
    <t>Rasphul Mallick</t>
  </si>
  <si>
    <t>Tiamaha</t>
  </si>
  <si>
    <t>Beruka Gundamajhi        Sunil Gundamajhi</t>
  </si>
  <si>
    <t>Sudarsan Gundamajhi                  Raghaba baliarsingh</t>
  </si>
  <si>
    <t>Nirendra Baliarsingh</t>
  </si>
  <si>
    <t>0406020108320201</t>
  </si>
  <si>
    <t>Jagannath Badaseth</t>
  </si>
  <si>
    <t>Padakanta Paltasingh</t>
  </si>
  <si>
    <t>Raisingh Gemamajhi</t>
  </si>
  <si>
    <t>At-Tuaguda                                                       PO-Gugurmaha                                                        Dist-Kandhamal</t>
  </si>
  <si>
    <t>Nilimajhiguda</t>
  </si>
  <si>
    <t>Tuaguda</t>
  </si>
  <si>
    <t>Labi Kadmaseth</t>
  </si>
  <si>
    <t xml:space="preserve">Pitambar Paltasingh    Sugriba Paltasingh </t>
  </si>
  <si>
    <t>Nilamani Badseth</t>
  </si>
  <si>
    <t>Romanath Desinayak                Pravaksra Paltasingh (Nilimajiguda)</t>
  </si>
  <si>
    <t>Daringibadi</t>
  </si>
  <si>
    <t>CPSW,Daringibadi,Ph-II</t>
  </si>
  <si>
    <t>Kuruma</t>
  </si>
  <si>
    <t>Agraha</t>
  </si>
  <si>
    <t>Kaupunja</t>
  </si>
  <si>
    <t>Gilasakti</t>
  </si>
  <si>
    <t>Balliguda</t>
  </si>
  <si>
    <t>PRADAN,Baliguda,Ph-II</t>
  </si>
  <si>
    <t>Bijayanagar</t>
  </si>
  <si>
    <t>Dibyasakti</t>
  </si>
  <si>
    <t>Lapkapaheri</t>
  </si>
  <si>
    <t>Taranga</t>
  </si>
  <si>
    <t>Girijan</t>
  </si>
  <si>
    <t>Maa Gayatree</t>
  </si>
  <si>
    <t>Jiho-Ba-jiri</t>
  </si>
  <si>
    <t>Maa Sakti</t>
  </si>
  <si>
    <t>Kisan</t>
  </si>
  <si>
    <t>K.Nuagaon</t>
  </si>
  <si>
    <t>Gramadevi</t>
  </si>
  <si>
    <t>Lingaraj</t>
  </si>
  <si>
    <t>Shree Laxmi</t>
  </si>
  <si>
    <t>Chakadola</t>
  </si>
  <si>
    <t>Jagat Janani (Talakangerikia)</t>
  </si>
  <si>
    <t>Ujana putta</t>
  </si>
  <si>
    <t>Biswajanani</t>
  </si>
  <si>
    <t>Bibekananda (Nuamunda)</t>
  </si>
  <si>
    <t>Swadhin</t>
  </si>
  <si>
    <t>Kuki</t>
  </si>
  <si>
    <t>Rusimala</t>
  </si>
  <si>
    <t>JanaSeba</t>
  </si>
  <si>
    <t>Vivekananda</t>
  </si>
  <si>
    <t>Padujha</t>
  </si>
  <si>
    <t>Name of the MWS/VDC :</t>
  </si>
  <si>
    <t>SWADHIN</t>
  </si>
  <si>
    <t>MWS Code (as per District)</t>
  </si>
  <si>
    <t>0406020106010101 &amp; 0406020108340101</t>
  </si>
  <si>
    <t>Dayanidhi Sunamajhi</t>
  </si>
  <si>
    <t>Maneswar Pattamajhi</t>
  </si>
  <si>
    <t>Name of the PRI member of VDC</t>
  </si>
  <si>
    <t>N.A</t>
  </si>
  <si>
    <t>Contact address (including telephone number if any)</t>
  </si>
  <si>
    <t>Name of the Village of the VDC</t>
  </si>
  <si>
    <t>Badagaon</t>
  </si>
  <si>
    <t>Targaballi</t>
  </si>
  <si>
    <t>Delaba Majhi</t>
  </si>
  <si>
    <t>Laxmi Muthhamajhi</t>
  </si>
  <si>
    <t>Kuntala Bsingh,Manasa Bsingh</t>
  </si>
  <si>
    <t>Pratap Majhi,Rajanikanta Majhi,Simanchala Majhi</t>
  </si>
  <si>
    <t>No. of villages with in the MWS</t>
  </si>
  <si>
    <t>No. of VLSC with in the MWS</t>
  </si>
  <si>
    <t>No. of SHG</t>
  </si>
  <si>
    <t xml:space="preserve">SC Male </t>
  </si>
  <si>
    <t>TOTAL Male</t>
  </si>
  <si>
    <t>TOTAL Female</t>
  </si>
  <si>
    <t>Unit Cost (In Rs.)</t>
  </si>
  <si>
    <t>Allocation (In Rs. Lakhs)</t>
  </si>
  <si>
    <t>Receipt (In Rs. Lakhs)</t>
  </si>
  <si>
    <t>Financial Year Wise Expenditure(In Rs. Lakhs)</t>
  </si>
  <si>
    <t>KUKI</t>
  </si>
  <si>
    <t>0406020106040102</t>
  </si>
  <si>
    <t>Samuel Badamajhi</t>
  </si>
  <si>
    <t>Krushna Chandra Mallik</t>
  </si>
  <si>
    <t>Kasturi Karji</t>
  </si>
  <si>
    <t>At-Kiramaha,Po-Brahmanigaon,PS/Via-Brahmanigaon,Dist-Kandhamal</t>
  </si>
  <si>
    <t>Kiramaha</t>
  </si>
  <si>
    <t>Kutlarigaon</t>
  </si>
  <si>
    <t>Nabaghana Sundaramajhi</t>
  </si>
  <si>
    <t>Sanagandara Mallik</t>
  </si>
  <si>
    <t>Pabitra Pattamajhi,Manual Nayak,Nabaghana Sundaramajhi</t>
  </si>
  <si>
    <t>Pradip Sundaramajhi,Jalandara Mallik</t>
  </si>
  <si>
    <t>Anasuya Mallik</t>
  </si>
  <si>
    <t>RUSHIMALA</t>
  </si>
  <si>
    <t>Subhadra Majhi</t>
  </si>
  <si>
    <t>Prafulla Majhi</t>
  </si>
  <si>
    <t>Jhinjiriguda</t>
  </si>
  <si>
    <t>Mundamaha</t>
  </si>
  <si>
    <t>Debendra Pradhani</t>
  </si>
  <si>
    <t>Kirtana Majhi</t>
  </si>
  <si>
    <t>Bhanja Kishore Beherdalai,Brundabana Pujaree,Gokula Beherdalai,</t>
  </si>
  <si>
    <t>Ambura Majhi,Raghu Majhi</t>
  </si>
  <si>
    <t>Janaseva</t>
  </si>
  <si>
    <t>0406020106050201</t>
  </si>
  <si>
    <t>Dingisa Majhi</t>
  </si>
  <si>
    <t>Goberalu Majhi</t>
  </si>
  <si>
    <t>At-Saragudi,Po-Kumbharigaon,PS/Via-Brahmanigaon,Dist-Kandhamal</t>
  </si>
  <si>
    <t>Saragudi</t>
  </si>
  <si>
    <t>Gochhagudi</t>
  </si>
  <si>
    <t>Shyam Majhi</t>
  </si>
  <si>
    <t>Sasan Majhi</t>
  </si>
  <si>
    <t>Sarat Majhi,Prasant Majhi</t>
  </si>
  <si>
    <t>Purna Majhi,Janaka Majhi,</t>
  </si>
  <si>
    <t>Bibekananda</t>
  </si>
  <si>
    <t>0406020106050102</t>
  </si>
  <si>
    <t>Madhusudana Mandal</t>
  </si>
  <si>
    <t>Joseph Sabar</t>
  </si>
  <si>
    <t>Lambakiari</t>
  </si>
  <si>
    <t>Mundapadar</t>
  </si>
  <si>
    <t>Jirionagar</t>
  </si>
  <si>
    <t>Andriya Sabar</t>
  </si>
  <si>
    <t>Dauda Sabar</t>
  </si>
  <si>
    <t>Ashok Mandal</t>
  </si>
  <si>
    <t>Samsun Sabar,Sulman Badaraita,Daniel Sabar</t>
  </si>
  <si>
    <t>Israeel Badaraita</t>
  </si>
  <si>
    <t>Jalandhar Dalabehera</t>
  </si>
  <si>
    <t>PADUJHA</t>
  </si>
  <si>
    <t>0406020106060102</t>
  </si>
  <si>
    <t>Lokanath Gamanga</t>
  </si>
  <si>
    <t>Abraham Gamanga</t>
  </si>
  <si>
    <t>Padikia</t>
  </si>
  <si>
    <t>Dubudi &amp; Jharboida</t>
  </si>
  <si>
    <t>Pitar Sabar</t>
  </si>
  <si>
    <t>Sunamajhi Padra</t>
  </si>
  <si>
    <t>Junesh Badaraita,Andriya Badaraita,Gurubada Gamanga,</t>
  </si>
  <si>
    <t>Jacob Sabar,Ghasi Padra,</t>
  </si>
  <si>
    <t>Validate</t>
  </si>
  <si>
    <t>0406020106060202</t>
  </si>
  <si>
    <t>Kali Majhi</t>
  </si>
  <si>
    <t>Sukanta Majhi</t>
  </si>
  <si>
    <t>At-,Po-Kumbharigaon,PS/Via-Brahmanigaon,Dist-Kandhamal</t>
  </si>
  <si>
    <t>Gudikia</t>
  </si>
  <si>
    <t>Gudikupa</t>
  </si>
  <si>
    <t>Sarojini Majhi</t>
  </si>
  <si>
    <t>Dauda Majhi,Christo Ranasingh,Subas Sabhasundar,Lungisa Majhi,Ananta Nayak</t>
  </si>
  <si>
    <t>AGRAHA</t>
  </si>
  <si>
    <t>0406020106060203</t>
  </si>
  <si>
    <t>Ghasi Padra</t>
  </si>
  <si>
    <t>Dhirendra Padra</t>
  </si>
  <si>
    <t>Adibanga</t>
  </si>
  <si>
    <t>Budumundi</t>
  </si>
  <si>
    <t>Gobinda Padra</t>
  </si>
  <si>
    <t>Sameer Padra</t>
  </si>
  <si>
    <t>Rabi Padra,Prasanna Mallik,Purna Chandra Nayak</t>
  </si>
  <si>
    <t>Manoranjan Padra,Harasa Padra</t>
  </si>
  <si>
    <t>0406020108140202</t>
  </si>
  <si>
    <t>Nira Pattamajhi</t>
  </si>
  <si>
    <t>Bayana Majhi</t>
  </si>
  <si>
    <t>Bhingiriguda</t>
  </si>
  <si>
    <t>Mardipanka</t>
  </si>
  <si>
    <t>Jahan Pattamajhi</t>
  </si>
  <si>
    <t>Pramod Mutthamajhi</t>
  </si>
  <si>
    <t>Mosa Majhi,Sahadeva Majhi,</t>
  </si>
  <si>
    <t>Christa Baliarsinga,Senapati Beheramajhi,Rajeswara Beheramajhi</t>
  </si>
  <si>
    <t>GILLASAKTI</t>
  </si>
  <si>
    <t>0406020108260101</t>
  </si>
  <si>
    <t>Jisaya Pradhan</t>
  </si>
  <si>
    <t>Samsun Mallik</t>
  </si>
  <si>
    <t>Kalingi</t>
  </si>
  <si>
    <t>Sikabadi</t>
  </si>
  <si>
    <t>Anam Majhi</t>
  </si>
  <si>
    <t>Rames Mallik</t>
  </si>
  <si>
    <t>Jhirmendra Pattamajhi,Dharmendra Beheramajhi,Dauda Mallik</t>
  </si>
  <si>
    <t>Kaina Mallik,Juasa Mallik</t>
  </si>
  <si>
    <t>Bijyanagar</t>
  </si>
  <si>
    <t>0407010502030104</t>
  </si>
  <si>
    <t>80 ha</t>
  </si>
  <si>
    <t>Jaleswar Mallick</t>
  </si>
  <si>
    <t>Gaganna Mallick</t>
  </si>
  <si>
    <t>Lakhana Mallick</t>
  </si>
  <si>
    <t>At- Palami, Po- Tikarbaju, Ps- Balliguda,                  Dist- Kandhamala</t>
  </si>
  <si>
    <t>Palami</t>
  </si>
  <si>
    <t>Kutami</t>
  </si>
  <si>
    <t>Chilaki</t>
  </si>
  <si>
    <t>Kunasalu</t>
  </si>
  <si>
    <t>Patamaska</t>
  </si>
  <si>
    <t>Samagaon</t>
  </si>
  <si>
    <t>Samita Mallick</t>
  </si>
  <si>
    <t>Nabghan Mallick</t>
  </si>
  <si>
    <t>Lisara Mallick</t>
  </si>
  <si>
    <t>Simanta Mallick</t>
  </si>
  <si>
    <t>Kishore Mallick</t>
  </si>
  <si>
    <t>Ganesh Mallick</t>
  </si>
  <si>
    <t>Chandra Mallick</t>
  </si>
  <si>
    <t>Suresh Mallick</t>
  </si>
  <si>
    <t>Abirama Digal</t>
  </si>
  <si>
    <t>Divyashakti VDC , Kambarkia</t>
  </si>
  <si>
    <t>O407010502030202</t>
  </si>
  <si>
    <t>Madhab Mallika</t>
  </si>
  <si>
    <t>Brajabandhu Mallika</t>
  </si>
  <si>
    <t>Sumitra Digal</t>
  </si>
  <si>
    <t>At - Kambarkia , Po - Pokharibandha , Balliguda , Kandhamal</t>
  </si>
  <si>
    <t>Kambarkia</t>
  </si>
  <si>
    <t>Gundeli</t>
  </si>
  <si>
    <t>Katadi</t>
  </si>
  <si>
    <t>Madhaba Mallika</t>
  </si>
  <si>
    <t>Nipara Mallika</t>
  </si>
  <si>
    <t>Rajendra Mallika</t>
  </si>
  <si>
    <t>Mahanta Digal , Srikanta Mallika , Mahadev Mallika</t>
  </si>
  <si>
    <t>Silinga Digal</t>
  </si>
  <si>
    <t>Pankaj Mallika</t>
  </si>
  <si>
    <t>Kapila Mallika</t>
  </si>
  <si>
    <t>Tuska Mallika</t>
  </si>
  <si>
    <t>Lapka Pahari</t>
  </si>
  <si>
    <t>0407010502140101</t>
  </si>
  <si>
    <t>Arjun Mallick</t>
  </si>
  <si>
    <t>Rupina Mallick</t>
  </si>
  <si>
    <t>Gangeri</t>
  </si>
  <si>
    <t>Kambaguda</t>
  </si>
  <si>
    <t>Samargaon</t>
  </si>
  <si>
    <t>Tangam</t>
  </si>
  <si>
    <t>Kajal Mallick</t>
  </si>
  <si>
    <t>Shanti Mallick</t>
  </si>
  <si>
    <t>Sabjani Mallick</t>
  </si>
  <si>
    <t>Padera Mallick</t>
  </si>
  <si>
    <t>Tabyas Digal, Paul Digal</t>
  </si>
  <si>
    <t>Mammad Mallick</t>
  </si>
  <si>
    <t>Bulu</t>
  </si>
  <si>
    <t>John Mallick</t>
  </si>
  <si>
    <t>Anil Mallick</t>
  </si>
  <si>
    <t>Ranchana Mallick</t>
  </si>
  <si>
    <t>Shyam Mallick</t>
  </si>
  <si>
    <t>Guru Mallick</t>
  </si>
  <si>
    <t>Taranga VDC , Dingelkia</t>
  </si>
  <si>
    <t>O407010503220101</t>
  </si>
  <si>
    <t>38 ha</t>
  </si>
  <si>
    <t>Santana Pradhan</t>
  </si>
  <si>
    <t>Franchis Pradhan</t>
  </si>
  <si>
    <t>Ladaka Pradhan</t>
  </si>
  <si>
    <t>At- Dingelkia, Po- Rutungia, Via- Balliguda, Dist- Kandhamal</t>
  </si>
  <si>
    <t>Dinglekia</t>
  </si>
  <si>
    <t>Kuna Maha</t>
  </si>
  <si>
    <t>Kadiganda</t>
  </si>
  <si>
    <t>Manjulata Pradhan</t>
  </si>
  <si>
    <t>Anita Pradhan</t>
  </si>
  <si>
    <t>Sumanti Pradhan</t>
  </si>
  <si>
    <t>Bharat Pradhan</t>
  </si>
  <si>
    <t>Naresh Pradhan, Udeswar Pradhan</t>
  </si>
  <si>
    <t>Manoj Pradhan</t>
  </si>
  <si>
    <t>Santwana Pradhan</t>
  </si>
  <si>
    <t>Adhira Mallick</t>
  </si>
  <si>
    <t>Girijana VDC ; Katrikia</t>
  </si>
  <si>
    <t>0407010503220102</t>
  </si>
  <si>
    <t>Nalini Pradhan</t>
  </si>
  <si>
    <t>Kalicharan Pradhan</t>
  </si>
  <si>
    <t>Pramod Ku Pradhan</t>
  </si>
  <si>
    <t>At _ Katrikia, Po - Rutungia ; Balliguda . Kandhamal   Mob No - 8895218164</t>
  </si>
  <si>
    <t>Katrikia</t>
  </si>
  <si>
    <t>Salaguda</t>
  </si>
  <si>
    <t>Shrambhukia</t>
  </si>
  <si>
    <t>Supriya Mallika</t>
  </si>
  <si>
    <t>Subudei Pradhan</t>
  </si>
  <si>
    <t>Jirabati Mallika</t>
  </si>
  <si>
    <t>Maneswar Digal ,   Tankadhar Digal , Sadananda Pradhan</t>
  </si>
  <si>
    <t>Pramod Pradhan</t>
  </si>
  <si>
    <t>Bhanja Mallika</t>
  </si>
  <si>
    <t>Kamri Digal</t>
  </si>
  <si>
    <t>Nimanti Mallika</t>
  </si>
  <si>
    <t>partcipatory Forest Management</t>
  </si>
  <si>
    <t>Maa Gayatri VDC, Jidingpanga</t>
  </si>
  <si>
    <t>0407010503260101</t>
  </si>
  <si>
    <t>Sudra Mallika</t>
  </si>
  <si>
    <t>Kinara Mallika</t>
  </si>
  <si>
    <t>Pinka Mallika</t>
  </si>
  <si>
    <t>At - Nelipada , Po- Sautikia , Balliguda , Kandhamal</t>
  </si>
  <si>
    <t>Jidingpanga</t>
  </si>
  <si>
    <t>Nelipada</t>
  </si>
  <si>
    <t>Lainpalli</t>
  </si>
  <si>
    <t>Kilupada</t>
  </si>
  <si>
    <t>Sarupada</t>
  </si>
  <si>
    <t>Mungu mallika</t>
  </si>
  <si>
    <t>Raghundra Mallika</t>
  </si>
  <si>
    <t>Leba Mallika</t>
  </si>
  <si>
    <t>Maneswar Mallika</t>
  </si>
  <si>
    <t>Kasinath Mallika</t>
  </si>
  <si>
    <t>Narendra Mallika</t>
  </si>
  <si>
    <t>Dhananjaya Mallika</t>
  </si>
  <si>
    <t>Debraj Mallika</t>
  </si>
  <si>
    <t>Srikanta Mallika</t>
  </si>
  <si>
    <t>Limara Mallika</t>
  </si>
  <si>
    <t>Purusottam Mallika</t>
  </si>
  <si>
    <t>Uma Mallika</t>
  </si>
  <si>
    <t>Rameswar Mallika</t>
  </si>
  <si>
    <t>Lalu Mallika</t>
  </si>
  <si>
    <t>Serendra Mallika</t>
  </si>
  <si>
    <t>Jiho-Ba- Jiri</t>
  </si>
  <si>
    <t>0407010505130103</t>
  </si>
  <si>
    <t>Anita Mallick</t>
  </si>
  <si>
    <t>Krushana Chandra Mallick</t>
  </si>
  <si>
    <t>Majamaha</t>
  </si>
  <si>
    <t>Dungerikia</t>
  </si>
  <si>
    <t>Kadagabali</t>
  </si>
  <si>
    <t>Janani Mallick</t>
  </si>
  <si>
    <t>Sunita Mallick</t>
  </si>
  <si>
    <t>Meti Mallick</t>
  </si>
  <si>
    <t>Pabitra Mallick</t>
  </si>
  <si>
    <t>Durnchandra Mallick, Rama Chandra Mallick</t>
  </si>
  <si>
    <t>Kamila Mallick, Tade Mallick</t>
  </si>
  <si>
    <t>Tatedi Mallick</t>
  </si>
  <si>
    <t>Ramesh Chandra Mallick</t>
  </si>
  <si>
    <t>Privajini Mallick</t>
  </si>
  <si>
    <t>Maa sakti</t>
  </si>
  <si>
    <t>0407010505140101</t>
  </si>
  <si>
    <t>Sukumari Mallika</t>
  </si>
  <si>
    <t>Madhaba mallika</t>
  </si>
  <si>
    <t>Sirisipanga</t>
  </si>
  <si>
    <t>Uhakia</t>
  </si>
  <si>
    <t>Dapakia</t>
  </si>
  <si>
    <t>Nuganti Mallik</t>
  </si>
  <si>
    <t>Nabakishor Mallik</t>
  </si>
  <si>
    <t>Simanchal Mallika</t>
  </si>
  <si>
    <t>Tuleswar Digal , Prakash Ku Mallika</t>
  </si>
  <si>
    <t>Kasian  Pradhan</t>
  </si>
  <si>
    <t>Kissan VDC , Badungia</t>
  </si>
  <si>
    <t>0407010505140102</t>
  </si>
  <si>
    <t>60 ha</t>
  </si>
  <si>
    <t>Lackhama Pradhan</t>
  </si>
  <si>
    <t>Narotam Pradhan</t>
  </si>
  <si>
    <t>At- Badungia, po- rutungia, Via- Balliguda, Dits- Kandhamal</t>
  </si>
  <si>
    <t>Badungia</t>
  </si>
  <si>
    <t>Treseli</t>
  </si>
  <si>
    <t>Pasara Pradhan</t>
  </si>
  <si>
    <t>Nibungia Pradhan</t>
  </si>
  <si>
    <t>Dakeswara Pradhan</t>
  </si>
  <si>
    <t>Susanta Digal</t>
  </si>
  <si>
    <t>Jambeba Mallick</t>
  </si>
  <si>
    <t>Si Patra, Ganesh Mallick</t>
  </si>
  <si>
    <t>0407010505140202</t>
  </si>
  <si>
    <t>Gangadhar Mallick</t>
  </si>
  <si>
    <t>Kereana Mallick</t>
  </si>
  <si>
    <t>At- Balimistii, Po- Rutungia, Ps- Blliguda, Dit- Kandhamal</t>
  </si>
  <si>
    <t>Balimisti</t>
  </si>
  <si>
    <t>Bijirama Mallick</t>
  </si>
  <si>
    <t>Lambadhara Mallick</t>
  </si>
  <si>
    <t>Lulu Pradhan</t>
  </si>
  <si>
    <t>Subhas Chandar Digal, Arun Nayak</t>
  </si>
  <si>
    <t>0407010503140201</t>
  </si>
  <si>
    <t>Sabitri Pradhan</t>
  </si>
  <si>
    <t>Girish</t>
  </si>
  <si>
    <t>Mundaguda</t>
  </si>
  <si>
    <t>Mundikia</t>
  </si>
  <si>
    <t>Amelipada</t>
  </si>
  <si>
    <t>Jaya Chandra Pradhan</t>
  </si>
  <si>
    <t>Debendra Pradhan</t>
  </si>
  <si>
    <t>Jayachandra Pradhan</t>
  </si>
  <si>
    <t>Dukhishyam Pradhan</t>
  </si>
  <si>
    <t>Rameswara Pradhan</t>
  </si>
  <si>
    <t>Chandra kanta Pradhan</t>
  </si>
  <si>
    <t>0407010503140202</t>
  </si>
  <si>
    <t>Purendra Pradhan</t>
  </si>
  <si>
    <t>Jitendra Pradhan</t>
  </si>
  <si>
    <t>Dandipata</t>
  </si>
  <si>
    <t>Karkunipada</t>
  </si>
  <si>
    <t>Bandispadar</t>
  </si>
  <si>
    <t>Bandispadar(Jungle)</t>
  </si>
  <si>
    <t>Janak Pradhan</t>
  </si>
  <si>
    <t>Prasanta Ku. Pradhan</t>
  </si>
  <si>
    <t>Ranjeet Pradhan</t>
  </si>
  <si>
    <t>Iswar Pradhan</t>
  </si>
  <si>
    <t>Kuber Pradhan</t>
  </si>
  <si>
    <t>Sri Laxmi</t>
  </si>
  <si>
    <t>0407010503150202</t>
  </si>
  <si>
    <t>Katali Pradhan</t>
  </si>
  <si>
    <t>Rasa Pradhan</t>
  </si>
  <si>
    <t>Budrumaha</t>
  </si>
  <si>
    <t>Sarangadhara Pradhan</t>
  </si>
  <si>
    <t>Nanda  Pradhan</t>
  </si>
  <si>
    <t>Jayaram pradhan</t>
  </si>
  <si>
    <t>Laba Pradhan</t>
  </si>
  <si>
    <t>Tungena Pradhan</t>
  </si>
  <si>
    <t>040701050316101</t>
  </si>
  <si>
    <t>Mohandas Pradhan</t>
  </si>
  <si>
    <t>Sadananda Pradhan</t>
  </si>
  <si>
    <t>At/PO:- Gasanaju,Sirtiguda</t>
  </si>
  <si>
    <t>Behedadi</t>
  </si>
  <si>
    <t>Ananda Pradhan</t>
  </si>
  <si>
    <t>Shayamanta Pradhan</t>
  </si>
  <si>
    <t>Kailash Pradhan</t>
  </si>
  <si>
    <t>Ramanta Pradhan</t>
  </si>
  <si>
    <t>Jagatjanani</t>
  </si>
  <si>
    <t>0407010503170201</t>
  </si>
  <si>
    <t>Lisura Pradhan</t>
  </si>
  <si>
    <t>Sakuntala Pradhan</t>
  </si>
  <si>
    <t>Sibajini Mallick</t>
  </si>
  <si>
    <t>Gunjigaon , GP :- Bandaguda</t>
  </si>
  <si>
    <t>Gunjigaon</t>
  </si>
  <si>
    <t>Besingsahi</t>
  </si>
  <si>
    <t>Upper Kangerikia</t>
  </si>
  <si>
    <t>Tala Kangerikia</t>
  </si>
  <si>
    <t>Dudukarenga</t>
  </si>
  <si>
    <t>Dayanidhi Pradhan</t>
  </si>
  <si>
    <t>Susanta Pradhan</t>
  </si>
  <si>
    <t>Basitha Pradhan , Purusottam Pradhan</t>
  </si>
  <si>
    <t>Baladev Pradhan</t>
  </si>
  <si>
    <t xml:space="preserve"> Purusttam Pradhan</t>
  </si>
  <si>
    <t>Ujjanputta</t>
  </si>
  <si>
    <t>0407010503190201</t>
  </si>
  <si>
    <t>Sunara Mallick</t>
  </si>
  <si>
    <t>Sukadev Digal</t>
  </si>
  <si>
    <t>Bipra Pradhan</t>
  </si>
  <si>
    <t>At:- Gunjigaon, PO:- Sirtiguda</t>
  </si>
  <si>
    <t>Termakia</t>
  </si>
  <si>
    <t>Kudpakia</t>
  </si>
  <si>
    <t>Jangugaon</t>
  </si>
  <si>
    <t>Prafulla Digal</t>
  </si>
  <si>
    <t>Pravakara Digal</t>
  </si>
  <si>
    <t>Amit Pradhan</t>
  </si>
  <si>
    <t>Susil Mallick</t>
  </si>
  <si>
    <t>Madanmohan Pradhan</t>
  </si>
  <si>
    <t>Laju Prdhan</t>
  </si>
  <si>
    <t>Joseph Mallick</t>
  </si>
  <si>
    <t>0407010503190203</t>
  </si>
  <si>
    <t>Dhaneswar Pradhan</t>
  </si>
  <si>
    <t>Apindra Mallick</t>
  </si>
  <si>
    <t>Kandibandha</t>
  </si>
  <si>
    <t>Bipedi</t>
  </si>
  <si>
    <t>Adikandha Pradhan</t>
  </si>
  <si>
    <t>0407010503200201</t>
  </si>
  <si>
    <t>Narendra Mallick</t>
  </si>
  <si>
    <t>Angada Mallick</t>
  </si>
  <si>
    <t>Kusakupuda</t>
  </si>
  <si>
    <t>Angada mallick</t>
  </si>
  <si>
    <t>Shidharth  Mallick</t>
  </si>
  <si>
    <t>Sukala Mallick</t>
  </si>
  <si>
    <t>Chintamani i Mallick</t>
  </si>
  <si>
    <t>Lukanatha Mallick</t>
  </si>
  <si>
    <t>Radhika Mallick</t>
  </si>
  <si>
    <t>0407010503200202</t>
  </si>
  <si>
    <t>Baxi Mallick</t>
  </si>
  <si>
    <t>Bijay Mallick</t>
  </si>
  <si>
    <t>At/PO- Gasanaju,Sirtiguda</t>
  </si>
  <si>
    <t>Gasanaju (Tukupanga)</t>
  </si>
  <si>
    <t>Dilip Mallick</t>
  </si>
  <si>
    <t>Gidu Pradhan</t>
  </si>
  <si>
    <t>Mahadev Mallick</t>
  </si>
  <si>
    <t>0407010503240101</t>
  </si>
  <si>
    <t>Lakpati Konhar</t>
  </si>
  <si>
    <t>Shadev Konhar</t>
  </si>
  <si>
    <t>Jaimani Konhar</t>
  </si>
  <si>
    <t>At Nadamaha ,PO:- Kurdutuli,KNuagaon,Kandhamal</t>
  </si>
  <si>
    <t>Kiraketa</t>
  </si>
  <si>
    <t>Katali</t>
  </si>
  <si>
    <t>Tetragaon</t>
  </si>
  <si>
    <t>Nadamaha</t>
  </si>
  <si>
    <t>Trinath Mallick</t>
  </si>
  <si>
    <t>Rabi Chandra Pradhan</t>
  </si>
  <si>
    <t>PRADAN,K.Nuagaon,Ph-II</t>
  </si>
  <si>
    <t>Nawrangpur</t>
  </si>
  <si>
    <t>Papdahandi</t>
  </si>
  <si>
    <t>IRDMS,Papdahandi</t>
  </si>
  <si>
    <t xml:space="preserve">Sunadei maa Thakurani </t>
  </si>
  <si>
    <t xml:space="preserve">Vande mataram </t>
  </si>
  <si>
    <t xml:space="preserve">Sahid Lakhan Nayak </t>
  </si>
  <si>
    <t xml:space="preserve">Budhachuria </t>
  </si>
  <si>
    <t>Bapuji</t>
  </si>
  <si>
    <t xml:space="preserve">Maa Thakurani </t>
  </si>
  <si>
    <t xml:space="preserve">Maa Sunadei </t>
  </si>
  <si>
    <t xml:space="preserve">Maa Kaladharini </t>
  </si>
  <si>
    <t xml:space="preserve">Sanu Majhi </t>
  </si>
  <si>
    <t xml:space="preserve">Jaya Jagannath </t>
  </si>
  <si>
    <t>Jharigaon</t>
  </si>
  <si>
    <t>IYSARA,Jharigaon</t>
  </si>
  <si>
    <t xml:space="preserve">JAY BIMAVDA </t>
  </si>
  <si>
    <t xml:space="preserve">TRIMUTI     </t>
  </si>
  <si>
    <t>LAXMI NARAYANI</t>
  </si>
  <si>
    <t xml:space="preserve">ALEKH MAHIMA </t>
  </si>
  <si>
    <t xml:space="preserve">SRI BALRAM MAHADEV </t>
  </si>
  <si>
    <t>MAA HALADI GUNDIANI</t>
  </si>
  <si>
    <t xml:space="preserve">MAA GHATIMUNDIANI </t>
  </si>
  <si>
    <t>CHANDAN DHAR</t>
  </si>
  <si>
    <t xml:space="preserve">MAA THAKURANI </t>
  </si>
  <si>
    <t>MAA MAULI</t>
  </si>
  <si>
    <t>Kosagumuda</t>
  </si>
  <si>
    <t>RCDC,Kosagumda</t>
  </si>
  <si>
    <t>KALIBAUDI</t>
  </si>
  <si>
    <t xml:space="preserve">JAGIDANGRI </t>
  </si>
  <si>
    <t>GUMUNDA DANGRI</t>
  </si>
  <si>
    <t xml:space="preserve">CHAUNRIA </t>
  </si>
  <si>
    <t>Kusumi</t>
  </si>
  <si>
    <t xml:space="preserve">KANJIBADNA </t>
  </si>
  <si>
    <t xml:space="preserve">KURUNDI  NALA </t>
  </si>
  <si>
    <t xml:space="preserve">KOTAGADANI </t>
  </si>
  <si>
    <t xml:space="preserve">BAMANDEI </t>
  </si>
  <si>
    <t>Malkanagiri</t>
  </si>
  <si>
    <t>Mathili</t>
  </si>
  <si>
    <t>ODC, Mathili</t>
  </si>
  <si>
    <t>Baba Kapileswar Gramya Unnayan Sangha, Salimi</t>
  </si>
  <si>
    <t>Baba Gupteswar Gramya Unnayan Sangha, Barubeda</t>
  </si>
  <si>
    <t>Jay Jagannath Gramya Unnayan Sangha, Chamundarasi</t>
  </si>
  <si>
    <t>Maa Durga Gramya Unnayan Sangha, Biranpalli</t>
  </si>
  <si>
    <t>Baba Akhandalamani Gramya Unnayan Sangha, Sindhiguda</t>
  </si>
  <si>
    <t>Maa Mouli Gramya Unnayan Sangha, Kerangajoba</t>
  </si>
  <si>
    <t xml:space="preserve">Baruadei Mata Gramya Unnayan Sangha, Bara </t>
  </si>
  <si>
    <t>Baba Iswar Gramya Unnayan Sangha, Luller</t>
  </si>
  <si>
    <t>Mahatma Gandhi Gramya Unnayan Committee, Sangumma</t>
  </si>
  <si>
    <t>Gopobandhu Gramya Unnanyan Sangha, Sarangpalli</t>
  </si>
  <si>
    <t>Khairput</t>
  </si>
  <si>
    <t>HARMONY, Khairput</t>
  </si>
  <si>
    <t>Tuberkonda Gramya Unnayan Sangha, Badbel</t>
  </si>
  <si>
    <t>Tara Tarini Gramya Unnayan Sangha, Gobarkund</t>
  </si>
  <si>
    <t>Jay Maa Santoshi Gramya Unnayan Sangha, Similiguda</t>
  </si>
  <si>
    <t>Assan Gramya Unnayan Sangha, Baunspada</t>
  </si>
  <si>
    <t>Gopabandhu Gramya Unnayan Sangha, Kandhaguda</t>
  </si>
  <si>
    <t>Maa Bhairabi gramya Unnayan Sangha, Amlabhata</t>
  </si>
  <si>
    <t>Saheed Laxman Nayak Gramya Unnayan Sangha, Khuriguda</t>
  </si>
  <si>
    <t>Jay Sri Ram Gramya Unnayan Sangha, Badapoda</t>
  </si>
  <si>
    <t>Mebur Gramya Unnayan Sangha, Dumuripada</t>
  </si>
  <si>
    <t>Maa Durga Gramya Unnayan Sangha, Tulagurum</t>
  </si>
  <si>
    <t>Kudumuluguma</t>
  </si>
  <si>
    <t>PARIVARTTAN, Kudumuluguma</t>
  </si>
  <si>
    <t>Malyabanta Gramya Unnayan Committee, Jodambo</t>
  </si>
  <si>
    <t>Ramdev Gramya Unnayan Committee, Darlabeda</t>
  </si>
  <si>
    <t>Bada Debata Gramya Unnayan Committee, Kunturpadar</t>
  </si>
  <si>
    <t>Jai Jagannath Gramya Unnayan Committee, Khajuriguda</t>
  </si>
  <si>
    <t>Maa Tarini Gramya Unnayan Committee, Bihangudi</t>
  </si>
  <si>
    <t>Maa Baijaruni Grmaya unnayan Committee, Hatiamba</t>
  </si>
  <si>
    <t>Maa Laxmi Gramya Unnayan Committee, Pipalpadar</t>
  </si>
  <si>
    <t>Maa Santoshi Gramya Unnayan Committee, Rajabandha</t>
  </si>
  <si>
    <t>Bana Durga Gramya Unnayan Committee, Nakamamudi</t>
  </si>
  <si>
    <t>Tulasi Gramya Unnayan Committee, Chitapari</t>
  </si>
  <si>
    <t>BISSAMCUTTACK</t>
  </si>
  <si>
    <t>AKSSUS,Bissamcuttack</t>
  </si>
  <si>
    <t>Bansadhara VDC</t>
  </si>
  <si>
    <t>Patiaguda</t>
  </si>
  <si>
    <t>Himalaya</t>
  </si>
  <si>
    <t>Kaladipa VDC</t>
  </si>
  <si>
    <t>Niyamgiri VDC</t>
  </si>
  <si>
    <t>Gadagada</t>
  </si>
  <si>
    <t>DevagiriVDC</t>
  </si>
  <si>
    <t>Mahendragiri</t>
  </si>
  <si>
    <t>Jhanjabati  VDC</t>
  </si>
  <si>
    <t>NagabaliVDC</t>
  </si>
  <si>
    <t>GUDARI</t>
  </si>
  <si>
    <t>BISWA,Gudari</t>
  </si>
  <si>
    <t>Bansadhara</t>
  </si>
  <si>
    <t>Jiban Jyoti</t>
  </si>
  <si>
    <t>Rebha</t>
  </si>
  <si>
    <t>Lehurnima</t>
  </si>
  <si>
    <t>Chaturveda</t>
  </si>
  <si>
    <t>Dhanpati</t>
  </si>
  <si>
    <t>Brahmunidei</t>
  </si>
  <si>
    <t>Mahendra Taniya</t>
  </si>
  <si>
    <t>MUNIGUDA</t>
  </si>
  <si>
    <t>FARR,Muniguda</t>
  </si>
  <si>
    <t>Brahamanimunda Grama Urnayana Samiti</t>
  </si>
  <si>
    <t>Budha Bhairabi Grama urnayan committee</t>
  </si>
  <si>
    <t>Kalasuni Grama Urnayan Committee</t>
  </si>
  <si>
    <t>Shree Bhairabi Grama Urnayan Committee</t>
  </si>
  <si>
    <t>Baishanb Budha Grama Unnayan Committee</t>
  </si>
  <si>
    <t>Ripsakhila Grama Urnayan Committee</t>
  </si>
  <si>
    <t>Naringbadi Grama Urnayan Committee</t>
  </si>
  <si>
    <t>Pundel Grama Urnayan Committee</t>
  </si>
  <si>
    <t>Deding Dangar Grama Unrnayan Committee</t>
  </si>
  <si>
    <t>Pundera grama urnayan Committee</t>
  </si>
  <si>
    <t>KASHIPUR</t>
  </si>
  <si>
    <t>SHAKTI,Kasipur</t>
  </si>
  <si>
    <t>Tij Raja  GUS</t>
  </si>
  <si>
    <t>Maa Gayatri GUS</t>
  </si>
  <si>
    <t>Sahid Laxman Naik</t>
  </si>
  <si>
    <t>Jay Jagarnnath GUS</t>
  </si>
  <si>
    <t>Budha Raja GUS</t>
  </si>
  <si>
    <t>Sri Ram GUS</t>
  </si>
  <si>
    <t>Nava Diganta GUS</t>
  </si>
  <si>
    <t>Jay Hanuman GUS</t>
  </si>
  <si>
    <t>Maa Sata Bhauni GUS</t>
  </si>
  <si>
    <t>Chakadala GUS</t>
  </si>
  <si>
    <t>CHANDRAPUR</t>
  </si>
  <si>
    <t>USO,Chandrapur</t>
  </si>
  <si>
    <t>BAPUJI</t>
  </si>
  <si>
    <t>SHIBA SHAKTI</t>
  </si>
  <si>
    <t>GANGA JAMUNA</t>
  </si>
  <si>
    <t>JAGA BALIA</t>
  </si>
  <si>
    <t>MAA MANIKESWARI</t>
  </si>
  <si>
    <t>MAA LAXMI</t>
  </si>
  <si>
    <t>MAA BANADURGA</t>
  </si>
  <si>
    <t>NAGAVALI</t>
  </si>
  <si>
    <t>KEDARGOURI</t>
  </si>
  <si>
    <t>UTKALA</t>
  </si>
  <si>
    <t>Expenditure (In Rs Lakhs)</t>
  </si>
  <si>
    <t>Receipt (In Rs Lakhs)</t>
  </si>
  <si>
    <t>Allocation (In Rs Lakhs)</t>
  </si>
  <si>
    <t>SC male</t>
  </si>
  <si>
    <t>NA</t>
  </si>
  <si>
    <t>Vulnerable / Destitude</t>
  </si>
  <si>
    <t>No fo UG:</t>
  </si>
  <si>
    <t>No of VSSs:</t>
  </si>
  <si>
    <t>No of VLSCs within MWSs:</t>
  </si>
  <si>
    <t>No. of villages within MWSs:</t>
  </si>
  <si>
    <t xml:space="preserve"> PRI Member of the VLSC:</t>
  </si>
  <si>
    <t>Sansai Harijan</t>
  </si>
  <si>
    <t>Raghunath Gauda</t>
  </si>
  <si>
    <t>Gurubaru Amanatya</t>
  </si>
  <si>
    <t>Khaga Harijan</t>
  </si>
  <si>
    <t>VLSC Village Volunter's Name:</t>
  </si>
  <si>
    <t>Palpur</t>
  </si>
  <si>
    <t>Contact address (including telephone No)</t>
  </si>
  <si>
    <t>Champa Bhatra, Dhanai Pujari &amp; Baidu Harijan</t>
  </si>
  <si>
    <t>Saradhu Amanatya</t>
  </si>
  <si>
    <t>Dhana nayak</t>
  </si>
  <si>
    <t>ND</t>
  </si>
  <si>
    <t>Treatable Area:</t>
  </si>
  <si>
    <t>405020703051201</t>
  </si>
  <si>
    <t>MWS Codde As per ORSAC:</t>
  </si>
  <si>
    <t>Sunadei Maa Thakurani</t>
  </si>
  <si>
    <t>Form A : MWS Fact Sheet</t>
  </si>
  <si>
    <t>Orissa Tribal Empowerment &amp; Livlihoods Programme (OTELP)</t>
  </si>
  <si>
    <t>Saidrak Hial</t>
  </si>
  <si>
    <t>Susmita Nayak</t>
  </si>
  <si>
    <t>Manjula Harijan</t>
  </si>
  <si>
    <t>HrusikeshNayak</t>
  </si>
  <si>
    <t>Budhadev Sahu</t>
  </si>
  <si>
    <t>Sada Majhi</t>
  </si>
  <si>
    <t>Dakaribeda</t>
  </si>
  <si>
    <t>Chandanpalla</t>
  </si>
  <si>
    <t>Basnati Majhi &amp; Trinath Jani</t>
  </si>
  <si>
    <t>Rathi Jani</t>
  </si>
  <si>
    <t>Mangulu Muduli</t>
  </si>
  <si>
    <t>405020703110201</t>
  </si>
  <si>
    <t>Vande Mataram</t>
  </si>
  <si>
    <t>Dinabandhu Singh</t>
  </si>
  <si>
    <t>Bhaskar Majhi</t>
  </si>
  <si>
    <t>Surenmdra Harijan</t>
  </si>
  <si>
    <t>Raghu Nath Dalai</t>
  </si>
  <si>
    <t>Mangalsai Amanatya</t>
  </si>
  <si>
    <t>Ketan Bhatra</t>
  </si>
  <si>
    <t xml:space="preserve">Rainu Majhi </t>
  </si>
  <si>
    <t xml:space="preserve">Karunakar Dalei </t>
  </si>
  <si>
    <t>Dakraguda</t>
  </si>
  <si>
    <t>Ghataguda</t>
  </si>
  <si>
    <t>Ghataguda &amp; Dakraguda</t>
  </si>
  <si>
    <t>Dhanmati Majhi &amp; Arun Dandasena</t>
  </si>
  <si>
    <t>Premila Amanatya</t>
  </si>
  <si>
    <t>Mohanram Nayak</t>
  </si>
  <si>
    <t>40502070312021</t>
  </si>
  <si>
    <t>Sahid Laxman Nayak</t>
  </si>
  <si>
    <t>Baidyanath Bhtra</t>
  </si>
  <si>
    <t>Ushabati Bhatra</t>
  </si>
  <si>
    <t>Saiba Bhatra</t>
  </si>
  <si>
    <t>Balaram Bhatra</t>
  </si>
  <si>
    <t>Bali Bhatra</t>
  </si>
  <si>
    <t>Sorispadar</t>
  </si>
  <si>
    <t>Krupa Pujari</t>
  </si>
  <si>
    <t>Kanak Bhatra</t>
  </si>
  <si>
    <t>Baidyanath Nayak</t>
  </si>
  <si>
    <t>405020703120202</t>
  </si>
  <si>
    <t>Budhachauria</t>
  </si>
  <si>
    <t>Chandra  Jani</t>
  </si>
  <si>
    <t xml:space="preserve">Laba Bhatra </t>
  </si>
  <si>
    <t>Tularam Bhatra</t>
  </si>
  <si>
    <t>Babuli Amanatya</t>
  </si>
  <si>
    <t>Pankajini Khanduala</t>
  </si>
  <si>
    <t>Sirisi</t>
  </si>
  <si>
    <t>Jaisingh Jani &amp; Balmati Bhatra</t>
  </si>
  <si>
    <t>Pabitra Bhatra</t>
  </si>
  <si>
    <t>Gora Amanatya</t>
  </si>
  <si>
    <t>Mangalsai Majhi</t>
  </si>
  <si>
    <t>Lombodhar Bahtra</t>
  </si>
  <si>
    <t>Haris chandra Bhatra</t>
  </si>
  <si>
    <t>Maina Bhatra</t>
  </si>
  <si>
    <t>Kabir Bhatra</t>
  </si>
  <si>
    <t>Ekori</t>
  </si>
  <si>
    <t>Budan Bhatra &amp; Sandar Bhatra</t>
  </si>
  <si>
    <t>Bijaya Nayak</t>
  </si>
  <si>
    <t>Kamulu Bhatra</t>
  </si>
  <si>
    <t>405020703130101</t>
  </si>
  <si>
    <t>Maa Thakurani</t>
  </si>
  <si>
    <t>Dhanmati Singh</t>
  </si>
  <si>
    <t>Ietu Bhatra</t>
  </si>
  <si>
    <t>Sunadhar Bhatra</t>
  </si>
  <si>
    <t>Jadunath Bhatra</t>
  </si>
  <si>
    <t>Dibakar Singh</t>
  </si>
  <si>
    <t>Bariguda</t>
  </si>
  <si>
    <t>Bala Bhatra, Binay Kumar Nag</t>
  </si>
  <si>
    <t>Kanhei Bhatra</t>
  </si>
  <si>
    <t>Satyaban Santa</t>
  </si>
  <si>
    <t>405020703130202</t>
  </si>
  <si>
    <t>Maa Sunadei</t>
  </si>
  <si>
    <t xml:space="preserve">Dasarathi Paika </t>
  </si>
  <si>
    <t>Tularam Majhi</t>
  </si>
  <si>
    <t>Arjun Bhatra</t>
  </si>
  <si>
    <t>Kuni Majhi</t>
  </si>
  <si>
    <t>Nabaghana  Bhatra</t>
  </si>
  <si>
    <t>Damu Bhatra</t>
  </si>
  <si>
    <t>Balabha Bhatra</t>
  </si>
  <si>
    <t xml:space="preserve">Phagun Bhatra </t>
  </si>
  <si>
    <t xml:space="preserve">Bidyadhar Nayak </t>
  </si>
  <si>
    <t>Jambaguda</t>
  </si>
  <si>
    <t>Mohurguda</t>
  </si>
  <si>
    <t>Chingudisora</t>
  </si>
  <si>
    <t>Sadan Bhatra, Ballab Bhatra</t>
  </si>
  <si>
    <t>Jyotsna Rani Bhatra</t>
  </si>
  <si>
    <t>Jagannath Jani</t>
  </si>
  <si>
    <t>405020703140202</t>
  </si>
  <si>
    <t>Maa Kala Dharini</t>
  </si>
  <si>
    <t>Anil Takri</t>
  </si>
  <si>
    <t>Tankadhar Majhi</t>
  </si>
  <si>
    <t>Rainu Shanta</t>
  </si>
  <si>
    <t>Karuna Harijan</t>
  </si>
  <si>
    <t>Sanjukta Hiran</t>
  </si>
  <si>
    <t>Pramila Bhatra</t>
  </si>
  <si>
    <t>Mangaraj Bhatra.</t>
  </si>
  <si>
    <t>Khaliguda</t>
  </si>
  <si>
    <t>Batadhansuli</t>
  </si>
  <si>
    <t>Mangal Sai Harijan &amp; Jemamani Jani</t>
  </si>
  <si>
    <t>Rama Jani</t>
  </si>
  <si>
    <t>Krusna Jani</t>
  </si>
  <si>
    <t>405020703150102</t>
  </si>
  <si>
    <t xml:space="preserve">Rainu Harizan </t>
  </si>
  <si>
    <t>Lachan dei Bhatra</t>
  </si>
  <si>
    <t>Kamal Chandra Jani</t>
  </si>
  <si>
    <t>Nabin Harijan</t>
  </si>
  <si>
    <t>Mansing Bhatra</t>
  </si>
  <si>
    <t>Kusuma Harijan</t>
  </si>
  <si>
    <t>Markanda Jani</t>
  </si>
  <si>
    <t>YudhistiraJani</t>
  </si>
  <si>
    <t>Tankadhar Jani</t>
  </si>
  <si>
    <t>Patraguda</t>
  </si>
  <si>
    <t>Kaliaguda</t>
  </si>
  <si>
    <t>Kangumajhiguda</t>
  </si>
  <si>
    <t>Buda Jani, Santi Harijan</t>
  </si>
  <si>
    <t>Baladev Jani</t>
  </si>
  <si>
    <t>Haldhar Bhatra</t>
  </si>
  <si>
    <t>405020703160202</t>
  </si>
  <si>
    <t>Jay Jagannath</t>
  </si>
  <si>
    <t>405020701010201</t>
  </si>
  <si>
    <t>Baidei Halwa</t>
  </si>
  <si>
    <t>Bhagendra Hallwa</t>
  </si>
  <si>
    <t>M. Keragoan</t>
  </si>
  <si>
    <t>Sagar Bhatra</t>
  </si>
  <si>
    <t>Murli Halwa</t>
  </si>
  <si>
    <t>Kalabati Harijan</t>
  </si>
  <si>
    <t>Dirpal Bhatra</t>
  </si>
  <si>
    <t>Basuna Bhatra</t>
  </si>
  <si>
    <t>JAGIDANGRI</t>
  </si>
  <si>
    <t>0405020701020101</t>
  </si>
  <si>
    <t>Tulabati Harijan</t>
  </si>
  <si>
    <t>Udran Nayak</t>
  </si>
  <si>
    <t>Kalabati Jani</t>
  </si>
  <si>
    <t>Sanasirisiguda</t>
  </si>
  <si>
    <t>Sanasirisaguda</t>
  </si>
  <si>
    <t>Kalpana Nayak</t>
  </si>
  <si>
    <t>Sabita Kumari  Asha</t>
  </si>
  <si>
    <t>Sukadash Bhatra</t>
  </si>
  <si>
    <t>Premnath Gonda</t>
  </si>
  <si>
    <t>Gobinda Majhi</t>
  </si>
  <si>
    <t>405020701020102</t>
  </si>
  <si>
    <t>Kuntilata Bhatra</t>
  </si>
  <si>
    <t>Bhabanath Majhi</t>
  </si>
  <si>
    <t>Sikdaguda</t>
  </si>
  <si>
    <t>Pramila Harijan</t>
  </si>
  <si>
    <t>Jayanti Bhatra</t>
  </si>
  <si>
    <t>Niladhar Bhatra</t>
  </si>
  <si>
    <t>Josheph Bhatra</t>
  </si>
  <si>
    <t>Durlab Bhatra</t>
  </si>
  <si>
    <t>CHAUNRIA</t>
  </si>
  <si>
    <t>405020701020103</t>
  </si>
  <si>
    <t>Raunu Bhatra</t>
  </si>
  <si>
    <t>Metab Halwa</t>
  </si>
  <si>
    <t>Temra</t>
  </si>
  <si>
    <t>Padargaon</t>
  </si>
  <si>
    <t>Phuljema samarath</t>
  </si>
  <si>
    <t>Mamata Bhatra</t>
  </si>
  <si>
    <t>Amal Bhandari</t>
  </si>
  <si>
    <t>Dumar gond</t>
  </si>
  <si>
    <t>Nila bhandari</t>
  </si>
  <si>
    <t>Purna Mali</t>
  </si>
  <si>
    <t>Sarbasadharana Bhatra</t>
  </si>
  <si>
    <t>Gudu Harijan</t>
  </si>
  <si>
    <t>KANJIBADNA</t>
  </si>
  <si>
    <t>405020701020203</t>
  </si>
  <si>
    <t>Tulabati Pujari</t>
  </si>
  <si>
    <t>Padmatala Mirgaon</t>
  </si>
  <si>
    <t>Balegaon</t>
  </si>
  <si>
    <t>Balenga</t>
  </si>
  <si>
    <t>Durjadhan Mirgan</t>
  </si>
  <si>
    <t>Durjan Bhatra</t>
  </si>
  <si>
    <t>Lalita Bhatra</t>
  </si>
  <si>
    <t>Simanchala Amanattya</t>
  </si>
  <si>
    <t>Sabhabati Harijan</t>
  </si>
  <si>
    <t>KURUNDI  NALA</t>
  </si>
  <si>
    <t>405020701030101</t>
  </si>
  <si>
    <t>Domini Bhatra</t>
  </si>
  <si>
    <t>Chaitan Pujari</t>
  </si>
  <si>
    <t>Kodabhatta</t>
  </si>
  <si>
    <t>Dhanpati Bhatra</t>
  </si>
  <si>
    <t xml:space="preserve">Purnachndra Bisoi </t>
  </si>
  <si>
    <t>Phulsing Bhatra</t>
  </si>
  <si>
    <t>Surjyakanti Rajgand</t>
  </si>
  <si>
    <t>Parshu Bhatra</t>
  </si>
  <si>
    <t>KOTAGADANI</t>
  </si>
  <si>
    <t>405020701030202</t>
  </si>
  <si>
    <t>Manmati Bhatra</t>
  </si>
  <si>
    <t>Surjya Bhatra</t>
  </si>
  <si>
    <t>Ramadhara Pujari</t>
  </si>
  <si>
    <t>Contact address                  (including telephone No)</t>
  </si>
  <si>
    <t>Bansuli</t>
  </si>
  <si>
    <t>Saraldhanua</t>
  </si>
  <si>
    <t>Lacchandei Bhatra</t>
  </si>
  <si>
    <t>Ratana bhatra</t>
  </si>
  <si>
    <t>Gudu Bhatra</t>
  </si>
  <si>
    <t>Anantaram Bhatra</t>
  </si>
  <si>
    <t>Domai Randhari</t>
  </si>
  <si>
    <t>Sushila Bisoi</t>
  </si>
  <si>
    <t>Rukdhar Bhatra</t>
  </si>
  <si>
    <t>Chaitanya Bhatra</t>
  </si>
  <si>
    <t>Ramachandra Bhatra</t>
  </si>
  <si>
    <t>MAA THAKURANI</t>
  </si>
  <si>
    <t>0405020701040102</t>
  </si>
  <si>
    <t>Nabina Bhatra</t>
  </si>
  <si>
    <t>Judhishator Bhatra</t>
  </si>
  <si>
    <t xml:space="preserve">Budru Keuta </t>
  </si>
  <si>
    <t>Pikaddhanua</t>
  </si>
  <si>
    <t>Mundidhanua</t>
  </si>
  <si>
    <t>Debaki Bhatra</t>
  </si>
  <si>
    <t>Sanadei Nayak</t>
  </si>
  <si>
    <t>Syamasundar Gouda</t>
  </si>
  <si>
    <t>Tularam Muria</t>
  </si>
  <si>
    <t>Karna Pujari</t>
  </si>
  <si>
    <t>Tikaram Bhattra</t>
  </si>
  <si>
    <t>Padlam bhatra</t>
  </si>
  <si>
    <t>BAMANDEI</t>
  </si>
  <si>
    <t>405020701090101</t>
  </si>
  <si>
    <t>Kanchan Bhatra</t>
  </si>
  <si>
    <t>Dalit Gauntia</t>
  </si>
  <si>
    <t>Baraguda</t>
  </si>
  <si>
    <t>Maina Keut</t>
  </si>
  <si>
    <t>Madhu Keut</t>
  </si>
  <si>
    <t>Basu Gouda</t>
  </si>
  <si>
    <t>Sundargaj Pujari</t>
  </si>
  <si>
    <t>Brunda Bhatra</t>
  </si>
  <si>
    <t>JAY BIMA</t>
  </si>
  <si>
    <t>405020702100202</t>
  </si>
  <si>
    <t>Ganesh Bhatra</t>
  </si>
  <si>
    <t>Ganapati Bhatra</t>
  </si>
  <si>
    <t>Dayanidhi Bhatra, Mangaldei Bhatra</t>
  </si>
  <si>
    <t>Chingdiguda</t>
  </si>
  <si>
    <t>Gautia Bhatra</t>
  </si>
  <si>
    <t>Jalandhar Bhatra</t>
  </si>
  <si>
    <t>Uanasi Bhatra</t>
  </si>
  <si>
    <t>Padma Bhatra</t>
  </si>
  <si>
    <t>Gini Bhatra</t>
  </si>
  <si>
    <t>405020702120101</t>
  </si>
  <si>
    <t>Basanti Bhatra</t>
  </si>
  <si>
    <t>Prahalad Bhatra</t>
  </si>
  <si>
    <t>Ujjal Harijan</t>
  </si>
  <si>
    <t>Telkanari</t>
  </si>
  <si>
    <t>Nirapadar</t>
  </si>
  <si>
    <t>Telkandi</t>
  </si>
  <si>
    <t>Gulibadana</t>
  </si>
  <si>
    <t>Maheswar Harijan</t>
  </si>
  <si>
    <t>Kusuma Majhi</t>
  </si>
  <si>
    <t>Kusa Pujari</t>
  </si>
  <si>
    <t>Ram Krushana Samarath</t>
  </si>
  <si>
    <t>Losu majhi</t>
  </si>
  <si>
    <t>Piki Bhatra</t>
  </si>
  <si>
    <t>Jalandhara Bahatra</t>
  </si>
  <si>
    <t xml:space="preserve">LAXMI NARAYANI </t>
  </si>
  <si>
    <t>405020702140103</t>
  </si>
  <si>
    <t>Laxman Majhi</t>
  </si>
  <si>
    <t>Masu Bhatra</t>
  </si>
  <si>
    <t>Dhanamati Jani</t>
  </si>
  <si>
    <t>Dubia</t>
  </si>
  <si>
    <t>Pakhanaguda</t>
  </si>
  <si>
    <t>Jalandhar Nayak</t>
  </si>
  <si>
    <t>Hari Santa</t>
  </si>
  <si>
    <t>Devisingh Bhatra</t>
  </si>
  <si>
    <t>Savatri Bhatra</t>
  </si>
  <si>
    <t>Dasarath Jani</t>
  </si>
  <si>
    <t>Manai nayak</t>
  </si>
  <si>
    <t>Lokanath Santa</t>
  </si>
  <si>
    <t>ALEKHMAHIMA</t>
  </si>
  <si>
    <t>405020702140201</t>
  </si>
  <si>
    <t>Jagannath Majhi</t>
  </si>
  <si>
    <t>Dasarathi Majhi</t>
  </si>
  <si>
    <t>Palia</t>
  </si>
  <si>
    <t>Gopabali Majhi</t>
  </si>
  <si>
    <t>Santula Majhi</t>
  </si>
  <si>
    <t>Devisingh Majhi</t>
  </si>
  <si>
    <t>Suraj Majhi</t>
  </si>
  <si>
    <t>Madhav Majhi</t>
  </si>
  <si>
    <t xml:space="preserve">SRI SRI BALRAM MAHADEV </t>
  </si>
  <si>
    <t>0405020702150201</t>
  </si>
  <si>
    <t>Kheera Jani</t>
  </si>
  <si>
    <t>Tila Nayak</t>
  </si>
  <si>
    <t>Hema Jani, Hari singh Gouda</t>
  </si>
  <si>
    <t>Bodony</t>
  </si>
  <si>
    <t>Beljhori</t>
  </si>
  <si>
    <t>Bodani</t>
  </si>
  <si>
    <t>Padma Pujari</t>
  </si>
  <si>
    <t>Devya Bhakta</t>
  </si>
  <si>
    <t>Bhisma Santa</t>
  </si>
  <si>
    <t>Indra Meher</t>
  </si>
  <si>
    <t>Kanagkadi Jani</t>
  </si>
  <si>
    <t>Chatyana Mehere</t>
  </si>
  <si>
    <t>harishankar Jani</t>
  </si>
  <si>
    <t>Gangadhar Jani</t>
  </si>
  <si>
    <t>407010706250102</t>
  </si>
  <si>
    <t>Madana Pujari</t>
  </si>
  <si>
    <t>Ghasiram Pujari</t>
  </si>
  <si>
    <t>Sajani Chatria, Paltan Pujari</t>
  </si>
  <si>
    <t>Kongra</t>
  </si>
  <si>
    <t>Makarand Pujari</t>
  </si>
  <si>
    <t>Bhabani Jhankara</t>
  </si>
  <si>
    <t>Simanchal Pujari</t>
  </si>
  <si>
    <t>Janmai Majhi</t>
  </si>
  <si>
    <t>MAA GHATIMUNDIANI</t>
  </si>
  <si>
    <t>407010706250201</t>
  </si>
  <si>
    <t>Ranamati Pujari</t>
  </si>
  <si>
    <t>Dohimal</t>
  </si>
  <si>
    <t>Bhitarkarmari</t>
  </si>
  <si>
    <t>Lohandasil</t>
  </si>
  <si>
    <t>Baharkarmari</t>
  </si>
  <si>
    <t>Raisingh Jani</t>
  </si>
  <si>
    <t>Sridhar Majhi</t>
  </si>
  <si>
    <t>Dasarathi Bhunjia</t>
  </si>
  <si>
    <t>Deba Bhunjia</t>
  </si>
  <si>
    <t>Goutam Majhi</t>
  </si>
  <si>
    <t>Pabitra Jani</t>
  </si>
  <si>
    <t>Govinda Bhunjia</t>
  </si>
  <si>
    <t>Kshira Sindhu Das</t>
  </si>
  <si>
    <t>Ghasiram Majhi</t>
  </si>
  <si>
    <t>Ghasmi Jani</t>
  </si>
  <si>
    <t>Santa Bhunjia</t>
  </si>
  <si>
    <t>Dhaneswar Sabar</t>
  </si>
  <si>
    <t>407010707010201</t>
  </si>
  <si>
    <t>Kamala Majhi</t>
  </si>
  <si>
    <t>Mahdhu Majhi</t>
  </si>
  <si>
    <t>Tilotama Jani, Susila Majhi</t>
  </si>
  <si>
    <t>Gobaguda, Sanatemra</t>
  </si>
  <si>
    <t>Chatupakhana</t>
  </si>
  <si>
    <t>Sanatemera</t>
  </si>
  <si>
    <t>Gabaguda</t>
  </si>
  <si>
    <t>Kunu Pujari</t>
  </si>
  <si>
    <t>Bhaja Majhi</t>
  </si>
  <si>
    <t>Panamati Harijan</t>
  </si>
  <si>
    <t>Prahalad Pradhan</t>
  </si>
  <si>
    <t xml:space="preserve">Raino Kumar </t>
  </si>
  <si>
    <t>Ghasiram Harijan</t>
  </si>
  <si>
    <t>Rajlaxmi Patnaik</t>
  </si>
  <si>
    <t>Sukla Majhi</t>
  </si>
  <si>
    <t>Dhanei Majhi</t>
  </si>
  <si>
    <t>Tilotama Jani</t>
  </si>
  <si>
    <t>407010707010202</t>
  </si>
  <si>
    <t>Bhadar Majhi</t>
  </si>
  <si>
    <t>Chaklapadar</t>
  </si>
  <si>
    <t>Chakalapadar</t>
  </si>
  <si>
    <t>Tarabeda</t>
  </si>
  <si>
    <t>Upasi Majhi</t>
  </si>
  <si>
    <t>Bhagabati Halua</t>
  </si>
  <si>
    <t>Lokanath bhatra</t>
  </si>
  <si>
    <t>Madhuban Majhi</t>
  </si>
  <si>
    <t>Kia Majhi</t>
  </si>
  <si>
    <t>Kumari Majhi</t>
  </si>
  <si>
    <t>Bhikari Majhi</t>
  </si>
  <si>
    <t>Rabi Jani</t>
  </si>
  <si>
    <t>Rabi Majhi</t>
  </si>
  <si>
    <t>0407010707010203</t>
  </si>
  <si>
    <t>Dhanirami Bhatra</t>
  </si>
  <si>
    <t>Purni Majhi</t>
  </si>
  <si>
    <t>Punya Pujari</t>
  </si>
  <si>
    <t>Ichapur</t>
  </si>
  <si>
    <t>Vima Jani</t>
  </si>
  <si>
    <t>Hemalata Majhi</t>
  </si>
  <si>
    <t>Laxmi Majhi</t>
  </si>
  <si>
    <t>Thakurani Majhi</t>
  </si>
  <si>
    <t>Ratna Jani</t>
  </si>
  <si>
    <t xml:space="preserve">Name of the MWS/ VDC: </t>
  </si>
  <si>
    <t>Baba Kapileswar VDC</t>
  </si>
  <si>
    <t>405010402020101</t>
  </si>
  <si>
    <t xml:space="preserve">Name of the VDC President : </t>
  </si>
  <si>
    <t>Laxmi Charana Majhi</t>
  </si>
  <si>
    <t xml:space="preserve">Name of the VDC Secretary : </t>
  </si>
  <si>
    <t>Khageswar Samarath</t>
  </si>
  <si>
    <t>Contact Address: (Including telephone number if any )</t>
  </si>
  <si>
    <t>At- Salimi, P.O- Salimi,Via- Mathili, Dist-Malkangiri</t>
  </si>
  <si>
    <t>Salimi</t>
  </si>
  <si>
    <t>Kochi Tang</t>
  </si>
  <si>
    <t>Haldi Kund.</t>
  </si>
  <si>
    <t>Pareswar Madri</t>
  </si>
  <si>
    <t>Bhagirathi Samarath</t>
  </si>
  <si>
    <t>Bisnu Madri</t>
  </si>
  <si>
    <t>Pankaja Pujari</t>
  </si>
  <si>
    <t>No. of VLSCs eith in the MWS:</t>
  </si>
  <si>
    <t xml:space="preserve">Propulation Details </t>
  </si>
  <si>
    <t xml:space="preserve">Programme Component </t>
  </si>
  <si>
    <t>2009-10 2010-2011 Financial Year Wise Expenditure (in Rs. Lakha)</t>
  </si>
  <si>
    <t>Particupatory Forest Management</t>
  </si>
  <si>
    <t>Development   Initatives Fund</t>
  </si>
  <si>
    <t>Admunistrative Cost to VDC</t>
  </si>
  <si>
    <t>Baba Gupteswar VDC</t>
  </si>
  <si>
    <t>405010402020102</t>
  </si>
  <si>
    <t>Manasing Pujari</t>
  </si>
  <si>
    <t>Subas Nayak</t>
  </si>
  <si>
    <t>At- Kangrabeda, P.O- Salimi, Via- Mathili, Dist-Malkangiri</t>
  </si>
  <si>
    <t>Barubeda</t>
  </si>
  <si>
    <t>Kangrabeda</t>
  </si>
  <si>
    <t>Brahmanguda</t>
  </si>
  <si>
    <t>Nakula Pujari</t>
  </si>
  <si>
    <t>Durjan Pujari</t>
  </si>
  <si>
    <t>Sanyasi Pujari</t>
  </si>
  <si>
    <t>Bhagaban Pujari</t>
  </si>
  <si>
    <t>Lalita Nayak</t>
  </si>
  <si>
    <t>Jaya Jagannath VDC</t>
  </si>
  <si>
    <t>405010402020202</t>
  </si>
  <si>
    <t>Forest Treatable 
Area</t>
  </si>
  <si>
    <t>Keshab Pujari</t>
  </si>
  <si>
    <t>Raghuram Majhi</t>
  </si>
  <si>
    <t>At- Chamunda Rasi, P.O- Salimi, Dist-Malkangiri</t>
  </si>
  <si>
    <t>Chamundarasi</t>
  </si>
  <si>
    <t>Dhakadarasi</t>
  </si>
  <si>
    <t>Ektaguda</t>
  </si>
  <si>
    <t>Dangarasi</t>
  </si>
  <si>
    <t>Kaslamunda</t>
  </si>
  <si>
    <t>Nakula Rana</t>
  </si>
  <si>
    <t>Chandan Thakur</t>
  </si>
  <si>
    <t>Bisu Madi</t>
  </si>
  <si>
    <t>Bimala Kuasi</t>
  </si>
  <si>
    <t>Lakinath Khila</t>
  </si>
  <si>
    <t>Jalandhar Khila</t>
  </si>
  <si>
    <t>Nirmal Nayak</t>
  </si>
  <si>
    <t>Sonu Rana</t>
  </si>
  <si>
    <t>Ratan Khara</t>
  </si>
  <si>
    <t>Laxmi Muchuki</t>
  </si>
  <si>
    <t>Bhuma Pujari</t>
  </si>
  <si>
    <t>Guru Durua</t>
  </si>
  <si>
    <t>Vulinerable/
 Destiture:</t>
  </si>
  <si>
    <t>Maa Durga VDC</t>
  </si>
  <si>
    <t>405010402030102</t>
  </si>
  <si>
    <t>Arjuna Nayak</t>
  </si>
  <si>
    <t>Ghasiram Nengi</t>
  </si>
  <si>
    <t>At- Birenpalli, P.O- Kiango,
 Dist-Malkangiri</t>
  </si>
  <si>
    <t>Birenpalli</t>
  </si>
  <si>
    <t>Mandapalli</t>
  </si>
  <si>
    <t>Bhainsaghat</t>
  </si>
  <si>
    <t>Handhu Putia</t>
  </si>
  <si>
    <t>Lachaman Katia</t>
  </si>
  <si>
    <t>Raghunath Nayak</t>
  </si>
  <si>
    <t>Sunadhar Bhumia</t>
  </si>
  <si>
    <t>Sankar Gouda</t>
  </si>
  <si>
    <t>Arjuna Gouda</t>
  </si>
  <si>
    <t>Baba Akhandalamani</t>
  </si>
  <si>
    <t>405010402030201</t>
  </si>
  <si>
    <t>Ghanasyam Bhumia</t>
  </si>
  <si>
    <t>Hatiram Pujari</t>
  </si>
  <si>
    <t>At- Sindhiguda, P.O- Kiango, Dist-Malkangiri</t>
  </si>
  <si>
    <t>Kianga</t>
  </si>
  <si>
    <t>Lachim Bhumia</t>
  </si>
  <si>
    <t>Harischandra Bhumia</t>
  </si>
  <si>
    <t>Lakinath Pujari</t>
  </si>
  <si>
    <t>Susanta Modri</t>
  </si>
  <si>
    <t>Maa Mauli VDC</t>
  </si>
  <si>
    <t>405010402040201</t>
  </si>
  <si>
    <t>Baidehi Barabandia</t>
  </si>
  <si>
    <t>Somanath Pujari</t>
  </si>
  <si>
    <t>At-Kopra, P.O- Kartanpalli, Via- Mathili, Malkangiri</t>
  </si>
  <si>
    <t>Kopra</t>
  </si>
  <si>
    <t>Keronjagoba</t>
  </si>
  <si>
    <t>Samaru Nayak</t>
  </si>
  <si>
    <t>Ganga Madi</t>
  </si>
  <si>
    <t>Arjun Pujari</t>
  </si>
  <si>
    <t>Trinath Barik</t>
  </si>
  <si>
    <t>Baruadeimata VDC</t>
  </si>
  <si>
    <t>405010402040202</t>
  </si>
  <si>
    <t>Mangala Bhumia</t>
  </si>
  <si>
    <t>Mangatu Durua</t>
  </si>
  <si>
    <t>At- Bara, P.O- Kartanpalli, Dist-Malkangiri</t>
  </si>
  <si>
    <t>Bara</t>
  </si>
  <si>
    <t>Durkaguda</t>
  </si>
  <si>
    <t>Purusati Bhumia</t>
  </si>
  <si>
    <t>Samaru Durua</t>
  </si>
  <si>
    <t>Modhaba Durua</t>
  </si>
  <si>
    <t>Madhab Durua</t>
  </si>
  <si>
    <t>Baba Iswar VDC</t>
  </si>
  <si>
    <t>405010402040203</t>
  </si>
  <si>
    <t>Ghena Bhumia</t>
  </si>
  <si>
    <t>Gopinath Pujari</t>
  </si>
  <si>
    <t>At- Luller, P.O- Kartanpally. 
Via- Mathili, Dt- Malkangiri</t>
  </si>
  <si>
    <t>Luller,</t>
  </si>
  <si>
    <t>Palkasargiguda</t>
  </si>
  <si>
    <t>Mangala Pujari</t>
  </si>
  <si>
    <t>Ganga Bhumia</t>
  </si>
  <si>
    <t>Narsing Bhumia</t>
  </si>
  <si>
    <t>Mahatmagandhi VDC</t>
  </si>
  <si>
    <t>405010402050101</t>
  </si>
  <si>
    <t>Lakinath Bhumia</t>
  </si>
  <si>
    <t>Gupta Bhumia</t>
  </si>
  <si>
    <t>At- Sanaguma,, P.O- Kartanpalli ,Dist-Malkangiri</t>
  </si>
  <si>
    <t>Sanaguma</t>
  </si>
  <si>
    <t>Kartanpalli</t>
  </si>
  <si>
    <t>Mudunda Bhumia</t>
  </si>
  <si>
    <t>Krusba Putia</t>
  </si>
  <si>
    <t>Pati Bhumia</t>
  </si>
  <si>
    <t>Bandhu Bhumia</t>
  </si>
  <si>
    <t>Gopabandhu VDC</t>
  </si>
  <si>
    <t>405010402060101</t>
  </si>
  <si>
    <t>Treatable 
Area</t>
  </si>
  <si>
    <t>Damu Nayak</t>
  </si>
  <si>
    <t>Lalit Nayk</t>
  </si>
  <si>
    <t>At- Sarangapally, P.O- Kiango, 
Dist-Malkangiri</t>
  </si>
  <si>
    <t>Sarangpalli</t>
  </si>
  <si>
    <t>Jobaguda</t>
  </si>
  <si>
    <t>Kudukguda</t>
  </si>
  <si>
    <t>Laktiguda</t>
  </si>
  <si>
    <t>Hari Nayak</t>
  </si>
  <si>
    <t>Nakula Nayak</t>
  </si>
  <si>
    <t>Gurunath Nayak</t>
  </si>
  <si>
    <t>Pankoja Majhi</t>
  </si>
  <si>
    <t>Hatiram Nayak</t>
  </si>
  <si>
    <t>Gobinda Kacar</t>
  </si>
  <si>
    <t>Mukunda Kuduku</t>
  </si>
  <si>
    <t>MWS Code(as per orsac)</t>
  </si>
  <si>
    <t>Name of the  VDC President</t>
  </si>
  <si>
    <t>Lacchim Badanayak</t>
  </si>
  <si>
    <t>Name of the  VDC Secretary</t>
  </si>
  <si>
    <t>Mangala Badanayak</t>
  </si>
  <si>
    <t>Contact Adress:(including telephone number if any</t>
  </si>
  <si>
    <t>Badbel, Andrahal</t>
  </si>
  <si>
    <t>Badbel</t>
  </si>
  <si>
    <t>VLSC Leaders name</t>
  </si>
  <si>
    <t>Village volunteer's name</t>
  </si>
  <si>
    <t>Chhonki Kirsani</t>
  </si>
  <si>
    <t>Sanji Badanayak</t>
  </si>
  <si>
    <t>Hadi Badanayak</t>
  </si>
  <si>
    <t>Sukra Badanayak</t>
  </si>
  <si>
    <t>Name of the PRI Member of VLSC</t>
  </si>
  <si>
    <t>No. of village within the MWS</t>
  </si>
  <si>
    <t>No. of VLSC within the MWS</t>
  </si>
  <si>
    <t>OTHERS</t>
  </si>
  <si>
    <t>Vulnerable/ 
Destitute</t>
  </si>
  <si>
    <t>ST famale</t>
  </si>
  <si>
    <t>SC famale</t>
  </si>
  <si>
    <t>Others famale</t>
  </si>
  <si>
    <t>Total famale</t>
  </si>
  <si>
    <t>Financial year wise expenditure</t>
  </si>
  <si>
    <t>Land and Water Management</t>
  </si>
  <si>
    <t>Agriculture and Horticulture Production</t>
  </si>
  <si>
    <t>Livestock and Aquaculture Development</t>
  </si>
  <si>
    <t>Community Infrastructure</t>
  </si>
  <si>
    <t>Monthly</t>
  </si>
  <si>
    <t>Lumpsome</t>
  </si>
  <si>
    <t>445hect.</t>
  </si>
  <si>
    <t>Samandh Pujari</t>
  </si>
  <si>
    <t>Laikhan Machha</t>
  </si>
  <si>
    <t>Gobarkund, Podghata</t>
  </si>
  <si>
    <t>Gobarkund</t>
  </si>
  <si>
    <t>Tanginiguda</t>
  </si>
  <si>
    <t>Ramchandra Mathilia</t>
  </si>
  <si>
    <t>Lachhim Majhi</t>
  </si>
  <si>
    <t>Narasingh Pujari</t>
  </si>
  <si>
    <t>Sonu Mundagudia</t>
  </si>
  <si>
    <t>Komlu Pujari</t>
  </si>
  <si>
    <t>Subarna Mathilia</t>
  </si>
  <si>
    <t>372hect.</t>
  </si>
  <si>
    <t>Buda Kirsani</t>
  </si>
  <si>
    <t>Hari Challan</t>
  </si>
  <si>
    <t>Jamuna Badanayak</t>
  </si>
  <si>
    <t>At-Chalanguda, Rasbeda</t>
  </si>
  <si>
    <t>Semiliguda</t>
  </si>
  <si>
    <t>Chalanguda</t>
  </si>
  <si>
    <t>Dasenguda</t>
  </si>
  <si>
    <t>Budaguda</t>
  </si>
  <si>
    <t>Jamuguda</t>
  </si>
  <si>
    <t>Madan Muduli</t>
  </si>
  <si>
    <t>Ghena Badanayak</t>
  </si>
  <si>
    <t>Parbati Kirsani</t>
  </si>
  <si>
    <t>Ram Kirsani</t>
  </si>
  <si>
    <t>Bhagbati Sarangia</t>
  </si>
  <si>
    <t>Vulnerable/ Destitute</t>
  </si>
  <si>
    <t>720hect.</t>
  </si>
  <si>
    <t>Sukra Kirsani</t>
  </si>
  <si>
    <t>Sunita Kirsani</t>
  </si>
  <si>
    <t>Baunsapada</t>
  </si>
  <si>
    <t>Jhodiaguda</t>
  </si>
  <si>
    <t>Sonia Kirsani</t>
  </si>
  <si>
    <t>Bhanu Golori</t>
  </si>
  <si>
    <t>Lachhma Kirsani</t>
  </si>
  <si>
    <t>Lachhim Kirsani</t>
  </si>
  <si>
    <t>Vulnerable/
 Destitute</t>
  </si>
  <si>
    <t>620hect.</t>
  </si>
  <si>
    <t>Basu Khora</t>
  </si>
  <si>
    <t>Sona Golori</t>
  </si>
  <si>
    <t>Chaitan Pangi</t>
  </si>
  <si>
    <t>Kandhaguda</t>
  </si>
  <si>
    <t>Kadaguda</t>
  </si>
  <si>
    <t>Karadabadi</t>
  </si>
  <si>
    <t>Badapa</t>
  </si>
  <si>
    <t>Johan Golori</t>
  </si>
  <si>
    <t>Ashu Golori</t>
  </si>
  <si>
    <t>Jayaram Pangi</t>
  </si>
  <si>
    <t>Subash Golori</t>
  </si>
  <si>
    <t>Silomoni Golori</t>
  </si>
  <si>
    <t>Somnath Khilo</t>
  </si>
  <si>
    <t>Hatiram Godongi</t>
  </si>
  <si>
    <t>Balaram Godongi</t>
  </si>
  <si>
    <t>392hect.</t>
  </si>
  <si>
    <t>Tili Khora</t>
  </si>
  <si>
    <t>Chandrasekhar Golori</t>
  </si>
  <si>
    <t>Sitru Pangi</t>
  </si>
  <si>
    <t>Amlabhatta, Podaghata</t>
  </si>
  <si>
    <t>Amlabhatta</t>
  </si>
  <si>
    <t>Lachhim Khora</t>
  </si>
  <si>
    <t>Daso Khilo</t>
  </si>
  <si>
    <t>Dinabandhu Golori</t>
  </si>
  <si>
    <t>Chandrama Tukumia</t>
  </si>
  <si>
    <t>Jhadu Golori</t>
  </si>
  <si>
    <t>Lumsome</t>
  </si>
  <si>
    <t>565hect.</t>
  </si>
  <si>
    <t>Gupteswar Nayak</t>
  </si>
  <si>
    <t>Somanath Kirsani</t>
  </si>
  <si>
    <t>Jhimiri Kirsani</t>
  </si>
  <si>
    <t>Khuriguda</t>
  </si>
  <si>
    <t>Pandraguda</t>
  </si>
  <si>
    <t>Kokabahal</t>
  </si>
  <si>
    <t>Ram Chandra Khora</t>
  </si>
  <si>
    <t>Padman Gouda</t>
  </si>
  <si>
    <t>Mukund Majhi</t>
  </si>
  <si>
    <t>Dolli Majhi</t>
  </si>
  <si>
    <t>Hadi Kirsani</t>
  </si>
  <si>
    <t>Ram Bogdayat</t>
  </si>
  <si>
    <t>Gouri Nayak</t>
  </si>
  <si>
    <t>637hect.</t>
  </si>
  <si>
    <t>Soma Kirsani</t>
  </si>
  <si>
    <t>Badapada</t>
  </si>
  <si>
    <t>Manguli Kirsani</t>
  </si>
  <si>
    <t>Manguli Sisa</t>
  </si>
  <si>
    <t>Sukra Muduli</t>
  </si>
  <si>
    <t>Manguli Muduli</t>
  </si>
  <si>
    <t>Sukri Batri</t>
  </si>
  <si>
    <t>Dumuripada</t>
  </si>
  <si>
    <t>Buda Muduli</t>
  </si>
  <si>
    <t>Gurubari Muduli</t>
  </si>
  <si>
    <t>648hect.</t>
  </si>
  <si>
    <t>Tulaguram</t>
  </si>
  <si>
    <t>Gram Vikas, Lanjigarh,Ph-II</t>
  </si>
  <si>
    <t>Bandha Raja GUS, Talabara</t>
  </si>
  <si>
    <t>Maa Niyam Raja GUS, Patangpadar</t>
  </si>
  <si>
    <t>Maa Kanaka Durga GUS, Sindhibhata</t>
  </si>
  <si>
    <t>Budharaja GUS, Ghatikundru</t>
  </si>
  <si>
    <t>Jagat Jananee GUS, Pradhanipada</t>
  </si>
  <si>
    <t>Maa Kada Raja GUS, Talkalima</t>
  </si>
  <si>
    <t>Maa Dakribudhi GUS, Khakasi</t>
  </si>
  <si>
    <t>Maa Thkurarani GUS, Jabagaon</t>
  </si>
  <si>
    <t>Maa Bharabi GUS, Jamchuan</t>
  </si>
  <si>
    <t>Maa Bhagabati GUS, Dahanipadar</t>
  </si>
  <si>
    <t>Musaghati Budha Raja GUS, Lermuhin</t>
  </si>
  <si>
    <t>Maa Santosi GUS, Kamalei</t>
  </si>
  <si>
    <t>Th.Rampur</t>
  </si>
  <si>
    <t>Gram Vikas, Th.Rampur,Ph-II</t>
  </si>
  <si>
    <t>Danguri dei GUS, Udiguna</t>
  </si>
  <si>
    <t>Ma Indrabati GUS, Mardiguda</t>
  </si>
  <si>
    <t>Pragati GUS, Ghutimaska</t>
  </si>
  <si>
    <t>Maa Narayani GUS, Ghutiguda</t>
  </si>
  <si>
    <t>Kandual Budha GUS, Terengasil</t>
  </si>
  <si>
    <t>Maa Tarini GUS, Chachikana</t>
  </si>
  <si>
    <t>Budharaja GUS, Suksan</t>
  </si>
  <si>
    <t>Radhakrushna GUS, Melkundel</t>
  </si>
  <si>
    <t>Nabadurga GUS, Derguda</t>
  </si>
  <si>
    <t>Rajarani GUS, Kosabara</t>
  </si>
  <si>
    <t>Dasamantpur</t>
  </si>
  <si>
    <t>CYSD , Dasmantapur,Ph-II</t>
  </si>
  <si>
    <t>Jay Maa Nishani Munda</t>
  </si>
  <si>
    <t>Maa Nisani Munda</t>
  </si>
  <si>
    <t>Santi</t>
  </si>
  <si>
    <t>Maa Sata Bhauni</t>
  </si>
  <si>
    <t>Kaliamali Dadibudha</t>
  </si>
  <si>
    <t>Siba Sakti</t>
  </si>
  <si>
    <t>Maa Dadibudha</t>
  </si>
  <si>
    <t>Tengdasil</t>
  </si>
  <si>
    <t>Jay Maa Surjyagada</t>
  </si>
  <si>
    <t>Maa Gadri Mail</t>
  </si>
  <si>
    <t>Pottangi</t>
  </si>
  <si>
    <t>LAVS, Pottangi,Ph-II</t>
  </si>
  <si>
    <t>BAGJHOLA WS</t>
  </si>
  <si>
    <t>Kuremeta WS</t>
  </si>
  <si>
    <t>HATICHERU WS</t>
  </si>
  <si>
    <t>KAMALABANDHA WS</t>
  </si>
  <si>
    <t>SINDHERAMOTI WS</t>
  </si>
  <si>
    <t>Sualba MWS</t>
  </si>
  <si>
    <t>KARAMJHOLA WS</t>
  </si>
  <si>
    <t>BANA DURGA WS</t>
  </si>
  <si>
    <t>Chapanjhola WC</t>
  </si>
  <si>
    <t>ARJU MASKA WC</t>
  </si>
  <si>
    <t>TSRD, Semiliguda,Ph-II</t>
  </si>
  <si>
    <t>MAA TARINI WDA</t>
  </si>
  <si>
    <t>LINGA DEOMALI WDA</t>
  </si>
  <si>
    <t>BABA GUPTESWAR WDA</t>
  </si>
  <si>
    <t>MAA BHAIRAVI WDA</t>
  </si>
  <si>
    <t>JHANKAR DEVI WDA</t>
  </si>
  <si>
    <t>GANGAMA WDA</t>
  </si>
  <si>
    <t>PUJA DORA WDA</t>
  </si>
  <si>
    <t>SIDHA DAMAGARH WDA</t>
  </si>
  <si>
    <t>VEER KHAMBA WDA</t>
  </si>
  <si>
    <t>JAY HANUMAN WDA</t>
  </si>
  <si>
    <t>Nandapur</t>
  </si>
  <si>
    <t>TSRD, Nandapur,Ph-II</t>
  </si>
  <si>
    <t>Thakurani Nala WDS</t>
  </si>
  <si>
    <t>Balighata Nala</t>
  </si>
  <si>
    <t>Kandula Beda Nala WDS</t>
  </si>
  <si>
    <t>Paka Nala WDS</t>
  </si>
  <si>
    <t>Pani Nala WDS</t>
  </si>
  <si>
    <t>Bada Nala WDS</t>
  </si>
  <si>
    <t>Gangama Nala WDS</t>
  </si>
  <si>
    <t>Dudhari Nala WDS</t>
  </si>
  <si>
    <t>Bhairabi Gudi Nala WDS</t>
  </si>
  <si>
    <t>Nageswari Nala WDS</t>
  </si>
  <si>
    <t>Mohana</t>
  </si>
  <si>
    <t>Gram Vikash,Mohana,Ph-II</t>
  </si>
  <si>
    <t>Bankinadi Gramyaunayana Sangha</t>
  </si>
  <si>
    <t>Gandhiji GUS, Juba</t>
  </si>
  <si>
    <t>Kantanala GUS,Gummiguda</t>
  </si>
  <si>
    <t>Ramanala GUS, Chudangapur</t>
  </si>
  <si>
    <t>Dengama Gramya Unayana Sangha, Bhaliasahi</t>
  </si>
  <si>
    <t>Susuralding Gramya Unayana Sangha, Kurukima</t>
  </si>
  <si>
    <t>Jihobajir Gramya Unayana Sangha, Dengili</t>
  </si>
  <si>
    <t>Janapeja Gramya Unayana Sangha, Purunasahi</t>
  </si>
  <si>
    <t>Badamera Gramyaunayana Sangha</t>
  </si>
  <si>
    <t>Jamanala Gramya Unayana Sangha,Bariabandha</t>
  </si>
  <si>
    <t>R.Udayagiri</t>
  </si>
  <si>
    <t>SWWS, R. Udayagiri,Ph-II</t>
  </si>
  <si>
    <t>Ratnagiri Nalla</t>
  </si>
  <si>
    <t>Bangdol Nalla</t>
  </si>
  <si>
    <t>Burjuli Nalla</t>
  </si>
  <si>
    <t>Sangsang Nalla</t>
  </si>
  <si>
    <t>Nakiamba Nalla</t>
  </si>
  <si>
    <t>Kamalalinga Nalla</t>
  </si>
  <si>
    <t>Lubudi Nalla</t>
  </si>
  <si>
    <t>Hatibandha Nalla</t>
  </si>
  <si>
    <t>Narangi Nalla</t>
  </si>
  <si>
    <t>Belachanchada Nalla</t>
  </si>
  <si>
    <t>2 (2010-2011)</t>
  </si>
  <si>
    <t>1(2009-2010)</t>
  </si>
  <si>
    <t>Vulnerable/ Destitute:</t>
  </si>
  <si>
    <t>Mani Warlika</t>
  </si>
  <si>
    <t>Balabhadra Kanika</t>
  </si>
  <si>
    <t>Muguri wadaka</t>
  </si>
  <si>
    <t>Budu Miniaka</t>
  </si>
  <si>
    <t>Sadana Hikaka</t>
  </si>
  <si>
    <t>Narayan Wadaka</t>
  </si>
  <si>
    <t>Biswanath Warlika</t>
  </si>
  <si>
    <t>Lachaman Hikaka</t>
  </si>
  <si>
    <t>Painde Wadaka</t>
  </si>
  <si>
    <t>Mani Warlika, Biswanatha Warlika</t>
  </si>
  <si>
    <t>Arjuna Wadaka &amp; Balabhadra Kanika</t>
  </si>
  <si>
    <t>Chaitanya Hikaka &amp; Basu Minika</t>
  </si>
  <si>
    <t>Hirsamoti, Majhialma</t>
  </si>
  <si>
    <t>Karnikupa</t>
  </si>
  <si>
    <t>Goudaguda</t>
  </si>
  <si>
    <t>Putruguda</t>
  </si>
  <si>
    <t xml:space="preserve">At:- Putruguda , Po:- Bhatpur,  Via:- Bissam Cuttack, Dist:- Rayagada, </t>
  </si>
  <si>
    <t>Contact Address: (including telephone number if any)</t>
  </si>
  <si>
    <t>Chaitanya Hikaka</t>
  </si>
  <si>
    <t>Uttara kadraka</t>
  </si>
  <si>
    <t xml:space="preserve">Name of the VDC Secretary: </t>
  </si>
  <si>
    <t>Ramarao Hiakaka</t>
  </si>
  <si>
    <t>100 Hect</t>
  </si>
  <si>
    <t>499.6 Hect</t>
  </si>
  <si>
    <t>04060-104-08080-101</t>
  </si>
  <si>
    <t>Putruguda MWS, Bansadhara VDC</t>
  </si>
  <si>
    <t>Name of the MWS/ VDC:</t>
  </si>
  <si>
    <t>Kamana Miniaka</t>
  </si>
  <si>
    <t>Rabi Saraka</t>
  </si>
  <si>
    <t>Subarao Himirika</t>
  </si>
  <si>
    <t>Barika Hikaka</t>
  </si>
  <si>
    <t>Rabati Himirika</t>
  </si>
  <si>
    <t>Aina Hikaka &amp; Dudhesti Hikaka</t>
  </si>
  <si>
    <t>Belgaon</t>
  </si>
  <si>
    <t>Sana Brundabadi</t>
  </si>
  <si>
    <t>Bada Brundabadi</t>
  </si>
  <si>
    <t xml:space="preserve">At:- Brundabadi , Po:- Bhatpur,  Via:- Bissam Cuttack, Dist:- Rayagada, </t>
  </si>
  <si>
    <t>223.2 Hect</t>
  </si>
  <si>
    <t>569 Hect</t>
  </si>
  <si>
    <t>04060-104-08080-102</t>
  </si>
  <si>
    <t>Brundabadi MWS, Patiagada VDC</t>
  </si>
  <si>
    <t>Suna Majhi Urlaka</t>
  </si>
  <si>
    <t>Surendra Urlaka</t>
  </si>
  <si>
    <t>Srinalu Urlaka</t>
  </si>
  <si>
    <t>Lachman Huika</t>
  </si>
  <si>
    <t>Purandara Urlaka</t>
  </si>
  <si>
    <t>Ramabati Urlaka</t>
  </si>
  <si>
    <t>Konedi</t>
  </si>
  <si>
    <t xml:space="preserve">At:- Konedi , Po:- Bhatpur,  Via:- Bissam Cuttack, Dist:- Rayagada, </t>
  </si>
  <si>
    <t>Laxmi Urlaka</t>
  </si>
  <si>
    <t>Papana Miniaka</t>
  </si>
  <si>
    <t>Bala Urlaka</t>
  </si>
  <si>
    <t>14 Hect</t>
  </si>
  <si>
    <t>468.8 Hect</t>
  </si>
  <si>
    <t>04060-104-08080-103</t>
  </si>
  <si>
    <t>Konedi MWS, Himalaya VDC</t>
  </si>
  <si>
    <t>Jagannath Hikaka</t>
  </si>
  <si>
    <t>Kumutadi Hikaka</t>
  </si>
  <si>
    <t>Sadana Huika</t>
  </si>
  <si>
    <t>Ramachandra Himirika</t>
  </si>
  <si>
    <t>Mani Piribaka</t>
  </si>
  <si>
    <t>Parakash Himirika</t>
  </si>
  <si>
    <t>Panapatri Majhi</t>
  </si>
  <si>
    <t>Jagatram Majhi , Kumari Majhi</t>
  </si>
  <si>
    <t>Sabana Himirika, Ramanath Hikaka</t>
  </si>
  <si>
    <t>Putupadar</t>
  </si>
  <si>
    <t>Bhatpur</t>
  </si>
  <si>
    <t>At/Po:- Bhatpur, Via:- Bissam Cuttack, Dist:- Rayagada, Ph. No:- 9658989024</t>
  </si>
  <si>
    <t>Gangaraju Huika</t>
  </si>
  <si>
    <t>Surendra Pribaka</t>
  </si>
  <si>
    <t>Nira Bhoi</t>
  </si>
  <si>
    <t>74 Hect</t>
  </si>
  <si>
    <t>476.4 Hect</t>
  </si>
  <si>
    <t>04060-104-08100-203</t>
  </si>
  <si>
    <t>Bhatpur MWS, Kaladipa VDC</t>
  </si>
  <si>
    <t>Santosh Ku. Rugada</t>
  </si>
  <si>
    <t>Nayak Pidikaka</t>
  </si>
  <si>
    <t>Gopinath Nanaka</t>
  </si>
  <si>
    <t>Sitina Kumburuka</t>
  </si>
  <si>
    <t>Sahadev Chichuan</t>
  </si>
  <si>
    <t>Dasu Hikaka &amp; Dama Hikaka</t>
  </si>
  <si>
    <t>Sana Matakbadi , Bada Matakbadi, Lataguda, Pedipadar, Telenga Sartali</t>
  </si>
  <si>
    <t>Dhepaguda</t>
  </si>
  <si>
    <t>Karnaguda</t>
  </si>
  <si>
    <t>Marthaguda</t>
  </si>
  <si>
    <t xml:space="preserve">At:- Marthaguda , Po:- Chatikona,  Via:- Bissam Cuttack, Dist:- Rayagada, </t>
  </si>
  <si>
    <t>Basana Nanaka</t>
  </si>
  <si>
    <t xml:space="preserve">Sangana Nisika </t>
  </si>
  <si>
    <t>5.2 Hect</t>
  </si>
  <si>
    <t>503.4 Hect</t>
  </si>
  <si>
    <t>04060-201-09100-101</t>
  </si>
  <si>
    <t>Marthaguda MWS, Niyamgiri VDC</t>
  </si>
  <si>
    <t>Kanchana Krushika</t>
  </si>
  <si>
    <t>Dandasi Mandangi</t>
  </si>
  <si>
    <t>Jagannath Kanjaka</t>
  </si>
  <si>
    <t>Papana Nayak</t>
  </si>
  <si>
    <t>Lachika Jakasika</t>
  </si>
  <si>
    <t>Rabi Hikaka</t>
  </si>
  <si>
    <t>Purna Chandra Ratnalu</t>
  </si>
  <si>
    <t>Padmana Praska &amp; Praska Bhikari Nayak . Jagannath Kanjaka &amp; Dambaru Kanjaka</t>
  </si>
  <si>
    <t>Sangana Kulsika &amp; Routa Sangraka</t>
  </si>
  <si>
    <t>Madan Kanjaka &amp; Tina Wadaka</t>
  </si>
  <si>
    <t>D. Kumarbadi &amp; Chatikona</t>
  </si>
  <si>
    <t>Hadsinkhula</t>
  </si>
  <si>
    <t>Ranibandha, Parajakupuli</t>
  </si>
  <si>
    <t xml:space="preserve">At:- Bariguda , Po:- Chatikona,  Via:- Bissam Cuttack, Dist:- Rayagada, </t>
  </si>
  <si>
    <t>Ragunnath Chodhury</t>
  </si>
  <si>
    <t>Jagili Hikaka</t>
  </si>
  <si>
    <t>Goti Parbati</t>
  </si>
  <si>
    <t>21.2 Hect</t>
  </si>
  <si>
    <t>497.6 Hect</t>
  </si>
  <si>
    <t>04060-201-09100-202</t>
  </si>
  <si>
    <t>Bariguda MWS, Gadagada VDC</t>
  </si>
  <si>
    <t>Raimajhi Kutruka</t>
  </si>
  <si>
    <t>Ravindra Bidika</t>
  </si>
  <si>
    <t>Gopinath Kutruka</t>
  </si>
  <si>
    <t>Sitaram Kutruka</t>
  </si>
  <si>
    <t>Ghasiram Kutruka</t>
  </si>
  <si>
    <t>Rajarao Kutruka</t>
  </si>
  <si>
    <t>Gobardhan Kutruka &amp; Raimajhi Kutruka</t>
  </si>
  <si>
    <t>Borikhal</t>
  </si>
  <si>
    <t>Mondapai</t>
  </si>
  <si>
    <t xml:space="preserve">At:- Mondapai , Po:- Chatikona,  Via:- Bissam Cuttack, Dist:- Rayagada, </t>
  </si>
  <si>
    <t>Rohidas Kutruka</t>
  </si>
  <si>
    <t>Paika Hikaka</t>
  </si>
  <si>
    <t>86.8 Hect</t>
  </si>
  <si>
    <t>500.8 Hect</t>
  </si>
  <si>
    <t>04060-201-09110-101</t>
  </si>
  <si>
    <t>Mondapai MWS, Debagiri VDC</t>
  </si>
  <si>
    <t>Banamali Hikaka</t>
  </si>
  <si>
    <t>Keshav Hikaka</t>
  </si>
  <si>
    <t>Sanyasi Pidikaka</t>
  </si>
  <si>
    <t>Haladhar Hikaka</t>
  </si>
  <si>
    <t>Sadaram Hikaka</t>
  </si>
  <si>
    <t>Samunath Hikaka</t>
  </si>
  <si>
    <t>Ghasa Hikaka &amp; Ghasiram Tuika</t>
  </si>
  <si>
    <t>Bandeiguda</t>
  </si>
  <si>
    <t>Kankubadi</t>
  </si>
  <si>
    <t xml:space="preserve">At:- Kankubadi , Po:- Kankubadi,  Via:- Bissam Cuttack, Dist:- Rayagada, </t>
  </si>
  <si>
    <t>Surendra Hikaka</t>
  </si>
  <si>
    <t>Sarathi Hikaka</t>
  </si>
  <si>
    <t>108.8 Hect</t>
  </si>
  <si>
    <t>503.6 Hect</t>
  </si>
  <si>
    <t>04060-201-09110-102</t>
  </si>
  <si>
    <t>Kankubadi MWS, Mahendragiri VDC</t>
  </si>
  <si>
    <t>Budu Hikaka</t>
  </si>
  <si>
    <t>Bhima Hikaka</t>
  </si>
  <si>
    <t>Laba Hikaka</t>
  </si>
  <si>
    <t>Daya Hikaka</t>
  </si>
  <si>
    <t>Senapati Kandhapani</t>
  </si>
  <si>
    <t>Sabita Kandhapani</t>
  </si>
  <si>
    <t>Gudu Hikaka &amp; Iswar Hikaka</t>
  </si>
  <si>
    <t>Damodar Hikaka &amp; Kumuti Hikaka</t>
  </si>
  <si>
    <t>Ghospadi</t>
  </si>
  <si>
    <t>D. Buduni</t>
  </si>
  <si>
    <t xml:space="preserve">At:- Digal Buduni , Po:- Kankubadi,  Via:- Bissam Cuttack, Dist:- Rayagada, </t>
  </si>
  <si>
    <t>Dama Hikaka</t>
  </si>
  <si>
    <t>Fakir Mohan Hikaka</t>
  </si>
  <si>
    <t>133.2 Hect</t>
  </si>
  <si>
    <t>496.8 Hect</t>
  </si>
  <si>
    <t>04060-201-09110-103</t>
  </si>
  <si>
    <t>Degal Buduni MWS, Jhanjabati VDC</t>
  </si>
  <si>
    <t>Sina Miniaka</t>
  </si>
  <si>
    <t>Ram Hikaka</t>
  </si>
  <si>
    <t>Bharat Hikaka</t>
  </si>
  <si>
    <t>Samonath Miniaka</t>
  </si>
  <si>
    <t>Dananath Miniaka</t>
  </si>
  <si>
    <t>Gouri Prasad Meleka</t>
  </si>
  <si>
    <t>Sasmita Meleka</t>
  </si>
  <si>
    <t>Murti Miniaka, Mohan Miniaka</t>
  </si>
  <si>
    <t>Ram Hikaka, Debraj Melka</t>
  </si>
  <si>
    <t>Ghadeiguda</t>
  </si>
  <si>
    <t>Sana Gotiguda</t>
  </si>
  <si>
    <t>Bada Gotiguda</t>
  </si>
  <si>
    <t xml:space="preserve">At:- Gotiguda , Po:- Chatikona,  Via:- Bissam Cuttack, Dist:- Rayagada, </t>
  </si>
  <si>
    <t>Rama Hikaka</t>
  </si>
  <si>
    <t>Daya Kulesika</t>
  </si>
  <si>
    <t>Makhaliya .P</t>
  </si>
  <si>
    <t>19.6 Hect</t>
  </si>
  <si>
    <t>04060-201-09120-101</t>
  </si>
  <si>
    <t>Gotiguda MWS, Nagabali VDC</t>
  </si>
  <si>
    <t>BANSADHARA</t>
  </si>
  <si>
    <t>Mr. Rama Chandra Kadraka</t>
  </si>
  <si>
    <t>Ms. Sunamani Ghadei</t>
  </si>
  <si>
    <t>Mr. Kailash Nimal, Mr, Saila Sabar</t>
  </si>
  <si>
    <t>Mr. Kailash Nimal, AT: Kareiguda, PO: Sana Huma, Via: Gudari, Rayagada, Mr. Saila Sabar, At: Barjuguda, PO: Sana Huma, Gudari</t>
  </si>
  <si>
    <t>Nehurupada</t>
  </si>
  <si>
    <t>Kareiguda</t>
  </si>
  <si>
    <t>Sapuabila</t>
  </si>
  <si>
    <t>Harishchandraguda</t>
  </si>
  <si>
    <t>Ms Golapi Kadraka</t>
  </si>
  <si>
    <t>Ms. Laxmi nayak</t>
  </si>
  <si>
    <t>Ms. Sobhabati Sabar</t>
  </si>
  <si>
    <t>Ms. Pramila Sabar</t>
  </si>
  <si>
    <t>Mr. Magata Sabar</t>
  </si>
  <si>
    <t>Mr. Damodar Pradhan, Ms. Draupadi manding</t>
  </si>
  <si>
    <t>Mr. Arakhita Palaka</t>
  </si>
  <si>
    <t>Mr. Khanja Sabar</t>
  </si>
  <si>
    <t>Mr. Kailash Nimal, Ward Member</t>
  </si>
  <si>
    <t>Kailash Nimal</t>
  </si>
  <si>
    <t>Saila Sabar</t>
  </si>
  <si>
    <t>Mr. Saila Sabar, Ward Member</t>
  </si>
  <si>
    <t>Jeevan Jyoti</t>
  </si>
  <si>
    <t>Mr. Budu Gandalaka</t>
  </si>
  <si>
    <t>Mr. Naresh Kimbaka</t>
  </si>
  <si>
    <t>Mr. Grenga Majhi, Mr. Biswanath Sabar,</t>
  </si>
  <si>
    <t>Mr. Grenga Majhi, Nilaguda, PO: Kodama, Gudari, Rayagada, Mr, Biswanath Sabar, Samiti Member,Anugurti, PO: Kodama. Mr. Kundri Sabar, Ward Member, Anugurti, Kodama</t>
  </si>
  <si>
    <t>Nilaguda</t>
  </si>
  <si>
    <t>Parikupuda</t>
  </si>
  <si>
    <t>Bhitarpur</t>
  </si>
  <si>
    <t>Barma Kimbaka</t>
  </si>
  <si>
    <t>Kritangi Gandalaka</t>
  </si>
  <si>
    <t>Subhadra Jagaranga</t>
  </si>
  <si>
    <t>Bali Majhi, Radha Kimbaka</t>
  </si>
  <si>
    <t>Damburu Gandalaka, Bhima Gandalaka</t>
  </si>
  <si>
    <t>Nitya Dimbutika</t>
  </si>
  <si>
    <t>Grenga Majhi</t>
  </si>
  <si>
    <t>Biswanath Sabar, Samiti Member. Mr. Kundri Sabar, Ward Member</t>
  </si>
  <si>
    <t>Mr. Biswanath Sabar, Samiti Member, Mr. Kundri Sabar, Ward Member.</t>
  </si>
  <si>
    <t>REWA</t>
  </si>
  <si>
    <t>520.009 hac.</t>
  </si>
  <si>
    <t>Smt. Madimtai Kimbaka</t>
  </si>
  <si>
    <t>Mr. Narendra Majhi</t>
  </si>
  <si>
    <t>Mr. Damadar Majhi(Merenda), Mr. Pratapa Jagaranga(Chakunda)</t>
  </si>
  <si>
    <t>Mr. Damador Majhi, AT: Merenda, PO: Kadama, Via: Gudari, Rayagada, Mr. Pratapa Jagaranga, AT: Chakunda, PO: Kadama, Gudari.</t>
  </si>
  <si>
    <t>Merenda</t>
  </si>
  <si>
    <t>Khairaguda</t>
  </si>
  <si>
    <t>Burudi</t>
  </si>
  <si>
    <t>Smt. Sambari Majhi</t>
  </si>
  <si>
    <t>Smt. Saya Kimbaka</t>
  </si>
  <si>
    <t>Smt. Wala Majhi</t>
  </si>
  <si>
    <t>Ms. Chandrama Odia, Smt. Damayanti Majhi</t>
  </si>
  <si>
    <t>Smt. Naringtai Kimbaka, Mr. Pratapa Kimbaka</t>
  </si>
  <si>
    <t>Mr. Gochana Majhi</t>
  </si>
  <si>
    <t>Mr. Damodar majhi(Ward Member)</t>
  </si>
  <si>
    <t>Mr. Pratapa Jagaranga(Ward Member)</t>
  </si>
  <si>
    <t>LEHURILIMA</t>
  </si>
  <si>
    <t>Mr. Sukadev Sabar</t>
  </si>
  <si>
    <t>Mr. Giridhari Sabar</t>
  </si>
  <si>
    <t>Ms. Ghasiani Sabar, Ward Member</t>
  </si>
  <si>
    <t>Ms. Ghasiani Sabar, AT: Tala Tampara, PO: Madhuban, Via: Gudari, Rayagada.</t>
  </si>
  <si>
    <t>Tala Tampara</t>
  </si>
  <si>
    <t>Kandraguda</t>
  </si>
  <si>
    <t>Ms. Sambari Sabar</t>
  </si>
  <si>
    <t>Ms. Saintali Sabar</t>
  </si>
  <si>
    <t>Ms. Geli Sabar</t>
  </si>
  <si>
    <t>Ms. Bhanu Sabar, Ms. Kundana Sabar</t>
  </si>
  <si>
    <t>Ms. Geli Sabar, Ms. Sujata Sabar</t>
  </si>
  <si>
    <t>Ms. Ghasiani Sabar</t>
  </si>
  <si>
    <t>Mr. Somnath Sabar</t>
  </si>
  <si>
    <t>Mr. Rabindra Sabar</t>
  </si>
  <si>
    <t>Mr. Simanchal Behera, Mr. Santosh Sabar</t>
  </si>
  <si>
    <t>Mr. Sianchal Behera, Mr. Santosh Sabar, At: Bainaguda, PO: Madhuban, Gudari, Rayagada.</t>
  </si>
  <si>
    <t>Bainaguda</t>
  </si>
  <si>
    <t>Andharlima</t>
  </si>
  <si>
    <t>Madhuban</t>
  </si>
  <si>
    <t>Routguda</t>
  </si>
  <si>
    <t>Ms. Urmila Jagamunda</t>
  </si>
  <si>
    <t>Ms. Jageri Paleka</t>
  </si>
  <si>
    <t>Mr. Sahadev Sabar</t>
  </si>
  <si>
    <t>Ms. Srimati Sabar</t>
  </si>
  <si>
    <t>Mr. Ghasi Palaka</t>
  </si>
  <si>
    <t>Ms. Sanju Sabar</t>
  </si>
  <si>
    <t>Ms. Ratana Sabar</t>
  </si>
  <si>
    <t>CHATURVEDA</t>
  </si>
  <si>
    <t>Mr. Umakanta Sabar</t>
  </si>
  <si>
    <t>Ms. Sabita Sabar</t>
  </si>
  <si>
    <t xml:space="preserve">Ms. Mithalia baliarsingh, </t>
  </si>
  <si>
    <t>Ms. Mithala Baliarsingh, Ward Member, At: Kenduguda, PO: Ashada, Gudari, Rayagada. Ms. Malati Badapandara(Ward Member)At/PO: Ashada, Gudari, Ms. Nandini Jena(Samiti Member)At/PO: Ashada, Gudari.  Ms. Urmila Sabar, Ward Member, AT: Ramuluguda, PO: Ashada, Gudari.</t>
  </si>
  <si>
    <t>Kenduguda</t>
  </si>
  <si>
    <t>Muliput</t>
  </si>
  <si>
    <t>Ashada(Ramuluguda)</t>
  </si>
  <si>
    <t>Kujarigaon</t>
  </si>
  <si>
    <t>Ms. Basanti Sabar</t>
  </si>
  <si>
    <t>Ms. Parbati Sabar</t>
  </si>
  <si>
    <t>Ms. Tripura Garadia</t>
  </si>
  <si>
    <t>Ms. Josada Sabar</t>
  </si>
  <si>
    <t>Mr. Sahadev Sabar(Li. Stock)</t>
  </si>
  <si>
    <t>Mr. Amina Sabar(Engineer)</t>
  </si>
  <si>
    <t>Ms. Gouri Patra(SHG), Mr. Biswanath Bhadrika(Social)</t>
  </si>
  <si>
    <t>Mr. Madhaba Sabar(Agrl.)</t>
  </si>
  <si>
    <t>Ms. Mithila Baliarsingh</t>
  </si>
  <si>
    <t>Ms. Malati Badapandara, Ms. Nandini Jena</t>
  </si>
  <si>
    <t>Ms. Urmila Sabar</t>
  </si>
  <si>
    <t>Jeobajiri</t>
  </si>
  <si>
    <t>Mr. Joseph Jagaranga</t>
  </si>
  <si>
    <t>Mr. Bhima Jagaranga</t>
  </si>
  <si>
    <t>Mr. Joseph Jagaranga, Ward Member</t>
  </si>
  <si>
    <t>Mr. Joseph Jagaranga, AT/Po: Bada Pakhal, Via: Gudari, Rayagada.</t>
  </si>
  <si>
    <t>Bada Pankhal</t>
  </si>
  <si>
    <t>Sriramraju</t>
  </si>
  <si>
    <t>Sadakana</t>
  </si>
  <si>
    <t>Dekha Jagaranga</t>
  </si>
  <si>
    <t>Mr. Kandra Handaka</t>
  </si>
  <si>
    <t>Mr. Prasanta Kadraka</t>
  </si>
  <si>
    <t>Ms. Sami Jagaranga, Mr. Luka Jagaranga, Mr. Hemanta Jagaranga</t>
  </si>
  <si>
    <t>Jacob Jagaranga</t>
  </si>
  <si>
    <t>Mr. Daniel Kimbaka</t>
  </si>
  <si>
    <t>DHANPATI</t>
  </si>
  <si>
    <t>Mr. Mina Sabar</t>
  </si>
  <si>
    <t>Mr. Jagarnath Sabar</t>
  </si>
  <si>
    <t>Ms. Rambha Sabar</t>
  </si>
  <si>
    <t>Ms. Rambha Sabar, AT: Balipanga, PO: Siriguda, Via: Gudari, Rayagada.</t>
  </si>
  <si>
    <t>Palumera</t>
  </si>
  <si>
    <t>Balipanga</t>
  </si>
  <si>
    <t>Adda</t>
  </si>
  <si>
    <t>Mr. Sridhar Sabar</t>
  </si>
  <si>
    <t>Ms. Harabati Sabar</t>
  </si>
  <si>
    <t>Ms. Likuri Jagaranga</t>
  </si>
  <si>
    <t>Mr. Sridhar Sabar, Ms. Apsara Sabar</t>
  </si>
  <si>
    <t>Mr. Bhaskar Sabar, Ms. Jayanti Majhi</t>
  </si>
  <si>
    <t>Mr. Laxman Jagaranga</t>
  </si>
  <si>
    <t>Brahmanidei</t>
  </si>
  <si>
    <t>500.143hac.</t>
  </si>
  <si>
    <t>Mr. Mangala Sabar</t>
  </si>
  <si>
    <t>Mr. Minaketan Sabar</t>
  </si>
  <si>
    <t>Sudam Sabar, Nilamani Sabar, Mangala Sabar, Madi Sabar</t>
  </si>
  <si>
    <t>Sudam Sabar, Sarpanch, Brahminidangar, Ashada, Mob: 9438206881, Mangala Sabar-Brahmanidangar, Nilamani Sabar-Brahmanidangar, Madi Sabar-Dumbaguda.</t>
  </si>
  <si>
    <t>Brahamanidangar</t>
  </si>
  <si>
    <t>Dharmagada</t>
  </si>
  <si>
    <t>Dumbaguda</t>
  </si>
  <si>
    <t>Smt. Mangidi Sabar</t>
  </si>
  <si>
    <t>Smt. Hema Sabar</t>
  </si>
  <si>
    <t>Mr. Limei Sabar</t>
  </si>
  <si>
    <t>Satrughana Sabar, Nilamani Sabar</t>
  </si>
  <si>
    <t>Ms. Malati Sabar</t>
  </si>
  <si>
    <t>Mr. Rushi Sabar, Ms. Sukumari Garadia</t>
  </si>
  <si>
    <t>Mr. Nilamani Sabar(Ward Member), Sudam Sabar(Sarpanch), Mangala Sabar(Samiti Member)</t>
  </si>
  <si>
    <t>Mr. Madi Sabar(Ward Member)</t>
  </si>
  <si>
    <t>MAHENDRATANAYA</t>
  </si>
  <si>
    <t>Ms. Tarangi Baina</t>
  </si>
  <si>
    <t>Mr. Sambara Sabar, Sarpanch, Mr. Kshetra Behera, Ward Member, Mr. Kesaba Sabar, Ward Member,</t>
  </si>
  <si>
    <t>Mr. Sambara Sabar(Sarpanch), Chitiserma, PO: Naira, Via: Gudari, Mr. Kshetra Behera, Ward Member, Bada Huma, PO: Sana Huma, Gudari. Mr. Kesaba Sabar(Ward Member)AT: Bentiguda, PO: Sana Huma, Gudari.</t>
  </si>
  <si>
    <t>Chitiserma</t>
  </si>
  <si>
    <t>Bada Huma</t>
  </si>
  <si>
    <t>Panganapadar</t>
  </si>
  <si>
    <t>Mr. Giju Sabar</t>
  </si>
  <si>
    <t>Ms. Brundabati Kumburika</t>
  </si>
  <si>
    <t>Ms. Sukuntala Mohanty</t>
  </si>
  <si>
    <t>Ms. Rambha Sabar, Ms. Bimala Sabar</t>
  </si>
  <si>
    <t>Mr. Pratapa Ch. Ganta</t>
  </si>
  <si>
    <t>Ms. Monorama Padhi</t>
  </si>
  <si>
    <t>Mr. Makara Patra</t>
  </si>
  <si>
    <t>Bhahmanimunda</t>
  </si>
  <si>
    <t>Mr. Malati Sikaka</t>
  </si>
  <si>
    <t>Mrs Dandu Sikaka</t>
  </si>
  <si>
    <t>At-Sakata,Po-Muniguda,Dist-Rayagada</t>
  </si>
  <si>
    <t>Sakata</t>
  </si>
  <si>
    <t>Gulugula</t>
  </si>
  <si>
    <t xml:space="preserve"> Mrs. Barbali Sikaka</t>
  </si>
  <si>
    <t>Mrs Srabu Sikaka</t>
  </si>
  <si>
    <t>Sri Shyama Sikaka(Forestry)</t>
  </si>
  <si>
    <t>Bamanu Sikaka(SHG)</t>
  </si>
  <si>
    <t>Purna Sikaka(Egg)</t>
  </si>
  <si>
    <t>Saiba Sikaka(Agri)</t>
  </si>
  <si>
    <t>Kandru Sikaka(Vet.)</t>
  </si>
  <si>
    <t>Budha Bhairab</t>
  </si>
  <si>
    <t>Mrs Borigudadu Sikaka</t>
  </si>
  <si>
    <t>Mr. Kumbha Pradhani</t>
  </si>
  <si>
    <t>At-Thuapadi,Po-Jagdhalpur,Dist-Rayagada</t>
  </si>
  <si>
    <t>Thuapadi</t>
  </si>
  <si>
    <t>Dambaguda</t>
  </si>
  <si>
    <t>Kandul pada</t>
  </si>
  <si>
    <t>Mr. Uttara Pradhani</t>
  </si>
  <si>
    <t>Mr. Chitanya Ajadi</t>
  </si>
  <si>
    <t>Mr. Jogi sikaka</t>
  </si>
  <si>
    <t>Arjuna Kusulia</t>
  </si>
  <si>
    <t>Susanta Pradhani</t>
  </si>
  <si>
    <t>Chacha Pradhani</t>
  </si>
  <si>
    <t>Banabas Hajadi</t>
  </si>
  <si>
    <t>Bhugiraj Takri</t>
  </si>
  <si>
    <t>Kalarasuni</t>
  </si>
  <si>
    <t>Mrs Rasma Dabika</t>
  </si>
  <si>
    <t>Mr. Jagu Radika</t>
  </si>
  <si>
    <t>At-Tikarpada,Po-Jagdhalpur,Dist-Rayagada</t>
  </si>
  <si>
    <t>Tikarpada</t>
  </si>
  <si>
    <t>Langal Bedha</t>
  </si>
  <si>
    <t>Kujing</t>
  </si>
  <si>
    <t>Mr. Bibhisan Radika</t>
  </si>
  <si>
    <t>Mr. Krushna Pandra</t>
  </si>
  <si>
    <t>Mr. SubasDabika</t>
  </si>
  <si>
    <t>Krushna Radika</t>
  </si>
  <si>
    <t>Biswamber Arumajhi</t>
  </si>
  <si>
    <t>Purussottam Radika</t>
  </si>
  <si>
    <t>Kunu Ajadi</t>
  </si>
  <si>
    <t>Nua Majhi</t>
  </si>
  <si>
    <t>Shree Bhairabi</t>
  </si>
  <si>
    <t>Mrs. Indumati Behera</t>
  </si>
  <si>
    <t>Mr. Megha Kadraka</t>
  </si>
  <si>
    <t>At-Jamojodi,Po-Ambadala,Dist-Rayagada</t>
  </si>
  <si>
    <t>Jamojodi</t>
  </si>
  <si>
    <t>Biripada</t>
  </si>
  <si>
    <t>Padurguda</t>
  </si>
  <si>
    <t>Dakdimiri</t>
  </si>
  <si>
    <t>Jaya Bidrika</t>
  </si>
  <si>
    <t>Nanda Tamarakandi</t>
  </si>
  <si>
    <t>Madhusudhan Behera</t>
  </si>
  <si>
    <t>Bhimakadraka</t>
  </si>
  <si>
    <t>Josomal Tamarakandi</t>
  </si>
  <si>
    <t>Nanda TamaraKandi</t>
  </si>
  <si>
    <t>Sabhajan Tamarakandi</t>
  </si>
  <si>
    <t>Malaya Tamarakandi</t>
  </si>
  <si>
    <t>Khaga Behera</t>
  </si>
  <si>
    <t>Baishnab Budha</t>
  </si>
  <si>
    <t>Mrs Laxmi Keskaraka</t>
  </si>
  <si>
    <t>Mr. Anka Kadraka</t>
  </si>
  <si>
    <t>At-Giringili,Po-Ambadala,Dist-Rayagada</t>
  </si>
  <si>
    <t>Ghamatiguda</t>
  </si>
  <si>
    <t>Rotedi</t>
  </si>
  <si>
    <t>Katubadi</t>
  </si>
  <si>
    <t>Giringili</t>
  </si>
  <si>
    <t>Kanibori</t>
  </si>
  <si>
    <t>Sanapangedi</t>
  </si>
  <si>
    <t>Bada Pangedi</t>
  </si>
  <si>
    <t>Kerandi</t>
  </si>
  <si>
    <t>Kusumuguda</t>
  </si>
  <si>
    <t>Avi Keskaraka</t>
  </si>
  <si>
    <t>Bishnu Kadraka</t>
  </si>
  <si>
    <t>Singla Jakesika</t>
  </si>
  <si>
    <t>Madan Tamera Kandi</t>
  </si>
  <si>
    <t>Raghunath Pidikaka</t>
  </si>
  <si>
    <t>Dhanashree Jakesika</t>
  </si>
  <si>
    <t>Jogesh Udali</t>
  </si>
  <si>
    <t>Laxman Nundruka</t>
  </si>
  <si>
    <t>Sugree Suna</t>
  </si>
  <si>
    <t>Repsa Khola</t>
  </si>
  <si>
    <t>Mrs Laxmi Katakia</t>
  </si>
  <si>
    <t>Mr. Madhu Pradhani</t>
  </si>
  <si>
    <t>At-Kutunipadar,Po-Ambadala,Dist-Rayagada</t>
  </si>
  <si>
    <t>P.Kutunipadar</t>
  </si>
  <si>
    <t>D. Kutunipadar</t>
  </si>
  <si>
    <t>Giriliguda</t>
  </si>
  <si>
    <t>Purunapani</t>
  </si>
  <si>
    <t>Loharapadar</t>
  </si>
  <si>
    <t>Sangbalasa</t>
  </si>
  <si>
    <t>Badanagjhari</t>
  </si>
  <si>
    <t>Madhab Pradhani</t>
  </si>
  <si>
    <t>Sutura Bag</t>
  </si>
  <si>
    <t>Jagannath Nayak</t>
  </si>
  <si>
    <t>Sitaka Katakia</t>
  </si>
  <si>
    <t>Sriram Bacha</t>
  </si>
  <si>
    <t>Niladri Bacha</t>
  </si>
  <si>
    <t>Mukta Kachim</t>
  </si>
  <si>
    <t>Gobinda Kachim</t>
  </si>
  <si>
    <t>Niranjan Pradhani</t>
  </si>
  <si>
    <t>Padana Palakia</t>
  </si>
  <si>
    <t>Garuda bacha</t>
  </si>
  <si>
    <t>Durjyadhan suna</t>
  </si>
  <si>
    <t>Naringibadi</t>
  </si>
  <si>
    <t>Mrs Rajani Nundruka</t>
  </si>
  <si>
    <t>Mr. Biswanath Nundruka</t>
  </si>
  <si>
    <t>At-Chhelianala,Po-Muniguda,Gp-Ptraguda,Dist-Rayagada</t>
  </si>
  <si>
    <t>Bada Chhelianala</t>
  </si>
  <si>
    <t>Talachhelianala</t>
  </si>
  <si>
    <t>Palam</t>
  </si>
  <si>
    <t>Mr . Rabikumruka</t>
  </si>
  <si>
    <t>Mr. Daba Nundruka</t>
  </si>
  <si>
    <t>Sulochana Karkaria</t>
  </si>
  <si>
    <t>Sunil Palakia</t>
  </si>
  <si>
    <t>Daba Nundruka</t>
  </si>
  <si>
    <t>Jamuna Kumruka</t>
  </si>
  <si>
    <t>Biranchi Palakia</t>
  </si>
  <si>
    <t>Jitendra Takri</t>
  </si>
  <si>
    <t>Pundel</t>
  </si>
  <si>
    <t>Mrs. Sanibari Nundruka</t>
  </si>
  <si>
    <t>Mr. Mistri Bacha</t>
  </si>
  <si>
    <t>At-Malimunda,Po-Ambadala,Dist-Rayagada</t>
  </si>
  <si>
    <t>Siksur</t>
  </si>
  <si>
    <t>Kumuda Padar</t>
  </si>
  <si>
    <t>Mel chuan</t>
  </si>
  <si>
    <t>Pajinipadar</t>
  </si>
  <si>
    <t>Malimunda</t>
  </si>
  <si>
    <t>Bibhisan Jakesika</t>
  </si>
  <si>
    <t>Minu Nundruka</t>
  </si>
  <si>
    <t>Gurdhan Suna</t>
  </si>
  <si>
    <t>Rama Kadraka</t>
  </si>
  <si>
    <t>Tulla Chandra Bacha</t>
  </si>
  <si>
    <t>Budu Nundruka</t>
  </si>
  <si>
    <t>Lalsai Suna</t>
  </si>
  <si>
    <t>Surudhan</t>
  </si>
  <si>
    <t>Dedingidangar</t>
  </si>
  <si>
    <t>Mr Dinja Majhi</t>
  </si>
  <si>
    <t>Mr. Jetinga Majhi</t>
  </si>
  <si>
    <t>At-Bamandeo,Po-Ambadala,Dist-Rayagada</t>
  </si>
  <si>
    <t>Kadaghat</t>
  </si>
  <si>
    <t>Dengini</t>
  </si>
  <si>
    <t>Bamandeo</t>
  </si>
  <si>
    <t>Badagangad</t>
  </si>
  <si>
    <t>Jalandhar Surjya</t>
  </si>
  <si>
    <t>Ramakrushna Gouda</t>
  </si>
  <si>
    <t>Buruli Majhi</t>
  </si>
  <si>
    <t>Temisi Majhi</t>
  </si>
  <si>
    <t>Tunu Majhi</t>
  </si>
  <si>
    <t>Chana Gouda</t>
  </si>
  <si>
    <t>Ram das Surjya</t>
  </si>
  <si>
    <t>Dhanmal Gouda</t>
  </si>
  <si>
    <t>Pundera</t>
  </si>
  <si>
    <t>Mrs Buruni Katakia</t>
  </si>
  <si>
    <t>Mr. Narendra Gouda</t>
  </si>
  <si>
    <t>At-Kanchanbhata,Po-Ambadala,Dist-Rayagada</t>
  </si>
  <si>
    <t>Kanchan Bhata</t>
  </si>
  <si>
    <t>Kasseri</t>
  </si>
  <si>
    <t>Peramara</t>
  </si>
  <si>
    <t>Odimaska</t>
  </si>
  <si>
    <t>Dhangadapadar</t>
  </si>
  <si>
    <t>Ranas Padar</t>
  </si>
  <si>
    <t>Uchimuchi</t>
  </si>
  <si>
    <t>Bel Mara</t>
  </si>
  <si>
    <t>Raghuram Gouda</t>
  </si>
  <si>
    <t>Purna Gouda</t>
  </si>
  <si>
    <t>Dalimba Bacha</t>
  </si>
  <si>
    <t>Rabichandra Bacha</t>
  </si>
  <si>
    <t>Dhusa Majhi</t>
  </si>
  <si>
    <t>Dhoba Bagh</t>
  </si>
  <si>
    <t>Bindhar Gouda</t>
  </si>
  <si>
    <t>Budhi Gouda</t>
  </si>
  <si>
    <t>Niranjan Gouda</t>
  </si>
  <si>
    <t>Garna Chinda</t>
  </si>
  <si>
    <t>Kantamal</t>
  </si>
  <si>
    <t>At -Kantamal Po -Sunger, 
Dist Rayagada, Odisa.</t>
  </si>
  <si>
    <t>Rahi Majhi</t>
  </si>
  <si>
    <t>Gobindo Majhi</t>
  </si>
  <si>
    <t>Subasini Majhi</t>
  </si>
  <si>
    <t>O405020706330101</t>
  </si>
  <si>
    <t>Tij Raja</t>
  </si>
  <si>
    <t>Kisan Kebdi</t>
  </si>
  <si>
    <t>At Kisan Kebdi  Po  Adajore via Sunger, Dist Rayagada, Odisa.</t>
  </si>
  <si>
    <t>Nagarjuna Naik</t>
  </si>
  <si>
    <t>Gopal Majhi</t>
  </si>
  <si>
    <t>Rajai Majhi</t>
  </si>
  <si>
    <t>O40502076120202</t>
  </si>
  <si>
    <t>Maa Gayatri</t>
  </si>
  <si>
    <t>Kuliapadar</t>
  </si>
  <si>
    <t>At -Kuliapadar  Po - Adajore via -Sunger,
 Dist- Rayagada, Odisa.</t>
  </si>
  <si>
    <t>Handing Majhi</t>
  </si>
  <si>
    <t>Ganga Majhi</t>
  </si>
  <si>
    <t>O405020706040201</t>
  </si>
  <si>
    <t>Harish Majhi</t>
  </si>
  <si>
    <t>Ramachandra Majhi</t>
  </si>
  <si>
    <t>Jabarsingh Majhi</t>
  </si>
  <si>
    <t>Smt Naringi Majhi</t>
  </si>
  <si>
    <t>Smt Chinadei Majhi</t>
  </si>
  <si>
    <t>Musatakari</t>
  </si>
  <si>
    <t>Barang Pass</t>
  </si>
  <si>
    <t>At Barangpass  Po  Adajore via Sunger, Dist Rayagada, Odisa.</t>
  </si>
  <si>
    <t>Harisingh Majhi</t>
  </si>
  <si>
    <t>0405020706320101</t>
  </si>
  <si>
    <t>Adajore</t>
  </si>
  <si>
    <t>At Adajore  Po  Adajore via Sunger, Dist Rayagada, Odisa.</t>
  </si>
  <si>
    <t>Betru Majhi</t>
  </si>
  <si>
    <t>Dharmendra Majhi</t>
  </si>
  <si>
    <t>Chachire Majhi</t>
  </si>
  <si>
    <t>O405020706120201</t>
  </si>
  <si>
    <t>Budha Raja</t>
  </si>
  <si>
    <t>Jhulukaguda</t>
  </si>
  <si>
    <t>At:- Jhulukaguda, Po: Adajore,
 via: Sunger,
 Dist Rayagada, Odisa.</t>
  </si>
  <si>
    <t>Phulmai Majhi</t>
  </si>
  <si>
    <t>Haru Majhi</t>
  </si>
  <si>
    <t>Lai Majhi</t>
  </si>
  <si>
    <t>Shree Ram</t>
  </si>
  <si>
    <t>Adatakari</t>
  </si>
  <si>
    <t>At Adatakari  Po  Adajore via Sunger, Dist Rayagada, Odisa.</t>
  </si>
  <si>
    <t>Sunasingh Majhi</t>
  </si>
  <si>
    <t>Udeayasingh Majhi</t>
  </si>
  <si>
    <t>Rupa Majhi</t>
  </si>
  <si>
    <t>O0405020706320201</t>
  </si>
  <si>
    <t>Nava Diganta</t>
  </si>
  <si>
    <t>Bhokerdhan Naik</t>
  </si>
  <si>
    <t>Kumardei Majhi</t>
  </si>
  <si>
    <t>Kuddunji dei Majhi</t>
  </si>
  <si>
    <t>Alangi Majhi</t>
  </si>
  <si>
    <t>Karnikhol &amp; Dalguma</t>
  </si>
  <si>
    <t>K.Marapass</t>
  </si>
  <si>
    <t>At K.Marapass  Po  Adajore via Sunger, Dist Rayagada, Odisa.</t>
  </si>
  <si>
    <t>Nabin Majhi</t>
  </si>
  <si>
    <t>Birsingh Majhi</t>
  </si>
  <si>
    <t>O405020706320102</t>
  </si>
  <si>
    <t>xxxx</t>
  </si>
  <si>
    <t>Sinduraghati</t>
  </si>
  <si>
    <t>At Sinduraghati Po Sunger, Dist Rayagada, Odisa.</t>
  </si>
  <si>
    <t>Smt Maliki Majhi</t>
  </si>
  <si>
    <t>Sanata  Majhi</t>
  </si>
  <si>
    <t>Nandu Majhi</t>
  </si>
  <si>
    <t>0405020706320104</t>
  </si>
  <si>
    <t>Maa Satabhuni GUS</t>
  </si>
  <si>
    <t>Podapadar</t>
  </si>
  <si>
    <t>At -Podapadar  Po - Adajore via -Sunger, 
Dist Rayagada, Odisa.</t>
  </si>
  <si>
    <t>Surendra Majhi</t>
  </si>
  <si>
    <t>Adabaru Majhi</t>
  </si>
  <si>
    <t>O405020706040202</t>
  </si>
  <si>
    <t>Sri Datila Gageranga</t>
  </si>
  <si>
    <t>Sri Bhima Gageranga</t>
  </si>
  <si>
    <t>Sri. Joseph Gagerenga, Patnagudi</t>
  </si>
  <si>
    <t>Sri. Esaka Gagerenga, Gadenbhata</t>
  </si>
  <si>
    <t>Sri. Purna Chandra Gagerenga, Kodisur</t>
  </si>
  <si>
    <t>Sri. Habela Gagerenga, Burchiguda</t>
  </si>
  <si>
    <t>Sri. Kishore Badanayak, Budubali</t>
  </si>
  <si>
    <t>Sri Leduda Gageranga</t>
  </si>
  <si>
    <t>Sri Abhimanu Moguli</t>
  </si>
  <si>
    <t>Sri Bini Badanaik</t>
  </si>
  <si>
    <t>Sri Kadamajhi Gfageranga</t>
  </si>
  <si>
    <t>Patnagudiu</t>
  </si>
  <si>
    <t>Gardenbhata</t>
  </si>
  <si>
    <t>Padarsahgi</t>
  </si>
  <si>
    <t>Kodisur</t>
  </si>
  <si>
    <t>Burchiguda</t>
  </si>
  <si>
    <t>Budubali</t>
  </si>
  <si>
    <t>At/po- Budubali,Via- Muniguida,Dist-Rayagada</t>
  </si>
  <si>
    <t>Sri Mukta Gagerenga</t>
  </si>
  <si>
    <t>Sri Madhu Gagerenga</t>
  </si>
  <si>
    <t>Kumari Umagouri Mutika</t>
  </si>
  <si>
    <t>Sri.Gada Gomidanga, Munargaon</t>
  </si>
  <si>
    <t>Sri. Sunamani Pratinga, Jarapa</t>
  </si>
  <si>
    <t xml:space="preserve">Sri Gahala Majhi </t>
  </si>
  <si>
    <t>Munargaon</t>
  </si>
  <si>
    <t>Jarapa</t>
  </si>
  <si>
    <t>At/po-Jarapa,Via- Muniguda,Dist-Rayagada</t>
  </si>
  <si>
    <t>Sri Hira Majhi Gomidanga</t>
  </si>
  <si>
    <t>Sri Rama ch.Behera</t>
  </si>
  <si>
    <t>0 406020108070101</t>
  </si>
  <si>
    <t>Shiba Shakti</t>
  </si>
  <si>
    <t>Smt. Jarmina Dibaka</t>
  </si>
  <si>
    <t>Sri. Bhagirathi Dibaka, Meriapeta</t>
  </si>
  <si>
    <t>Sri Bela Pratinga</t>
  </si>
  <si>
    <t>Sri Butudi Dibaka</t>
  </si>
  <si>
    <t>Gahiguda</t>
  </si>
  <si>
    <t>Meriapetta</t>
  </si>
  <si>
    <t>Sri Ghasiram Dibaka</t>
  </si>
  <si>
    <t>Sri Jalendra Dibaka</t>
  </si>
  <si>
    <t>0 406020108070102</t>
  </si>
  <si>
    <t>Gangajamuna</t>
  </si>
  <si>
    <t>Sri Narchi Gageranga</t>
  </si>
  <si>
    <t>Sri. Kudera Bidika</t>
  </si>
  <si>
    <t>Sri. Kesara Gageranga</t>
  </si>
  <si>
    <t>Sri meta Birdikalia</t>
  </si>
  <si>
    <t>Sri mukunda Gageranga</t>
  </si>
  <si>
    <t>Gadargudi</t>
  </si>
  <si>
    <t>Khamargudi</t>
  </si>
  <si>
    <t>At-Khamargudi,Po-Budubali,Via-Muniguda,Dist-Rayagada</t>
  </si>
  <si>
    <t>Sri Phakira Gageranga</t>
  </si>
  <si>
    <t>Sri Marna Gageranga</t>
  </si>
  <si>
    <t>Jagabalia</t>
  </si>
  <si>
    <t>Smt.Sanjukta Kusulia</t>
  </si>
  <si>
    <t>Sri. Lada Gadika</t>
  </si>
  <si>
    <t>Sri. Maleka Kritanga</t>
  </si>
  <si>
    <t>Sri Mara Gageranga</t>
  </si>
  <si>
    <t>Balimukti</t>
  </si>
  <si>
    <t>Baudibeda</t>
  </si>
  <si>
    <t>At-Baudibeda,Po-Jarapa,Via-Muniguda,Dist-Rayagada</t>
  </si>
  <si>
    <t>Sri Surendra Bidika</t>
  </si>
  <si>
    <t>Sri Linga Gdaka</t>
  </si>
  <si>
    <t>Sri Labina Gageranga</t>
  </si>
  <si>
    <t>Sri. Mala Gagerenga</t>
  </si>
  <si>
    <t>Sri. Paulu Guluruka</t>
  </si>
  <si>
    <t>Sri. Lembudu Gagerenga</t>
  </si>
  <si>
    <t>Sri. Nira Bredeka</t>
  </si>
  <si>
    <t>Sri.Landu Gageranga</t>
  </si>
  <si>
    <t>Sri.Due Bradeka</t>
  </si>
  <si>
    <t>Meragudi</t>
  </si>
  <si>
    <t>Badimunda</t>
  </si>
  <si>
    <t>Gedabali</t>
  </si>
  <si>
    <t>Latiguda</t>
  </si>
  <si>
    <t>At-Badimunda,Po-Jarapa,Via-Munigud,Dist-Rayagada</t>
  </si>
  <si>
    <t>Sri Pramod Bradaka</t>
  </si>
  <si>
    <t>0 406020108080103</t>
  </si>
  <si>
    <t>Maa Laxmi</t>
  </si>
  <si>
    <t>Sri Sanita Pidikaka</t>
  </si>
  <si>
    <t>Sri. Tikari Gadika</t>
  </si>
  <si>
    <t>Sri. Parikhita Pidikaka</t>
  </si>
  <si>
    <t>Smt. Anjana Pidikaka</t>
  </si>
  <si>
    <t>Sri. Buduru gadika</t>
  </si>
  <si>
    <t>Sri. Sanita Pidikaka</t>
  </si>
  <si>
    <t>Kialagudi</t>
  </si>
  <si>
    <t>Jeriguma</t>
  </si>
  <si>
    <t>Gedabadri</t>
  </si>
  <si>
    <t>At-Gedabadri,Po-Jarapa,Via-Muniguda,Dist-Rayagada</t>
  </si>
  <si>
    <t>Sri Sami Bibara</t>
  </si>
  <si>
    <t>Sri Satya Kritanga</t>
  </si>
  <si>
    <t>Maa Banadruga</t>
  </si>
  <si>
    <t>Sri.Amiya kumar Hikabadi</t>
  </si>
  <si>
    <t>Barika Lebata</t>
  </si>
  <si>
    <t>Sri Bhana Sikhalu</t>
  </si>
  <si>
    <t>Sri Madhisudana Arja</t>
  </si>
  <si>
    <t>Sri Reli palaka</t>
  </si>
  <si>
    <t>Sri Madana Bradeka</t>
  </si>
  <si>
    <t>Sri Dayanidhi Padalu</t>
  </si>
  <si>
    <t>Sri Ganga Pradhani</t>
  </si>
  <si>
    <t>Sri Amiya Hikabadi</t>
  </si>
  <si>
    <t>S.Pamdrakhal</t>
  </si>
  <si>
    <t>Khariguda</t>
  </si>
  <si>
    <t>Dimiriguda</t>
  </si>
  <si>
    <t>B.Pamrakhal</t>
  </si>
  <si>
    <t>At-Badapandrakhal,Po-Dangasorada,Via-Muniguda,Dist-Rayagada</t>
  </si>
  <si>
    <t xml:space="preserve">        Smt.Golapi Majhi</t>
  </si>
  <si>
    <t>Sri Barika Pradhani</t>
  </si>
  <si>
    <t>Nagabali Jalabibhajika Gramaunayana Samiti</t>
  </si>
  <si>
    <t>Sri Dhanumajhi Kumuruka</t>
  </si>
  <si>
    <t>Sri Purendra rapkaka</t>
  </si>
  <si>
    <t>Sri Butudi Gageranga</t>
  </si>
  <si>
    <t>Sri Drangi Kumuruka</t>
  </si>
  <si>
    <t>Sri Budera Gageranga</t>
  </si>
  <si>
    <t>Dekapanga</t>
  </si>
  <si>
    <t>Gumkudi</t>
  </si>
  <si>
    <t>At-Borikhal,Po-Dangasorada,Via-Muniguida,Dist-Rayagada</t>
  </si>
  <si>
    <t>Sri.Dhanumajhi Kumuruka</t>
  </si>
  <si>
    <t>Sri.Damba Gageranga</t>
  </si>
  <si>
    <t>Sri.Kurunja Kumuruka</t>
  </si>
  <si>
    <t>0 406020109210201</t>
  </si>
  <si>
    <t>Kedaragouri</t>
  </si>
  <si>
    <t>Sri Prasada Gageranga</t>
  </si>
  <si>
    <t>Sri Rajendra Kradika</t>
  </si>
  <si>
    <t>Sri Gatila Gageranga</t>
  </si>
  <si>
    <t>Sri Debaraj Gageranga</t>
  </si>
  <si>
    <t>Sri Bikasa Kradika</t>
  </si>
  <si>
    <t>Sri Bidura Kradika</t>
  </si>
  <si>
    <t>Lajeri</t>
  </si>
  <si>
    <t>Muchiguda</t>
  </si>
  <si>
    <t>Kutudukupa</t>
  </si>
  <si>
    <t>At-Kutudukupa,Po-Dangasorada,                 Via-Muniguda,Dist-Rayagada</t>
  </si>
  <si>
    <t>Sri.Prasada Gageranga</t>
  </si>
  <si>
    <t>Sri Samanta Gageranga</t>
  </si>
  <si>
    <t>Sri Daya Kradika</t>
  </si>
  <si>
    <t>0 406020109220201</t>
  </si>
  <si>
    <t>Utkal</t>
  </si>
  <si>
    <t>Orissa Tribal Empowerment &amp; Livelihood Programme (OTELP)</t>
  </si>
  <si>
    <t>Bandha Raja GUS, Talbora</t>
  </si>
  <si>
    <t>MWS Code (as per ORSAC):</t>
  </si>
  <si>
    <t>0406010409020101</t>
  </si>
  <si>
    <t>Name of PRI Member of VDC:</t>
  </si>
  <si>
    <t>Contract Adress: (including telphone number if any)</t>
  </si>
  <si>
    <t>Talbora</t>
  </si>
  <si>
    <t>Roghaguda</t>
  </si>
  <si>
    <t>Labage Majhi</t>
  </si>
  <si>
    <t>President, VLSC</t>
  </si>
  <si>
    <t>Adri Majhi</t>
  </si>
  <si>
    <t>Dhanu Majhi</t>
  </si>
  <si>
    <t>Secretary, VLSC</t>
  </si>
  <si>
    <t xml:space="preserve">Ratna Majhi </t>
  </si>
  <si>
    <t>Sonara Majhi</t>
  </si>
  <si>
    <t>Micro Finance Volunteer</t>
  </si>
  <si>
    <t>Abana Harijan</t>
  </si>
  <si>
    <t>Agriculture Volunteer</t>
  </si>
  <si>
    <t>Surana Majhi</t>
  </si>
  <si>
    <t>Social Voluteer</t>
  </si>
  <si>
    <t>Ambora majhi</t>
  </si>
  <si>
    <t>Livestock Volunteer</t>
  </si>
  <si>
    <t>Goria Tandi</t>
  </si>
  <si>
    <t>L &amp; W Mngt. Volunteer</t>
  </si>
  <si>
    <t xml:space="preserve">No. of Villages within the MWS: </t>
  </si>
  <si>
    <t>Unit Cost ( in Rs.)</t>
  </si>
  <si>
    <t>2011-2012</t>
  </si>
  <si>
    <t>2012-2013</t>
  </si>
  <si>
    <t>2013-2014</t>
  </si>
  <si>
    <t>TOTAL:</t>
  </si>
  <si>
    <t>Niyam Raja GUS, Patangapadar</t>
  </si>
  <si>
    <t>0406010409020201</t>
  </si>
  <si>
    <t>Patangapadar</t>
  </si>
  <si>
    <t>Panashpadar</t>
  </si>
  <si>
    <t>Sirkijhola</t>
  </si>
  <si>
    <t>Soroguda</t>
  </si>
  <si>
    <t>Sanakhalguda</t>
  </si>
  <si>
    <t>Dambru Majhi</t>
  </si>
  <si>
    <t>Lingana Majhi</t>
  </si>
  <si>
    <t>Mali Majhi</t>
  </si>
  <si>
    <t>Singa Majhi</t>
  </si>
  <si>
    <t>Adra Majhi</t>
  </si>
  <si>
    <t>Kirga Majhi</t>
  </si>
  <si>
    <t>Lakhi Majhi</t>
  </si>
  <si>
    <t>Abhi Majhi</t>
  </si>
  <si>
    <t>Sambru Majhi</t>
  </si>
  <si>
    <t>Nilamber Majhi</t>
  </si>
  <si>
    <t>Nila Majhi</t>
  </si>
  <si>
    <t>Sapa Majhi</t>
  </si>
  <si>
    <t>Jita Harijan</t>
  </si>
  <si>
    <t>0406010409020202</t>
  </si>
  <si>
    <t>Sindhibhata</t>
  </si>
  <si>
    <t>Sahajpada</t>
  </si>
  <si>
    <t>Dakriguda</t>
  </si>
  <si>
    <t>Bananga Majhi</t>
  </si>
  <si>
    <t>Purendra Noria</t>
  </si>
  <si>
    <t>Taruni Sahu</t>
  </si>
  <si>
    <t>Balabhadra Majhi</t>
  </si>
  <si>
    <t>Kailas Sahu</t>
  </si>
  <si>
    <t xml:space="preserve">Gaura Charan Sahu </t>
  </si>
  <si>
    <t>0406010409020203</t>
  </si>
  <si>
    <t>Ghatikundru</t>
  </si>
  <si>
    <t>Thuangapadar</t>
  </si>
  <si>
    <t xml:space="preserve">Srabanu majhi </t>
  </si>
  <si>
    <t>Narayan Majhi</t>
  </si>
  <si>
    <t>Mudarai Majhi</t>
  </si>
  <si>
    <t>Linga Majhi</t>
  </si>
  <si>
    <t>Gedulu Majhi</t>
  </si>
  <si>
    <t>Monoj Pradhani</t>
  </si>
  <si>
    <t>Social Volunteer</t>
  </si>
  <si>
    <t>Kokila Harijan</t>
  </si>
  <si>
    <t>British Harijan</t>
  </si>
  <si>
    <t>Maa Jagat Jananee GUS, Pradhanipada</t>
  </si>
  <si>
    <t>0406010409030102</t>
  </si>
  <si>
    <t>Pradhanipada</t>
  </si>
  <si>
    <t>Karanmunda</t>
  </si>
  <si>
    <t>Bengabhata</t>
  </si>
  <si>
    <t>Beketa Majhi</t>
  </si>
  <si>
    <t xml:space="preserve">Ramesh Sahu </t>
  </si>
  <si>
    <t>Mishra Majhi</t>
  </si>
  <si>
    <t>Kesab Sahu</t>
  </si>
  <si>
    <t>Purna Majhi</t>
  </si>
  <si>
    <t>Ganesh Bag</t>
  </si>
  <si>
    <t>Simanchala Sahoo</t>
  </si>
  <si>
    <t>Mukta Majhi</t>
  </si>
  <si>
    <t>KADA RAJA GUS, TALKALIMA</t>
  </si>
  <si>
    <t>TALKALIMA</t>
  </si>
  <si>
    <t>BALISARA</t>
  </si>
  <si>
    <t>Ghasi Majhi</t>
  </si>
  <si>
    <t>Dedu Majhi</t>
  </si>
  <si>
    <t>Kuli Parabhoi</t>
  </si>
  <si>
    <t>Madan Majhi</t>
  </si>
  <si>
    <t>Padma Majhi</t>
  </si>
  <si>
    <t>Ramtu majhi</t>
  </si>
  <si>
    <t>Pala Majhi</t>
  </si>
  <si>
    <t>Barunu Majhi</t>
  </si>
  <si>
    <t>Maa Dakribudhi GUS, Khaksi</t>
  </si>
  <si>
    <t>0407010508150201</t>
  </si>
  <si>
    <t>Jobagaon</t>
  </si>
  <si>
    <t>President, VDC</t>
  </si>
  <si>
    <t xml:space="preserve">Samba Majhi </t>
  </si>
  <si>
    <t>Secretary, VDC</t>
  </si>
  <si>
    <t>Adnu Majhi</t>
  </si>
  <si>
    <t>Bedi Majhi</t>
  </si>
  <si>
    <t>Pulu Majhi</t>
  </si>
  <si>
    <t>livestock Volunteer</t>
  </si>
  <si>
    <t>Jama majhi</t>
  </si>
  <si>
    <t>Puyu Majhi</t>
  </si>
  <si>
    <t>Piyura Majhi</t>
  </si>
  <si>
    <t>Forstry Volunteer</t>
  </si>
  <si>
    <t>Maa Thakurani GUS, Jabagaon</t>
  </si>
  <si>
    <t>0407010508160103</t>
  </si>
  <si>
    <t>Konark Majhi</t>
  </si>
  <si>
    <t>Sanang Majhi</t>
  </si>
  <si>
    <t>Simanchal Majhi</t>
  </si>
  <si>
    <t>Andra Majhi</t>
  </si>
  <si>
    <t>Agriculture</t>
  </si>
  <si>
    <t>Bingri Majhi</t>
  </si>
  <si>
    <t>Maa Bhairabi GUS, Jamchuan</t>
  </si>
  <si>
    <t>Jamchuan</t>
  </si>
  <si>
    <t xml:space="preserve">Banamali  Majhi </t>
  </si>
  <si>
    <t>Niranjan Bibhar</t>
  </si>
  <si>
    <t>Yudhistir Bibhar</t>
  </si>
  <si>
    <t>Rasu Majhi</t>
  </si>
  <si>
    <t>Lochan Majhi</t>
  </si>
  <si>
    <t>Surendra Nag</t>
  </si>
  <si>
    <t>0407010508160201</t>
  </si>
  <si>
    <t>Dahanipadar</t>
  </si>
  <si>
    <t>Machul</t>
  </si>
  <si>
    <t>Duta Majhi</t>
  </si>
  <si>
    <t>Jhunu Majhi</t>
  </si>
  <si>
    <t>Sukru Majhi</t>
  </si>
  <si>
    <t>Raju Majhi</t>
  </si>
  <si>
    <t>Dugda Majhi</t>
  </si>
  <si>
    <t>Bhima Dora</t>
  </si>
  <si>
    <t>Nari Majhi</t>
  </si>
  <si>
    <t>Tingiri Majhi</t>
  </si>
  <si>
    <t>Suresh Majhi</t>
  </si>
  <si>
    <t>0407010703060103</t>
  </si>
  <si>
    <t>Lermuhin</t>
  </si>
  <si>
    <t>Kadamguda</t>
  </si>
  <si>
    <t>Srabanu Majhi</t>
  </si>
  <si>
    <t>Ramtu Majhi</t>
  </si>
  <si>
    <t>Siba Harijan</t>
  </si>
  <si>
    <t>Raimati Majhi</t>
  </si>
  <si>
    <t>Maa Santosi GUS, Kmalei</t>
  </si>
  <si>
    <t>0407010703070102</t>
  </si>
  <si>
    <t>Kamalei</t>
  </si>
  <si>
    <t>Rangiguda</t>
  </si>
  <si>
    <t>Majhi majhi</t>
  </si>
  <si>
    <t>Driku Majhi</t>
  </si>
  <si>
    <t>Dombe Majhi</t>
  </si>
  <si>
    <t>Krushna Bhakta</t>
  </si>
  <si>
    <t>Madhu Majhi</t>
  </si>
  <si>
    <t>Lachu Majhi</t>
  </si>
  <si>
    <t>Lelen Majhi</t>
  </si>
  <si>
    <t>Danu Majhi</t>
  </si>
  <si>
    <t>Baida Majhi</t>
  </si>
  <si>
    <t>Kalia Parabhohoi</t>
  </si>
  <si>
    <t>Raibari Majhi</t>
  </si>
  <si>
    <t>Banjha Majhi</t>
  </si>
  <si>
    <t>Mantriguda</t>
  </si>
  <si>
    <t>Udiguna</t>
  </si>
  <si>
    <t>Baru Majhi</t>
  </si>
  <si>
    <t>Jichel Majhi</t>
  </si>
  <si>
    <t>0405020706010101</t>
  </si>
  <si>
    <t>Jamuna Majhi</t>
  </si>
  <si>
    <t>Tarun nayak</t>
  </si>
  <si>
    <t>China Dei</t>
  </si>
  <si>
    <t>Puluram Naik</t>
  </si>
  <si>
    <t>Jayadhar sunani</t>
  </si>
  <si>
    <t>Rupasing majhi</t>
  </si>
  <si>
    <t>Manich. Majhi</t>
  </si>
  <si>
    <t>Budha majhi</t>
  </si>
  <si>
    <t>Kantabanji</t>
  </si>
  <si>
    <t>Mardiguda</t>
  </si>
  <si>
    <t>Jamuna majhi</t>
  </si>
  <si>
    <t>Ramsing majhi</t>
  </si>
  <si>
    <t>0405020706010102</t>
  </si>
  <si>
    <t>Sadakar naik</t>
  </si>
  <si>
    <t>Mukund majhi</t>
  </si>
  <si>
    <t>Parameswar naik</t>
  </si>
  <si>
    <t>Maheswar naik</t>
  </si>
  <si>
    <t>Ghenu majhi</t>
  </si>
  <si>
    <t>Arakhpedi</t>
  </si>
  <si>
    <t>Ghutipokhra</t>
  </si>
  <si>
    <t>Ghutimaska</t>
  </si>
  <si>
    <t>Basanti Naik</t>
  </si>
  <si>
    <t>Bvalmiki majhi</t>
  </si>
  <si>
    <t>Jayasing majhi</t>
  </si>
  <si>
    <t>Chakradhar majhi</t>
  </si>
  <si>
    <t>Rajendra majhi</t>
  </si>
  <si>
    <t>Parsuram Majhi</t>
  </si>
  <si>
    <t>Surendra Naik</t>
  </si>
  <si>
    <t>Amarsing Majhi</t>
  </si>
  <si>
    <t>Radhkrushna naik</t>
  </si>
  <si>
    <t>Tikraguda</t>
  </si>
  <si>
    <t>Ghutiguda</t>
  </si>
  <si>
    <t>Nuai Majhi</t>
  </si>
  <si>
    <t>Manikya Naik</t>
  </si>
  <si>
    <t>Dambrudhar majhi</t>
  </si>
  <si>
    <t>0405020706030101</t>
  </si>
  <si>
    <t>Baidanath Naik</t>
  </si>
  <si>
    <t>Harihar Naik</t>
  </si>
  <si>
    <t>Ghasiram naik</t>
  </si>
  <si>
    <t>Binod Majhi</t>
  </si>
  <si>
    <t>Jayasing Majhi</t>
  </si>
  <si>
    <t>Rajful majhi</t>
  </si>
  <si>
    <t>Terengasil</t>
  </si>
  <si>
    <t>Terngasil</t>
  </si>
  <si>
    <t>Jaysing majhi</t>
  </si>
  <si>
    <t>Rabi majhi</t>
  </si>
  <si>
    <t>Keshari majhi</t>
  </si>
  <si>
    <t>Nakul majhi</t>
  </si>
  <si>
    <t>Rai majhi</t>
  </si>
  <si>
    <t>Handing majhi</t>
  </si>
  <si>
    <t>Pidismaska</t>
  </si>
  <si>
    <t>Paladumer</t>
  </si>
  <si>
    <t>Chachikana</t>
  </si>
  <si>
    <t>Sunasing Majhi</t>
  </si>
  <si>
    <t>Panu majhi</t>
  </si>
  <si>
    <t>0407010703010202</t>
  </si>
  <si>
    <t>Dasa Goud</t>
  </si>
  <si>
    <t>Dangar Mjhi</t>
  </si>
  <si>
    <t>Rupadhar majhi</t>
  </si>
  <si>
    <t>Madan majhi</t>
  </si>
  <si>
    <t>Tumunikhol</t>
  </si>
  <si>
    <t>Suksan</t>
  </si>
  <si>
    <t>Adbaru majhi</t>
  </si>
  <si>
    <t>Balram Majhi</t>
  </si>
  <si>
    <t>0407010705180201</t>
  </si>
  <si>
    <t>Rajendra Mjhi</t>
  </si>
  <si>
    <t>Binod majhi</t>
  </si>
  <si>
    <t>Bati Majhi</t>
  </si>
  <si>
    <t>Dalia Majhi</t>
  </si>
  <si>
    <t>Dhanful majhi</t>
  </si>
  <si>
    <t>Bada bandel</t>
  </si>
  <si>
    <t>Melkundel</t>
  </si>
  <si>
    <t>Hanu Para Bhoi</t>
  </si>
  <si>
    <t>Harish Ch. Majhi</t>
  </si>
  <si>
    <t>Jayaram naik</t>
  </si>
  <si>
    <t>0407010705200102</t>
  </si>
  <si>
    <t>Suru Majhi</t>
  </si>
  <si>
    <t>Bhimsen Naik</t>
  </si>
  <si>
    <t>Birna majhi</t>
  </si>
  <si>
    <t>Jalsing Majhi</t>
  </si>
  <si>
    <t>Jaga majhi</t>
  </si>
  <si>
    <t>Ram Ch. Maji</t>
  </si>
  <si>
    <t>Derguda</t>
  </si>
  <si>
    <t>Mangalsing Majhi</t>
  </si>
  <si>
    <t>Rabi Ch. Naik</t>
  </si>
  <si>
    <t>0407010705200201</t>
  </si>
  <si>
    <t>Sanatan naik</t>
  </si>
  <si>
    <t>Rendei majhi</t>
  </si>
  <si>
    <t>Balram naik</t>
  </si>
  <si>
    <t>Ajaya majhi</t>
  </si>
  <si>
    <t>Lalsing majhi</t>
  </si>
  <si>
    <t>Bhimsen majhi</t>
  </si>
  <si>
    <t>Godramaska</t>
  </si>
  <si>
    <t>Simelpadra</t>
  </si>
  <si>
    <t xml:space="preserve">Motachuan </t>
  </si>
  <si>
    <t>Kosabara</t>
  </si>
  <si>
    <t>Pratap Majhi</t>
  </si>
  <si>
    <t>0407010705210203</t>
  </si>
  <si>
    <t>&lt;&lt;Back</t>
  </si>
  <si>
    <t>ORISSA TRIBAL EMPOWERMENT &amp; LIVELIHOODS PROGRAMME ( OTELP )</t>
  </si>
  <si>
    <t>Form-A: MWS Fact Sheet</t>
  </si>
  <si>
    <t>Malyabanta VDC , Jodambo</t>
  </si>
  <si>
    <t>MWS Code  (as per Orsac):</t>
  </si>
  <si>
    <t>405010206020202 (1)</t>
  </si>
  <si>
    <t>456 Ha.</t>
  </si>
  <si>
    <t>Forest Tretable Area:</t>
  </si>
  <si>
    <t>80 Ha.</t>
  </si>
  <si>
    <t>Radhika Pansia</t>
  </si>
  <si>
    <t>Chaitanya Khilla</t>
  </si>
  <si>
    <t>Jairam Puna</t>
  </si>
  <si>
    <t>Contact Adress(including telephone number if any):</t>
  </si>
  <si>
    <t>Name of the Villages of the VDC:</t>
  </si>
  <si>
    <t>Jodambo</t>
  </si>
  <si>
    <t>Janturai</t>
  </si>
  <si>
    <t>Kumbipetiguda</t>
  </si>
  <si>
    <t>Mukta Silai</t>
  </si>
  <si>
    <t>Parbati Hantal</t>
  </si>
  <si>
    <t>Ram Ch.  Dora</t>
  </si>
  <si>
    <t>No.of VSS:</t>
  </si>
  <si>
    <t>ST:</t>
  </si>
  <si>
    <t>SC:</t>
  </si>
  <si>
    <t>Others:</t>
  </si>
  <si>
    <t>Total:</t>
  </si>
  <si>
    <t>Volnerable/ Destitute :</t>
  </si>
  <si>
    <t>ST Male:</t>
  </si>
  <si>
    <t>SC Male:</t>
  </si>
  <si>
    <t>Other Male:</t>
  </si>
  <si>
    <t>ST Female:</t>
  </si>
  <si>
    <t>Programme Component:</t>
  </si>
  <si>
    <t>Allocation(in Rs. Lakhs)</t>
  </si>
  <si>
    <t>Financial Year Wise Expenditure ( in Rs. Lakhs )</t>
  </si>
  <si>
    <t>Hectar</t>
  </si>
  <si>
    <t>Participatory Forest Management:</t>
  </si>
  <si>
    <t>Agriculture &amp; Horticulture Production:</t>
  </si>
  <si>
    <t>Livestock &amp; Acuaculture Development</t>
  </si>
  <si>
    <t>Community Infrastructure Fund:</t>
  </si>
  <si>
    <t>Rural Financial Services:</t>
  </si>
  <si>
    <t>Administrative Cost of VDC:</t>
  </si>
  <si>
    <t>One time Cycle Grant:</t>
  </si>
  <si>
    <t xml:space="preserve">Ram Dev  VDC, Darlabeda </t>
  </si>
  <si>
    <t>0405010206020202 (2)</t>
  </si>
  <si>
    <t>444 Ha.</t>
  </si>
  <si>
    <t>Dahana Hantal</t>
  </si>
  <si>
    <t>Parameswar Khilla</t>
  </si>
  <si>
    <t>Upendra   Muduli</t>
  </si>
  <si>
    <t>At:-Darlabeda  Po:-Jodambo                 Dist:- Malkangiri</t>
  </si>
  <si>
    <t>Darlabeda</t>
  </si>
  <si>
    <t>Bhitar Darlabeda</t>
  </si>
  <si>
    <t>Rama   Hantal</t>
  </si>
  <si>
    <t>Tile Khara</t>
  </si>
  <si>
    <t>Goura Khilla</t>
  </si>
  <si>
    <t>Somnath Sukri</t>
  </si>
  <si>
    <t>Daya Sisa</t>
  </si>
  <si>
    <t>Badadevata VDC ,Kunturpadar</t>
  </si>
  <si>
    <t>559 Ha.</t>
  </si>
  <si>
    <t>Ruai Hantal</t>
  </si>
  <si>
    <t>Ramesh Chandra Sisa</t>
  </si>
  <si>
    <t>Raghunath Hansa</t>
  </si>
  <si>
    <t>At:-Kunturpadar  Po:-Jodambo              Dist:-Malkangiri</t>
  </si>
  <si>
    <t>Kunturpadar</t>
  </si>
  <si>
    <t>Katuguda</t>
  </si>
  <si>
    <t>Ampadar, Khillaguda</t>
  </si>
  <si>
    <t>Pujariguda</t>
  </si>
  <si>
    <t>Kantama Hansa</t>
  </si>
  <si>
    <t>Rao Hantal</t>
  </si>
  <si>
    <t>Narayan Khara</t>
  </si>
  <si>
    <t>Jai Jagannath VDC, Khajuriguda</t>
  </si>
  <si>
    <t>528 Ha.</t>
  </si>
  <si>
    <t>Rukna  Hantal</t>
  </si>
  <si>
    <t>Raghunath  Sisa</t>
  </si>
  <si>
    <t>Purna Ch. Khemudu</t>
  </si>
  <si>
    <t>At:-Khajuriguda  Po:-Jodambo               Dist:-Malkangiri</t>
  </si>
  <si>
    <t>Khajuriguda</t>
  </si>
  <si>
    <t>Matikhal</t>
  </si>
  <si>
    <t>Sindhiput</t>
  </si>
  <si>
    <t>Ladiguda</t>
  </si>
  <si>
    <t>Damuni Hantal</t>
  </si>
  <si>
    <t>Padma  Sisa</t>
  </si>
  <si>
    <t>Saita  Alanga</t>
  </si>
  <si>
    <t xml:space="preserve">Dhanu  </t>
  </si>
  <si>
    <t>Guru</t>
  </si>
  <si>
    <t>Rukmani  Khilla</t>
  </si>
  <si>
    <t>Ramdas  Sisa</t>
  </si>
  <si>
    <t>Samaru  Khara</t>
  </si>
  <si>
    <t>Kamulu  Sisa</t>
  </si>
  <si>
    <t>Maa Tarini VDC, Bihanagudi</t>
  </si>
  <si>
    <t>496 Ha.</t>
  </si>
  <si>
    <t>Golapi  Linger</t>
  </si>
  <si>
    <t>Trinatha  Sisa</t>
  </si>
  <si>
    <t>Ram  Hantal</t>
  </si>
  <si>
    <t>At:-Bihanagudi  Po:-Jodambo               Dist:-Malkangiri</t>
  </si>
  <si>
    <t>Bihanagudi</t>
  </si>
  <si>
    <t>Similipadar</t>
  </si>
  <si>
    <t>Podhkhal</t>
  </si>
  <si>
    <t>Goudput</t>
  </si>
  <si>
    <t>Sukri  Sisa</t>
  </si>
  <si>
    <t>Samari  Hantal</t>
  </si>
  <si>
    <t>Rupai  Khilla</t>
  </si>
  <si>
    <t>Balu   Hantal</t>
  </si>
  <si>
    <t>Balaram  Sisa</t>
  </si>
  <si>
    <t>Balu  Hantal</t>
  </si>
  <si>
    <t>Maa Baijaruni VDC Hatimba</t>
  </si>
  <si>
    <t>548 Ha.</t>
  </si>
  <si>
    <t>Dahana Alanga</t>
  </si>
  <si>
    <t>Kamulu Golari</t>
  </si>
  <si>
    <t>Sania Sisa</t>
  </si>
  <si>
    <t>At:-Hatiambo  Po:-Somnathpur              Dist:-Malkangiri</t>
  </si>
  <si>
    <t>Hatimba</t>
  </si>
  <si>
    <t>Mangarjodi</t>
  </si>
  <si>
    <t>Rampur</t>
  </si>
  <si>
    <t>Maina Khara</t>
  </si>
  <si>
    <t>Hemabati Golori</t>
  </si>
  <si>
    <t>Laichan Alanga</t>
  </si>
  <si>
    <t>Maa Laxmi VDC, Pipalapadar</t>
  </si>
  <si>
    <t>360 Ha.</t>
  </si>
  <si>
    <t>Sasi Burudi</t>
  </si>
  <si>
    <t>Buduram Sisa</t>
  </si>
  <si>
    <t>At:-Pipalapadar   Po:-Nakamamudi      Dist:-Malkangiri</t>
  </si>
  <si>
    <t>Pipalapadar</t>
  </si>
  <si>
    <t>Dumuripadar</t>
  </si>
  <si>
    <t>Kinarla</t>
  </si>
  <si>
    <t>Matamguda</t>
  </si>
  <si>
    <t>Dukhi Pangi</t>
  </si>
  <si>
    <t>Derku Khara</t>
  </si>
  <si>
    <t>Sampo Hantal</t>
  </si>
  <si>
    <t>Maa Santoshi VDC Rajabandha</t>
  </si>
  <si>
    <t>484 Ha.</t>
  </si>
  <si>
    <t>80Ha.</t>
  </si>
  <si>
    <t>Saita   khila</t>
  </si>
  <si>
    <t>Mangala khara</t>
  </si>
  <si>
    <t>Anpal Sina Rao</t>
  </si>
  <si>
    <t>At:-Rajabandha      Po:-Dyk-111             Dist:-Malkangiri</t>
  </si>
  <si>
    <t>Rajabandha</t>
  </si>
  <si>
    <t>Raipur</t>
  </si>
  <si>
    <t>Balellguda</t>
  </si>
  <si>
    <t>Balma Khemudu</t>
  </si>
  <si>
    <t>Syama Hantal</t>
  </si>
  <si>
    <t>Radha Muduli</t>
  </si>
  <si>
    <t>Damu Jani</t>
  </si>
  <si>
    <t>Daya Pangi</t>
  </si>
  <si>
    <t>Gopi Badnaik</t>
  </si>
  <si>
    <t>Bana Durga VDC, Nakamamudi</t>
  </si>
  <si>
    <t>529 Ha.</t>
  </si>
  <si>
    <t>Gopinath Majhi</t>
  </si>
  <si>
    <t>Kamala Hantal</t>
  </si>
  <si>
    <t>Mangala Khara</t>
  </si>
  <si>
    <t>At:-Sindhiguda Po:-Nakamamudi         Dist:- Malkangiri</t>
  </si>
  <si>
    <t>Nakamamudi</t>
  </si>
  <si>
    <t>Gopiguda</t>
  </si>
  <si>
    <t>Nabina Khara</t>
  </si>
  <si>
    <t>Raila Pangi</t>
  </si>
  <si>
    <t>Bandhu Khara</t>
  </si>
  <si>
    <t>Damurudhar Khara</t>
  </si>
  <si>
    <t>Tulasi  ,VDC ,Chitapary</t>
  </si>
  <si>
    <t>631 Ha.</t>
  </si>
  <si>
    <t>Smt. Phula  Bate</t>
  </si>
  <si>
    <t>Samaru   Pula</t>
  </si>
  <si>
    <t>Phula  Kuasi</t>
  </si>
  <si>
    <t>At :-Sindhiguda  Po:-Kudumulugumma  Dist:-Malkangiri</t>
  </si>
  <si>
    <t>Chitapary</t>
  </si>
  <si>
    <t>Chitapari colony</t>
  </si>
  <si>
    <t>Bhimaguda</t>
  </si>
  <si>
    <t>Bhagaban Kuasi</t>
  </si>
  <si>
    <t>Dhanai Khilla</t>
  </si>
  <si>
    <t>Phula Bate</t>
  </si>
  <si>
    <t>Laxmi Muduli</t>
  </si>
  <si>
    <t>Laba Kalapalia</t>
  </si>
  <si>
    <t>Budra Muduli</t>
  </si>
  <si>
    <t>Phula Kuasi</t>
  </si>
  <si>
    <t>Name of the MWS / VDC :</t>
  </si>
  <si>
    <t>Dui Samuduni</t>
  </si>
  <si>
    <t>MWS Code (as per Orsac)</t>
  </si>
  <si>
    <t>OR-N-10-08-03-01-02</t>
  </si>
  <si>
    <t>Salu Hikaka</t>
  </si>
  <si>
    <t>Suruna Kulasika</t>
  </si>
  <si>
    <t>Name of the PRI  Member of VDC</t>
  </si>
  <si>
    <t>Satoi Hikaka</t>
  </si>
  <si>
    <t>Contact Address : Including</t>
  </si>
  <si>
    <t>Kumudui Khara-CM-9438847657</t>
  </si>
  <si>
    <t>Telephone number if any)</t>
  </si>
  <si>
    <t>Singaram</t>
  </si>
  <si>
    <t>Bhalujodi</t>
  </si>
  <si>
    <t>Daya Patra</t>
  </si>
  <si>
    <t>VLSC Village Volunteer’s Name</t>
  </si>
  <si>
    <t>Gopinath Kulesika</t>
  </si>
  <si>
    <t>Mukuli Mandinga</t>
  </si>
  <si>
    <t>Parada Kulesika</t>
  </si>
  <si>
    <t>No. of Villages within the MWS :</t>
  </si>
  <si>
    <t>No. of VLSCs within the MWS :</t>
  </si>
  <si>
    <t>Vulnerable / Destitute</t>
  </si>
  <si>
    <t>Financial Year wise Expenditure (in Rs. Lakhs)</t>
  </si>
  <si>
    <t>Ha.</t>
  </si>
  <si>
    <t>Form A : MWS Fact Sheet (LAXMIPUR)</t>
  </si>
  <si>
    <t>Maa Manidei</t>
  </si>
  <si>
    <t xml:space="preserve">OR-N-10-08-01-01-01 (II) </t>
  </si>
  <si>
    <t>Gopinath Khara</t>
  </si>
  <si>
    <t>Bharat Mandinga</t>
  </si>
  <si>
    <t>Gobinda Khusala</t>
  </si>
  <si>
    <t>Patidi Mandinga,(CM).Khalakana</t>
  </si>
  <si>
    <t>Khalakana</t>
  </si>
  <si>
    <t>Kanapai</t>
  </si>
  <si>
    <t>Sutiguda</t>
  </si>
  <si>
    <t>Luduriput</t>
  </si>
  <si>
    <t>Prabhudra Bidika</t>
  </si>
  <si>
    <t>Patra Mandinga</t>
  </si>
  <si>
    <t>Bandra madinga</t>
  </si>
  <si>
    <t>Salamah Mandal</t>
  </si>
  <si>
    <t>Gobinda Kulesha</t>
  </si>
  <si>
    <t>Ranasingha</t>
  </si>
  <si>
    <t>OR-N-10-08-03-02-01 (II)</t>
  </si>
  <si>
    <t>Subash Mahuka</t>
  </si>
  <si>
    <t>Nakula Kecheka</t>
  </si>
  <si>
    <t>Nandhni Sabora</t>
  </si>
  <si>
    <t>Rabi Halwa-CM-9438165975</t>
  </si>
  <si>
    <t>Karaguda</t>
  </si>
  <si>
    <t>DP'Guda</t>
  </si>
  <si>
    <t>Dharada</t>
  </si>
  <si>
    <t>Rathaguda</t>
  </si>
  <si>
    <t>Chandra Wadeka</t>
  </si>
  <si>
    <t>Bhagabana Kucheka</t>
  </si>
  <si>
    <t>Sukoi Kucheka</t>
  </si>
  <si>
    <t>Prakash Wadeka</t>
  </si>
  <si>
    <t>Bhaskar Kucheka</t>
  </si>
  <si>
    <t>Mage Kucheka</t>
  </si>
  <si>
    <t>Kadingmali</t>
  </si>
  <si>
    <t>OR-N-10-08-03-01-01 (III)</t>
  </si>
  <si>
    <t>Bibhisan Halwa</t>
  </si>
  <si>
    <t>Dinabandhu Mandinga</t>
  </si>
  <si>
    <t>Jaga Mandinga</t>
  </si>
  <si>
    <t>Biriguda</t>
  </si>
  <si>
    <t>Kenduadar</t>
  </si>
  <si>
    <t>Perudiguda</t>
  </si>
  <si>
    <t>Saburu Mandinga</t>
  </si>
  <si>
    <t>Soibi Mandinga</t>
  </si>
  <si>
    <t>Delip Mandinga</t>
  </si>
  <si>
    <t>Bansi Mandinga</t>
  </si>
  <si>
    <t>Dash Mandinga</t>
  </si>
  <si>
    <t>Ama Dei</t>
  </si>
  <si>
    <t>OR-N-10-08-01-01-02 (II)</t>
  </si>
  <si>
    <t>Harsha Mandinga</t>
  </si>
  <si>
    <t>Narshi Waleka</t>
  </si>
  <si>
    <t>Rukuna Mandinga</t>
  </si>
  <si>
    <t>Hari Miniaka-CM-9439528393</t>
  </si>
  <si>
    <t>Bhitarguda</t>
  </si>
  <si>
    <t>Koijhankar</t>
  </si>
  <si>
    <t>Dasari Miniaka</t>
  </si>
  <si>
    <t>Nabina Miniaka</t>
  </si>
  <si>
    <t>Sorana Miniaka</t>
  </si>
  <si>
    <t>Birisaunra</t>
  </si>
  <si>
    <t>OR-N-10-08-02-02-01 (II)</t>
  </si>
  <si>
    <t>Nayak Miniaka</t>
  </si>
  <si>
    <t>Arjuna Miniaka</t>
  </si>
  <si>
    <t>Tima Miniyaka</t>
  </si>
  <si>
    <t>Tima Miniyaka-CM-9778870231</t>
  </si>
  <si>
    <t>U.Kutinga</t>
  </si>
  <si>
    <t>Durlava Miniyaka</t>
  </si>
  <si>
    <t>Surendra Miniyaka</t>
  </si>
  <si>
    <t>Minati Miniyaka,Santosh Miniyaka,Jhadu Miniyaka</t>
  </si>
  <si>
    <t>Minati Miniyaka</t>
  </si>
  <si>
    <t>Timibandha</t>
  </si>
  <si>
    <t>Aorla Miniaka</t>
  </si>
  <si>
    <t>Mangaldan Miniaka</t>
  </si>
  <si>
    <t>Sanjukta Miniyaka</t>
  </si>
  <si>
    <t>Rohini Miniyaka-9778879958</t>
  </si>
  <si>
    <t>Talakutinga</t>
  </si>
  <si>
    <t>Lenka Miniyaka</t>
  </si>
  <si>
    <t>Kumbheswar Miniyaka,Rohini Miniyaka,Alesha Miniyaka</t>
  </si>
  <si>
    <t>Singari Miniyaka</t>
  </si>
  <si>
    <t>Majhigouri</t>
  </si>
  <si>
    <t>OR-N-10-08-02-02-02 (II)</t>
  </si>
  <si>
    <t>Jakshya Wadeka</t>
  </si>
  <si>
    <t>Sanjib Miniaka</t>
  </si>
  <si>
    <t>Jaga Voinsha</t>
  </si>
  <si>
    <t>Jakshya Wadeka-9439169992</t>
  </si>
  <si>
    <t>Minapai</t>
  </si>
  <si>
    <t>Balingi</t>
  </si>
  <si>
    <t>Pandkapadar</t>
  </si>
  <si>
    <t>Purno Miniyaka</t>
  </si>
  <si>
    <t>Mela Miniyaka</t>
  </si>
  <si>
    <t>Akshaya Miniyaka</t>
  </si>
  <si>
    <t>Bateswar</t>
  </si>
  <si>
    <t>OR-I-11-05-07-01-01 (II)</t>
  </si>
  <si>
    <t>Bhagaban Khosla</t>
  </si>
  <si>
    <t>Amina Jani</t>
  </si>
  <si>
    <t>Amina Jani-9437621693</t>
  </si>
  <si>
    <t>Kundar</t>
  </si>
  <si>
    <t>Jhodikanda</t>
  </si>
  <si>
    <t>Chendiguda</t>
  </si>
  <si>
    <t>Munu Khoshala</t>
  </si>
  <si>
    <t>Makar Jani</t>
  </si>
  <si>
    <t>Dibu Muduli,Kerhas Jani,Sarat Khoshala</t>
  </si>
  <si>
    <t>Pataleswar</t>
  </si>
  <si>
    <t>Rabindra Padhy</t>
  </si>
  <si>
    <t>Khosla Dami</t>
  </si>
  <si>
    <t>Chachi Nandibali</t>
  </si>
  <si>
    <t>A.Ambaguda</t>
  </si>
  <si>
    <t>Ledriguda</t>
  </si>
  <si>
    <t>Ramesh Bhoi</t>
  </si>
  <si>
    <t>Prasanta Panda,Gopal Dani,Banabasi Roula</t>
  </si>
  <si>
    <t>Chachi Nandibadi</t>
  </si>
  <si>
    <t>ACHANA TUNUKA</t>
  </si>
  <si>
    <t>DANDU KADRAKA</t>
  </si>
  <si>
    <t>DALANA PIDIKA</t>
  </si>
  <si>
    <t>BRUNDABATI SAHU</t>
  </si>
  <si>
    <t>GURUA TUNUKA</t>
  </si>
  <si>
    <t>MANA KULESIKA</t>
  </si>
  <si>
    <t>BARJA PIDIKA</t>
  </si>
  <si>
    <t>RANGAMGUDA</t>
  </si>
  <si>
    <t>DURIYA KULESIKA</t>
  </si>
  <si>
    <t>DASARATHI PIDIKE</t>
  </si>
  <si>
    <t>Rangamguda</t>
  </si>
  <si>
    <t>Debadala</t>
  </si>
  <si>
    <t>Kotaguda</t>
  </si>
  <si>
    <t>Jaguguda</t>
  </si>
  <si>
    <t>AT/PO K.JAGUGUDA</t>
  </si>
  <si>
    <t>BHUNDABATI SAHU</t>
  </si>
  <si>
    <t>LATI HARAKA</t>
  </si>
  <si>
    <t>HARAKA KAMEYA</t>
  </si>
  <si>
    <t>OR-10-06-23-02-02</t>
  </si>
  <si>
    <t>Maa Mangala</t>
  </si>
  <si>
    <t>Form A : MWS Fact Sheet (Bandhugaon)</t>
  </si>
  <si>
    <t>HARAKA RAMA</t>
  </si>
  <si>
    <t>DAMANA HARAKA</t>
  </si>
  <si>
    <t>BISWANATH JAKAKA</t>
  </si>
  <si>
    <t>MINAKETAN KALPA</t>
  </si>
  <si>
    <t>GURUNATH AWALU</t>
  </si>
  <si>
    <t>SITALU</t>
  </si>
  <si>
    <t>HARAKA MAHU</t>
  </si>
  <si>
    <t>Antamada</t>
  </si>
  <si>
    <t>Kunteshu</t>
  </si>
  <si>
    <t>Leding</t>
  </si>
  <si>
    <t>AT-LEDINGI, PO-K.JAGUGUDA,VIA-BANDHUGAON DIST-KORAPUT (ODISHA)</t>
  </si>
  <si>
    <t>JAGARAO KADAKA (SARAPANCHA)</t>
  </si>
  <si>
    <t>DAMADHAR MANDIAN SAHU</t>
  </si>
  <si>
    <t>OR-10-06-23-02-03</t>
  </si>
  <si>
    <t>Maa Bhavani</t>
  </si>
  <si>
    <t>MELENA MELEKA</t>
  </si>
  <si>
    <t>RAMARAO MELEKA</t>
  </si>
  <si>
    <t>RAMARAO HUIKA</t>
  </si>
  <si>
    <t>DIU MELEKA</t>
  </si>
  <si>
    <t>MALATI MANDINGI</t>
  </si>
  <si>
    <t>TUMPHA HUIKA</t>
  </si>
  <si>
    <t>JAGA MELEKA</t>
  </si>
  <si>
    <t>BANA MELEKA</t>
  </si>
  <si>
    <t>HUIKA TAUDU</t>
  </si>
  <si>
    <t>Kupakhal</t>
  </si>
  <si>
    <t>Ginjikhal</t>
  </si>
  <si>
    <t>Parting</t>
  </si>
  <si>
    <t>AT, GINIJIKHAL, POST- KUMBHRIPUT</t>
  </si>
  <si>
    <t>RANJAN KU. PANDU</t>
  </si>
  <si>
    <t>DAMANA MELEKA</t>
  </si>
  <si>
    <t>OR-10-06-21-02-02</t>
  </si>
  <si>
    <t>Trinath</t>
  </si>
  <si>
    <t>LADU OLKA</t>
  </si>
  <si>
    <t>JALANDAR KHORA</t>
  </si>
  <si>
    <t>DASAMATI SARAKS</t>
  </si>
  <si>
    <t>JETU ULAKA</t>
  </si>
  <si>
    <t>EREKANA PRESKA</t>
  </si>
  <si>
    <t>ISWAR MELEKA</t>
  </si>
  <si>
    <t>NILADRI HEELUKA</t>
  </si>
  <si>
    <t>BASANTI PRASKA</t>
  </si>
  <si>
    <t>MINA SARKA</t>
  </si>
  <si>
    <t>Boriput</t>
  </si>
  <si>
    <t>Gulmiguda</t>
  </si>
  <si>
    <t>Mahaguda</t>
  </si>
  <si>
    <t>Kutrabeda</t>
  </si>
  <si>
    <t>AT/PO- KULRABEDA, VIA-B.GAM, 
DIST-KORAPUT</t>
  </si>
  <si>
    <t>DASHEMATI SARAKA</t>
  </si>
  <si>
    <t>SRIDHAR KHORA</t>
  </si>
  <si>
    <t>LADU HULUKS</t>
  </si>
  <si>
    <t>OR-10-06-23-01-01</t>
  </si>
  <si>
    <t>NARAYAN HARAKA</t>
  </si>
  <si>
    <t>RATU WATAKA</t>
  </si>
  <si>
    <t>KAYU  MELEKA</t>
  </si>
  <si>
    <t>SUBEYA HIMIRIKA</t>
  </si>
  <si>
    <t>WALSI MELEKA</t>
  </si>
  <si>
    <t>WATAKA MALTI</t>
  </si>
  <si>
    <t>Ramjiput</t>
  </si>
  <si>
    <t>Kanagoan</t>
  </si>
  <si>
    <t>AT/O- KANAGAM, VIA-BANDHUGAM, DIST- KORAPUT(OD)</t>
  </si>
  <si>
    <t>SRI RAM HULUKA</t>
  </si>
  <si>
    <t>RATNU WATTAKA</t>
  </si>
  <si>
    <t>SANYASHI MELEKA</t>
  </si>
  <si>
    <t>OR-10-06-21-01-01</t>
  </si>
  <si>
    <t>Godahada</t>
  </si>
  <si>
    <t>HIMA NIALI</t>
  </si>
  <si>
    <t>JAGANA PRASKA</t>
  </si>
  <si>
    <t>UJA KANJAKA</t>
  </si>
  <si>
    <t>SADARAM PIDIKA</t>
  </si>
  <si>
    <t>PURIT KHARSHI</t>
  </si>
  <si>
    <t>JAGARAO PRASKA</t>
  </si>
  <si>
    <t>GUMPHA KANJAKA</t>
  </si>
  <si>
    <t>ANAMA BIDIKA</t>
  </si>
  <si>
    <t>RAMASOMI NILAI</t>
  </si>
  <si>
    <t>SINGHI MELEKA</t>
  </si>
  <si>
    <t>ISIMO KOGAKA</t>
  </si>
  <si>
    <t>BAMAI MANDINGI</t>
  </si>
  <si>
    <t>BARIHABATA</t>
  </si>
  <si>
    <t>B.Gurushi</t>
  </si>
  <si>
    <t>K.Gurushi</t>
  </si>
  <si>
    <t>Sodabadi</t>
  </si>
  <si>
    <t>AT/PO- SADABADI, VIA-B. GAM, DIST KORAUT</t>
  </si>
  <si>
    <t>SADARM PIDIKA</t>
  </si>
  <si>
    <t>SASI MANDINGI</t>
  </si>
  <si>
    <t>BHIMA NIALI</t>
  </si>
  <si>
    <t>OR-10-06-25-01-02</t>
  </si>
  <si>
    <t>Agni Gangama</t>
  </si>
  <si>
    <t>Banguru Pidika</t>
  </si>
  <si>
    <t>Ankati Meleka</t>
  </si>
  <si>
    <t>Kameswat Pidika</t>
  </si>
  <si>
    <t>Nalla Koleka</t>
  </si>
  <si>
    <t>Kadarika Mina</t>
  </si>
  <si>
    <t>Chidibalsa</t>
  </si>
  <si>
    <t>Hatigeda</t>
  </si>
  <si>
    <t xml:space="preserve">Almonda </t>
  </si>
  <si>
    <t>AT. HATIGEDA PO- ALMONDA, BANDHUGAON</t>
  </si>
  <si>
    <t>ANKATI MELEKA</t>
  </si>
  <si>
    <t>D. SURESH KUMAR</t>
  </si>
  <si>
    <t>NALLA SIMANCHALA</t>
  </si>
  <si>
    <t>OR-10-06-17-01-02</t>
  </si>
  <si>
    <t>Jhankiriama</t>
  </si>
  <si>
    <t>SAMANA HIMIRIKA</t>
  </si>
  <si>
    <t>HIMIRIKA EANKATI</t>
  </si>
  <si>
    <t>KONDAGARI DOMBU</t>
  </si>
  <si>
    <t>HIMIRIKA SANGANA</t>
  </si>
  <si>
    <t>HIMIRIKA ANAMA</t>
  </si>
  <si>
    <t>KONDAGARI LACHANA</t>
  </si>
  <si>
    <t>KANDAVALSA</t>
  </si>
  <si>
    <t>Badabankidi</t>
  </si>
  <si>
    <t>HANDRAMA SENAPATI , AT, BANKIDI, PO, ALMANDA, VIA-BANDHUGAON</t>
  </si>
  <si>
    <t>CHANDRANA SENAPATI</t>
  </si>
  <si>
    <t>SITARAM SENAPATI</t>
  </si>
  <si>
    <t>OR-10-06-17-01-01</t>
  </si>
  <si>
    <t>Maa Taradevi</t>
  </si>
  <si>
    <t>LAXMI HIKAKA</t>
  </si>
  <si>
    <t>TATADI SARASWATI</t>
  </si>
  <si>
    <t>RAMANA KADRAKA</t>
  </si>
  <si>
    <t>SURENDRA KHOSHLA</t>
  </si>
  <si>
    <t>JABADI KRISHNA</t>
  </si>
  <si>
    <t>CHANDRA RAO KALAPA</t>
  </si>
  <si>
    <t>GHABASH KENDRUKS</t>
  </si>
  <si>
    <t>T.SRINATI</t>
  </si>
  <si>
    <t>Raghumada</t>
  </si>
  <si>
    <t>Keshavadra</t>
  </si>
  <si>
    <t>Katulpeta</t>
  </si>
  <si>
    <t>AT. KATALUPETA, PO. ALAMANDA
VIA-B.GAM, DIST-KORAPUT</t>
  </si>
  <si>
    <t>TARADI SARASWATI</t>
  </si>
  <si>
    <t>K.SATYARAJU</t>
  </si>
  <si>
    <t>MAHAN KALPA</t>
  </si>
  <si>
    <t>OR-10-06-19-01-01</t>
  </si>
  <si>
    <t>Padalama</t>
  </si>
  <si>
    <t>SOMIA KADRAKA</t>
  </si>
  <si>
    <t>ANAMA KADARAKA</t>
  </si>
  <si>
    <t>RAMIA KADRAKA</t>
  </si>
  <si>
    <t>VASKAR PALUBALSA</t>
  </si>
  <si>
    <t>LACHIA KADARAKA</t>
  </si>
  <si>
    <t>Talapatesu</t>
  </si>
  <si>
    <t>Yellangabalsa</t>
  </si>
  <si>
    <t>Yesada</t>
  </si>
  <si>
    <t>AT. ASADA, PO. ALEMANDA,
VIA. BANDHUGAM, DIST. KORAPUT</t>
  </si>
  <si>
    <t>SOMIA KADARAKA</t>
  </si>
  <si>
    <t>BIJU KADARAKA</t>
  </si>
  <si>
    <t>OR-10-06-19-21-03</t>
  </si>
  <si>
    <t>Majhi Gouri</t>
  </si>
  <si>
    <t>Paramakanda</t>
  </si>
  <si>
    <t>OR-10-06-08-02-02/II</t>
  </si>
  <si>
    <t>Keadruka Sadora</t>
  </si>
  <si>
    <t>Narendra Sethy</t>
  </si>
  <si>
    <t>Huika Lachmi</t>
  </si>
  <si>
    <t>At/ Borigi Po/ Borigi Via - N.patna Kpt</t>
  </si>
  <si>
    <t>Kandaborigi</t>
  </si>
  <si>
    <t>Borigi</t>
  </si>
  <si>
    <t>Jamdawalsa</t>
  </si>
  <si>
    <t>Susanta Praska</t>
  </si>
  <si>
    <t>Iswar Huika</t>
  </si>
  <si>
    <t xml:space="preserve">Nuka Tading </t>
  </si>
  <si>
    <t>Pidika Kusuma</t>
  </si>
  <si>
    <t>Laku Kondagari</t>
  </si>
  <si>
    <t>Apolswamy Tading</t>
  </si>
  <si>
    <t>Smt. Tading Buchi</t>
  </si>
  <si>
    <t>j.Amma Dabarpalli</t>
  </si>
  <si>
    <t>Form A : MWS Fact Sheet (Narayanpatna)</t>
  </si>
  <si>
    <t>Atamama</t>
  </si>
  <si>
    <t>OR-10-06-05-01-01/II</t>
  </si>
  <si>
    <t>Minaketan Mahanandia</t>
  </si>
  <si>
    <t>Rajendra Mahanandia</t>
  </si>
  <si>
    <t xml:space="preserve">Liu Nachika ( Sarapanch) </t>
  </si>
  <si>
    <t xml:space="preserve">At/ Podapadar ,Po/ Podapadar via / N.patna Dist - Kpt Phone - 9437776899 </t>
  </si>
  <si>
    <t>Tinginaput</t>
  </si>
  <si>
    <t>Samana</t>
  </si>
  <si>
    <t>Prakash Bagh</t>
  </si>
  <si>
    <t>Wadeka Limbe</t>
  </si>
  <si>
    <t xml:space="preserve">Nachika Purna </t>
  </si>
  <si>
    <t>Wadeka Sapai</t>
  </si>
  <si>
    <t>Wadeka Maleya</t>
  </si>
  <si>
    <t xml:space="preserve">Darshan Khosla </t>
  </si>
  <si>
    <t>Smt. Renuka  Parida</t>
  </si>
  <si>
    <t xml:space="preserve">pui  nachika </t>
  </si>
  <si>
    <t>Smt. S. Nachika</t>
  </si>
  <si>
    <t>Gangadevi</t>
  </si>
  <si>
    <t>OR-10-06-16-01-03/II</t>
  </si>
  <si>
    <t>Narendra Pidika</t>
  </si>
  <si>
    <t>Papaya Pidika</t>
  </si>
  <si>
    <t>At/ Berla Po/ Borigi via -N.patna kpt</t>
  </si>
  <si>
    <t>Phulbari</t>
  </si>
  <si>
    <t>Kankanput</t>
  </si>
  <si>
    <t>Berla</t>
  </si>
  <si>
    <t>Dihuda</t>
  </si>
  <si>
    <t>Pidika Kameya</t>
  </si>
  <si>
    <t xml:space="preserve">Sidarapu Dihudu </t>
  </si>
  <si>
    <t>Ruhini Nachika</t>
  </si>
  <si>
    <t>Pidika Hakina</t>
  </si>
  <si>
    <t>sidarapu Sansa</t>
  </si>
  <si>
    <t xml:space="preserve">Nachika seleya </t>
  </si>
  <si>
    <t>Sidarapu Nilamani</t>
  </si>
  <si>
    <t>Gangadevta</t>
  </si>
  <si>
    <t>OR-10-06-08-02-01/II</t>
  </si>
  <si>
    <t>Narsena Huika</t>
  </si>
  <si>
    <t>Surendra Pangi</t>
  </si>
  <si>
    <t>At/ Kelubadi po/ Borigi  via- N.patna Kpt</t>
  </si>
  <si>
    <t>Kulubadi</t>
  </si>
  <si>
    <t>Karkaitiki</t>
  </si>
  <si>
    <t>Pedaitiki</t>
  </si>
  <si>
    <t>Nadimitiki</t>
  </si>
  <si>
    <t>Tilsu Huika</t>
  </si>
  <si>
    <t>Suka Pidika</t>
  </si>
  <si>
    <t>Dandu Pidika</t>
  </si>
  <si>
    <t>Biswanath Pangi</t>
  </si>
  <si>
    <t>Saheb Kondagari</t>
  </si>
  <si>
    <t xml:space="preserve">Katarao Pidika </t>
  </si>
  <si>
    <t>Kia pidika</t>
  </si>
  <si>
    <t>Apana Pidika</t>
  </si>
  <si>
    <t>Arjun Manding</t>
  </si>
  <si>
    <t>Singana Pidika</t>
  </si>
  <si>
    <t>Dandu pidika</t>
  </si>
  <si>
    <t>Arja Pidika</t>
  </si>
  <si>
    <t>Santinagar</t>
  </si>
  <si>
    <t>OR-10-06-06-02-02/II</t>
  </si>
  <si>
    <t>Papeya Tading</t>
  </si>
  <si>
    <t>Bishu Manding</t>
  </si>
  <si>
    <t>Huika Lachhmi</t>
  </si>
  <si>
    <t xml:space="preserve">At/ kilmish po / borigi Via- N.patna </t>
  </si>
  <si>
    <t>Kilmis</t>
  </si>
  <si>
    <t>Kambibalsa</t>
  </si>
  <si>
    <t>Dugam</t>
  </si>
  <si>
    <t>Jilika Eleya</t>
  </si>
  <si>
    <t>Surendra Kulesika</t>
  </si>
  <si>
    <t>L.Trinath</t>
  </si>
  <si>
    <t>Manding Papeya</t>
  </si>
  <si>
    <t>Tading Achma</t>
  </si>
  <si>
    <t>Tading Salpu</t>
  </si>
  <si>
    <t>Mali Himerika</t>
  </si>
  <si>
    <t>Amri Tading</t>
  </si>
  <si>
    <t>Indirama</t>
  </si>
  <si>
    <t>OR-10-06-06-02-01/II</t>
  </si>
  <si>
    <t>Sitara Manding</t>
  </si>
  <si>
    <t>Papana Manding</t>
  </si>
  <si>
    <t>Purna Manding</t>
  </si>
  <si>
    <t xml:space="preserve">At/ Langalbeda po- borigi via- N.patna Kpt </t>
  </si>
  <si>
    <t>Langalbeda</t>
  </si>
  <si>
    <t>Renga</t>
  </si>
  <si>
    <t>Uparulbari</t>
  </si>
  <si>
    <t>Talaulbari</t>
  </si>
  <si>
    <t>Manding Sinapa</t>
  </si>
  <si>
    <t>Moka Mangudu</t>
  </si>
  <si>
    <t>Paleka Tilsu</t>
  </si>
  <si>
    <t>Sibram choudhury</t>
  </si>
  <si>
    <t>Gangadhar Paleka</t>
  </si>
  <si>
    <t>Manding Mohan</t>
  </si>
  <si>
    <t>Mouka Nala</t>
  </si>
  <si>
    <t>Manding Nila Kantha</t>
  </si>
  <si>
    <t>Narsu Manding / Narsi Bidika</t>
  </si>
  <si>
    <t>Smt. Kendruka Sindha</t>
  </si>
  <si>
    <t>Penubandha</t>
  </si>
  <si>
    <t>OR-10-06-04-01-01/II</t>
  </si>
  <si>
    <t>Kia Mouka</t>
  </si>
  <si>
    <t>Binaya Muduli</t>
  </si>
  <si>
    <t xml:space="preserve">Makar Huika </t>
  </si>
  <si>
    <t>Pipalpadar po/ Tentulipadar via/ N.patna Dist- Kpt</t>
  </si>
  <si>
    <t>Pipalpadar</t>
  </si>
  <si>
    <t>Pindamali</t>
  </si>
  <si>
    <t>Kardapai</t>
  </si>
  <si>
    <t xml:space="preserve">Kia muoka </t>
  </si>
  <si>
    <t>Masku Tading</t>
  </si>
  <si>
    <t xml:space="preserve">Jura mouka </t>
  </si>
  <si>
    <t>Basanta sahoo</t>
  </si>
  <si>
    <t xml:space="preserve">Asu Mouka </t>
  </si>
  <si>
    <t>Tapan Gouda</t>
  </si>
  <si>
    <t>Jena Mouka</t>
  </si>
  <si>
    <t>Tading Kelu</t>
  </si>
  <si>
    <t>Jadi Tading</t>
  </si>
  <si>
    <t>OR-10-06-13-01-03/II</t>
  </si>
  <si>
    <t>Basudev Manding</t>
  </si>
  <si>
    <t>Judhister Bagh</t>
  </si>
  <si>
    <t>Rabi Kadtasia</t>
  </si>
  <si>
    <t>At/ palur po/ Jogipalur via- n.Patna , Kpt</t>
  </si>
  <si>
    <t>Pilibari</t>
  </si>
  <si>
    <t>Dhaiguda</t>
  </si>
  <si>
    <t>Pongapalur</t>
  </si>
  <si>
    <t>Gorkhajhola</t>
  </si>
  <si>
    <t>Krushna Habika</t>
  </si>
  <si>
    <t xml:space="preserve">Hari Manding </t>
  </si>
  <si>
    <t>Karti Hikaka</t>
  </si>
  <si>
    <t>Das Manding</t>
  </si>
  <si>
    <t>Katru Praska</t>
  </si>
  <si>
    <t>Bulu Habika</t>
  </si>
  <si>
    <t xml:space="preserve">Jaglu Kendruka </t>
  </si>
  <si>
    <t>Rajani Dalei</t>
  </si>
  <si>
    <t>Saja Miniaka</t>
  </si>
  <si>
    <t>Penukupa</t>
  </si>
  <si>
    <t>OR-10-06-06-01-02/II</t>
  </si>
  <si>
    <t>Tading Bisu</t>
  </si>
  <si>
    <t>Chandra Tading</t>
  </si>
  <si>
    <t xml:space="preserve">At/ Vhittarlachha po/ Borigi Via - N.patna Kpt </t>
  </si>
  <si>
    <t>Bhitarlachha</t>
  </si>
  <si>
    <t>Nasakabaringi</t>
  </si>
  <si>
    <t>Kadrakabaringi</t>
  </si>
  <si>
    <t>Kishore Nachika</t>
  </si>
  <si>
    <t>Krushna Nachika</t>
  </si>
  <si>
    <t>Kadraka Ringu</t>
  </si>
  <si>
    <t>T.srikant</t>
  </si>
  <si>
    <t>Tading Ganga</t>
  </si>
  <si>
    <t>Kadraka Guduli</t>
  </si>
  <si>
    <t>Tading Bishu</t>
  </si>
  <si>
    <t>Nacchika Sarbu</t>
  </si>
  <si>
    <t>Banadurga</t>
  </si>
  <si>
    <t>OR-10-06-15-01-01/II</t>
  </si>
  <si>
    <t>Sidharapu Lachana</t>
  </si>
  <si>
    <t>Sidharapu Bishu</t>
  </si>
  <si>
    <t>At/ Kaswawalsa po/ Borigi via- N.patna Kpt</t>
  </si>
  <si>
    <t>Hukumpeta</t>
  </si>
  <si>
    <t>Kaspabalsa</t>
  </si>
  <si>
    <t>Dalaipeta</t>
  </si>
  <si>
    <t>P.K.Bhadra</t>
  </si>
  <si>
    <t>C.K.Bhadra</t>
  </si>
  <si>
    <t>Tading Asu</t>
  </si>
  <si>
    <t>G. Giri choudhury</t>
  </si>
  <si>
    <t>Maleka Sriram</t>
  </si>
  <si>
    <t>Pidika sankeri</t>
  </si>
  <si>
    <t>Tading Batri</t>
  </si>
  <si>
    <t>Tading Maleya</t>
  </si>
  <si>
    <t>Manding Rajapa</t>
  </si>
  <si>
    <t>Maleka Siteya</t>
  </si>
  <si>
    <t>Sidarapu Sundarma</t>
  </si>
  <si>
    <t>Rohisi Kadraka</t>
  </si>
  <si>
    <t>Jay Maa Nisanimunda</t>
  </si>
  <si>
    <t>0405020705080201 P-1</t>
  </si>
  <si>
    <t>Laicha Saunta</t>
  </si>
  <si>
    <t>Dinabandhu Miniaka</t>
  </si>
  <si>
    <t>Fagu Saunta</t>
  </si>
  <si>
    <t>At-bejinkhola,po-Gadiaguda,OMP Line,Dasamantapur,Koraput</t>
  </si>
  <si>
    <t>Khajuriput</t>
  </si>
  <si>
    <t>Vejinikhala</t>
  </si>
  <si>
    <t>2012-13</t>
  </si>
  <si>
    <t>2013-14</t>
  </si>
  <si>
    <t>2014-15</t>
  </si>
  <si>
    <t>Maa Nisanimunda</t>
  </si>
  <si>
    <t>0405020705080201</t>
  </si>
  <si>
    <t>Rukuna Muduli</t>
  </si>
  <si>
    <t>Ganapati Muduli</t>
  </si>
  <si>
    <t>Hara Jani</t>
  </si>
  <si>
    <t>At -Podeiput,po-Gadiaguda,OMP Line,Dasamantapur,Koraput</t>
  </si>
  <si>
    <t>Padeiput</t>
  </si>
  <si>
    <t>Raniguda</t>
  </si>
  <si>
    <t>0405020705100201P-1</t>
  </si>
  <si>
    <t>Laba Gadaba</t>
  </si>
  <si>
    <t>Shyama Paraja</t>
  </si>
  <si>
    <t>Subarna Kuldip &amp; Pratima petia</t>
  </si>
  <si>
    <t>At /po-A.malkanagiri,OMP Line,Dasamantapur,Koraput</t>
  </si>
  <si>
    <t>A.Malkangiri</t>
  </si>
  <si>
    <t>Kauguda</t>
  </si>
  <si>
    <t>0405020705100201P-2</t>
  </si>
  <si>
    <t>Tula Muduli</t>
  </si>
  <si>
    <t>Kamlu Bhoi</t>
  </si>
  <si>
    <t>Purna Jani</t>
  </si>
  <si>
    <t>At-K.Janiguda,po-A.malkanagiri,OMP Line,Dasamantapur,Koraput</t>
  </si>
  <si>
    <t>Kartas</t>
  </si>
  <si>
    <t>K.Janiguda</t>
  </si>
  <si>
    <t>0405020705090102</t>
  </si>
  <si>
    <t>Mohan Disari</t>
  </si>
  <si>
    <t>Raghunath Krisani</t>
  </si>
  <si>
    <t>Damburu Krisani</t>
  </si>
  <si>
    <t>At-Naranga,po-Podagada,OMP Line,Dasamantapur,Koraput</t>
  </si>
  <si>
    <t>Naranga</t>
  </si>
  <si>
    <t>Rautput</t>
  </si>
  <si>
    <t>T.Naranga</t>
  </si>
  <si>
    <t>Jamukoliguda</t>
  </si>
  <si>
    <t>Nabina Saunta</t>
  </si>
  <si>
    <t>Ramesh Takri</t>
  </si>
  <si>
    <t>Dhanapati Disari</t>
  </si>
  <si>
    <t>Trinath Nayak</t>
  </si>
  <si>
    <t>0405020705100207</t>
  </si>
  <si>
    <t>Singha Jani</t>
  </si>
  <si>
    <t>Biswanath Muduli</t>
  </si>
  <si>
    <t>At -Parajapuki,po-A.malkanagiri,OMP Line,Dasamantapur,Koraput</t>
  </si>
  <si>
    <t>Parajapuki</t>
  </si>
  <si>
    <t>Chinginamari</t>
  </si>
  <si>
    <t>Maa Mauli Dadibudha</t>
  </si>
  <si>
    <t>0405020705110101</t>
  </si>
  <si>
    <t>Dasaratha Muduli</t>
  </si>
  <si>
    <t>Siba Saunta</t>
  </si>
  <si>
    <t>Laba Paraja</t>
  </si>
  <si>
    <t>At-Chakili,po-Paika phulabeda,OMP Line,Dasamantapur,Koraput</t>
  </si>
  <si>
    <t>Chakili</t>
  </si>
  <si>
    <t>Form A : MWS Fact Sheet (Dasmantpur)</t>
  </si>
  <si>
    <t>405020705110201</t>
  </si>
  <si>
    <t>Madhaba Jani</t>
  </si>
  <si>
    <t>Damu Paraja</t>
  </si>
  <si>
    <t>Bali Muduli</t>
  </si>
  <si>
    <t>At -Bagribeda,po-Nandigaon,OMP Line,Dasamantapur,Koraput</t>
  </si>
  <si>
    <t>Bagribeda</t>
  </si>
  <si>
    <t>Banuaguda</t>
  </si>
  <si>
    <t>Totaguda</t>
  </si>
  <si>
    <t>Rama Kamar</t>
  </si>
  <si>
    <t>Utama Bisari</t>
  </si>
  <si>
    <t>Sanjeeb Muduli</t>
  </si>
  <si>
    <t>Jagabandhu Gouda</t>
  </si>
  <si>
    <t>405020705350102</t>
  </si>
  <si>
    <t>Ramantha Jani</t>
  </si>
  <si>
    <t>Mathaba Muduli</t>
  </si>
  <si>
    <t>Kamal lochana Muduli &amp; Adia Muduli</t>
  </si>
  <si>
    <t>At-Parajasujuli po-Nandigaon,OMP Line,Dasamantapur,Koraput</t>
  </si>
  <si>
    <t>Paraja Sujuli</t>
  </si>
  <si>
    <t>Maa Gadri Mali</t>
  </si>
  <si>
    <t>0405020705360203</t>
  </si>
  <si>
    <t>Malini Jani</t>
  </si>
  <si>
    <t>Damburudhar Jani</t>
  </si>
  <si>
    <t>Malini jani</t>
  </si>
  <si>
    <t>At-bageipadar po-Gadiaguda,OMP Line,Dasamantapur,Koraput</t>
  </si>
  <si>
    <t>Paraja Godari</t>
  </si>
  <si>
    <t>Balighat</t>
  </si>
  <si>
    <t>Bageipadar</t>
  </si>
  <si>
    <t>Baghjholla</t>
  </si>
  <si>
    <t>0405010404020103-I</t>
  </si>
  <si>
    <t>Mandia Bollu</t>
  </si>
  <si>
    <t>Lebu Kasaria</t>
  </si>
  <si>
    <t>At:Gugaguda,P.o:Rajuguda,Dist:Koraput</t>
  </si>
  <si>
    <t>Gugaguda</t>
  </si>
  <si>
    <t>Mirialpadu</t>
  </si>
  <si>
    <t>Budhiaguda</t>
  </si>
  <si>
    <t>Putapadu</t>
  </si>
  <si>
    <t>Sara Trinath, Laxman Khara</t>
  </si>
  <si>
    <t>Pata Sukra</t>
  </si>
  <si>
    <t>Dumuri Guntha</t>
  </si>
  <si>
    <t>Sani Majhi</t>
  </si>
  <si>
    <t>Kuremeta</t>
  </si>
  <si>
    <t>0405010404020103-II</t>
  </si>
  <si>
    <t>Dombu Majhi</t>
  </si>
  <si>
    <t>Ramo Kadri</t>
  </si>
  <si>
    <t>Dambu Majhi</t>
  </si>
  <si>
    <t>At:Kurialpadu,P.o:Rajuguda,Dist:Koraput</t>
  </si>
  <si>
    <t>Kurialpadu</t>
  </si>
  <si>
    <t>Kartoloba</t>
  </si>
  <si>
    <t>Rajuguda</t>
  </si>
  <si>
    <t>Jani Bandhu</t>
  </si>
  <si>
    <t>Danu Kadri</t>
  </si>
  <si>
    <t>Jinu Kata</t>
  </si>
  <si>
    <t>Kadri Ghasi</t>
  </si>
  <si>
    <t>Ghasi Kadri</t>
  </si>
  <si>
    <t xml:space="preserve">                     No. of VLSCs within the MWS :</t>
  </si>
  <si>
    <t>Haticheru</t>
  </si>
  <si>
    <t>0405010407010102-II</t>
  </si>
  <si>
    <t>Sara Aita</t>
  </si>
  <si>
    <t>Parameswar Pangi</t>
  </si>
  <si>
    <t>Ghenu Sanyasi, Anata Kadria</t>
  </si>
  <si>
    <t>At:Bedaguda,P.o:Pukali,Dist:Koraput</t>
  </si>
  <si>
    <t>Bedaguda</t>
  </si>
  <si>
    <t>Chopadiguda</t>
  </si>
  <si>
    <t>Ghodaghati</t>
  </si>
  <si>
    <t>Katanaduraguda</t>
  </si>
  <si>
    <t>Maliguda</t>
  </si>
  <si>
    <t>Sisaguda</t>
  </si>
  <si>
    <t>Parameswar Pandia</t>
  </si>
  <si>
    <t>Mangulu Pangi</t>
  </si>
  <si>
    <t>Nilam Pambia, Narendra Bariboi</t>
  </si>
  <si>
    <t>Gori Jani</t>
  </si>
  <si>
    <t>Kamalabandha</t>
  </si>
  <si>
    <t>0405010407010202-II</t>
  </si>
  <si>
    <t>Ramchandra Pondei</t>
  </si>
  <si>
    <t>Bondhu Pondei</t>
  </si>
  <si>
    <t>Sankel Trinath,Katabali Trinath</t>
  </si>
  <si>
    <t>At: M Pondei,P.o:Sambai,Dist:Koraput</t>
  </si>
  <si>
    <t>Maksapondei</t>
  </si>
  <si>
    <t>Bhaliaguda</t>
  </si>
  <si>
    <t>Pandriamabaguda</t>
  </si>
  <si>
    <t>Pondei</t>
  </si>
  <si>
    <t>Phulaguda</t>
  </si>
  <si>
    <t>Buridiguda</t>
  </si>
  <si>
    <t>Trinath Sankel</t>
  </si>
  <si>
    <t>Dusurabarik Sadu</t>
  </si>
  <si>
    <t>Narendra Majhi(Accountant</t>
  </si>
  <si>
    <t>Gundana Sankel</t>
  </si>
  <si>
    <t>Ranjeet Katabali</t>
  </si>
  <si>
    <t>Deba Kadria</t>
  </si>
  <si>
    <t>Trinath kotabali</t>
  </si>
  <si>
    <t>Katabali Trinath</t>
  </si>
  <si>
    <t>Bhagban Adkatia</t>
  </si>
  <si>
    <t xml:space="preserve">                               No. of VLSCs within the MWS :</t>
  </si>
  <si>
    <t>Form A : MWS Fact Sheet (Pottangi)</t>
  </si>
  <si>
    <t>Sindheramoti</t>
  </si>
  <si>
    <t>0405010407010202-I</t>
  </si>
  <si>
    <t>Sanama Khara</t>
  </si>
  <si>
    <t>Masuri Khara</t>
  </si>
  <si>
    <t>Gandhriguda</t>
  </si>
  <si>
    <t>Gudiambaguda</t>
  </si>
  <si>
    <t>Sualoba</t>
  </si>
  <si>
    <t>0405010404020102</t>
  </si>
  <si>
    <t>Mangudu Gamel</t>
  </si>
  <si>
    <t>Adu Jani</t>
  </si>
  <si>
    <t>Sindheri Jambo</t>
  </si>
  <si>
    <t>At:Telrai,P.o:Rajuguda,Dist:Koraput</t>
  </si>
  <si>
    <t>Gunjalpadu</t>
  </si>
  <si>
    <t>Bailpadu</t>
  </si>
  <si>
    <t>Bermamedi</t>
  </si>
  <si>
    <t>Telrai</t>
  </si>
  <si>
    <t>Metabera</t>
  </si>
  <si>
    <t>Rabindra Pangi</t>
  </si>
  <si>
    <t>Sanu Gamel</t>
  </si>
  <si>
    <t>Sonu Majhi</t>
  </si>
  <si>
    <t>Elenga Rajesh</t>
  </si>
  <si>
    <t>Sanjib Pangi</t>
  </si>
  <si>
    <t>Manu Gamel</t>
  </si>
  <si>
    <t>Jambo Sindheri</t>
  </si>
  <si>
    <t xml:space="preserve">              No. of VLSCs within the MWS :</t>
  </si>
  <si>
    <t>Karamjhola</t>
  </si>
  <si>
    <t>405010407010103</t>
  </si>
  <si>
    <t>Bisu Pangi</t>
  </si>
  <si>
    <t>Sikandar Pangi</t>
  </si>
  <si>
    <t>Musari Khara</t>
  </si>
  <si>
    <t>At:Baduguda,P.o:Pukali,P.s:Pottangi,Dist:Koraput</t>
  </si>
  <si>
    <t>Mulaguda</t>
  </si>
  <si>
    <t>Dhemsaguda</t>
  </si>
  <si>
    <t xml:space="preserve">Mulasankar </t>
  </si>
  <si>
    <t>Baduguda</t>
  </si>
  <si>
    <t>Karanjguda</t>
  </si>
  <si>
    <t>Damana Pangi, Sunil Pangi</t>
  </si>
  <si>
    <t>Trinath Masadhi</t>
  </si>
  <si>
    <t>Nandu Pangi</t>
  </si>
  <si>
    <t>Musuri Pangi</t>
  </si>
  <si>
    <t>Bana Durga</t>
  </si>
  <si>
    <t>0405010407010102-I</t>
  </si>
  <si>
    <t>Sukra Khara</t>
  </si>
  <si>
    <t>Guru Khara</t>
  </si>
  <si>
    <t>Pambia Jaya</t>
  </si>
  <si>
    <t>At:Raiguda,P.o:Pukali,Dist:Koraput</t>
  </si>
  <si>
    <t>Kusuma</t>
  </si>
  <si>
    <t>Debtaguda</t>
  </si>
  <si>
    <t>Mandalguda</t>
  </si>
  <si>
    <t>Lanjiguda</t>
  </si>
  <si>
    <t xml:space="preserve">Rajsankar </t>
  </si>
  <si>
    <t>Raiguda</t>
  </si>
  <si>
    <t>Ranginiguda</t>
  </si>
  <si>
    <t>Prasad Pangi</t>
  </si>
  <si>
    <t>Ramchandra Khara</t>
  </si>
  <si>
    <t>Dhanarjaya Dipal</t>
  </si>
  <si>
    <t>Sara Nilam</t>
  </si>
  <si>
    <t>Khara Nilam</t>
  </si>
  <si>
    <t>Dipal Raja Rao</t>
  </si>
  <si>
    <t>Hantal Sambra</t>
  </si>
  <si>
    <t>Hantal Samara</t>
  </si>
  <si>
    <t xml:space="preserve">                         No. of VLSCs within the MWS :</t>
  </si>
  <si>
    <t>Chapanjhola</t>
  </si>
  <si>
    <t>405010407710203</t>
  </si>
  <si>
    <t>Bala Jani</t>
  </si>
  <si>
    <t>Jambri Khillo</t>
  </si>
  <si>
    <t>Krushna Burudi</t>
  </si>
  <si>
    <t>At:Phatu,P.o:Pukali,P.s:Pottangi,Dist:Koraput</t>
  </si>
  <si>
    <t>Phatu</t>
  </si>
  <si>
    <t>Basuguda</t>
  </si>
  <si>
    <t>Sanaphatu</t>
  </si>
  <si>
    <t>Balaram Gurudi, Nanda Burudi, Gangadhar Burudi</t>
  </si>
  <si>
    <t>Ugrasena Burudi,Jayasen Urugei</t>
  </si>
  <si>
    <t>Arju Maska</t>
  </si>
  <si>
    <t>0406010404030101</t>
  </si>
  <si>
    <t>200Ha</t>
  </si>
  <si>
    <t>Kude Basu</t>
  </si>
  <si>
    <t>Mai Pulu</t>
  </si>
  <si>
    <t>Jani Manglu</t>
  </si>
  <si>
    <t>At:P Bitra,P.o:Rajuguda,Dist:Koraput</t>
  </si>
  <si>
    <t>Bitra</t>
  </si>
  <si>
    <t>Talamaudi</t>
  </si>
  <si>
    <t>Pilkabitra</t>
  </si>
  <si>
    <t>Talamanjari</t>
  </si>
  <si>
    <t>Totabalsa</t>
  </si>
  <si>
    <t>Pangi Marsu</t>
  </si>
  <si>
    <t>Jani Sukra</t>
  </si>
  <si>
    <t>Mari Palsu</t>
  </si>
  <si>
    <t>Jani Adaya</t>
  </si>
  <si>
    <t>Mari Sangu</t>
  </si>
  <si>
    <t>Mari Kusuma</t>
  </si>
  <si>
    <t>Jani Mangulu</t>
  </si>
  <si>
    <t xml:space="preserve">                    No. of VLSCs within the MWS :</t>
  </si>
  <si>
    <t xml:space="preserve">0405010407100102 (I) </t>
  </si>
  <si>
    <t>Jaya Sisa</t>
  </si>
  <si>
    <t>Durlavo Khilo</t>
  </si>
  <si>
    <t>Dama Sisa</t>
  </si>
  <si>
    <t>At:Ganakagunja,P.o:Semiliguda,Dist:Koraput</t>
  </si>
  <si>
    <t>Gadikhamara</t>
  </si>
  <si>
    <t>Pujariput</t>
  </si>
  <si>
    <t>Gankagunja</t>
  </si>
  <si>
    <t>Ramnaikput</t>
  </si>
  <si>
    <t>Parjasirimunda</t>
  </si>
  <si>
    <t>Linga Deomali</t>
  </si>
  <si>
    <t xml:space="preserve">0405010407100102 (II) </t>
  </si>
  <si>
    <t>Sona Guntha</t>
  </si>
  <si>
    <t>Borita Choudhry</t>
  </si>
  <si>
    <t>Rama Bhoi</t>
  </si>
  <si>
    <t>At:Paraja Sirimunda</t>
  </si>
  <si>
    <t>Parajasirimunada</t>
  </si>
  <si>
    <t>Kandhasirimunda</t>
  </si>
  <si>
    <t xml:space="preserve"> Baba Gupteswar</t>
  </si>
  <si>
    <t>0405010407090202</t>
  </si>
  <si>
    <t>Arjun Majhi</t>
  </si>
  <si>
    <t>Nilambar Khara</t>
  </si>
  <si>
    <t>Maunabati Chopadi</t>
  </si>
  <si>
    <t>At:Dalaiguda</t>
  </si>
  <si>
    <t>Jangamput</t>
  </si>
  <si>
    <t>Dalaiguda</t>
  </si>
  <si>
    <t>Thatpadarguda</t>
  </si>
  <si>
    <t>Maa Bhairavi</t>
  </si>
  <si>
    <t>0405010407090203</t>
  </si>
  <si>
    <t>Jeya Khora</t>
  </si>
  <si>
    <t>Madhu Sisa</t>
  </si>
  <si>
    <t>Adu Chapadi</t>
  </si>
  <si>
    <t>At:Phuladaba</t>
  </si>
  <si>
    <t>Phuldaba</t>
  </si>
  <si>
    <t>Badachori</t>
  </si>
  <si>
    <t>Kumbhariput</t>
  </si>
  <si>
    <t>Samanath Narji</t>
  </si>
  <si>
    <t>Krushna Disari</t>
  </si>
  <si>
    <t>Rukuna Jayapuria</t>
  </si>
  <si>
    <t>Goura Naraji</t>
  </si>
  <si>
    <t>Kalabati Badanaik</t>
  </si>
  <si>
    <t>Raghu Kursani</t>
  </si>
  <si>
    <t>Jagatray Naik</t>
  </si>
  <si>
    <t>Rukumani Kirsani</t>
  </si>
  <si>
    <t>Form A : MWS Fact Sheet (Semiliguda)</t>
  </si>
  <si>
    <t>Jhankar Devi</t>
  </si>
  <si>
    <t xml:space="preserve">040501407100101 </t>
  </si>
  <si>
    <t>Jema Pemia</t>
  </si>
  <si>
    <t>Somnath Golari</t>
  </si>
  <si>
    <t>Hirana Khinibudi</t>
  </si>
  <si>
    <t>At/P.o:Deula,Dist:Koraput</t>
  </si>
  <si>
    <t>Deula</t>
  </si>
  <si>
    <t>Nisaniput</t>
  </si>
  <si>
    <t>Gandiguda</t>
  </si>
  <si>
    <t>Mantriput</t>
  </si>
  <si>
    <t>Kamulu Naraji</t>
  </si>
  <si>
    <t>Ghenu Kirsani</t>
  </si>
  <si>
    <t>Dhono Pangi</t>
  </si>
  <si>
    <t>Tili Nayak</t>
  </si>
  <si>
    <t>Ramchandra Pamia</t>
  </si>
  <si>
    <t>Tankadhar Naraji</t>
  </si>
  <si>
    <t>gurunath Kirsani</t>
  </si>
  <si>
    <t>Gangama</t>
  </si>
  <si>
    <t>0405010407150101</t>
  </si>
  <si>
    <t>Budri Badanayak</t>
  </si>
  <si>
    <t>Ram Ch. Padi</t>
  </si>
  <si>
    <t>Gabardhan Guntha</t>
  </si>
  <si>
    <t>At:Sirisaguda</t>
  </si>
  <si>
    <t>Kulab</t>
  </si>
  <si>
    <t>Sirsaguda</t>
  </si>
  <si>
    <t>Nuaguda</t>
  </si>
  <si>
    <t>K. Gunthaput</t>
  </si>
  <si>
    <t xml:space="preserve">Puja Dora </t>
  </si>
  <si>
    <t>04050010407150203</t>
  </si>
  <si>
    <t>Baidhar Nandibali</t>
  </si>
  <si>
    <t>Parbati Ramgeria</t>
  </si>
  <si>
    <t>Bhagabati Mjhi</t>
  </si>
  <si>
    <t>At:Gullel</t>
  </si>
  <si>
    <t>Gullel</t>
  </si>
  <si>
    <t>Kediguda</t>
  </si>
  <si>
    <t>Padhiguda</t>
  </si>
  <si>
    <t>Kangra</t>
  </si>
  <si>
    <t>Nanda Kirsani</t>
  </si>
  <si>
    <t>Raghunath Nandibali</t>
  </si>
  <si>
    <t>Singuru Guntha</t>
  </si>
  <si>
    <t>Gangadhara Khora</t>
  </si>
  <si>
    <t>Bhagabati Majhi</t>
  </si>
  <si>
    <t>Purna Nayak</t>
  </si>
  <si>
    <t>Sidha Damagarh</t>
  </si>
  <si>
    <t>0405010407180201</t>
  </si>
  <si>
    <t>Laichan Pangi</t>
  </si>
  <si>
    <t>Gora Nayak</t>
  </si>
  <si>
    <t>Lachhim Almang</t>
  </si>
  <si>
    <t>A:Rajbidei</t>
  </si>
  <si>
    <t>Rajbedi</t>
  </si>
  <si>
    <t>Jhoraput</t>
  </si>
  <si>
    <t>Pakhnaput</t>
  </si>
  <si>
    <t>Veer Khamba</t>
  </si>
  <si>
    <t xml:space="preserve">0405010407180202 </t>
  </si>
  <si>
    <t>Damburu Guntha</t>
  </si>
  <si>
    <t>Raghu Muduli</t>
  </si>
  <si>
    <t>Gopi Pujari</t>
  </si>
  <si>
    <t>At:Pujariput</t>
  </si>
  <si>
    <t>Raseiput</t>
  </si>
  <si>
    <t>Patraput</t>
  </si>
  <si>
    <t>Kutruput</t>
  </si>
  <si>
    <t>Padlam</t>
  </si>
  <si>
    <t>Boli Kodia</t>
  </si>
  <si>
    <t>Sania Nayak</t>
  </si>
  <si>
    <t>Dhanurjaya Guntha</t>
  </si>
  <si>
    <t>Udhaba</t>
  </si>
  <si>
    <t>Jay Hanuman</t>
  </si>
  <si>
    <t>0405010407180203</t>
  </si>
  <si>
    <t xml:space="preserve">Manima Sisa </t>
  </si>
  <si>
    <t>Laxman Supia</t>
  </si>
  <si>
    <t>At:Challanput</t>
  </si>
  <si>
    <t>Podagada</t>
  </si>
  <si>
    <t>Chalanput</t>
  </si>
  <si>
    <t>Mukhibedi</t>
  </si>
  <si>
    <t>Keshab Hantal</t>
  </si>
  <si>
    <t>Sadan Murja</t>
  </si>
  <si>
    <t>Samanath Golori</t>
  </si>
  <si>
    <t>Bhakta Mandei</t>
  </si>
  <si>
    <t>Rabi Hantal</t>
  </si>
  <si>
    <t>Thakurani Nala</t>
  </si>
  <si>
    <t>0405010208010201</t>
  </si>
  <si>
    <t>Hira Sisa</t>
  </si>
  <si>
    <t>Gabardhan Bairagi</t>
  </si>
  <si>
    <t>Sana Datun-Ward memebers</t>
  </si>
  <si>
    <t>Gobardhan Bairagi, At- Badaput, Po- Billaput, Via- Nandapur, Koraput.8895103514</t>
  </si>
  <si>
    <t>Haraganda</t>
  </si>
  <si>
    <t>Kumbharput</t>
  </si>
  <si>
    <t>Badaput</t>
  </si>
  <si>
    <t>Maliput</t>
  </si>
  <si>
    <t>kamu Laichan Khillo/Bhudai Sisa</t>
  </si>
  <si>
    <t>Shyam golari</t>
  </si>
  <si>
    <t>Rabi Sisa</t>
  </si>
  <si>
    <t>Bhimsen Mallick</t>
  </si>
  <si>
    <t>0405010208010202</t>
  </si>
  <si>
    <t>Radhika Sisa</t>
  </si>
  <si>
    <t>Kamalaichan Kada</t>
  </si>
  <si>
    <t>Kendu Challan-Samiti Sabhya</t>
  </si>
  <si>
    <t>Kamalaichan Khada, At- Badel, Po-Badel, Nandapur, Koraput. 9778504473</t>
  </si>
  <si>
    <t>Badel</t>
  </si>
  <si>
    <t>Sisaput</t>
  </si>
  <si>
    <t>Kadaiput</t>
  </si>
  <si>
    <t>Gayalput</t>
  </si>
  <si>
    <t>Gopinath hantal/Jagannath hantal/Jamudei sukri</t>
  </si>
  <si>
    <t>Sadhu sisa</t>
  </si>
  <si>
    <t>Aitu sisa</t>
  </si>
  <si>
    <t>Basudev Hantal-Ward members</t>
  </si>
  <si>
    <t>Buda sisa-Ward memebers</t>
  </si>
  <si>
    <t xml:space="preserve">Kandula Beda Nala </t>
  </si>
  <si>
    <t>0405010208070202</t>
  </si>
  <si>
    <t>Damadar Guntha</t>
  </si>
  <si>
    <t>Gharu Sisa</t>
  </si>
  <si>
    <t>Ira Khillo-Ward members</t>
  </si>
  <si>
    <t>Ghenu Sisa, At- Hataguda, Po- Hatibari, Via-Nandapur, Koraput</t>
  </si>
  <si>
    <t>Kandara</t>
  </si>
  <si>
    <t>Hataguda</t>
  </si>
  <si>
    <t>Malingguda</t>
  </si>
  <si>
    <t>Nuaput</t>
  </si>
  <si>
    <t>Dhana Hantal</t>
  </si>
  <si>
    <t>Chanddra pangi</t>
  </si>
  <si>
    <t>Trinath khara</t>
  </si>
  <si>
    <t xml:space="preserve"> Paka Nala </t>
  </si>
  <si>
    <t>0405010406040101</t>
  </si>
  <si>
    <t>Sabitri Sisa</t>
  </si>
  <si>
    <t>Lalit Sisa</t>
  </si>
  <si>
    <t>Lalita Sisa, At- Kanti, Po-Badel, Via-Nandapur, Koraput</t>
  </si>
  <si>
    <t>Kanti</t>
  </si>
  <si>
    <t>Kitwa</t>
  </si>
  <si>
    <t>Khillaput</t>
  </si>
  <si>
    <t>Sukriput</t>
  </si>
  <si>
    <t>Hanjarpentha</t>
  </si>
  <si>
    <t>Khotlaput</t>
  </si>
  <si>
    <t>Domuni Sisa</t>
  </si>
  <si>
    <t>Pramila Khillo</t>
  </si>
  <si>
    <t>Nabi Pangi</t>
  </si>
  <si>
    <t>Mahana Hantal</t>
  </si>
  <si>
    <t>Puri golari</t>
  </si>
  <si>
    <t>Indra majhi</t>
  </si>
  <si>
    <t>Domburu Guntha</t>
  </si>
  <si>
    <t>Abhi pangi</t>
  </si>
  <si>
    <t>Subarna Badanayak</t>
  </si>
  <si>
    <t>Jaya sisa-Ward member</t>
  </si>
  <si>
    <t>Govinda Khara-Ward member</t>
  </si>
  <si>
    <t>sonu Pangi-Ward member</t>
  </si>
  <si>
    <t>Sudarsan pangi-Ward member</t>
  </si>
  <si>
    <t>Panigrahi Badanayak-Ward member</t>
  </si>
  <si>
    <t>Pani Nala</t>
  </si>
  <si>
    <t>0405010406040102</t>
  </si>
  <si>
    <t>Chandrama Kirsani</t>
  </si>
  <si>
    <t>Guru Ch. Danton</t>
  </si>
  <si>
    <t>Guru Gatan-Ward members</t>
  </si>
  <si>
    <t>Guru Charan Datun, At- Datunput, Po- Badel, Via- Nandapur, Koraput, 9439287502</t>
  </si>
  <si>
    <t>Khamara</t>
  </si>
  <si>
    <t>Adelput</t>
  </si>
  <si>
    <t>Detunput</t>
  </si>
  <si>
    <t>Majhiput</t>
  </si>
  <si>
    <t>Godiput</t>
  </si>
  <si>
    <t>Gontanput</t>
  </si>
  <si>
    <t>Sukra khillo</t>
  </si>
  <si>
    <t>Guru Datun</t>
  </si>
  <si>
    <t>Guru Muduli</t>
  </si>
  <si>
    <t>Bada Nala</t>
  </si>
  <si>
    <t>0405010406050101</t>
  </si>
  <si>
    <t>Laxmi Kirsani</t>
  </si>
  <si>
    <t>Vimu Kirsani</t>
  </si>
  <si>
    <t>Sadana Hantal-Ward member</t>
  </si>
  <si>
    <t>Bhima Kirsani, At- Masuri, Po- Badel, Via- Nandapur, Koraput, 7735045245</t>
  </si>
  <si>
    <t>Silpandi</t>
  </si>
  <si>
    <t>Pangiput</t>
  </si>
  <si>
    <t>Lenjiput</t>
  </si>
  <si>
    <t>Masuri</t>
  </si>
  <si>
    <t>Manilal sethy</t>
  </si>
  <si>
    <t>Gobardhan Bairagi</t>
  </si>
  <si>
    <t>Madana hansa</t>
  </si>
  <si>
    <t>Manilal sethy/Niranjan sisa</t>
  </si>
  <si>
    <t>Madana hansa/Manika Hansa</t>
  </si>
  <si>
    <t>Surendra Sisa-Ward members</t>
  </si>
  <si>
    <t>Dombu Pangi</t>
  </si>
  <si>
    <t>Sadana Muduli</t>
  </si>
  <si>
    <t>Gangama Nala</t>
  </si>
  <si>
    <t>0405010407120102</t>
  </si>
  <si>
    <t>Guru Sisa</t>
  </si>
  <si>
    <t>Harsi Ch. Khilla</t>
  </si>
  <si>
    <t>SubaRao Khara</t>
  </si>
  <si>
    <t>Praffual Khora, At- Karanjaguda, Po- Nandaka, Via- Kundili, Koraput</t>
  </si>
  <si>
    <t>Bijaguda</t>
  </si>
  <si>
    <t>Halai</t>
  </si>
  <si>
    <t>Phanua</t>
  </si>
  <si>
    <t>Karanjaguda</t>
  </si>
  <si>
    <t>Bandhaguda</t>
  </si>
  <si>
    <t>Majaguda</t>
  </si>
  <si>
    <t>Nursingh pangi</t>
  </si>
  <si>
    <t>Lachhu sisa</t>
  </si>
  <si>
    <t>Subarao Khara</t>
  </si>
  <si>
    <t>Kaberi Pangi</t>
  </si>
  <si>
    <t>Seranga Sisa</t>
  </si>
  <si>
    <t>Laxmi Bhoi</t>
  </si>
  <si>
    <t>Anjana khara</t>
  </si>
  <si>
    <t>Setha khillo</t>
  </si>
  <si>
    <t>Jayasen Sisa</t>
  </si>
  <si>
    <t>Manimaa Sisa</t>
  </si>
  <si>
    <t>Form A : MWS Fact Sheet (Nandapur)</t>
  </si>
  <si>
    <t xml:space="preserve">Dudhari Nala </t>
  </si>
  <si>
    <t>405010407130101</t>
  </si>
  <si>
    <t>Harsa Hantal</t>
  </si>
  <si>
    <t>Samburu Khilla</t>
  </si>
  <si>
    <t>Uttara Hantal</t>
  </si>
  <si>
    <t>Samburu Khilla, At- Rukuba upper sahi, Po- Khemunduguda, Via -Kunduli, Koraput.7735791100</t>
  </si>
  <si>
    <t>Rukuba</t>
  </si>
  <si>
    <t>Kudukipadar</t>
  </si>
  <si>
    <t>Panasput</t>
  </si>
  <si>
    <t>Sisapada</t>
  </si>
  <si>
    <t>Upper Sahi</t>
  </si>
  <si>
    <t>Rabi sisa</t>
  </si>
  <si>
    <t>Pulu hantal</t>
  </si>
  <si>
    <t>Musuri Khilo</t>
  </si>
  <si>
    <t>Sambaru Khilo /Hari murjia /Ramesh Hantal</t>
  </si>
  <si>
    <t>Sana pangi</t>
  </si>
  <si>
    <t>Kesari Khillo</t>
  </si>
  <si>
    <t xml:space="preserve"> Pengu Khilla,Hari Murjiya, Birsu Khilla</t>
  </si>
  <si>
    <t>Bhairabi Gudi Nala</t>
  </si>
  <si>
    <t>0405010407140101</t>
  </si>
  <si>
    <t>Jagabandhu Bimari</t>
  </si>
  <si>
    <t>Padlam Hantal</t>
  </si>
  <si>
    <t>Padlam Hantal, At-Charampi, Po-Subai, via-Nandapur, Koraput,8763240471</t>
  </si>
  <si>
    <t>Nandigaon</t>
  </si>
  <si>
    <t>Gutalgurha</t>
  </si>
  <si>
    <t>Charampi</t>
  </si>
  <si>
    <t>Bandhu Guntha</t>
  </si>
  <si>
    <t>Daimati khemundu</t>
  </si>
  <si>
    <t>Sriram Guntha</t>
  </si>
  <si>
    <t>Sabitri badanayak /lalita Sisa</t>
  </si>
  <si>
    <t>Dana Guntha-Ward member</t>
  </si>
  <si>
    <t>Domburudhar Sisa-Ward member</t>
  </si>
  <si>
    <t>Haribandhu Dalpati-Naib Sarapanch</t>
  </si>
  <si>
    <t>Nageswari Nala</t>
  </si>
  <si>
    <t>0405018406030103</t>
  </si>
  <si>
    <t>Natraj Khillo</t>
  </si>
  <si>
    <t>Samanath Khillo</t>
  </si>
  <si>
    <t>Jagannath Patia- Naib Sarapanch</t>
  </si>
  <si>
    <t>Somonath Khillo, At- Taintar, Po-Balda, Via- Nandapur, Koraput</t>
  </si>
  <si>
    <t>Galiput</t>
  </si>
  <si>
    <t>Taintar</t>
  </si>
  <si>
    <t>Khadaput</t>
  </si>
  <si>
    <t>Ektaput</t>
  </si>
  <si>
    <t>Indira Colony</t>
  </si>
  <si>
    <t>Deenbandhu Krisani</t>
  </si>
  <si>
    <t>Kartika Sisa</t>
  </si>
  <si>
    <t>Narayan Khillo</t>
  </si>
  <si>
    <t>Birendra Gayel</t>
  </si>
  <si>
    <t>Sabitri Sisa/Bhima Muduli /Rama Khillo</t>
  </si>
  <si>
    <t>Keshab Desti</t>
  </si>
  <si>
    <t>Rama Khillo</t>
  </si>
  <si>
    <t xml:space="preserve">ORISSA TRIBAL EMPOWERMENT &amp; LIVILIHOODS PROGRAMME(OTELP), FORM- A  MWs FACT SHEET </t>
  </si>
  <si>
    <t>Bankinadi</t>
  </si>
  <si>
    <t>MWs code (As per Orsac)</t>
  </si>
  <si>
    <t>Tretable area( in Ha.)</t>
  </si>
  <si>
    <t>Forest Treatable Area (in Ha.)</t>
  </si>
  <si>
    <t>B Esso Raika</t>
  </si>
  <si>
    <t>Name of theVDC Secretary</t>
  </si>
  <si>
    <t>Simiyo Gaamango</t>
  </si>
  <si>
    <t>At-Sialilati ,Po-Antaraba,Via-Chandrgiri.Dist-Gajapati,</t>
  </si>
  <si>
    <t>Sialilati</t>
  </si>
  <si>
    <t>Ketangkua</t>
  </si>
  <si>
    <t>Daniel Gamango</t>
  </si>
  <si>
    <t>B.Eso Raika</t>
  </si>
  <si>
    <t>Israel Gamango</t>
  </si>
  <si>
    <t>JacobMandal</t>
  </si>
  <si>
    <t>Joyan Raika</t>
  </si>
  <si>
    <t>Simiya Gamango</t>
  </si>
  <si>
    <t>Allocation in Rs.</t>
  </si>
  <si>
    <t>Receipt( in Rs.</t>
  </si>
  <si>
    <t>Financial Year wise Expenditure (in Rs.Lakhs</t>
  </si>
  <si>
    <t>Total Expenditure</t>
  </si>
  <si>
    <t>Mws</t>
  </si>
  <si>
    <t>Mont</t>
  </si>
  <si>
    <t>Lumsum</t>
  </si>
  <si>
    <t>Gandhiji</t>
  </si>
  <si>
    <t>Klarati Majhi</t>
  </si>
  <si>
    <t>Santosh gamango</t>
  </si>
  <si>
    <t>At-Juba,Po-Badasindhiba, Via- Chandragiri, Dist-Gajapati,</t>
  </si>
  <si>
    <t>Juba</t>
  </si>
  <si>
    <t>Bhaliaganda</t>
  </si>
  <si>
    <t>Badakua</t>
  </si>
  <si>
    <t>Sabina Majhi</t>
  </si>
  <si>
    <t>Ghenu Nayak</t>
  </si>
  <si>
    <t>Sandha Gamango</t>
  </si>
  <si>
    <t>Ruben Majhi &amp;             Estina Majhi</t>
  </si>
  <si>
    <t>Pranati Majhi</t>
  </si>
  <si>
    <t>Gursanga  Gamango &amp; Samuel Sabar</t>
  </si>
  <si>
    <t>Kantanala</t>
  </si>
  <si>
    <t>Marko Gamango</t>
  </si>
  <si>
    <t>Sarat Majhi</t>
  </si>
  <si>
    <t>Majesh Mandal</t>
  </si>
  <si>
    <t>At-Gumiguda,Po-Antaraba,Via-Chandrgiri.Dist-Gajapati,</t>
  </si>
  <si>
    <t>Gumiguda</t>
  </si>
  <si>
    <t>Sadanga Gamango</t>
  </si>
  <si>
    <t>Josiyo B.Raita</t>
  </si>
  <si>
    <t>Sudhir Sabar</t>
  </si>
  <si>
    <t>Majesh B. Raita</t>
  </si>
  <si>
    <t>Subudhi B.Raita</t>
  </si>
  <si>
    <t>Pitar Majhi</t>
  </si>
  <si>
    <t>No VLSC</t>
  </si>
  <si>
    <t>nil</t>
  </si>
  <si>
    <t>Ramanala</t>
  </si>
  <si>
    <t>Bankini Raita</t>
  </si>
  <si>
    <t>Dutiya Raita</t>
  </si>
  <si>
    <t>Piter Gamango</t>
  </si>
  <si>
    <t>At-Chudangpur,Po-Antaraba,Via-Chandragiri,Dist-Gajapati</t>
  </si>
  <si>
    <t>Chudangpur</t>
  </si>
  <si>
    <t>Regada Raita</t>
  </si>
  <si>
    <t>Phulo Gamango</t>
  </si>
  <si>
    <t>Marko Raita</t>
  </si>
  <si>
    <t>Suri Gamango</t>
  </si>
  <si>
    <t>Guda Raita</t>
  </si>
  <si>
    <t>Siraba Raita</t>
  </si>
  <si>
    <t>Dengama</t>
  </si>
  <si>
    <t>Anjana Mallik</t>
  </si>
  <si>
    <t>Pitar Gamango</t>
  </si>
  <si>
    <t>Mthiu Dalabehera</t>
  </si>
  <si>
    <t>At-Bhaliasahi,Po-Birikote, Via- Adaba. Dist-Gajapati,</t>
  </si>
  <si>
    <t>Bhaliasahi</t>
  </si>
  <si>
    <t>Mahapadara</t>
  </si>
  <si>
    <t>Jakab Gamango</t>
  </si>
  <si>
    <t>Jirmiya Majhi</t>
  </si>
  <si>
    <t>Jakrias Malika &amp; Bijaya Majhi</t>
  </si>
  <si>
    <t>Prakash Mallik</t>
  </si>
  <si>
    <t>Mangala Gamango</t>
  </si>
  <si>
    <t>Philiman Dalabehera</t>
  </si>
  <si>
    <t>Tabyash Majhi</t>
  </si>
  <si>
    <t>Susuralding</t>
  </si>
  <si>
    <t>Sebika Raita</t>
  </si>
  <si>
    <t>Madana Pattamallik</t>
  </si>
  <si>
    <t>At-Kudukima,Po- Guluba , Via- Adaba. Dist-Gajapati,</t>
  </si>
  <si>
    <t>Kudukima</t>
  </si>
  <si>
    <t>Hataganda</t>
  </si>
  <si>
    <t>Dumpeta</t>
  </si>
  <si>
    <t>Mahonta Majhi</t>
  </si>
  <si>
    <t>Isak Majhi</t>
  </si>
  <si>
    <t>Pratap Majhi &amp; Utam Sing</t>
  </si>
  <si>
    <t>Basanta Lima &amp; Lachaman Mallik</t>
  </si>
  <si>
    <t>Jisaya Gamango</t>
  </si>
  <si>
    <t>Maija Mallik</t>
  </si>
  <si>
    <t>Purna chandra Behera</t>
  </si>
  <si>
    <t>Sabina majhi</t>
  </si>
  <si>
    <t>At-Dengili,Po-Birikote, Via- Adaba. Dist-Gajapati,</t>
  </si>
  <si>
    <t>Dengili</t>
  </si>
  <si>
    <t>Sirsa Majhi</t>
  </si>
  <si>
    <t>Abeda Majhi</t>
  </si>
  <si>
    <t>Jayaprash Majhi</t>
  </si>
  <si>
    <t>Krisanta Mallik</t>
  </si>
  <si>
    <t>Jeeban Behera &amp; Abasalm Raita</t>
  </si>
  <si>
    <t>Janapeja</t>
  </si>
  <si>
    <t>Prakasini Majhi</t>
  </si>
  <si>
    <t>Stipen Raika</t>
  </si>
  <si>
    <t>Ganesh Gamango</t>
  </si>
  <si>
    <t>At-purunasahi,Po-Antaraba,Via-Chandragiri,Dist-Gajapati</t>
  </si>
  <si>
    <t>Purunasahi</t>
  </si>
  <si>
    <t>Gillakuta</t>
  </si>
  <si>
    <t>Attapada</t>
  </si>
  <si>
    <t>Guriguda</t>
  </si>
  <si>
    <t>Gardi Mandal</t>
  </si>
  <si>
    <t>John Tarlaka</t>
  </si>
  <si>
    <t>Nunu Majhi</t>
  </si>
  <si>
    <t>Mangala Sabar</t>
  </si>
  <si>
    <t>Simiya mandal</t>
  </si>
  <si>
    <t>Sanda Mandal</t>
  </si>
  <si>
    <t>Philman Majhi</t>
  </si>
  <si>
    <t>Poul B.Raita</t>
  </si>
  <si>
    <t>Sanamangala Sabar</t>
  </si>
  <si>
    <t>Junesh Raika</t>
  </si>
  <si>
    <t>B.Philiman Majhi</t>
  </si>
  <si>
    <t>Mot</t>
  </si>
  <si>
    <t>Bandamera</t>
  </si>
  <si>
    <t>Sara Majhi</t>
  </si>
  <si>
    <t>Daud Raita</t>
  </si>
  <si>
    <t>Manuel Majhi</t>
  </si>
  <si>
    <t>At-Dundrum,Po-Badasindhiba, Via- Chandragiri, Dist-Gajapati,</t>
  </si>
  <si>
    <t>Dundrum</t>
  </si>
  <si>
    <t>Burudiha</t>
  </si>
  <si>
    <t>Kutimera</t>
  </si>
  <si>
    <t>Sira Majhi</t>
  </si>
  <si>
    <t>Kandha Sabara</t>
  </si>
  <si>
    <t>Dingu Majhi</t>
  </si>
  <si>
    <t>Rajesh Raita. Joseh Raita.</t>
  </si>
  <si>
    <t>Charan Paika</t>
  </si>
  <si>
    <t>Sunita Majhi. Bhalerian Bira.</t>
  </si>
  <si>
    <t>Manul Mjhi</t>
  </si>
  <si>
    <t>Debraj Bahadur</t>
  </si>
  <si>
    <t>Mitiko Sethi</t>
  </si>
  <si>
    <t>Jamanala</t>
  </si>
  <si>
    <t>Singana Gamango</t>
  </si>
  <si>
    <t>Leba Gamango</t>
  </si>
  <si>
    <t>At-Bariabandha,Po-Badasindhiba,Dist-Gajapati,Mob-8018735576</t>
  </si>
  <si>
    <t>Bariabandha</t>
  </si>
  <si>
    <t>Masia Sabar</t>
  </si>
  <si>
    <t xml:space="preserve">Prasant Gamango      </t>
  </si>
  <si>
    <t>Surendra Mandal</t>
  </si>
  <si>
    <t>Elia Sabar</t>
  </si>
  <si>
    <t>Bhima karji</t>
  </si>
  <si>
    <t>Ratna giri Nala</t>
  </si>
  <si>
    <t>,0400020104220202</t>
  </si>
  <si>
    <t>Sambaru Gamanga</t>
  </si>
  <si>
    <t>Kumari Raita</t>
  </si>
  <si>
    <t>Kuni Bhuyan (Ward Member)</t>
  </si>
  <si>
    <t>Contact Adress:(including tele No if any</t>
  </si>
  <si>
    <t>At:Gangapur,Po:Chellagada,Dist:Gajapati</t>
  </si>
  <si>
    <t>Gangapur</t>
  </si>
  <si>
    <t>Purnadiha &amp; Baunskata</t>
  </si>
  <si>
    <t>Rupasing &amp; Ghatisahi</t>
  </si>
  <si>
    <t>Balisahi</t>
  </si>
  <si>
    <t>Manika Raita</t>
  </si>
  <si>
    <t>Gurubaria Patamandal, Rebati Raita</t>
  </si>
  <si>
    <t>Sambaru Gomango, Dasarathi Gomango</t>
  </si>
  <si>
    <t>Hadia Raita</t>
  </si>
  <si>
    <t>Laxman Bhuyan</t>
  </si>
  <si>
    <t>Sadhu Mandal</t>
  </si>
  <si>
    <t>Rukuna Paik</t>
  </si>
  <si>
    <t>Unit cost (in Rs Lakhs)</t>
  </si>
  <si>
    <t>Bangdol Nala</t>
  </si>
  <si>
    <t>,040602010222020</t>
  </si>
  <si>
    <t>Jhirimiya Mandal</t>
  </si>
  <si>
    <t>Martha Raita</t>
  </si>
  <si>
    <t>Samsana Raita</t>
  </si>
  <si>
    <t>At:Khanjamera,Po:Chellagada,Dist:Gajapati</t>
  </si>
  <si>
    <t>Khanjamera</t>
  </si>
  <si>
    <t>Tunguru</t>
  </si>
  <si>
    <t>Gandupadar</t>
  </si>
  <si>
    <t>Paikray</t>
  </si>
  <si>
    <t>Sumitra Badaraita</t>
  </si>
  <si>
    <t>Janath Gamanga</t>
  </si>
  <si>
    <t>Sara Raita</t>
  </si>
  <si>
    <t xml:space="preserve">Daniel Badaraita,                                       Pitara Raita                    </t>
  </si>
  <si>
    <t>Janatha Gamanga</t>
  </si>
  <si>
    <t>Sasila Majhi</t>
  </si>
  <si>
    <t>Bikrama Raita</t>
  </si>
  <si>
    <t xml:space="preserve">Total </t>
  </si>
  <si>
    <t>Burjuli Nala</t>
  </si>
  <si>
    <t>,0406020104220202</t>
  </si>
  <si>
    <t>Labya Bhuyan</t>
  </si>
  <si>
    <t>Jebanti Pradhani</t>
  </si>
  <si>
    <t>Lakia Raita</t>
  </si>
  <si>
    <t>At:Nuasahi,Po:Chellagada,Dist:Gajapati</t>
  </si>
  <si>
    <t>Nuasahi</t>
  </si>
  <si>
    <t>Janisahi</t>
  </si>
  <si>
    <t>Dabarguda</t>
  </si>
  <si>
    <t>Gayalamera, Patusahi &amp; Kuturaganda</t>
  </si>
  <si>
    <t>Surabhi Raita</t>
  </si>
  <si>
    <t>Josada Raita</t>
  </si>
  <si>
    <t>Lakhmi Karjee</t>
  </si>
  <si>
    <t>Srimati Raita</t>
  </si>
  <si>
    <t>Sudeshna Karjee</t>
  </si>
  <si>
    <t>Jikharia Raita, Samsana Majhi, Maheswar Raita</t>
  </si>
  <si>
    <t>Sangsang Nala</t>
  </si>
  <si>
    <t>,0406020104270101</t>
  </si>
  <si>
    <t>Anama Gomango</t>
  </si>
  <si>
    <t>Jayamani Gomango</t>
  </si>
  <si>
    <t>At:Tai,Po:Chellagada,Dist:Gajapati</t>
  </si>
  <si>
    <t>Gadapadar</t>
  </si>
  <si>
    <t>Tai</t>
  </si>
  <si>
    <t>Mandima</t>
  </si>
  <si>
    <t>Jibani Badaraita</t>
  </si>
  <si>
    <t>Anuka Gamanga</t>
  </si>
  <si>
    <t>Pitara Raita</t>
  </si>
  <si>
    <t>Samsana Gamanga,  Jirmida Raita</t>
  </si>
  <si>
    <t>Samsana Raita, Eshak Raita</t>
  </si>
  <si>
    <t>Sumitra Raita</t>
  </si>
  <si>
    <t>Nakiamba Nala</t>
  </si>
  <si>
    <t>,0406020302020202</t>
  </si>
  <si>
    <t>Sambaru Bisoi</t>
  </si>
  <si>
    <t>Sita Raita</t>
  </si>
  <si>
    <t>Sanyasi Dalai</t>
  </si>
  <si>
    <t>At:Janiamba,Po:Sialilati,Dist:Gajapati</t>
  </si>
  <si>
    <t>Janiamba</t>
  </si>
  <si>
    <t>Lambaguda</t>
  </si>
  <si>
    <t>Munigadhia</t>
  </si>
  <si>
    <t>Anama Nayak</t>
  </si>
  <si>
    <t>Siba Raita</t>
  </si>
  <si>
    <t>Tarini Nayak</t>
  </si>
  <si>
    <t>Gurubaru Dalai</t>
  </si>
  <si>
    <t>Achyuta Dalai, Uali Raita</t>
  </si>
  <si>
    <t>Jhanka Raita, Eswari Raita</t>
  </si>
  <si>
    <t>Kamalalinga Nala</t>
  </si>
  <si>
    <t>Chauthia Dalai</t>
  </si>
  <si>
    <t>Banki Nayak</t>
  </si>
  <si>
    <t>At:Durango,Po:Sialilati,Dist:Gajapati</t>
  </si>
  <si>
    <t>Dhanabada</t>
  </si>
  <si>
    <t>Durango</t>
  </si>
  <si>
    <t>Srutana Karjee</t>
  </si>
  <si>
    <t>Bagadia Dalai</t>
  </si>
  <si>
    <t>Bhalu Dalai, Dersana Raita</t>
  </si>
  <si>
    <t>Pratap chandra Pradhan, Renu Dalai, Tulasa Dalai</t>
  </si>
  <si>
    <t>Lubudi Nala</t>
  </si>
  <si>
    <t>,0406020302030202</t>
  </si>
  <si>
    <t>Pandara Gomango</t>
  </si>
  <si>
    <t>Dukhi Nayak</t>
  </si>
  <si>
    <t>Raju Nayak</t>
  </si>
  <si>
    <t>At:Raibada,Po:Sialilati,Dist:Gajapati</t>
  </si>
  <si>
    <t>Ambagaon</t>
  </si>
  <si>
    <t>Kurudamba</t>
  </si>
  <si>
    <t>Raibada</t>
  </si>
  <si>
    <t>Kanchan Dalai</t>
  </si>
  <si>
    <t>Susanti Raita</t>
  </si>
  <si>
    <t>Kuri Mandal</t>
  </si>
  <si>
    <t>Kanhu Dalai, Sania Karjee</t>
  </si>
  <si>
    <t>Basuki Raita, Parbati Gamanga</t>
  </si>
  <si>
    <t>Mohan Mandal</t>
  </si>
  <si>
    <t>Hatibandha Nala</t>
  </si>
  <si>
    <t>Ramanath Nayak</t>
  </si>
  <si>
    <t>Jagiliani Raita</t>
  </si>
  <si>
    <t>At:Purunasahi,Po:Sialilati,Dist:Gajapati</t>
  </si>
  <si>
    <t>Nuagaon</t>
  </si>
  <si>
    <t>Tarabanga</t>
  </si>
  <si>
    <t>Padma Dalai</t>
  </si>
  <si>
    <t>Tamala Dalai</t>
  </si>
  <si>
    <t>Prafulla Nayak</t>
  </si>
  <si>
    <t>Narahari Raita</t>
  </si>
  <si>
    <t>Kuresh Nayak, Usha Nayak</t>
  </si>
  <si>
    <t>Bobby Raita, Dukhishyama Raita</t>
  </si>
  <si>
    <t>Narangi Nala</t>
  </si>
  <si>
    <t>,0406022382020201</t>
  </si>
  <si>
    <t>Madhab Nayak</t>
  </si>
  <si>
    <t>Sabajini Mandal</t>
  </si>
  <si>
    <t>At:Betarsing,Po:Sialilati,Dist:Gajapati</t>
  </si>
  <si>
    <t>Betarsing</t>
  </si>
  <si>
    <t>Gandili</t>
  </si>
  <si>
    <t>Pujaribila</t>
  </si>
  <si>
    <t>Kanchan Jani</t>
  </si>
  <si>
    <t>Kanhei Dalai</t>
  </si>
  <si>
    <t>Balaram Karjee</t>
  </si>
  <si>
    <t>Apanna Nayak, Dinabandhu Raita, Sankar Dalai</t>
  </si>
  <si>
    <t>Balaram Karjee, Bartula Raita</t>
  </si>
  <si>
    <t>Belachanchada Nala</t>
  </si>
  <si>
    <t>,0406820302020201</t>
  </si>
  <si>
    <t>Krushna Chandra Dalai</t>
  </si>
  <si>
    <t>Sajoni Badaraita</t>
  </si>
  <si>
    <t>At:Tamula,Po:Sialilati,Dist:Gajapati</t>
  </si>
  <si>
    <t>Kaithadhepa</t>
  </si>
  <si>
    <t>Lanja</t>
  </si>
  <si>
    <t>Tamula</t>
  </si>
  <si>
    <t>Tulasi Mandal</t>
  </si>
  <si>
    <t>Rabindra Dalai</t>
  </si>
  <si>
    <t xml:space="preserve">Susama Nayak </t>
  </si>
  <si>
    <t>Krupasindhu Jani, Sibasi Pujari</t>
  </si>
  <si>
    <t>Bhima Nayak</t>
  </si>
  <si>
    <t>Debraj Nayak, Kumari Dalai</t>
  </si>
  <si>
    <t>Antony Baliarsingh</t>
  </si>
  <si>
    <t>At :- Adibanga ,Katingia ,                              Po-Brahmanigaon,PS/Via-Brahmanigaon,                                                                                    Dist-Kandhamal</t>
  </si>
  <si>
    <t>Goberalumajhi</t>
  </si>
  <si>
    <t>At- Saragudi,Po-,PS/Via-Brahmanigaon,Dist-Kandhamal</t>
  </si>
  <si>
    <t>Lingusa Majhi</t>
  </si>
  <si>
    <t>At- Mardipanka ,Saramuli,Po-Kumbharigaon,PS/Via-Brahmanigaon,Dist-Kandhamal</t>
  </si>
  <si>
    <t>Pilesa Mandal Majhi</t>
  </si>
  <si>
    <t>Mehereguda ,Gugurumaha</t>
  </si>
  <si>
    <t>Tiamaha,Gugurumaha</t>
  </si>
  <si>
    <t>U.khilamunda</t>
  </si>
  <si>
    <t>Seneme Mandal</t>
  </si>
  <si>
    <t>Dukana Bhuin</t>
  </si>
  <si>
    <t>Darina Mandal</t>
  </si>
  <si>
    <t>Majesh</t>
  </si>
  <si>
    <t>,0406020302050102</t>
  </si>
  <si>
    <t>,0406020302028102</t>
  </si>
  <si>
    <t>Allocation</t>
  </si>
  <si>
    <t>Financial Year Wise Expenditure</t>
  </si>
  <si>
    <t>Prepared by</t>
  </si>
  <si>
    <t>Checked by</t>
  </si>
  <si>
    <t>MIS Executive, Gunupur</t>
  </si>
  <si>
    <t>Finance Officer, Gunupur</t>
  </si>
  <si>
    <t>Bimal Harijan</t>
  </si>
  <si>
    <t>M. Keragaon</t>
  </si>
  <si>
    <t>Sadar Bhatra</t>
  </si>
  <si>
    <t>Chandrabati Mali</t>
  </si>
  <si>
    <t>Deba Majhi &amp; Samaru Majhi</t>
  </si>
  <si>
    <t>Ransai Bindhar</t>
  </si>
  <si>
    <t>TRIMURTI</t>
  </si>
  <si>
    <t>Ghasiram Jani &amp; Dhaneswar Sabara</t>
  </si>
  <si>
    <t>Dohimal &amp; Baharkarmari</t>
  </si>
  <si>
    <t>Baidhahi Majhi</t>
  </si>
  <si>
    <t>Mataji, Sargipadar</t>
  </si>
  <si>
    <t>0406010409110203</t>
  </si>
  <si>
    <t>AT- Majhigaon.</t>
  </si>
  <si>
    <t>Kanbura VDC, Talampadar</t>
  </si>
  <si>
    <t>0406010409100201</t>
  </si>
  <si>
    <t>0406010409100202</t>
  </si>
  <si>
    <t>0406010409100103</t>
  </si>
  <si>
    <t>Tribeni, Karang</t>
  </si>
  <si>
    <t>0406010409100102</t>
  </si>
  <si>
    <t>0406010409100101</t>
  </si>
  <si>
    <t>Khanduala, Jabang</t>
  </si>
  <si>
    <t>0406010409090201</t>
  </si>
  <si>
    <t>0406010409090202</t>
  </si>
  <si>
    <t>AMAR SINGH MAJHI</t>
  </si>
  <si>
    <t>0406010409080203</t>
  </si>
  <si>
    <t>0406010409090203</t>
  </si>
  <si>
    <t>Dharitri, Polingpadar</t>
  </si>
  <si>
    <t>0406010409090101</t>
  </si>
  <si>
    <t>0406010409110202</t>
  </si>
  <si>
    <t>0406010409110201</t>
  </si>
  <si>
    <t>0406010409110102</t>
  </si>
  <si>
    <t>0406010409100203</t>
  </si>
  <si>
    <t>0406010409110103</t>
  </si>
  <si>
    <t>0406010409080202</t>
  </si>
  <si>
    <t>0406010409080201</t>
  </si>
  <si>
    <t>0406010409110104</t>
  </si>
  <si>
    <t>0406010409120101</t>
  </si>
  <si>
    <t>0406010409120102</t>
  </si>
  <si>
    <t>0406010409080102</t>
  </si>
  <si>
    <t>0406010409110101</t>
  </si>
  <si>
    <t>0406010409070202</t>
  </si>
  <si>
    <t>0406010409050201</t>
  </si>
  <si>
    <t>0406010409030101</t>
  </si>
  <si>
    <t>Phakira Behera</t>
  </si>
  <si>
    <t>0406010409060102</t>
  </si>
  <si>
    <t>Kunja Bihari Majhi</t>
  </si>
  <si>
    <t>0406010409060202</t>
  </si>
  <si>
    <t>0406010409070201,
0406010409070102</t>
  </si>
  <si>
    <t>0406010409070101</t>
  </si>
  <si>
    <t>0406010409050102</t>
  </si>
  <si>
    <t>0406010409030202</t>
  </si>
  <si>
    <t>0406010409050202</t>
  </si>
  <si>
    <t xml:space="preserve"> Duta Majhi</t>
  </si>
  <si>
    <t xml:space="preserve"> Jama Majhi</t>
  </si>
  <si>
    <t>Dikcha Majhi</t>
  </si>
  <si>
    <t>Bukulu Majhi</t>
  </si>
  <si>
    <t>Rupang Majhi</t>
  </si>
  <si>
    <t>Bharat Majhi</t>
  </si>
  <si>
    <t>Karana Majhi</t>
  </si>
  <si>
    <t>Batka Majhi</t>
  </si>
  <si>
    <t>Sadana Majhi</t>
  </si>
  <si>
    <t>0406010409030201</t>
  </si>
  <si>
    <t>Sarasa Majhi</t>
  </si>
  <si>
    <t>Kuna Majhi</t>
  </si>
  <si>
    <t>Samba Majhi</t>
  </si>
  <si>
    <t>Banamali Majhi</t>
  </si>
  <si>
    <t>Dutala Majhi</t>
  </si>
  <si>
    <t>Dasedi Majhi</t>
  </si>
  <si>
    <t>Joy Majhi</t>
  </si>
  <si>
    <t>Maa Dungridei GUS, Udiguna</t>
  </si>
  <si>
    <t>Maa Indravati GUS, Mardiguda</t>
  </si>
  <si>
    <t>Kabi Ch. Majhi</t>
  </si>
  <si>
    <t>0405020706020202</t>
  </si>
  <si>
    <t>Khandualbudha GUS, Terengasil</t>
  </si>
  <si>
    <t>0405020706030202</t>
  </si>
  <si>
    <t>Budharaja GUS,Suksan</t>
  </si>
  <si>
    <t>Kodabhata</t>
  </si>
  <si>
    <t>Turaberkonda VDC</t>
  </si>
  <si>
    <t>Taratarini VDC</t>
  </si>
  <si>
    <t>Jay Maa Santoshi VDC</t>
  </si>
  <si>
    <t>Aasn VDC</t>
  </si>
  <si>
    <t>Baunsapada, Mudulipoda, Khairput</t>
  </si>
  <si>
    <t>Gopandhu VDC</t>
  </si>
  <si>
    <t>Kandhaguda, Khairput</t>
  </si>
  <si>
    <t>Maa Bhairabi VDC</t>
  </si>
  <si>
    <t>Saheed Laxman Nayak VDC</t>
  </si>
  <si>
    <t>Khuriguda, Khairput</t>
  </si>
  <si>
    <t>Jay Sri Ram VDC</t>
  </si>
  <si>
    <t>Badpoda, Mudulipoda, Khairput</t>
  </si>
  <si>
    <t>Mebur VDC</t>
  </si>
  <si>
    <t>Dumuripoda, Mudulipoda, Khairput</t>
  </si>
  <si>
    <t>Tulagurum, Khairput</t>
  </si>
  <si>
    <t>Contact Adress
(including telephone number if any):</t>
  </si>
  <si>
    <t>At:- Janturai  Po:- Jodambo Dist:- Malkangiri</t>
  </si>
  <si>
    <t>Lailam Sisa</t>
  </si>
  <si>
    <t xml:space="preserve">Narayan Sisa </t>
  </si>
  <si>
    <t xml:space="preserve">Phulmati Matam  </t>
  </si>
  <si>
    <t>Dai Sisa</t>
  </si>
  <si>
    <t>Abhiram Sisa</t>
  </si>
  <si>
    <t>Male</t>
  </si>
  <si>
    <t>Female</t>
  </si>
  <si>
    <t>Basanti Muduli</t>
  </si>
  <si>
    <t>Pramila Sisa</t>
  </si>
  <si>
    <t xml:space="preserve">Bhalu Khara </t>
  </si>
  <si>
    <t>Subarna Sisa</t>
  </si>
  <si>
    <t xml:space="preserve">Jamubati Sisa </t>
  </si>
  <si>
    <t xml:space="preserve">Subhadra   Sukri   </t>
  </si>
  <si>
    <t xml:space="preserve"> Ghenu Puna</t>
  </si>
  <si>
    <t>Sabitri Bisoi</t>
  </si>
  <si>
    <t>Phulmati  Pangi</t>
  </si>
  <si>
    <t xml:space="preserve"> Subarna  Sisa</t>
  </si>
  <si>
    <t>Rammurty  Sisa</t>
  </si>
  <si>
    <t xml:space="preserve">Bati Chalan                         </t>
  </si>
  <si>
    <t>Pabati Chalan</t>
  </si>
  <si>
    <t xml:space="preserve">Sanatan Golori             </t>
  </si>
  <si>
    <t>Goradei Golori</t>
  </si>
  <si>
    <t xml:space="preserve">Dukhi Pangi  </t>
  </si>
  <si>
    <t xml:space="preserve"> Manohar Khilla</t>
  </si>
  <si>
    <t xml:space="preserve">Reilli Khara </t>
  </si>
  <si>
    <t xml:space="preserve">Basudev Khilla  </t>
  </si>
  <si>
    <t xml:space="preserve">Ananda Muduli               </t>
  </si>
  <si>
    <t>Manguli Guntha</t>
  </si>
  <si>
    <t xml:space="preserve">i Khilla    </t>
  </si>
  <si>
    <t>Kamala Alanga</t>
  </si>
  <si>
    <t xml:space="preserve">Padmanav Khilla         </t>
  </si>
  <si>
    <t xml:space="preserve">  Rajendra Khara</t>
  </si>
  <si>
    <t xml:space="preserve">Laxmidei Khara     </t>
  </si>
  <si>
    <t xml:space="preserve"> Chandrama Burudi</t>
  </si>
  <si>
    <t>Other</t>
  </si>
  <si>
    <t>Totral</t>
  </si>
  <si>
    <t xml:space="preserve">Bhima Kalapalia                  </t>
  </si>
  <si>
    <t xml:space="preserve"> Arjun  patti</t>
  </si>
  <si>
    <t xml:space="preserve">Laxmi Kuasi                     </t>
  </si>
  <si>
    <t>Dalima Pujari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</si>
</sst>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_(* #,##0.00_);_(* \(#,##0.00\);_(* &quot;-&quot;??_);_(@_)"/>
    <numFmt numFmtId="165" formatCode="0;[Red]0"/>
    <numFmt numFmtId="166" formatCode="0.000"/>
    <numFmt numFmtId="167" formatCode="_ * #,##0.000_ ;_ * \-#,##0.000_ ;_ * &quot;-&quot;??_ ;_ @_ "/>
    <numFmt numFmtId="168" formatCode="0.00000"/>
    <numFmt numFmtId="169" formatCode="0.0"/>
    <numFmt numFmtId="170" formatCode="0.0%"/>
    <numFmt numFmtId="171" formatCode="0.0000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0"/>
      <name val="Arial"/>
      <family val="2"/>
    </font>
    <font>
      <u/>
      <sz val="11"/>
      <color theme="10"/>
      <name val="Calibri"/>
      <family val="2"/>
    </font>
    <font>
      <b/>
      <u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u/>
      <sz val="8"/>
      <color theme="1"/>
      <name val="Times New Roman"/>
      <family val="1"/>
    </font>
    <font>
      <sz val="9"/>
      <name val="Times New Roman"/>
      <family val="1"/>
    </font>
    <font>
      <i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u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sz val="7"/>
      <color theme="1"/>
      <name val="Cambria"/>
      <family val="1"/>
      <scheme val="major"/>
    </font>
    <font>
      <sz val="9"/>
      <color theme="1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2"/>
      <name val="Calibri"/>
      <family val="2"/>
    </font>
    <font>
      <sz val="9"/>
      <name val="Arial"/>
      <family val="2"/>
    </font>
    <font>
      <u/>
      <sz val="12"/>
      <color theme="1"/>
      <name val="Cambria"/>
      <family val="1"/>
      <scheme val="major"/>
    </font>
    <font>
      <u/>
      <sz val="7"/>
      <color theme="1"/>
      <name val="Cambria"/>
      <family val="1"/>
      <scheme val="major"/>
    </font>
    <font>
      <sz val="7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6"/>
      <color theme="1"/>
      <name val="Cambria"/>
      <family val="1"/>
      <scheme val="major"/>
    </font>
    <font>
      <sz val="8"/>
      <color theme="1"/>
      <name val="Cambria"/>
      <family val="1"/>
      <scheme val="major"/>
    </font>
    <font>
      <b/>
      <sz val="7"/>
      <color theme="1"/>
      <name val="Cambria"/>
      <family val="1"/>
      <scheme val="major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u/>
      <sz val="8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u/>
      <sz val="10"/>
      <color theme="1"/>
      <name val="Cambria"/>
      <family val="1"/>
      <scheme val="major"/>
    </font>
    <font>
      <sz val="9"/>
      <color theme="1"/>
      <name val="Cambria"/>
      <family val="1"/>
      <scheme val="major"/>
    </font>
    <font>
      <u/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u/>
      <sz val="9"/>
      <color theme="1"/>
      <name val="Cambria"/>
      <family val="1"/>
      <scheme val="major"/>
    </font>
    <font>
      <u/>
      <sz val="9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9"/>
      <color theme="1"/>
      <name val="Cambria"/>
      <family val="1"/>
      <scheme val="major"/>
    </font>
    <font>
      <b/>
      <u/>
      <sz val="12"/>
      <color indexed="8"/>
      <name val="Calibri"/>
      <family val="2"/>
    </font>
    <font>
      <sz val="10"/>
      <color indexed="8"/>
      <name val="Calibri"/>
      <family val="2"/>
    </font>
    <font>
      <b/>
      <u/>
      <sz val="10"/>
      <name val="Arial Narrow"/>
      <family val="2"/>
    </font>
    <font>
      <b/>
      <sz val="10"/>
      <color indexed="8"/>
      <name val="Calibri"/>
      <family val="2"/>
    </font>
    <font>
      <b/>
      <u/>
      <sz val="11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u/>
      <sz val="8"/>
      <name val="Arial Narrow"/>
      <family val="2"/>
    </font>
    <font>
      <b/>
      <sz val="8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sz val="9"/>
      <color indexed="8"/>
      <name val="Arial"/>
      <family val="2"/>
    </font>
    <font>
      <b/>
      <u/>
      <sz val="14"/>
      <color indexed="8"/>
      <name val="Arial"/>
      <family val="2"/>
    </font>
    <font>
      <b/>
      <u/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u/>
      <sz val="8"/>
      <color indexed="8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u/>
      <sz val="8"/>
      <name val="Arial Narrow"/>
      <family val="2"/>
    </font>
    <font>
      <b/>
      <sz val="8"/>
      <color indexed="81"/>
      <name val="Tahoma"/>
      <family val="2"/>
    </font>
    <font>
      <b/>
      <sz val="10"/>
      <color theme="1"/>
      <name val="Cambria"/>
      <family val="1"/>
      <scheme val="major"/>
    </font>
    <font>
      <u/>
      <sz val="14"/>
      <color theme="1"/>
      <name val="Cambria"/>
      <family val="1"/>
      <scheme val="major"/>
    </font>
    <font>
      <sz val="12"/>
      <color indexed="8"/>
      <name val="Times New Roman"/>
      <family val="1"/>
    </font>
    <font>
      <b/>
      <sz val="12"/>
      <name val="Arial"/>
      <family val="2"/>
    </font>
    <font>
      <b/>
      <u/>
      <sz val="14"/>
      <name val="Arial"/>
      <family val="2"/>
    </font>
    <font>
      <sz val="10"/>
      <name val="Arial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8"/>
      <color indexed="8"/>
      <name val="Calibri"/>
      <family val="2"/>
    </font>
    <font>
      <b/>
      <u/>
      <sz val="8"/>
      <color indexed="8"/>
      <name val="Calibri"/>
      <family val="2"/>
    </font>
    <font>
      <b/>
      <sz val="8"/>
      <color indexed="8"/>
      <name val="Calibri"/>
      <family val="2"/>
    </font>
    <font>
      <b/>
      <u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</font>
    <font>
      <b/>
      <sz val="9"/>
      <color indexed="8"/>
      <name val="Calibri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9"/>
      <color indexed="8"/>
      <name val="Times New Roman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color indexed="8"/>
      <name val="Times New Roman"/>
      <family val="1"/>
    </font>
    <font>
      <b/>
      <sz val="9"/>
      <name val="Times New Roman"/>
      <family val="1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9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5" fillId="0" borderId="0"/>
    <xf numFmtId="0" fontId="4" fillId="0" borderId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</cellStyleXfs>
  <cellXfs count="1668">
    <xf numFmtId="0" fontId="0" fillId="0" borderId="0" xfId="0"/>
    <xf numFmtId="0" fontId="2" fillId="0" borderId="0" xfId="0" applyFont="1"/>
    <xf numFmtId="0" fontId="3" fillId="0" borderId="1" xfId="0" applyFont="1" applyBorder="1"/>
    <xf numFmtId="2" fontId="0" fillId="0" borderId="0" xfId="0" applyNumberFormat="1"/>
    <xf numFmtId="0" fontId="3" fillId="0" borderId="1" xfId="0" applyFont="1" applyFill="1" applyBorder="1"/>
    <xf numFmtId="0" fontId="3" fillId="0" borderId="1" xfId="0" applyFont="1" applyBorder="1" applyAlignment="1">
      <alignment wrapText="1"/>
    </xf>
    <xf numFmtId="0" fontId="7" fillId="0" borderId="1" xfId="3" applyBorder="1" applyAlignment="1" applyProtection="1"/>
    <xf numFmtId="0" fontId="7" fillId="2" borderId="1" xfId="3" applyFill="1" applyBorder="1" applyAlignment="1" applyProtection="1"/>
    <xf numFmtId="0" fontId="13" fillId="0" borderId="0" xfId="0" applyFont="1"/>
    <xf numFmtId="0" fontId="14" fillId="0" borderId="1" xfId="0" applyFont="1" applyBorder="1"/>
    <xf numFmtId="166" fontId="14" fillId="0" borderId="1" xfId="0" applyNumberFormat="1" applyFont="1" applyBorder="1"/>
    <xf numFmtId="0" fontId="14" fillId="0" borderId="0" xfId="0" applyFont="1"/>
    <xf numFmtId="0" fontId="14" fillId="0" borderId="0" xfId="0" applyFont="1" applyBorder="1" applyAlignment="1"/>
    <xf numFmtId="0" fontId="13" fillId="0" borderId="1" xfId="0" applyFont="1" applyBorder="1"/>
    <xf numFmtId="0" fontId="14" fillId="0" borderId="5" xfId="0" applyFont="1" applyBorder="1"/>
    <xf numFmtId="0" fontId="14" fillId="0" borderId="1" xfId="0" applyFont="1" applyFill="1" applyBorder="1"/>
    <xf numFmtId="0" fontId="15" fillId="0" borderId="0" xfId="0" applyFont="1"/>
    <xf numFmtId="0" fontId="16" fillId="5" borderId="1" xfId="0" applyNumberFormat="1" applyFont="1" applyFill="1" applyBorder="1" applyAlignment="1">
      <alignment vertical="center" wrapText="1"/>
    </xf>
    <xf numFmtId="0" fontId="14" fillId="0" borderId="1" xfId="0" applyFont="1" applyBorder="1" applyAlignment="1">
      <alignment horizontal="center" wrapText="1"/>
    </xf>
    <xf numFmtId="167" fontId="14" fillId="0" borderId="1" xfId="1" applyNumberFormat="1" applyFont="1" applyBorder="1" applyAlignment="1">
      <alignment horizontal="right" wrapText="1"/>
    </xf>
    <xf numFmtId="167" fontId="14" fillId="0" borderId="1" xfId="1" applyNumberFormat="1" applyFont="1" applyBorder="1"/>
    <xf numFmtId="167" fontId="10" fillId="0" borderId="1" xfId="1" applyNumberFormat="1" applyFont="1" applyBorder="1"/>
    <xf numFmtId="167" fontId="17" fillId="0" borderId="1" xfId="1" applyNumberFormat="1" applyFont="1" applyBorder="1" applyAlignment="1">
      <alignment horizontal="left" vertical="center" wrapText="1"/>
    </xf>
    <xf numFmtId="167" fontId="18" fillId="0" borderId="1" xfId="1" applyNumberFormat="1" applyFont="1" applyBorder="1" applyAlignment="1">
      <alignment horizontal="right" vertical="top"/>
    </xf>
    <xf numFmtId="167" fontId="19" fillId="0" borderId="1" xfId="1" applyNumberFormat="1" applyFont="1" applyBorder="1"/>
    <xf numFmtId="43" fontId="13" fillId="0" borderId="0" xfId="0" applyNumberFormat="1" applyFont="1"/>
    <xf numFmtId="167" fontId="20" fillId="0" borderId="1" xfId="1" applyNumberFormat="1" applyFont="1" applyBorder="1" applyAlignment="1">
      <alignment horizontal="right" vertical="top"/>
    </xf>
    <xf numFmtId="167" fontId="14" fillId="0" borderId="1" xfId="0" applyNumberFormat="1" applyFont="1" applyBorder="1"/>
    <xf numFmtId="167" fontId="18" fillId="0" borderId="1" xfId="0" applyNumberFormat="1" applyFont="1" applyBorder="1" applyAlignment="1">
      <alignment horizontal="right" vertical="top"/>
    </xf>
    <xf numFmtId="167" fontId="17" fillId="0" borderId="1" xfId="1" applyNumberFormat="1" applyFont="1" applyBorder="1" applyAlignment="1">
      <alignment horizontal="right" vertical="center" wrapText="1"/>
    </xf>
    <xf numFmtId="0" fontId="21" fillId="0" borderId="1" xfId="0" applyFont="1" applyBorder="1"/>
    <xf numFmtId="167" fontId="21" fillId="0" borderId="1" xfId="1" applyNumberFormat="1" applyFont="1" applyBorder="1"/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7" fontId="19" fillId="0" borderId="1" xfId="0" applyNumberFormat="1" applyFont="1" applyBorder="1"/>
    <xf numFmtId="0" fontId="22" fillId="0" borderId="1" xfId="0" applyFont="1" applyBorder="1" applyAlignment="1">
      <alignment horizontal="right"/>
    </xf>
    <xf numFmtId="167" fontId="22" fillId="0" borderId="1" xfId="1" applyNumberFormat="1" applyFont="1" applyBorder="1"/>
    <xf numFmtId="167" fontId="22" fillId="0" borderId="1" xfId="0" applyNumberFormat="1" applyFont="1" applyBorder="1"/>
    <xf numFmtId="167" fontId="21" fillId="0" borderId="1" xfId="0" applyNumberFormat="1" applyFont="1" applyBorder="1"/>
    <xf numFmtId="0" fontId="14" fillId="0" borderId="1" xfId="0" applyFont="1" applyBorder="1" applyAlignment="1"/>
    <xf numFmtId="0" fontId="14" fillId="0" borderId="6" xfId="0" applyFont="1" applyBorder="1" applyAlignment="1"/>
    <xf numFmtId="0" fontId="14" fillId="0" borderId="7" xfId="0" applyFont="1" applyBorder="1" applyAlignment="1"/>
    <xf numFmtId="166" fontId="14" fillId="0" borderId="1" xfId="0" applyNumberFormat="1" applyFont="1" applyBorder="1" applyAlignment="1">
      <alignment horizontal="right" wrapText="1"/>
    </xf>
    <xf numFmtId="166" fontId="19" fillId="0" borderId="1" xfId="0" applyNumberFormat="1" applyFont="1" applyBorder="1"/>
    <xf numFmtId="0" fontId="22" fillId="0" borderId="1" xfId="0" applyFont="1" applyBorder="1"/>
    <xf numFmtId="166" fontId="22" fillId="0" borderId="1" xfId="0" applyNumberFormat="1" applyFont="1" applyBorder="1"/>
    <xf numFmtId="0" fontId="24" fillId="0" borderId="0" xfId="0" applyFont="1"/>
    <xf numFmtId="0" fontId="24" fillId="0" borderId="1" xfId="0" applyFont="1" applyBorder="1"/>
    <xf numFmtId="0" fontId="24" fillId="0" borderId="0" xfId="0" applyFont="1" applyBorder="1" applyAlignment="1"/>
    <xf numFmtId="0" fontId="24" fillId="0" borderId="0" xfId="0" applyFont="1" applyFill="1" applyBorder="1"/>
    <xf numFmtId="0" fontId="25" fillId="0" borderId="0" xfId="0" applyFont="1"/>
    <xf numFmtId="0" fontId="27" fillId="5" borderId="1" xfId="0" applyNumberFormat="1" applyFont="1" applyFill="1" applyBorder="1" applyAlignment="1">
      <alignment vertical="center" wrapText="1"/>
    </xf>
    <xf numFmtId="0" fontId="26" fillId="0" borderId="1" xfId="0" applyFont="1" applyBorder="1"/>
    <xf numFmtId="166" fontId="26" fillId="0" borderId="1" xfId="0" applyNumberFormat="1" applyFont="1" applyBorder="1" applyAlignment="1">
      <alignment horizontal="right" wrapText="1"/>
    </xf>
    <xf numFmtId="166" fontId="21" fillId="0" borderId="1" xfId="0" applyNumberFormat="1" applyFont="1" applyBorder="1"/>
    <xf numFmtId="166" fontId="26" fillId="0" borderId="1" xfId="0" applyNumberFormat="1" applyFont="1" applyBorder="1"/>
    <xf numFmtId="0" fontId="21" fillId="0" borderId="1" xfId="0" applyFont="1" applyBorder="1" applyAlignment="1">
      <alignment horizontal="right"/>
    </xf>
    <xf numFmtId="0" fontId="14" fillId="0" borderId="0" xfId="0" applyFont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28" fillId="5" borderId="1" xfId="0" applyNumberFormat="1" applyFont="1" applyFill="1" applyBorder="1" applyAlignment="1">
      <alignment vertical="center" wrapText="1"/>
    </xf>
    <xf numFmtId="166" fontId="14" fillId="0" borderId="1" xfId="0" applyNumberFormat="1" applyFont="1" applyBorder="1" applyAlignment="1">
      <alignment vertical="center" wrapText="1"/>
    </xf>
    <xf numFmtId="166" fontId="19" fillId="0" borderId="1" xfId="0" applyNumberFormat="1" applyFont="1" applyBorder="1" applyAlignment="1">
      <alignment vertical="center" wrapText="1"/>
    </xf>
    <xf numFmtId="0" fontId="22" fillId="0" borderId="1" xfId="0" applyFont="1" applyBorder="1" applyAlignment="1">
      <alignment horizontal="right" vertical="center" wrapText="1"/>
    </xf>
    <xf numFmtId="0" fontId="21" fillId="0" borderId="1" xfId="0" applyFont="1" applyBorder="1" applyAlignment="1">
      <alignment vertical="center" wrapText="1"/>
    </xf>
    <xf numFmtId="166" fontId="21" fillId="0" borderId="1" xfId="0" applyNumberFormat="1" applyFont="1" applyBorder="1" applyAlignment="1">
      <alignment vertical="center" wrapText="1"/>
    </xf>
    <xf numFmtId="166" fontId="22" fillId="0" borderId="1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right"/>
    </xf>
    <xf numFmtId="0" fontId="11" fillId="0" borderId="1" xfId="0" applyFont="1" applyBorder="1"/>
    <xf numFmtId="166" fontId="26" fillId="0" borderId="15" xfId="0" applyNumberFormat="1" applyFont="1" applyFill="1" applyBorder="1"/>
    <xf numFmtId="0" fontId="24" fillId="0" borderId="0" xfId="0" applyFont="1" applyAlignment="1">
      <alignment vertical="center" wrapText="1"/>
    </xf>
    <xf numFmtId="0" fontId="24" fillId="0" borderId="0" xfId="0" applyFont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0" applyFont="1" applyAlignment="1">
      <alignment vertical="center" wrapText="1"/>
    </xf>
    <xf numFmtId="166" fontId="26" fillId="0" borderId="1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right" vertical="center" wrapText="1"/>
    </xf>
    <xf numFmtId="0" fontId="11" fillId="0" borderId="1" xfId="0" applyFont="1" applyBorder="1" applyAlignment="1">
      <alignment vertical="center" wrapText="1"/>
    </xf>
    <xf numFmtId="0" fontId="7" fillId="0" borderId="1" xfId="3" applyBorder="1" applyAlignment="1" applyProtection="1">
      <alignment horizontal="left" vertical="center" wrapText="1"/>
    </xf>
    <xf numFmtId="0" fontId="0" fillId="0" borderId="1" xfId="0" applyBorder="1"/>
    <xf numFmtId="0" fontId="24" fillId="5" borderId="0" xfId="0" applyFont="1" applyFill="1"/>
    <xf numFmtId="0" fontId="24" fillId="0" borderId="2" xfId="0" applyFont="1" applyBorder="1" applyAlignment="1"/>
    <xf numFmtId="0" fontId="24" fillId="0" borderId="0" xfId="0" applyFont="1" applyAlignment="1"/>
    <xf numFmtId="0" fontId="24" fillId="0" borderId="0" xfId="0" applyFont="1" applyBorder="1"/>
    <xf numFmtId="0" fontId="24" fillId="0" borderId="1" xfId="0" applyFont="1" applyBorder="1" applyAlignment="1">
      <alignment wrapText="1"/>
    </xf>
    <xf numFmtId="166" fontId="0" fillId="0" borderId="1" xfId="0" applyNumberFormat="1" applyBorder="1"/>
    <xf numFmtId="166" fontId="0" fillId="0" borderId="1" xfId="0" applyNumberFormat="1" applyFont="1" applyBorder="1"/>
    <xf numFmtId="166" fontId="11" fillId="0" borderId="1" xfId="0" applyNumberFormat="1" applyFont="1" applyBorder="1"/>
    <xf numFmtId="166" fontId="0" fillId="0" borderId="1" xfId="0" applyNumberFormat="1" applyBorder="1" applyAlignment="1">
      <alignment wrapText="1"/>
    </xf>
    <xf numFmtId="166" fontId="11" fillId="0" borderId="1" xfId="0" applyNumberFormat="1" applyFont="1" applyBorder="1" applyAlignment="1">
      <alignment horizontal="right"/>
    </xf>
    <xf numFmtId="166" fontId="31" fillId="0" borderId="1" xfId="0" applyNumberFormat="1" applyFont="1" applyBorder="1" applyAlignment="1">
      <alignment horizontal="right"/>
    </xf>
    <xf numFmtId="166" fontId="32" fillId="0" borderId="1" xfId="0" applyNumberFormat="1" applyFont="1" applyBorder="1" applyAlignment="1">
      <alignment horizontal="center" wrapText="1"/>
    </xf>
    <xf numFmtId="166" fontId="32" fillId="0" borderId="1" xfId="0" applyNumberFormat="1" applyFont="1" applyBorder="1" applyAlignment="1">
      <alignment wrapText="1"/>
    </xf>
    <xf numFmtId="166" fontId="33" fillId="0" borderId="1" xfId="0" applyNumberFormat="1" applyFont="1" applyBorder="1" applyAlignment="1">
      <alignment wrapText="1"/>
    </xf>
    <xf numFmtId="0" fontId="33" fillId="0" borderId="1" xfId="0" applyFont="1" applyBorder="1" applyAlignment="1">
      <alignment wrapText="1"/>
    </xf>
    <xf numFmtId="0" fontId="33" fillId="0" borderId="1" xfId="0" applyFont="1" applyBorder="1"/>
    <xf numFmtId="0" fontId="33" fillId="0" borderId="1" xfId="0" applyFont="1" applyBorder="1" applyAlignment="1">
      <alignment horizontal="right" wrapText="1"/>
    </xf>
    <xf numFmtId="166" fontId="34" fillId="0" borderId="1" xfId="0" applyNumberFormat="1" applyFont="1" applyBorder="1" applyAlignment="1">
      <alignment horizontal="right"/>
    </xf>
    <xf numFmtId="166" fontId="35" fillId="0" borderId="1" xfId="0" applyNumberFormat="1" applyFont="1" applyBorder="1" applyAlignment="1">
      <alignment horizontal="center"/>
    </xf>
    <xf numFmtId="166" fontId="30" fillId="0" borderId="1" xfId="0" applyNumberFormat="1" applyFont="1" applyBorder="1" applyAlignment="1">
      <alignment horizontal="center" wrapText="1"/>
    </xf>
    <xf numFmtId="166" fontId="36" fillId="0" borderId="1" xfId="0" applyNumberFormat="1" applyFont="1" applyBorder="1" applyAlignment="1">
      <alignment wrapText="1"/>
    </xf>
    <xf numFmtId="0" fontId="37" fillId="0" borderId="1" xfId="0" applyFont="1" applyBorder="1"/>
    <xf numFmtId="0" fontId="30" fillId="0" borderId="1" xfId="0" applyFont="1" applyBorder="1"/>
    <xf numFmtId="0" fontId="30" fillId="0" borderId="1" xfId="0" applyFont="1" applyBorder="1" applyAlignment="1">
      <alignment wrapText="1"/>
    </xf>
    <xf numFmtId="166" fontId="31" fillId="0" borderId="1" xfId="0" applyNumberFormat="1" applyFont="1" applyBorder="1" applyAlignment="1">
      <alignment horizontal="center"/>
    </xf>
    <xf numFmtId="166" fontId="30" fillId="0" borderId="1" xfId="0" applyNumberFormat="1" applyFont="1" applyBorder="1" applyAlignment="1">
      <alignment wrapText="1"/>
    </xf>
    <xf numFmtId="166" fontId="34" fillId="0" borderId="1" xfId="0" applyNumberFormat="1" applyFont="1" applyBorder="1" applyAlignment="1">
      <alignment horizontal="center"/>
    </xf>
    <xf numFmtId="166" fontId="38" fillId="0" borderId="1" xfId="0" applyNumberFormat="1" applyFont="1" applyBorder="1" applyAlignment="1">
      <alignment wrapText="1"/>
    </xf>
    <xf numFmtId="0" fontId="38" fillId="0" borderId="1" xfId="0" applyFont="1" applyFill="1" applyBorder="1"/>
    <xf numFmtId="0" fontId="32" fillId="0" borderId="1" xfId="0" applyFont="1" applyFill="1" applyBorder="1"/>
    <xf numFmtId="0" fontId="30" fillId="0" borderId="0" xfId="0" applyFont="1"/>
    <xf numFmtId="0" fontId="30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30" fillId="0" borderId="1" xfId="0" applyFont="1" applyFill="1" applyBorder="1" applyAlignment="1">
      <alignment wrapText="1"/>
    </xf>
    <xf numFmtId="0" fontId="30" fillId="0" borderId="0" xfId="0" applyFont="1" applyBorder="1" applyAlignment="1">
      <alignment wrapText="1"/>
    </xf>
    <xf numFmtId="0" fontId="30" fillId="0" borderId="5" xfId="0" applyFont="1" applyBorder="1"/>
    <xf numFmtId="0" fontId="0" fillId="0" borderId="0" xfId="0" applyAlignment="1">
      <alignment wrapText="1"/>
    </xf>
    <xf numFmtId="166" fontId="21" fillId="0" borderId="1" xfId="0" applyNumberFormat="1" applyFont="1" applyBorder="1" applyAlignment="1">
      <alignment horizontal="right"/>
    </xf>
    <xf numFmtId="166" fontId="21" fillId="0" borderId="1" xfId="0" applyNumberFormat="1" applyFont="1" applyBorder="1" applyAlignment="1">
      <alignment horizontal="center" wrapText="1"/>
    </xf>
    <xf numFmtId="166" fontId="40" fillId="0" borderId="1" xfId="0" applyNumberFormat="1" applyFont="1" applyBorder="1" applyAlignment="1">
      <alignment wrapText="1"/>
    </xf>
    <xf numFmtId="166" fontId="26" fillId="0" borderId="1" xfId="0" applyNumberFormat="1" applyFont="1" applyBorder="1" applyAlignment="1">
      <alignment horizontal="right"/>
    </xf>
    <xf numFmtId="166" fontId="41" fillId="0" borderId="1" xfId="0" applyNumberFormat="1" applyFont="1" applyBorder="1" applyAlignment="1">
      <alignment horizontal="center"/>
    </xf>
    <xf numFmtId="166" fontId="42" fillId="0" borderId="1" xfId="0" applyNumberFormat="1" applyFont="1" applyBorder="1" applyAlignment="1">
      <alignment horizontal="center" wrapText="1"/>
    </xf>
    <xf numFmtId="166" fontId="27" fillId="0" borderId="1" xfId="0" applyNumberFormat="1" applyFont="1" applyBorder="1" applyAlignment="1">
      <alignment wrapText="1"/>
    </xf>
    <xf numFmtId="166" fontId="42" fillId="0" borderId="1" xfId="0" applyNumberFormat="1" applyFont="1" applyBorder="1" applyAlignment="1">
      <alignment wrapText="1"/>
    </xf>
    <xf numFmtId="166" fontId="26" fillId="0" borderId="1" xfId="0" applyNumberFormat="1" applyFont="1" applyBorder="1" applyAlignment="1">
      <alignment horizontal="center"/>
    </xf>
    <xf numFmtId="166" fontId="26" fillId="0" borderId="1" xfId="0" applyNumberFormat="1" applyFont="1" applyBorder="1" applyAlignment="1">
      <alignment wrapText="1"/>
    </xf>
    <xf numFmtId="166" fontId="21" fillId="0" borderId="1" xfId="0" applyNumberFormat="1" applyFont="1" applyBorder="1" applyAlignment="1">
      <alignment horizontal="center"/>
    </xf>
    <xf numFmtId="0" fontId="30" fillId="0" borderId="5" xfId="0" applyFont="1" applyBorder="1" applyAlignment="1">
      <alignment wrapText="1"/>
    </xf>
    <xf numFmtId="166" fontId="32" fillId="0" borderId="1" xfId="0" applyNumberFormat="1" applyFont="1" applyBorder="1" applyAlignment="1">
      <alignment horizontal="right" wrapText="1"/>
    </xf>
    <xf numFmtId="166" fontId="35" fillId="0" borderId="1" xfId="0" applyNumberFormat="1" applyFont="1" applyBorder="1"/>
    <xf numFmtId="166" fontId="30" fillId="0" borderId="1" xfId="0" applyNumberFormat="1" applyFont="1" applyBorder="1" applyAlignment="1">
      <alignment horizontal="center"/>
    </xf>
    <xf numFmtId="166" fontId="34" fillId="0" borderId="1" xfId="0" applyNumberFormat="1" applyFont="1" applyBorder="1"/>
    <xf numFmtId="166" fontId="31" fillId="0" borderId="1" xfId="0" applyNumberFormat="1" applyFont="1" applyBorder="1"/>
    <xf numFmtId="0" fontId="30" fillId="0" borderId="0" xfId="0" applyFont="1" applyFill="1" applyBorder="1" applyAlignment="1">
      <alignment wrapText="1"/>
    </xf>
    <xf numFmtId="166" fontId="38" fillId="0" borderId="1" xfId="0" applyNumberFormat="1" applyFont="1" applyBorder="1" applyAlignment="1">
      <alignment horizontal="center" wrapText="1"/>
    </xf>
    <xf numFmtId="166" fontId="33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>
      <alignment horizontal="center" wrapText="1"/>
    </xf>
    <xf numFmtId="166" fontId="36" fillId="0" borderId="1" xfId="0" applyNumberFormat="1" applyFont="1" applyBorder="1" applyAlignment="1">
      <alignment horizontal="center" wrapText="1"/>
    </xf>
    <xf numFmtId="166" fontId="43" fillId="0" borderId="1" xfId="0" applyNumberFormat="1" applyFont="1" applyBorder="1"/>
    <xf numFmtId="0" fontId="44" fillId="0" borderId="1" xfId="0" applyFont="1" applyBorder="1" applyAlignment="1">
      <alignment wrapText="1"/>
    </xf>
    <xf numFmtId="0" fontId="37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37" fillId="0" borderId="5" xfId="0" applyFont="1" applyBorder="1" applyAlignment="1"/>
    <xf numFmtId="0" fontId="37" fillId="0" borderId="7" xfId="0" applyFont="1" applyBorder="1" applyAlignment="1"/>
    <xf numFmtId="0" fontId="37" fillId="0" borderId="0" xfId="0" applyFont="1" applyBorder="1" applyAlignment="1"/>
    <xf numFmtId="0" fontId="37" fillId="0" borderId="1" xfId="0" applyFont="1" applyBorder="1" applyAlignment="1"/>
    <xf numFmtId="0" fontId="50" fillId="0" borderId="0" xfId="0" applyFont="1"/>
    <xf numFmtId="0" fontId="48" fillId="0" borderId="1" xfId="0" applyFont="1" applyBorder="1"/>
    <xf numFmtId="0" fontId="47" fillId="0" borderId="0" xfId="0" applyFont="1" applyBorder="1" applyAlignment="1"/>
    <xf numFmtId="0" fontId="37" fillId="0" borderId="0" xfId="0" applyFont="1" applyFill="1" applyBorder="1"/>
    <xf numFmtId="0" fontId="26" fillId="0" borderId="0" xfId="0" applyFont="1"/>
    <xf numFmtId="0" fontId="52" fillId="0" borderId="0" xfId="0" applyFont="1"/>
    <xf numFmtId="0" fontId="53" fillId="0" borderId="0" xfId="0" applyFont="1"/>
    <xf numFmtId="0" fontId="47" fillId="0" borderId="1" xfId="0" applyFont="1" applyBorder="1"/>
    <xf numFmtId="0" fontId="24" fillId="0" borderId="1" xfId="0" applyFont="1" applyBorder="1" applyAlignment="1"/>
    <xf numFmtId="0" fontId="24" fillId="0" borderId="0" xfId="0" applyFont="1" applyAlignment="1">
      <alignment wrapText="1"/>
    </xf>
    <xf numFmtId="0" fontId="24" fillId="0" borderId="5" xfId="0" applyFont="1" applyBorder="1" applyAlignment="1"/>
    <xf numFmtId="0" fontId="24" fillId="0" borderId="7" xfId="0" applyFont="1" applyBorder="1" applyAlignment="1"/>
    <xf numFmtId="0" fontId="54" fillId="0" borderId="0" xfId="0" applyFont="1"/>
    <xf numFmtId="0" fontId="29" fillId="0" borderId="0" xfId="0" applyFont="1"/>
    <xf numFmtId="166" fontId="26" fillId="0" borderId="15" xfId="0" applyNumberFormat="1" applyFont="1" applyFill="1" applyBorder="1" applyAlignment="1">
      <alignment horizontal="right"/>
    </xf>
    <xf numFmtId="0" fontId="55" fillId="0" borderId="1" xfId="0" applyFont="1" applyBorder="1" applyAlignment="1">
      <alignment horizontal="left"/>
    </xf>
    <xf numFmtId="0" fontId="49" fillId="0" borderId="0" xfId="0" applyFont="1" applyFill="1" applyBorder="1"/>
    <xf numFmtId="166" fontId="26" fillId="0" borderId="1" xfId="0" applyNumberFormat="1" applyFont="1" applyBorder="1" applyAlignment="1"/>
    <xf numFmtId="166" fontId="26" fillId="0" borderId="15" xfId="0" applyNumberFormat="1" applyFont="1" applyFill="1" applyBorder="1" applyAlignment="1"/>
    <xf numFmtId="166" fontId="21" fillId="0" borderId="1" xfId="0" applyNumberFormat="1" applyFont="1" applyBorder="1" applyAlignment="1"/>
    <xf numFmtId="0" fontId="56" fillId="0" borderId="0" xfId="0" applyFont="1"/>
    <xf numFmtId="0" fontId="47" fillId="0" borderId="0" xfId="0" applyFont="1" applyFill="1" applyBorder="1"/>
    <xf numFmtId="0" fontId="55" fillId="0" borderId="1" xfId="0" applyFont="1" applyBorder="1"/>
    <xf numFmtId="0" fontId="57" fillId="0" borderId="0" xfId="0" applyFont="1"/>
    <xf numFmtId="0" fontId="50" fillId="0" borderId="0" xfId="0" applyFont="1" applyBorder="1" applyAlignment="1"/>
    <xf numFmtId="0" fontId="50" fillId="0" borderId="1" xfId="0" applyFont="1" applyBorder="1"/>
    <xf numFmtId="0" fontId="50" fillId="0" borderId="1" xfId="0" applyFont="1" applyBorder="1" applyAlignment="1"/>
    <xf numFmtId="0" fontId="50" fillId="0" borderId="0" xfId="0" applyFont="1" applyFill="1" applyBorder="1"/>
    <xf numFmtId="0" fontId="58" fillId="0" borderId="1" xfId="0" applyFont="1" applyBorder="1"/>
    <xf numFmtId="0" fontId="59" fillId="0" borderId="0" xfId="0" applyFont="1"/>
    <xf numFmtId="0" fontId="60" fillId="0" borderId="0" xfId="0" applyFont="1"/>
    <xf numFmtId="0" fontId="50" fillId="0" borderId="4" xfId="0" applyFont="1" applyBorder="1" applyAlignment="1"/>
    <xf numFmtId="0" fontId="50" fillId="0" borderId="0" xfId="0" applyFont="1" applyFill="1" applyBorder="1" applyAlignment="1">
      <alignment wrapText="1"/>
    </xf>
    <xf numFmtId="0" fontId="61" fillId="0" borderId="0" xfId="0" applyFont="1"/>
    <xf numFmtId="0" fontId="62" fillId="0" borderId="0" xfId="0" applyFont="1"/>
    <xf numFmtId="0" fontId="48" fillId="0" borderId="6" xfId="0" applyFont="1" applyBorder="1"/>
    <xf numFmtId="0" fontId="58" fillId="0" borderId="1" xfId="0" applyFont="1" applyBorder="1" applyAlignment="1">
      <alignment horizontal="left"/>
    </xf>
    <xf numFmtId="0" fontId="63" fillId="0" borderId="1" xfId="0" applyFont="1" applyBorder="1" applyAlignment="1">
      <alignment horizontal="left"/>
    </xf>
    <xf numFmtId="0" fontId="37" fillId="0" borderId="6" xfId="0" applyFont="1" applyBorder="1" applyAlignment="1"/>
    <xf numFmtId="0" fontId="49" fillId="0" borderId="0" xfId="0" applyFont="1"/>
    <xf numFmtId="0" fontId="51" fillId="0" borderId="1" xfId="0" applyFont="1" applyBorder="1"/>
    <xf numFmtId="0" fontId="64" fillId="0" borderId="0" xfId="0" applyFont="1"/>
    <xf numFmtId="0" fontId="65" fillId="0" borderId="0" xfId="0" applyFont="1"/>
    <xf numFmtId="0" fontId="61" fillId="0" borderId="1" xfId="0" applyFont="1" applyBorder="1"/>
    <xf numFmtId="0" fontId="61" fillId="0" borderId="0" xfId="0" applyFont="1" applyBorder="1" applyAlignment="1"/>
    <xf numFmtId="0" fontId="61" fillId="0" borderId="1" xfId="0" applyFont="1" applyBorder="1" applyAlignment="1"/>
    <xf numFmtId="0" fontId="61" fillId="0" borderId="4" xfId="0" applyFont="1" applyBorder="1" applyAlignment="1"/>
    <xf numFmtId="0" fontId="61" fillId="0" borderId="0" xfId="0" applyFont="1" applyFill="1" applyBorder="1"/>
    <xf numFmtId="166" fontId="66" fillId="0" borderId="1" xfId="0" applyNumberFormat="1" applyFont="1" applyBorder="1" applyAlignment="1">
      <alignment horizontal="right"/>
    </xf>
    <xf numFmtId="166" fontId="67" fillId="0" borderId="1" xfId="0" applyNumberFormat="1" applyFont="1" applyBorder="1" applyAlignment="1">
      <alignment horizontal="right"/>
    </xf>
    <xf numFmtId="166" fontId="66" fillId="0" borderId="1" xfId="0" applyNumberFormat="1" applyFont="1" applyBorder="1" applyAlignment="1">
      <alignment horizontal="center"/>
    </xf>
    <xf numFmtId="166" fontId="0" fillId="0" borderId="0" xfId="0" applyNumberFormat="1"/>
    <xf numFmtId="0" fontId="70" fillId="0" borderId="0" xfId="0" applyFont="1" applyAlignment="1">
      <alignment vertical="center"/>
    </xf>
    <xf numFmtId="0" fontId="70" fillId="0" borderId="1" xfId="0" applyFont="1" applyBorder="1" applyAlignment="1">
      <alignment vertical="center"/>
    </xf>
    <xf numFmtId="0" fontId="70" fillId="0" borderId="0" xfId="0" applyFont="1" applyBorder="1" applyAlignment="1">
      <alignment vertical="center"/>
    </xf>
    <xf numFmtId="0" fontId="71" fillId="0" borderId="0" xfId="0" applyFont="1" applyAlignment="1">
      <alignment vertical="center" wrapText="1"/>
    </xf>
    <xf numFmtId="2" fontId="70" fillId="0" borderId="1" xfId="0" applyNumberFormat="1" applyFont="1" applyBorder="1" applyAlignment="1">
      <alignment vertical="center"/>
    </xf>
    <xf numFmtId="0" fontId="72" fillId="0" borderId="1" xfId="0" applyFont="1" applyBorder="1" applyAlignment="1">
      <alignment vertical="center"/>
    </xf>
    <xf numFmtId="2" fontId="72" fillId="0" borderId="1" xfId="0" applyNumberFormat="1" applyFont="1" applyBorder="1" applyAlignment="1">
      <alignment vertical="center"/>
    </xf>
    <xf numFmtId="2" fontId="70" fillId="0" borderId="0" xfId="0" applyNumberFormat="1" applyFont="1" applyAlignment="1">
      <alignment vertical="center"/>
    </xf>
    <xf numFmtId="0" fontId="80" fillId="0" borderId="0" xfId="0" applyFont="1"/>
    <xf numFmtId="0" fontId="83" fillId="0" borderId="0" xfId="0" applyFont="1"/>
    <xf numFmtId="166" fontId="83" fillId="0" borderId="1" xfId="0" applyNumberFormat="1" applyFont="1" applyFill="1" applyBorder="1"/>
    <xf numFmtId="0" fontId="83" fillId="0" borderId="0" xfId="0" applyFont="1" applyBorder="1"/>
    <xf numFmtId="0" fontId="83" fillId="0" borderId="1" xfId="0" applyFont="1" applyBorder="1"/>
    <xf numFmtId="0" fontId="83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2" fontId="83" fillId="0" borderId="1" xfId="0" applyNumberFormat="1" applyFont="1" applyBorder="1"/>
    <xf numFmtId="164" fontId="83" fillId="0" borderId="1" xfId="46" applyFont="1" applyBorder="1"/>
    <xf numFmtId="0" fontId="84" fillId="0" borderId="1" xfId="0" applyFont="1" applyBorder="1"/>
    <xf numFmtId="2" fontId="84" fillId="0" borderId="1" xfId="0" applyNumberFormat="1" applyFont="1" applyBorder="1"/>
    <xf numFmtId="0" fontId="84" fillId="0" borderId="0" xfId="0" applyFont="1"/>
    <xf numFmtId="0" fontId="86" fillId="0" borderId="0" xfId="0" applyFont="1"/>
    <xf numFmtId="166" fontId="80" fillId="0" borderId="1" xfId="0" applyNumberFormat="1" applyFont="1" applyBorder="1"/>
    <xf numFmtId="0" fontId="80" fillId="0" borderId="0" xfId="0" applyFont="1" applyBorder="1"/>
    <xf numFmtId="0" fontId="80" fillId="0" borderId="0" xfId="0" applyFont="1" applyBorder="1" applyAlignment="1">
      <alignment horizontal="center"/>
    </xf>
    <xf numFmtId="0" fontId="80" fillId="0" borderId="1" xfId="0" applyFont="1" applyBorder="1"/>
    <xf numFmtId="0" fontId="80" fillId="0" borderId="1" xfId="0" applyFont="1" applyFill="1" applyBorder="1"/>
    <xf numFmtId="0" fontId="86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83" fillId="0" borderId="1" xfId="0" applyFont="1" applyFill="1" applyBorder="1" applyAlignment="1">
      <alignment horizontal="left"/>
    </xf>
    <xf numFmtId="2" fontId="80" fillId="0" borderId="1" xfId="0" applyNumberFormat="1" applyFont="1" applyFill="1" applyBorder="1"/>
    <xf numFmtId="164" fontId="80" fillId="0" borderId="1" xfId="46" applyFont="1" applyFill="1" applyBorder="1"/>
    <xf numFmtId="0" fontId="80" fillId="0" borderId="0" xfId="0" applyFont="1" applyFill="1"/>
    <xf numFmtId="2" fontId="80" fillId="0" borderId="1" xfId="0" applyNumberFormat="1" applyFont="1" applyBorder="1"/>
    <xf numFmtId="164" fontId="80" fillId="0" borderId="1" xfId="46" applyFont="1" applyBorder="1"/>
    <xf numFmtId="2" fontId="86" fillId="0" borderId="1" xfId="0" applyNumberFormat="1" applyFont="1" applyBorder="1"/>
    <xf numFmtId="39" fontId="86" fillId="0" borderId="1" xfId="46" applyNumberFormat="1" applyFont="1" applyBorder="1"/>
    <xf numFmtId="164" fontId="86" fillId="0" borderId="1" xfId="46" applyFont="1" applyBorder="1"/>
    <xf numFmtId="0" fontId="80" fillId="4" borderId="0" xfId="0" applyFont="1" applyFill="1"/>
    <xf numFmtId="166" fontId="83" fillId="0" borderId="1" xfId="0" applyNumberFormat="1" applyFont="1" applyBorder="1"/>
    <xf numFmtId="168" fontId="80" fillId="0" borderId="0" xfId="0" applyNumberFormat="1" applyFont="1"/>
    <xf numFmtId="0" fontId="74" fillId="0" borderId="0" xfId="0" applyFont="1"/>
    <xf numFmtId="0" fontId="75" fillId="0" borderId="0" xfId="0" applyFont="1"/>
    <xf numFmtId="0" fontId="10" fillId="0" borderId="1" xfId="0" applyFont="1" applyBorder="1"/>
    <xf numFmtId="0" fontId="75" fillId="0" borderId="1" xfId="0" applyFont="1" applyBorder="1" applyAlignment="1">
      <alignment vertical="center" wrapText="1"/>
    </xf>
    <xf numFmtId="0" fontId="74" fillId="0" borderId="0" xfId="0" applyFont="1" applyAlignment="1">
      <alignment vertical="center" wrapText="1"/>
    </xf>
    <xf numFmtId="0" fontId="75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76" fillId="0" borderId="0" xfId="0" applyFont="1" applyAlignment="1">
      <alignment vertical="center" wrapText="1"/>
    </xf>
    <xf numFmtId="0" fontId="77" fillId="0" borderId="1" xfId="0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vertical="center" wrapText="1"/>
    </xf>
    <xf numFmtId="164" fontId="10" fillId="0" borderId="1" xfId="46" applyFont="1" applyBorder="1" applyAlignment="1">
      <alignment vertical="center" wrapText="1"/>
    </xf>
    <xf numFmtId="0" fontId="77" fillId="0" borderId="1" xfId="0" applyFont="1" applyBorder="1" applyAlignment="1">
      <alignment vertical="center" wrapText="1"/>
    </xf>
    <xf numFmtId="2" fontId="9" fillId="0" borderId="1" xfId="0" applyNumberFormat="1" applyFont="1" applyBorder="1" applyAlignment="1">
      <alignment vertical="center" wrapText="1"/>
    </xf>
    <xf numFmtId="1" fontId="74" fillId="0" borderId="0" xfId="0" applyNumberFormat="1" applyFont="1" applyAlignment="1">
      <alignment vertical="center" wrapText="1"/>
    </xf>
    <xf numFmtId="164" fontId="9" fillId="0" borderId="1" xfId="46" applyFont="1" applyBorder="1" applyAlignment="1">
      <alignment vertical="center" wrapText="1"/>
    </xf>
    <xf numFmtId="39" fontId="9" fillId="0" borderId="1" xfId="46" applyNumberFormat="1" applyFont="1" applyBorder="1" applyAlignment="1">
      <alignment vertical="center" wrapText="1"/>
    </xf>
    <xf numFmtId="0" fontId="75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164" fontId="10" fillId="0" borderId="1" xfId="46" applyFont="1" applyFill="1" applyBorder="1" applyAlignment="1">
      <alignment vertical="center" wrapText="1"/>
    </xf>
    <xf numFmtId="0" fontId="74" fillId="0" borderId="0" xfId="0" applyFont="1" applyFill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74" fillId="0" borderId="0" xfId="0" applyFont="1" applyFill="1"/>
    <xf numFmtId="0" fontId="77" fillId="0" borderId="0" xfId="0" applyFont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74" fillId="6" borderId="0" xfId="0" applyFont="1" applyFill="1" applyAlignment="1">
      <alignment vertical="center" wrapText="1"/>
    </xf>
    <xf numFmtId="0" fontId="75" fillId="0" borderId="0" xfId="0" applyFont="1" applyFill="1" applyAlignment="1">
      <alignment vertical="center" wrapText="1"/>
    </xf>
    <xf numFmtId="0" fontId="7" fillId="0" borderId="1" xfId="3" applyBorder="1" applyAlignment="1" applyProtection="1">
      <alignment wrapText="1"/>
    </xf>
    <xf numFmtId="0" fontId="59" fillId="0" borderId="0" xfId="0" applyFont="1" applyAlignment="1">
      <alignment horizontal="center" vertical="top"/>
    </xf>
    <xf numFmtId="0" fontId="59" fillId="7" borderId="1" xfId="0" applyFont="1" applyFill="1" applyBorder="1" applyAlignment="1">
      <alignment horizontal="center" vertical="top"/>
    </xf>
    <xf numFmtId="2" fontId="59" fillId="7" borderId="1" xfId="0" applyNumberFormat="1" applyFont="1" applyFill="1" applyBorder="1" applyAlignment="1">
      <alignment horizontal="center" vertical="top"/>
    </xf>
    <xf numFmtId="0" fontId="90" fillId="7" borderId="1" xfId="0" applyFont="1" applyFill="1" applyBorder="1" applyAlignment="1">
      <alignment vertical="center"/>
    </xf>
    <xf numFmtId="0" fontId="59" fillId="0" borderId="0" xfId="0" applyFont="1" applyAlignment="1">
      <alignment vertical="center" wrapText="1"/>
    </xf>
    <xf numFmtId="0" fontId="59" fillId="0" borderId="1" xfId="0" applyFont="1" applyBorder="1" applyAlignment="1">
      <alignment horizontal="center" vertical="center" wrapText="1"/>
    </xf>
    <xf numFmtId="2" fontId="59" fillId="0" borderId="1" xfId="0" applyNumberFormat="1" applyFont="1" applyBorder="1" applyAlignment="1">
      <alignment horizontal="center" vertical="center" wrapText="1"/>
    </xf>
    <xf numFmtId="0" fontId="59" fillId="7" borderId="1" xfId="0" applyFont="1" applyFill="1" applyBorder="1" applyAlignment="1">
      <alignment vertical="center" wrapText="1"/>
    </xf>
    <xf numFmtId="0" fontId="59" fillId="7" borderId="1" xfId="0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7" borderId="0" xfId="0" applyFont="1" applyFill="1" applyAlignment="1">
      <alignment vertical="center"/>
    </xf>
    <xf numFmtId="0" fontId="59" fillId="7" borderId="0" xfId="0" applyFont="1" applyFill="1" applyAlignment="1">
      <alignment horizontal="center" vertical="center"/>
    </xf>
    <xf numFmtId="0" fontId="59" fillId="7" borderId="0" xfId="0" applyFont="1" applyFill="1" applyAlignment="1">
      <alignment vertical="center" wrapText="1"/>
    </xf>
    <xf numFmtId="0" fontId="59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left" vertical="center"/>
    </xf>
    <xf numFmtId="0" fontId="59" fillId="0" borderId="0" xfId="0" applyFont="1" applyFill="1" applyBorder="1" applyAlignment="1">
      <alignment vertical="center" wrapText="1"/>
    </xf>
    <xf numFmtId="0" fontId="59" fillId="0" borderId="1" xfId="0" applyFont="1" applyBorder="1" applyAlignment="1">
      <alignment horizontal="right" vertical="center"/>
    </xf>
    <xf numFmtId="1" fontId="59" fillId="0" borderId="1" xfId="0" applyNumberFormat="1" applyFont="1" applyBorder="1" applyAlignment="1">
      <alignment horizontal="center" vertical="center" wrapText="1"/>
    </xf>
    <xf numFmtId="169" fontId="59" fillId="0" borderId="1" xfId="0" applyNumberFormat="1" applyFont="1" applyBorder="1" applyAlignment="1">
      <alignment horizontal="center" vertical="center" wrapText="1"/>
    </xf>
    <xf numFmtId="1" fontId="59" fillId="7" borderId="1" xfId="0" applyNumberFormat="1" applyFont="1" applyFill="1" applyBorder="1" applyAlignment="1">
      <alignment horizontal="center" vertical="top"/>
    </xf>
    <xf numFmtId="0" fontId="0" fillId="0" borderId="0" xfId="0" applyBorder="1"/>
    <xf numFmtId="0" fontId="0" fillId="0" borderId="1" xfId="0" applyBorder="1" applyAlignment="1">
      <alignment horizontal="right" vertical="center" wrapText="1"/>
    </xf>
    <xf numFmtId="2" fontId="0" fillId="0" borderId="1" xfId="0" applyNumberFormat="1" applyBorder="1" applyAlignment="1">
      <alignment horizontal="right" vertical="center" wrapText="1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2" fontId="0" fillId="0" borderId="1" xfId="0" applyNumberFormat="1" applyBorder="1"/>
    <xf numFmtId="1" fontId="0" fillId="0" borderId="1" xfId="0" applyNumberFormat="1" applyBorder="1"/>
    <xf numFmtId="2" fontId="0" fillId="0" borderId="1" xfId="0" applyNumberFormat="1" applyBorder="1" applyAlignment="1">
      <alignment horizontal="left" vertical="center" wrapText="1"/>
    </xf>
    <xf numFmtId="4" fontId="0" fillId="0" borderId="1" xfId="0" applyNumberFormat="1" applyBorder="1" applyAlignment="1">
      <alignment horizontal="right" vertical="center" wrapText="1"/>
    </xf>
    <xf numFmtId="9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right" wrapText="1"/>
    </xf>
    <xf numFmtId="10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 wrapText="1"/>
    </xf>
    <xf numFmtId="1" fontId="0" fillId="0" borderId="1" xfId="0" applyNumberFormat="1" applyBorder="1" applyAlignment="1">
      <alignment horizontal="right" wrapText="1"/>
    </xf>
    <xf numFmtId="1" fontId="0" fillId="0" borderId="1" xfId="0" applyNumberFormat="1" applyBorder="1" applyAlignment="1">
      <alignment horizontal="right" vertical="center" wrapText="1"/>
    </xf>
    <xf numFmtId="9" fontId="0" fillId="0" borderId="1" xfId="0" applyNumberFormat="1" applyBorder="1" applyAlignment="1">
      <alignment horizontal="right" vertical="center" wrapText="1"/>
    </xf>
    <xf numFmtId="170" fontId="0" fillId="0" borderId="1" xfId="0" applyNumberFormat="1" applyBorder="1" applyAlignment="1">
      <alignment horizontal="right" vertical="center" wrapText="1"/>
    </xf>
    <xf numFmtId="2" fontId="0" fillId="0" borderId="0" xfId="0" applyNumberFormat="1" applyBorder="1" applyAlignment="1">
      <alignment horizontal="right" vertical="center" wrapText="1"/>
    </xf>
    <xf numFmtId="2" fontId="0" fillId="0" borderId="1" xfId="0" applyNumberFormat="1" applyBorder="1" applyAlignment="1">
      <alignment horizontal="right" vertical="center"/>
    </xf>
    <xf numFmtId="1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wrapText="1"/>
    </xf>
    <xf numFmtId="0" fontId="0" fillId="0" borderId="8" xfId="0" applyBorder="1"/>
    <xf numFmtId="0" fontId="0" fillId="0" borderId="1" xfId="0" applyFill="1" applyBorder="1"/>
    <xf numFmtId="0" fontId="3" fillId="5" borderId="1" xfId="0" applyFont="1" applyFill="1" applyBorder="1"/>
    <xf numFmtId="0" fontId="0" fillId="5" borderId="0" xfId="0" applyFill="1"/>
    <xf numFmtId="0" fontId="11" fillId="0" borderId="0" xfId="0" applyFont="1"/>
    <xf numFmtId="2" fontId="2" fillId="0" borderId="1" xfId="0" applyNumberFormat="1" applyFont="1" applyBorder="1" applyAlignment="1">
      <alignment vertical="center"/>
    </xf>
    <xf numFmtId="0" fontId="0" fillId="0" borderId="1" xfId="0" applyBorder="1" applyAlignment="1">
      <alignment vertical="center"/>
    </xf>
    <xf numFmtId="2" fontId="0" fillId="0" borderId="1" xfId="0" applyNumberForma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93" fillId="0" borderId="0" xfId="0" applyFont="1" applyBorder="1" applyAlignment="1">
      <alignment horizontal="center"/>
    </xf>
    <xf numFmtId="0" fontId="0" fillId="0" borderId="1" xfId="0" applyFont="1" applyBorder="1"/>
    <xf numFmtId="0" fontId="3" fillId="0" borderId="0" xfId="0" applyFont="1"/>
    <xf numFmtId="49" fontId="95" fillId="0" borderId="0" xfId="0" applyNumberFormat="1" applyFont="1" applyAlignment="1">
      <alignment wrapText="1"/>
    </xf>
    <xf numFmtId="2" fontId="11" fillId="0" borderId="1" xfId="0" applyNumberFormat="1" applyFont="1" applyBorder="1" applyAlignment="1">
      <alignment vertical="center"/>
    </xf>
    <xf numFmtId="1" fontId="0" fillId="0" borderId="1" xfId="0" applyNumberForma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166" fontId="0" fillId="0" borderId="1" xfId="0" applyNumberForma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0" borderId="8" xfId="0" applyFont="1" applyBorder="1" applyAlignment="1">
      <alignment vertical="center" wrapText="1"/>
    </xf>
    <xf numFmtId="0" fontId="7" fillId="5" borderId="1" xfId="3" applyFill="1" applyBorder="1" applyAlignment="1" applyProtection="1">
      <alignment horizontal="left" vertical="center" wrapText="1"/>
    </xf>
    <xf numFmtId="0" fontId="95" fillId="0" borderId="0" xfId="52"/>
    <xf numFmtId="0" fontId="95" fillId="0" borderId="1" xfId="52" applyBorder="1"/>
    <xf numFmtId="0" fontId="44" fillId="0" borderId="1" xfId="52" applyFont="1" applyBorder="1"/>
    <xf numFmtId="0" fontId="7" fillId="0" borderId="1" xfId="3" applyBorder="1" applyAlignment="1" applyProtection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54" fillId="0" borderId="0" xfId="0" applyFont="1" applyFill="1" applyBorder="1" applyAlignment="1">
      <alignment wrapText="1"/>
    </xf>
    <xf numFmtId="166" fontId="55" fillId="0" borderId="1" xfId="0" applyNumberFormat="1" applyFont="1" applyBorder="1"/>
    <xf numFmtId="0" fontId="24" fillId="0" borderId="1" xfId="0" applyFont="1" applyBorder="1" applyAlignment="1">
      <alignment horizontal="center"/>
    </xf>
    <xf numFmtId="0" fontId="99" fillId="0" borderId="0" xfId="0" applyNumberFormat="1" applyFont="1" applyFill="1" applyBorder="1" applyAlignment="1" applyProtection="1"/>
    <xf numFmtId="0" fontId="99" fillId="0" borderId="1" xfId="0" applyNumberFormat="1" applyFont="1" applyFill="1" applyBorder="1" applyAlignment="1" applyProtection="1"/>
    <xf numFmtId="0" fontId="99" fillId="0" borderId="1" xfId="0" applyNumberFormat="1" applyFont="1" applyFill="1" applyBorder="1" applyAlignment="1" applyProtection="1">
      <alignment vertical="top" wrapText="1"/>
    </xf>
    <xf numFmtId="0" fontId="99" fillId="0" borderId="0" xfId="0" applyNumberFormat="1" applyFont="1" applyFill="1" applyBorder="1" applyAlignment="1" applyProtection="1">
      <alignment vertical="center" wrapText="1"/>
    </xf>
    <xf numFmtId="0" fontId="100" fillId="0" borderId="0" xfId="0" applyNumberFormat="1" applyFont="1" applyFill="1" applyBorder="1" applyAlignment="1" applyProtection="1"/>
    <xf numFmtId="0" fontId="101" fillId="0" borderId="1" xfId="0" applyNumberFormat="1" applyFont="1" applyFill="1" applyBorder="1" applyAlignment="1" applyProtection="1">
      <alignment horizontal="center" vertical="top" wrapText="1"/>
    </xf>
    <xf numFmtId="0" fontId="99" fillId="0" borderId="1" xfId="0" applyNumberFormat="1" applyFont="1" applyFill="1" applyBorder="1" applyAlignment="1" applyProtection="1">
      <alignment horizontal="center" vertical="top" wrapText="1"/>
    </xf>
    <xf numFmtId="2" fontId="99" fillId="0" borderId="1" xfId="0" applyNumberFormat="1" applyFont="1" applyFill="1" applyBorder="1" applyAlignment="1" applyProtection="1">
      <alignment horizontal="right" vertical="top" wrapText="1"/>
    </xf>
    <xf numFmtId="2" fontId="99" fillId="0" borderId="1" xfId="0" applyNumberFormat="1" applyFont="1" applyFill="1" applyBorder="1" applyAlignment="1" applyProtection="1">
      <alignment vertical="top" wrapText="1"/>
    </xf>
    <xf numFmtId="0" fontId="101" fillId="0" borderId="1" xfId="0" applyNumberFormat="1" applyFont="1" applyFill="1" applyBorder="1" applyAlignment="1" applyProtection="1">
      <alignment vertical="top" wrapText="1"/>
    </xf>
    <xf numFmtId="2" fontId="101" fillId="0" borderId="1" xfId="0" applyNumberFormat="1" applyFont="1" applyFill="1" applyBorder="1" applyAlignment="1" applyProtection="1">
      <alignment horizontal="right" vertical="top" wrapText="1"/>
    </xf>
    <xf numFmtId="0" fontId="101" fillId="0" borderId="1" xfId="0" applyNumberFormat="1" applyFont="1" applyFill="1" applyBorder="1" applyAlignment="1" applyProtection="1">
      <alignment horizontal="right" vertical="top" wrapText="1"/>
    </xf>
    <xf numFmtId="0" fontId="99" fillId="0" borderId="1" xfId="0" applyNumberFormat="1" applyFont="1" applyFill="1" applyBorder="1" applyAlignment="1" applyProtection="1">
      <alignment horizontal="right" vertical="top" wrapText="1"/>
    </xf>
    <xf numFmtId="2" fontId="99" fillId="0" borderId="0" xfId="0" applyNumberFormat="1" applyFont="1" applyFill="1" applyBorder="1" applyAlignment="1" applyProtection="1"/>
    <xf numFmtId="0" fontId="24" fillId="0" borderId="1" xfId="0" applyFont="1" applyBorder="1" applyAlignment="1">
      <alignment vertical="top" wrapText="1"/>
    </xf>
    <xf numFmtId="0" fontId="102" fillId="0" borderId="0" xfId="0" applyFont="1"/>
    <xf numFmtId="0" fontId="103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2" fontId="24" fillId="0" borderId="1" xfId="0" applyNumberFormat="1" applyFont="1" applyBorder="1" applyAlignment="1">
      <alignment horizontal="right" vertical="top" wrapText="1"/>
    </xf>
    <xf numFmtId="2" fontId="24" fillId="0" borderId="1" xfId="0" applyNumberFormat="1" applyFont="1" applyBorder="1" applyAlignment="1">
      <alignment vertical="top" wrapText="1"/>
    </xf>
    <xf numFmtId="0" fontId="103" fillId="0" borderId="1" xfId="0" applyFont="1" applyBorder="1" applyAlignment="1">
      <alignment vertical="top" wrapText="1"/>
    </xf>
    <xf numFmtId="2" fontId="103" fillId="0" borderId="1" xfId="0" applyNumberFormat="1" applyFont="1" applyBorder="1" applyAlignment="1">
      <alignment horizontal="right" vertical="top" wrapText="1"/>
    </xf>
    <xf numFmtId="169" fontId="24" fillId="0" borderId="1" xfId="0" applyNumberFormat="1" applyFont="1" applyBorder="1" applyAlignment="1">
      <alignment horizontal="right" vertical="top" wrapText="1"/>
    </xf>
    <xf numFmtId="169" fontId="24" fillId="0" borderId="1" xfId="0" applyNumberFormat="1" applyFont="1" applyBorder="1" applyAlignment="1">
      <alignment vertical="top" wrapText="1"/>
    </xf>
    <xf numFmtId="169" fontId="103" fillId="0" borderId="1" xfId="0" applyNumberFormat="1" applyFont="1" applyBorder="1" applyAlignment="1">
      <alignment horizontal="right" vertical="top" wrapText="1"/>
    </xf>
    <xf numFmtId="0" fontId="24" fillId="0" borderId="1" xfId="0" applyFont="1" applyBorder="1" applyAlignment="1">
      <alignment horizontal="right" vertical="top" wrapText="1"/>
    </xf>
    <xf numFmtId="0" fontId="103" fillId="0" borderId="1" xfId="0" applyFont="1" applyBorder="1" applyAlignment="1">
      <alignment horizontal="right" vertical="top" wrapText="1"/>
    </xf>
    <xf numFmtId="0" fontId="52" fillId="0" borderId="1" xfId="0" applyFont="1" applyBorder="1"/>
    <xf numFmtId="0" fontId="52" fillId="0" borderId="0" xfId="0" applyFont="1" applyBorder="1" applyAlignment="1"/>
    <xf numFmtId="0" fontId="52" fillId="0" borderId="1" xfId="0" applyFont="1" applyBorder="1" applyAlignment="1">
      <alignment vertical="top" wrapText="1"/>
    </xf>
    <xf numFmtId="0" fontId="52" fillId="0" borderId="0" xfId="0" applyFont="1" applyBorder="1"/>
    <xf numFmtId="0" fontId="52" fillId="0" borderId="0" xfId="0" applyFont="1" applyAlignment="1">
      <alignment horizontal="right"/>
    </xf>
    <xf numFmtId="0" fontId="52" fillId="0" borderId="0" xfId="0" applyFont="1" applyAlignment="1">
      <alignment vertical="center" wrapText="1"/>
    </xf>
    <xf numFmtId="0" fontId="104" fillId="0" borderId="0" xfId="0" applyFont="1"/>
    <xf numFmtId="0" fontId="105" fillId="0" borderId="1" xfId="0" applyFont="1" applyBorder="1" applyAlignment="1">
      <alignment horizontal="center" vertical="top" wrapText="1"/>
    </xf>
    <xf numFmtId="0" fontId="52" fillId="0" borderId="1" xfId="0" applyFont="1" applyBorder="1" applyAlignment="1">
      <alignment horizontal="center" vertical="top" wrapText="1"/>
    </xf>
    <xf numFmtId="2" fontId="52" fillId="0" borderId="1" xfId="0" applyNumberFormat="1" applyFont="1" applyBorder="1" applyAlignment="1">
      <alignment horizontal="right" vertical="top" wrapText="1"/>
    </xf>
    <xf numFmtId="2" fontId="52" fillId="0" borderId="1" xfId="0" applyNumberFormat="1" applyFont="1" applyBorder="1" applyAlignment="1">
      <alignment vertical="top" wrapText="1"/>
    </xf>
    <xf numFmtId="0" fontId="52" fillId="0" borderId="1" xfId="0" applyFont="1" applyBorder="1" applyAlignment="1">
      <alignment horizontal="right" vertical="top" wrapText="1"/>
    </xf>
    <xf numFmtId="0" fontId="105" fillId="0" borderId="1" xfId="0" applyFont="1" applyBorder="1" applyAlignment="1">
      <alignment vertical="top" wrapText="1"/>
    </xf>
    <xf numFmtId="2" fontId="105" fillId="0" borderId="1" xfId="0" applyNumberFormat="1" applyFont="1" applyBorder="1" applyAlignment="1">
      <alignment horizontal="right" vertical="top" wrapText="1"/>
    </xf>
    <xf numFmtId="0" fontId="105" fillId="0" borderId="1" xfId="0" applyFont="1" applyBorder="1" applyAlignment="1">
      <alignment horizontal="right" vertical="top" wrapText="1"/>
    </xf>
    <xf numFmtId="0" fontId="106" fillId="0" borderId="1" xfId="0" applyFont="1" applyBorder="1"/>
    <xf numFmtId="0" fontId="52" fillId="0" borderId="0" xfId="0" applyFont="1" applyAlignment="1">
      <alignment horizontal="left"/>
    </xf>
    <xf numFmtId="0" fontId="52" fillId="0" borderId="1" xfId="0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2" fillId="0" borderId="1" xfId="0" applyFont="1" applyBorder="1" applyAlignment="1">
      <alignment horizontal="center" wrapText="1"/>
    </xf>
    <xf numFmtId="0" fontId="52" fillId="0" borderId="0" xfId="0" applyFont="1" applyAlignment="1">
      <alignment horizontal="right" vertical="center" wrapText="1"/>
    </xf>
    <xf numFmtId="0" fontId="106" fillId="0" borderId="1" xfId="0" applyFont="1" applyBorder="1" applyAlignment="1">
      <alignment horizontal="center" vertical="top" wrapText="1"/>
    </xf>
    <xf numFmtId="0" fontId="52" fillId="0" borderId="0" xfId="0" applyFont="1" applyAlignment="1">
      <alignment horizontal="left" vertical="center" wrapText="1"/>
    </xf>
    <xf numFmtId="0" fontId="106" fillId="0" borderId="1" xfId="0" applyFont="1" applyBorder="1" applyAlignment="1">
      <alignment horizontal="center"/>
    </xf>
    <xf numFmtId="0" fontId="24" fillId="0" borderId="0" xfId="0" applyFont="1" applyFill="1"/>
    <xf numFmtId="0" fontId="24" fillId="0" borderId="1" xfId="0" applyFont="1" applyFill="1" applyBorder="1"/>
    <xf numFmtId="0" fontId="0" fillId="0" borderId="0" xfId="0" applyFill="1"/>
    <xf numFmtId="0" fontId="24" fillId="0" borderId="1" xfId="0" applyFont="1" applyBorder="1" applyAlignment="1">
      <alignment vertical="center"/>
    </xf>
    <xf numFmtId="0" fontId="0" fillId="0" borderId="1" xfId="0" applyBorder="1" applyAlignment="1">
      <alignment vertical="top"/>
    </xf>
    <xf numFmtId="0" fontId="24" fillId="0" borderId="6" xfId="0" applyFont="1" applyBorder="1" applyAlignment="1"/>
    <xf numFmtId="0" fontId="99" fillId="0" borderId="1" xfId="53" applyFont="1" applyBorder="1" applyAlignment="1">
      <alignment vertical="top" wrapText="1"/>
    </xf>
    <xf numFmtId="0" fontId="99" fillId="0" borderId="1" xfId="53" applyFont="1" applyBorder="1" applyAlignment="1"/>
    <xf numFmtId="0" fontId="24" fillId="0" borderId="5" xfId="0" applyFont="1" applyBorder="1" applyAlignment="1">
      <alignment vertical="top" wrapText="1"/>
    </xf>
    <xf numFmtId="0" fontId="108" fillId="0" borderId="1" xfId="0" applyFont="1" applyBorder="1" applyAlignment="1">
      <alignment vertical="center"/>
    </xf>
    <xf numFmtId="0" fontId="99" fillId="0" borderId="1" xfId="53" applyFont="1" applyBorder="1" applyAlignment="1">
      <alignment vertical="top"/>
    </xf>
    <xf numFmtId="2" fontId="24" fillId="0" borderId="1" xfId="0" applyNumberFormat="1" applyFont="1" applyFill="1" applyBorder="1" applyAlignment="1">
      <alignment horizontal="right" vertical="top" wrapText="1"/>
    </xf>
    <xf numFmtId="0" fontId="99" fillId="0" borderId="5" xfId="53" applyFont="1" applyBorder="1" applyAlignment="1">
      <alignment vertical="top" wrapText="1"/>
    </xf>
    <xf numFmtId="0" fontId="99" fillId="0" borderId="1" xfId="53" applyFont="1" applyBorder="1" applyAlignment="1">
      <alignment horizontal="center" vertical="top" wrapText="1"/>
    </xf>
    <xf numFmtId="0" fontId="99" fillId="0" borderId="1" xfId="53" applyFont="1" applyBorder="1" applyAlignment="1">
      <alignment horizontal="center" vertical="center" wrapText="1"/>
    </xf>
    <xf numFmtId="0" fontId="99" fillId="0" borderId="1" xfId="53" applyFont="1" applyBorder="1" applyAlignment="1">
      <alignment horizontal="center" vertical="center"/>
    </xf>
    <xf numFmtId="0" fontId="99" fillId="0" borderId="1" xfId="53" applyFont="1" applyBorder="1" applyAlignment="1">
      <alignment vertical="center" wrapText="1"/>
    </xf>
    <xf numFmtId="0" fontId="7" fillId="0" borderId="0" xfId="3" applyAlignment="1" applyProtection="1"/>
    <xf numFmtId="0" fontId="44" fillId="0" borderId="1" xfId="52" applyFont="1" applyBorder="1" applyAlignment="1">
      <alignment wrapText="1"/>
    </xf>
    <xf numFmtId="0" fontId="30" fillId="0" borderId="1" xfId="52" applyFont="1" applyBorder="1"/>
    <xf numFmtId="0" fontId="30" fillId="0" borderId="0" xfId="52" applyFont="1" applyAlignment="1">
      <alignment wrapText="1"/>
    </xf>
    <xf numFmtId="0" fontId="30" fillId="0" borderId="0" xfId="52" applyFont="1"/>
    <xf numFmtId="0" fontId="30" fillId="0" borderId="0" xfId="52" applyFont="1" applyBorder="1" applyAlignment="1">
      <alignment wrapText="1"/>
    </xf>
    <xf numFmtId="0" fontId="30" fillId="0" borderId="1" xfId="52" applyFont="1" applyBorder="1" applyAlignment="1">
      <alignment wrapText="1"/>
    </xf>
    <xf numFmtId="0" fontId="30" fillId="0" borderId="0" xfId="52" applyFont="1" applyBorder="1" applyAlignment="1">
      <alignment horizontal="center" wrapText="1"/>
    </xf>
    <xf numFmtId="0" fontId="30" fillId="0" borderId="0" xfId="52" applyFont="1" applyBorder="1"/>
    <xf numFmtId="0" fontId="99" fillId="0" borderId="0" xfId="52" applyFont="1" applyAlignment="1">
      <alignment wrapText="1"/>
    </xf>
    <xf numFmtId="0" fontId="30" fillId="0" borderId="0" xfId="52" applyFont="1" applyAlignment="1">
      <alignment horizontal="left"/>
    </xf>
    <xf numFmtId="0" fontId="95" fillId="0" borderId="0" xfId="52" applyBorder="1"/>
    <xf numFmtId="0" fontId="30" fillId="0" borderId="1" xfId="52" applyFont="1" applyFill="1" applyBorder="1" applyAlignment="1">
      <alignment wrapText="1"/>
    </xf>
    <xf numFmtId="0" fontId="24" fillId="0" borderId="1" xfId="52" applyFont="1" applyBorder="1"/>
    <xf numFmtId="0" fontId="26" fillId="0" borderId="1" xfId="52" applyFont="1" applyBorder="1" applyAlignment="1">
      <alignment horizontal="right" wrapText="1"/>
    </xf>
    <xf numFmtId="166" fontId="30" fillId="0" borderId="1" xfId="52" applyNumberFormat="1" applyFont="1" applyBorder="1" applyAlignment="1">
      <alignment wrapText="1"/>
    </xf>
    <xf numFmtId="166" fontId="33" fillId="0" borderId="1" xfId="52" applyNumberFormat="1" applyFont="1" applyBorder="1" applyAlignment="1">
      <alignment wrapText="1"/>
    </xf>
    <xf numFmtId="166" fontId="30" fillId="0" borderId="1" xfId="52" applyNumberFormat="1" applyFont="1" applyBorder="1"/>
    <xf numFmtId="166" fontId="2" fillId="0" borderId="1" xfId="52" applyNumberFormat="1" applyFont="1" applyBorder="1"/>
    <xf numFmtId="166" fontId="95" fillId="0" borderId="1" xfId="52" applyNumberFormat="1" applyBorder="1"/>
    <xf numFmtId="0" fontId="26" fillId="0" borderId="1" xfId="52" applyFont="1" applyBorder="1" applyAlignment="1">
      <alignment horizontal="right"/>
    </xf>
    <xf numFmtId="0" fontId="42" fillId="0" borderId="1" xfId="52" applyFont="1" applyBorder="1" applyAlignment="1">
      <alignment horizontal="right" wrapText="1"/>
    </xf>
    <xf numFmtId="166" fontId="110" fillId="0" borderId="1" xfId="52" applyNumberFormat="1" applyFont="1" applyBorder="1" applyAlignment="1">
      <alignment wrapText="1"/>
    </xf>
    <xf numFmtId="166" fontId="110" fillId="0" borderId="1" xfId="52" applyNumberFormat="1" applyFont="1" applyBorder="1"/>
    <xf numFmtId="0" fontId="113" fillId="0" borderId="0" xfId="52" applyFont="1"/>
    <xf numFmtId="0" fontId="111" fillId="0" borderId="1" xfId="52" applyFont="1" applyBorder="1"/>
    <xf numFmtId="0" fontId="111" fillId="0" borderId="1" xfId="52" applyFont="1" applyBorder="1" applyAlignment="1">
      <alignment wrapText="1"/>
    </xf>
    <xf numFmtId="0" fontId="111" fillId="0" borderId="1" xfId="52" applyFont="1" applyFill="1" applyBorder="1" applyAlignment="1">
      <alignment wrapText="1"/>
    </xf>
    <xf numFmtId="0" fontId="13" fillId="0" borderId="1" xfId="52" applyFont="1" applyBorder="1"/>
    <xf numFmtId="166" fontId="111" fillId="0" borderId="1" xfId="52" applyNumberFormat="1" applyFont="1" applyBorder="1" applyAlignment="1">
      <alignment wrapText="1"/>
    </xf>
    <xf numFmtId="166" fontId="111" fillId="0" borderId="1" xfId="52" applyNumberFormat="1" applyFont="1" applyBorder="1"/>
    <xf numFmtId="166" fontId="113" fillId="0" borderId="1" xfId="52" applyNumberFormat="1" applyFont="1" applyBorder="1"/>
    <xf numFmtId="166" fontId="112" fillId="0" borderId="1" xfId="52" applyNumberFormat="1" applyFont="1" applyBorder="1" applyAlignment="1">
      <alignment wrapText="1"/>
    </xf>
    <xf numFmtId="166" fontId="114" fillId="0" borderId="1" xfId="52" applyNumberFormat="1" applyFont="1" applyBorder="1"/>
    <xf numFmtId="166" fontId="95" fillId="0" borderId="0" xfId="52" applyNumberFormat="1"/>
    <xf numFmtId="0" fontId="42" fillId="0" borderId="1" xfId="52" applyFont="1" applyBorder="1"/>
    <xf numFmtId="166" fontId="42" fillId="0" borderId="1" xfId="52" applyNumberFormat="1" applyFont="1" applyBorder="1" applyAlignment="1">
      <alignment wrapText="1"/>
    </xf>
    <xf numFmtId="166" fontId="40" fillId="0" borderId="1" xfId="52" applyNumberFormat="1" applyFont="1" applyBorder="1" applyAlignment="1">
      <alignment wrapText="1"/>
    </xf>
    <xf numFmtId="166" fontId="42" fillId="0" borderId="1" xfId="52" applyNumberFormat="1" applyFont="1" applyBorder="1"/>
    <xf numFmtId="166" fontId="41" fillId="0" borderId="1" xfId="52" applyNumberFormat="1" applyFont="1" applyBorder="1"/>
    <xf numFmtId="166" fontId="27" fillId="0" borderId="1" xfId="52" applyNumberFormat="1" applyFont="1" applyBorder="1"/>
    <xf numFmtId="0" fontId="40" fillId="0" borderId="1" xfId="52" applyFont="1" applyBorder="1"/>
    <xf numFmtId="0" fontId="40" fillId="0" borderId="1" xfId="52" applyFont="1" applyBorder="1" applyAlignment="1">
      <alignment wrapText="1"/>
    </xf>
    <xf numFmtId="166" fontId="40" fillId="0" borderId="1" xfId="52" applyNumberFormat="1" applyFont="1" applyBorder="1"/>
    <xf numFmtId="0" fontId="37" fillId="0" borderId="1" xfId="52" applyFont="1" applyBorder="1"/>
    <xf numFmtId="166" fontId="3" fillId="0" borderId="1" xfId="52" applyNumberFormat="1" applyFont="1" applyBorder="1"/>
    <xf numFmtId="0" fontId="42" fillId="0" borderId="1" xfId="52" applyFont="1" applyBorder="1" applyAlignment="1">
      <alignment horizontal="left" wrapText="1"/>
    </xf>
    <xf numFmtId="0" fontId="70" fillId="0" borderId="1" xfId="52" applyFont="1" applyBorder="1"/>
    <xf numFmtId="0" fontId="70" fillId="0" borderId="1" xfId="52" applyFont="1" applyBorder="1" applyAlignment="1">
      <alignment wrapText="1"/>
    </xf>
    <xf numFmtId="166" fontId="72" fillId="0" borderId="1" xfId="52" applyNumberFormat="1" applyFont="1" applyBorder="1" applyAlignment="1">
      <alignment wrapText="1"/>
    </xf>
    <xf numFmtId="0" fontId="117" fillId="0" borderId="1" xfId="52" applyFont="1" applyBorder="1"/>
    <xf numFmtId="0" fontId="117" fillId="0" borderId="1" xfId="52" applyFont="1" applyBorder="1" applyAlignment="1">
      <alignment wrapText="1"/>
    </xf>
    <xf numFmtId="166" fontId="116" fillId="0" borderId="1" xfId="52" applyNumberFormat="1" applyFont="1" applyBorder="1" applyAlignment="1">
      <alignment wrapText="1"/>
    </xf>
    <xf numFmtId="0" fontId="110" fillId="0" borderId="1" xfId="52" applyFont="1" applyBorder="1" applyAlignment="1">
      <alignment horizontal="center"/>
    </xf>
    <xf numFmtId="0" fontId="37" fillId="0" borderId="1" xfId="52" applyFont="1" applyBorder="1" applyAlignment="1">
      <alignment horizontal="right"/>
    </xf>
    <xf numFmtId="0" fontId="3" fillId="0" borderId="0" xfId="52" applyFont="1"/>
    <xf numFmtId="0" fontId="27" fillId="0" borderId="0" xfId="52" applyFont="1"/>
    <xf numFmtId="0" fontId="118" fillId="0" borderId="1" xfId="52" applyFont="1" applyBorder="1"/>
    <xf numFmtId="0" fontId="118" fillId="0" borderId="1" xfId="52" applyFont="1" applyBorder="1" applyAlignment="1">
      <alignment wrapText="1"/>
    </xf>
    <xf numFmtId="0" fontId="118" fillId="0" borderId="1" xfId="52" applyFont="1" applyFill="1" applyBorder="1" applyAlignment="1">
      <alignment wrapText="1"/>
    </xf>
    <xf numFmtId="0" fontId="14" fillId="0" borderId="1" xfId="52" applyFont="1" applyBorder="1"/>
    <xf numFmtId="0" fontId="14" fillId="0" borderId="1" xfId="52" applyFont="1" applyBorder="1" applyAlignment="1">
      <alignment horizontal="right" wrapText="1"/>
    </xf>
    <xf numFmtId="166" fontId="118" fillId="0" borderId="1" xfId="52" applyNumberFormat="1" applyFont="1" applyBorder="1" applyAlignment="1">
      <alignment wrapText="1"/>
    </xf>
    <xf numFmtId="166" fontId="115" fillId="0" borderId="1" xfId="52" applyNumberFormat="1" applyFont="1" applyBorder="1" applyAlignment="1">
      <alignment wrapText="1"/>
    </xf>
    <xf numFmtId="166" fontId="118" fillId="0" borderId="1" xfId="52" applyNumberFormat="1" applyFont="1" applyBorder="1"/>
    <xf numFmtId="0" fontId="14" fillId="0" borderId="1" xfId="52" applyFont="1" applyBorder="1" applyAlignment="1">
      <alignment horizontal="right"/>
    </xf>
    <xf numFmtId="166" fontId="115" fillId="0" borderId="1" xfId="52" applyNumberFormat="1" applyFont="1" applyBorder="1"/>
    <xf numFmtId="0" fontId="118" fillId="0" borderId="1" xfId="52" applyFont="1" applyBorder="1" applyAlignment="1">
      <alignment horizontal="right" wrapText="1"/>
    </xf>
    <xf numFmtId="0" fontId="24" fillId="0" borderId="1" xfId="52" applyFont="1" applyBorder="1" applyAlignment="1">
      <alignment horizontal="right" wrapText="1"/>
    </xf>
    <xf numFmtId="0" fontId="24" fillId="0" borderId="1" xfId="52" applyFont="1" applyBorder="1" applyAlignment="1">
      <alignment horizontal="right"/>
    </xf>
    <xf numFmtId="0" fontId="30" fillId="0" borderId="1" xfId="52" applyFont="1" applyBorder="1" applyAlignment="1">
      <alignment horizontal="right" wrapText="1"/>
    </xf>
    <xf numFmtId="166" fontId="86" fillId="0" borderId="1" xfId="52" applyNumberFormat="1" applyFont="1" applyBorder="1" applyAlignment="1">
      <alignment wrapText="1"/>
    </xf>
    <xf numFmtId="0" fontId="66" fillId="0" borderId="1" xfId="0" applyNumberFormat="1" applyFont="1" applyBorder="1"/>
    <xf numFmtId="0" fontId="66" fillId="0" borderId="1" xfId="0" applyFont="1" applyBorder="1"/>
    <xf numFmtId="0" fontId="66" fillId="0" borderId="1" xfId="0" applyFont="1" applyBorder="1" applyAlignment="1">
      <alignment horizontal="right" wrapText="1"/>
    </xf>
    <xf numFmtId="166" fontId="66" fillId="0" borderId="1" xfId="0" applyNumberFormat="1" applyFont="1" applyBorder="1" applyAlignment="1">
      <alignment horizontal="right" wrapText="1"/>
    </xf>
    <xf numFmtId="166" fontId="67" fillId="0" borderId="1" xfId="0" applyNumberFormat="1" applyFont="1" applyBorder="1"/>
    <xf numFmtId="166" fontId="66" fillId="0" borderId="1" xfId="0" applyNumberFormat="1" applyFont="1" applyBorder="1"/>
    <xf numFmtId="0" fontId="66" fillId="0" borderId="1" xfId="0" applyFont="1" applyBorder="1" applyAlignment="1">
      <alignment horizontal="right"/>
    </xf>
    <xf numFmtId="166" fontId="119" fillId="0" borderId="1" xfId="0" applyNumberFormat="1" applyFont="1" applyBorder="1"/>
    <xf numFmtId="0" fontId="111" fillId="0" borderId="5" xfId="0" applyFont="1" applyBorder="1" applyAlignment="1">
      <alignment wrapText="1"/>
    </xf>
    <xf numFmtId="0" fontId="111" fillId="0" borderId="1" xfId="0" applyFont="1" applyBorder="1"/>
    <xf numFmtId="0" fontId="66" fillId="0" borderId="1" xfId="0" applyFont="1" applyBorder="1" applyAlignment="1">
      <alignment horizontal="left"/>
    </xf>
    <xf numFmtId="166" fontId="111" fillId="0" borderId="1" xfId="0" applyNumberFormat="1" applyFont="1" applyBorder="1"/>
    <xf numFmtId="166" fontId="66" fillId="0" borderId="1" xfId="0" applyNumberFormat="1" applyFont="1" applyBorder="1" applyAlignment="1">
      <alignment wrapText="1"/>
    </xf>
    <xf numFmtId="0" fontId="66" fillId="0" borderId="1" xfId="0" applyFont="1" applyBorder="1" applyAlignment="1">
      <alignment horizontal="left" wrapText="1"/>
    </xf>
    <xf numFmtId="2" fontId="11" fillId="0" borderId="1" xfId="0" applyNumberFormat="1" applyFont="1" applyBorder="1"/>
    <xf numFmtId="1" fontId="0" fillId="0" borderId="0" xfId="0" applyNumberFormat="1"/>
    <xf numFmtId="0" fontId="67" fillId="0" borderId="1" xfId="0" applyFont="1" applyBorder="1" applyAlignment="1">
      <alignment horizontal="right"/>
    </xf>
    <xf numFmtId="0" fontId="67" fillId="0" borderId="1" xfId="0" applyFont="1" applyBorder="1"/>
    <xf numFmtId="166" fontId="24" fillId="0" borderId="1" xfId="0" applyNumberFormat="1" applyFont="1" applyBorder="1"/>
    <xf numFmtId="0" fontId="70" fillId="0" borderId="1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83" fillId="0" borderId="1" xfId="0" applyFont="1" applyBorder="1" applyAlignment="1">
      <alignment horizontal="left"/>
    </xf>
    <xf numFmtId="0" fontId="83" fillId="0" borderId="0" xfId="0" applyFont="1" applyAlignment="1">
      <alignment horizontal="left"/>
    </xf>
    <xf numFmtId="0" fontId="80" fillId="0" borderId="0" xfId="0" applyFont="1" applyAlignment="1">
      <alignment horizontal="left"/>
    </xf>
    <xf numFmtId="0" fontId="83" fillId="0" borderId="0" xfId="0" applyFont="1" applyBorder="1" applyAlignment="1">
      <alignment horizontal="center"/>
    </xf>
    <xf numFmtId="0" fontId="8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24" fillId="0" borderId="5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/>
    <xf numFmtId="0" fontId="24" fillId="0" borderId="1" xfId="0" applyFont="1" applyBorder="1" applyAlignment="1">
      <alignment horizontal="center" wrapText="1"/>
    </xf>
    <xf numFmtId="0" fontId="24" fillId="0" borderId="6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5" xfId="0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7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/>
    </xf>
    <xf numFmtId="0" fontId="24" fillId="0" borderId="0" xfId="0" applyFont="1" applyBorder="1" applyAlignment="1">
      <alignment horizontal="center"/>
    </xf>
    <xf numFmtId="0" fontId="30" fillId="0" borderId="0" xfId="0" applyFont="1" applyFill="1" applyBorder="1" applyAlignment="1">
      <alignment horizontal="left" wrapText="1"/>
    </xf>
    <xf numFmtId="0" fontId="30" fillId="0" borderId="1" xfId="0" applyFont="1" applyBorder="1" applyAlignment="1">
      <alignment horizontal="center" wrapText="1"/>
    </xf>
    <xf numFmtId="0" fontId="37" fillId="0" borderId="1" xfId="0" applyFont="1" applyBorder="1" applyAlignment="1">
      <alignment horizontal="center"/>
    </xf>
    <xf numFmtId="0" fontId="37" fillId="0" borderId="1" xfId="0" applyFont="1" applyBorder="1" applyAlignment="1">
      <alignment horizontal="left"/>
    </xf>
    <xf numFmtId="0" fontId="51" fillId="0" borderId="1" xfId="0" applyFont="1" applyBorder="1" applyAlignment="1">
      <alignment horizontal="left"/>
    </xf>
    <xf numFmtId="0" fontId="50" fillId="0" borderId="1" xfId="0" applyFont="1" applyBorder="1" applyAlignment="1">
      <alignment horizontal="left"/>
    </xf>
    <xf numFmtId="0" fontId="26" fillId="0" borderId="1" xfId="0" applyFont="1" applyBorder="1" applyAlignment="1">
      <alignment horizontal="center" wrapText="1"/>
    </xf>
    <xf numFmtId="0" fontId="26" fillId="0" borderId="1" xfId="0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30" fillId="0" borderId="0" xfId="52" applyFont="1" applyAlignment="1">
      <alignment horizontal="left" wrapText="1"/>
    </xf>
    <xf numFmtId="0" fontId="30" fillId="0" borderId="3" xfId="52" applyFont="1" applyBorder="1" applyAlignment="1">
      <alignment horizontal="left" wrapText="1"/>
    </xf>
    <xf numFmtId="0" fontId="30" fillId="0" borderId="1" xfId="52" applyFont="1" applyBorder="1" applyAlignment="1">
      <alignment horizontal="center" wrapText="1"/>
    </xf>
    <xf numFmtId="0" fontId="99" fillId="0" borderId="3" xfId="52" applyFont="1" applyBorder="1" applyAlignment="1">
      <alignment horizontal="center" wrapText="1"/>
    </xf>
    <xf numFmtId="0" fontId="30" fillId="0" borderId="8" xfId="52" applyFont="1" applyBorder="1" applyAlignment="1">
      <alignment horizontal="center" wrapText="1"/>
    </xf>
    <xf numFmtId="0" fontId="66" fillId="0" borderId="1" xfId="0" applyFont="1" applyBorder="1" applyAlignment="1">
      <alignment horizontal="center" vertical="center" wrapText="1"/>
    </xf>
    <xf numFmtId="0" fontId="83" fillId="6" borderId="1" xfId="0" applyFont="1" applyFill="1" applyBorder="1"/>
    <xf numFmtId="0" fontId="74" fillId="0" borderId="0" xfId="52" applyFont="1"/>
    <xf numFmtId="0" fontId="75" fillId="0" borderId="0" xfId="52" applyFont="1"/>
    <xf numFmtId="0" fontId="10" fillId="0" borderId="1" xfId="52" applyFont="1" applyBorder="1"/>
    <xf numFmtId="0" fontId="75" fillId="0" borderId="1" xfId="52" applyFont="1" applyBorder="1" applyAlignment="1">
      <alignment vertical="center" wrapText="1"/>
    </xf>
    <xf numFmtId="0" fontId="74" fillId="0" borderId="0" xfId="52" applyFont="1" applyAlignment="1">
      <alignment vertical="center" wrapText="1"/>
    </xf>
    <xf numFmtId="0" fontId="75" fillId="0" borderId="0" xfId="52" applyFont="1" applyAlignment="1">
      <alignment vertical="center" wrapText="1"/>
    </xf>
    <xf numFmtId="0" fontId="44" fillId="0" borderId="1" xfId="52" applyFont="1" applyBorder="1" applyAlignment="1">
      <alignment vertical="center" wrapText="1"/>
    </xf>
    <xf numFmtId="0" fontId="10" fillId="0" borderId="1" xfId="52" applyFont="1" applyBorder="1" applyAlignment="1">
      <alignment vertical="center" wrapText="1"/>
    </xf>
    <xf numFmtId="0" fontId="10" fillId="0" borderId="0" xfId="52" applyFont="1" applyAlignment="1">
      <alignment vertical="center" wrapText="1"/>
    </xf>
    <xf numFmtId="0" fontId="74" fillId="0" borderId="0" xfId="52" applyFont="1" applyBorder="1"/>
    <xf numFmtId="0" fontId="76" fillId="0" borderId="0" xfId="52" applyFont="1" applyAlignment="1">
      <alignment vertical="center" wrapText="1"/>
    </xf>
    <xf numFmtId="0" fontId="72" fillId="0" borderId="1" xfId="52" applyFont="1" applyBorder="1" applyAlignment="1">
      <alignment horizontal="center" vertical="center"/>
    </xf>
    <xf numFmtId="0" fontId="77" fillId="0" borderId="1" xfId="52" applyFont="1" applyBorder="1" applyAlignment="1">
      <alignment horizontal="center" vertical="center" wrapText="1"/>
    </xf>
    <xf numFmtId="2" fontId="10" fillId="0" borderId="1" xfId="52" applyNumberFormat="1" applyFont="1" applyBorder="1" applyAlignment="1">
      <alignment vertical="center" wrapText="1"/>
    </xf>
    <xf numFmtId="164" fontId="10" fillId="0" borderId="1" xfId="54" applyNumberFormat="1" applyFont="1" applyBorder="1" applyAlignment="1">
      <alignment vertical="center" wrapText="1"/>
    </xf>
    <xf numFmtId="0" fontId="77" fillId="0" borderId="1" xfId="52" applyFont="1" applyBorder="1" applyAlignment="1">
      <alignment vertical="center" wrapText="1"/>
    </xf>
    <xf numFmtId="2" fontId="9" fillId="0" borderId="1" xfId="52" applyNumberFormat="1" applyFont="1" applyBorder="1" applyAlignment="1">
      <alignment vertical="center" wrapText="1"/>
    </xf>
    <xf numFmtId="0" fontId="10" fillId="0" borderId="0" xfId="52" applyFont="1" applyBorder="1" applyAlignment="1">
      <alignment vertical="center" wrapText="1"/>
    </xf>
    <xf numFmtId="0" fontId="2" fillId="0" borderId="1" xfId="52" applyFont="1" applyBorder="1" applyAlignment="1">
      <alignment horizontal="center"/>
    </xf>
    <xf numFmtId="2" fontId="74" fillId="0" borderId="1" xfId="52" applyNumberFormat="1" applyFont="1" applyBorder="1" applyAlignment="1">
      <alignment vertical="center" wrapText="1"/>
    </xf>
    <xf numFmtId="164" fontId="10" fillId="0" borderId="1" xfId="55" applyNumberFormat="1" applyFont="1" applyBorder="1" applyAlignment="1">
      <alignment vertical="center" wrapText="1"/>
    </xf>
    <xf numFmtId="1" fontId="74" fillId="0" borderId="0" xfId="52" applyNumberFormat="1" applyFont="1"/>
    <xf numFmtId="164" fontId="10" fillId="0" borderId="1" xfId="56" applyNumberFormat="1" applyFont="1" applyBorder="1" applyAlignment="1">
      <alignment vertical="center" wrapText="1"/>
    </xf>
    <xf numFmtId="164" fontId="10" fillId="0" borderId="1" xfId="57" applyNumberFormat="1" applyFont="1" applyBorder="1" applyAlignment="1">
      <alignment vertical="center" wrapText="1"/>
    </xf>
    <xf numFmtId="2" fontId="78" fillId="0" borderId="1" xfId="52" applyNumberFormat="1" applyFont="1" applyBorder="1" applyAlignment="1">
      <alignment vertical="center" wrapText="1"/>
    </xf>
    <xf numFmtId="164" fontId="10" fillId="0" borderId="1" xfId="58" applyNumberFormat="1" applyFont="1" applyBorder="1" applyAlignment="1">
      <alignment vertical="center" wrapText="1"/>
    </xf>
    <xf numFmtId="164" fontId="10" fillId="0" borderId="1" xfId="59" applyNumberFormat="1" applyFont="1" applyBorder="1" applyAlignment="1">
      <alignment vertical="center" wrapText="1"/>
    </xf>
    <xf numFmtId="164" fontId="10" fillId="0" borderId="1" xfId="60" applyNumberFormat="1" applyFont="1" applyBorder="1" applyAlignment="1">
      <alignment vertical="center" wrapText="1"/>
    </xf>
    <xf numFmtId="1" fontId="74" fillId="0" borderId="0" xfId="52" applyNumberFormat="1" applyFont="1" applyAlignment="1">
      <alignment vertical="center" wrapText="1"/>
    </xf>
    <xf numFmtId="164" fontId="10" fillId="0" borderId="1" xfId="61" applyNumberFormat="1" applyFont="1" applyBorder="1" applyAlignment="1">
      <alignment vertical="center" wrapText="1"/>
    </xf>
    <xf numFmtId="164" fontId="10" fillId="0" borderId="1" xfId="63" applyNumberFormat="1" applyFont="1" applyBorder="1" applyAlignment="1">
      <alignment vertical="center" wrapText="1"/>
    </xf>
    <xf numFmtId="164" fontId="10" fillId="0" borderId="1" xfId="64" applyNumberFormat="1" applyFont="1" applyBorder="1" applyAlignment="1">
      <alignment vertical="center" wrapText="1"/>
    </xf>
    <xf numFmtId="2" fontId="9" fillId="0" borderId="1" xfId="52" applyNumberFormat="1" applyFont="1" applyFill="1" applyBorder="1" applyAlignment="1">
      <alignment vertical="center" wrapText="1"/>
    </xf>
    <xf numFmtId="164" fontId="10" fillId="0" borderId="1" xfId="65" applyNumberFormat="1" applyFont="1" applyBorder="1" applyAlignment="1">
      <alignment vertical="center" wrapText="1"/>
    </xf>
    <xf numFmtId="164" fontId="10" fillId="0" borderId="1" xfId="66" applyNumberFormat="1" applyFont="1" applyBorder="1" applyAlignment="1">
      <alignment vertical="center" wrapText="1"/>
    </xf>
    <xf numFmtId="2" fontId="74" fillId="0" borderId="0" xfId="52" applyNumberFormat="1" applyFont="1" applyFill="1"/>
    <xf numFmtId="0" fontId="74" fillId="0" borderId="0" xfId="52" applyFont="1" applyFill="1"/>
    <xf numFmtId="164" fontId="10" fillId="0" borderId="1" xfId="67" applyNumberFormat="1" applyFont="1" applyBorder="1" applyAlignment="1">
      <alignment vertical="center" wrapText="1"/>
    </xf>
    <xf numFmtId="164" fontId="10" fillId="0" borderId="1" xfId="68" applyNumberFormat="1" applyFont="1" applyBorder="1" applyAlignment="1">
      <alignment vertical="center" wrapText="1"/>
    </xf>
    <xf numFmtId="1" fontId="9" fillId="0" borderId="1" xfId="52" applyNumberFormat="1" applyFont="1" applyBorder="1" applyAlignment="1">
      <alignment vertical="center" wrapText="1"/>
    </xf>
    <xf numFmtId="164" fontId="70" fillId="0" borderId="1" xfId="46" applyFont="1" applyBorder="1" applyAlignment="1">
      <alignment vertical="center"/>
    </xf>
    <xf numFmtId="166" fontId="44" fillId="0" borderId="1" xfId="52" applyNumberFormat="1" applyFont="1" applyBorder="1"/>
    <xf numFmtId="0" fontId="75" fillId="0" borderId="0" xfId="52" applyFont="1" applyBorder="1"/>
    <xf numFmtId="0" fontId="74" fillId="0" borderId="1" xfId="52" applyFont="1" applyBorder="1" applyAlignment="1">
      <alignment vertical="center" wrapText="1"/>
    </xf>
    <xf numFmtId="0" fontId="74" fillId="0" borderId="1" xfId="52" applyFont="1" applyBorder="1" applyAlignment="1">
      <alignment horizontal="left" vertical="center" wrapText="1"/>
    </xf>
    <xf numFmtId="0" fontId="3" fillId="0" borderId="1" xfId="52" applyFont="1" applyBorder="1" applyAlignment="1">
      <alignment vertical="center" wrapText="1"/>
    </xf>
    <xf numFmtId="0" fontId="84" fillId="0" borderId="1" xfId="52" applyFont="1" applyBorder="1" applyAlignment="1">
      <alignment horizontal="center" vertical="center"/>
    </xf>
    <xf numFmtId="164" fontId="10" fillId="0" borderId="1" xfId="69" applyNumberFormat="1" applyFont="1" applyBorder="1" applyAlignment="1">
      <alignment vertical="center" wrapText="1"/>
    </xf>
    <xf numFmtId="0" fontId="3" fillId="0" borderId="0" xfId="52" applyFont="1" applyAlignment="1">
      <alignment vertical="center" wrapText="1"/>
    </xf>
    <xf numFmtId="164" fontId="10" fillId="0" borderId="1" xfId="70" applyNumberFormat="1" applyFont="1" applyBorder="1" applyAlignment="1">
      <alignment vertical="center" wrapText="1"/>
    </xf>
    <xf numFmtId="164" fontId="10" fillId="0" borderId="1" xfId="71" applyNumberFormat="1" applyFont="1" applyBorder="1" applyAlignment="1">
      <alignment vertical="center" wrapText="1"/>
    </xf>
    <xf numFmtId="0" fontId="78" fillId="0" borderId="0" xfId="52" applyFont="1" applyAlignment="1">
      <alignment vertical="center" wrapText="1"/>
    </xf>
    <xf numFmtId="164" fontId="10" fillId="0" borderId="1" xfId="72" applyNumberFormat="1" applyFont="1" applyBorder="1" applyAlignment="1">
      <alignment vertical="center" wrapText="1"/>
    </xf>
    <xf numFmtId="0" fontId="75" fillId="0" borderId="1" xfId="52" applyFont="1" applyBorder="1"/>
    <xf numFmtId="0" fontId="74" fillId="0" borderId="0" xfId="52" applyFont="1" applyAlignment="1">
      <alignment horizontal="left"/>
    </xf>
    <xf numFmtId="164" fontId="10" fillId="0" borderId="1" xfId="73" applyNumberFormat="1" applyFont="1" applyBorder="1" applyAlignment="1">
      <alignment vertical="center" wrapText="1"/>
    </xf>
    <xf numFmtId="0" fontId="2" fillId="0" borderId="0" xfId="52" applyFont="1" applyAlignment="1">
      <alignment vertical="center" wrapText="1"/>
    </xf>
    <xf numFmtId="164" fontId="10" fillId="0" borderId="1" xfId="74" applyNumberFormat="1" applyFont="1" applyBorder="1" applyAlignment="1">
      <alignment vertical="center" wrapText="1"/>
    </xf>
    <xf numFmtId="0" fontId="78" fillId="0" borderId="0" xfId="52" applyFont="1"/>
    <xf numFmtId="0" fontId="74" fillId="0" borderId="0" xfId="52" applyFont="1" applyAlignment="1">
      <alignment horizontal="left" vertical="center" wrapText="1"/>
    </xf>
    <xf numFmtId="164" fontId="10" fillId="0" borderId="1" xfId="75" applyNumberFormat="1" applyFont="1" applyBorder="1" applyAlignment="1">
      <alignment vertical="center" wrapText="1"/>
    </xf>
    <xf numFmtId="0" fontId="88" fillId="0" borderId="0" xfId="52" applyFont="1" applyAlignment="1">
      <alignment vertical="center" wrapText="1"/>
    </xf>
    <xf numFmtId="164" fontId="10" fillId="0" borderId="1" xfId="76" applyNumberFormat="1" applyFont="1" applyBorder="1" applyAlignment="1">
      <alignment vertical="center" wrapText="1"/>
    </xf>
    <xf numFmtId="164" fontId="10" fillId="0" borderId="1" xfId="77" applyNumberFormat="1" applyFont="1" applyBorder="1" applyAlignment="1">
      <alignment vertical="center" wrapText="1"/>
    </xf>
    <xf numFmtId="164" fontId="10" fillId="0" borderId="1" xfId="78" applyNumberFormat="1" applyFont="1" applyBorder="1" applyAlignment="1">
      <alignment vertical="center" wrapText="1"/>
    </xf>
    <xf numFmtId="2" fontId="74" fillId="0" borderId="0" xfId="52" applyNumberFormat="1" applyFont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" fontId="2" fillId="0" borderId="5" xfId="0" applyNumberFormat="1" applyFont="1" applyBorder="1" applyAlignment="1">
      <alignment vertical="center"/>
    </xf>
    <xf numFmtId="1" fontId="2" fillId="0" borderId="7" xfId="0" applyNumberFormat="1" applyFont="1" applyBorder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0" fillId="0" borderId="0" xfId="0" applyFont="1"/>
    <xf numFmtId="0" fontId="30" fillId="0" borderId="0" xfId="0" applyFont="1" applyBorder="1"/>
    <xf numFmtId="0" fontId="0" fillId="0" borderId="1" xfId="0" applyBorder="1" applyAlignment="1">
      <alignment horizontal="center"/>
    </xf>
    <xf numFmtId="0" fontId="59" fillId="7" borderId="3" xfId="0" applyFont="1" applyFill="1" applyBorder="1" applyAlignment="1">
      <alignment horizontal="left" vertical="center"/>
    </xf>
    <xf numFmtId="0" fontId="59" fillId="7" borderId="0" xfId="0" applyFont="1" applyFill="1" applyAlignment="1">
      <alignment horizontal="left" vertical="center"/>
    </xf>
    <xf numFmtId="0" fontId="59" fillId="0" borderId="1" xfId="0" applyFont="1" applyBorder="1" applyAlignment="1">
      <alignment horizontal="center" vertical="center"/>
    </xf>
    <xf numFmtId="1" fontId="0" fillId="0" borderId="1" xfId="0" applyNumberFormat="1" applyFill="1" applyBorder="1" applyAlignment="1">
      <alignment vertical="center"/>
    </xf>
    <xf numFmtId="1" fontId="2" fillId="0" borderId="1" xfId="0" applyNumberFormat="1" applyFont="1" applyBorder="1" applyAlignment="1">
      <alignment vertical="center"/>
    </xf>
    <xf numFmtId="0" fontId="74" fillId="0" borderId="0" xfId="52" applyFont="1" applyProtection="1">
      <protection locked="0"/>
    </xf>
    <xf numFmtId="0" fontId="75" fillId="0" borderId="0" xfId="52" applyFont="1" applyProtection="1">
      <protection locked="0"/>
    </xf>
    <xf numFmtId="0" fontId="10" fillId="0" borderId="1" xfId="52" applyFont="1" applyBorder="1" applyProtection="1">
      <protection locked="0"/>
    </xf>
    <xf numFmtId="0" fontId="75" fillId="0" borderId="1" xfId="52" applyFont="1" applyBorder="1" applyAlignment="1" applyProtection="1">
      <alignment vertical="center" wrapText="1"/>
      <protection locked="0"/>
    </xf>
    <xf numFmtId="0" fontId="74" fillId="0" borderId="0" xfId="52" applyFont="1" applyAlignment="1" applyProtection="1">
      <alignment vertical="center" wrapText="1"/>
      <protection locked="0"/>
    </xf>
    <xf numFmtId="0" fontId="75" fillId="0" borderId="0" xfId="52" applyFont="1" applyAlignment="1" applyProtection="1">
      <alignment vertical="center" wrapText="1"/>
      <protection locked="0"/>
    </xf>
    <xf numFmtId="0" fontId="44" fillId="0" borderId="1" xfId="52" applyFont="1" applyBorder="1" applyAlignment="1" applyProtection="1">
      <alignment vertical="center" wrapText="1"/>
      <protection locked="0"/>
    </xf>
    <xf numFmtId="0" fontId="10" fillId="0" borderId="1" xfId="52" applyFont="1" applyBorder="1" applyAlignment="1" applyProtection="1">
      <alignment vertical="center" wrapText="1"/>
      <protection locked="0"/>
    </xf>
    <xf numFmtId="0" fontId="10" fillId="0" borderId="0" xfId="52" applyFont="1" applyBorder="1" applyAlignment="1" applyProtection="1">
      <alignment vertical="center" wrapText="1"/>
      <protection locked="0"/>
    </xf>
    <xf numFmtId="0" fontId="76" fillId="0" borderId="0" xfId="52" applyFont="1" applyAlignment="1" applyProtection="1">
      <alignment vertical="center" wrapText="1"/>
      <protection locked="0"/>
    </xf>
    <xf numFmtId="0" fontId="72" fillId="0" borderId="1" xfId="52" applyFont="1" applyBorder="1" applyAlignment="1" applyProtection="1">
      <alignment horizontal="center" vertical="center"/>
      <protection locked="0"/>
    </xf>
    <xf numFmtId="0" fontId="77" fillId="0" borderId="1" xfId="52" applyFont="1" applyBorder="1" applyAlignment="1" applyProtection="1">
      <alignment horizontal="center" vertical="center" wrapText="1"/>
      <protection locked="0"/>
    </xf>
    <xf numFmtId="2" fontId="10" fillId="0" borderId="1" xfId="52" applyNumberFormat="1" applyFont="1" applyBorder="1" applyAlignment="1" applyProtection="1">
      <alignment vertical="center" wrapText="1"/>
      <protection locked="0"/>
    </xf>
    <xf numFmtId="164" fontId="10" fillId="0" borderId="1" xfId="62" applyNumberFormat="1" applyFont="1" applyBorder="1" applyAlignment="1" applyProtection="1">
      <alignment vertical="center" wrapText="1"/>
      <protection locked="0"/>
    </xf>
    <xf numFmtId="2" fontId="74" fillId="0" borderId="1" xfId="52" applyNumberFormat="1" applyFont="1" applyBorder="1" applyAlignment="1" applyProtection="1">
      <alignment vertical="center" wrapText="1"/>
      <protection locked="0"/>
    </xf>
    <xf numFmtId="0" fontId="77" fillId="0" borderId="1" xfId="52" applyFont="1" applyBorder="1" applyAlignment="1" applyProtection="1">
      <alignment vertical="center" wrapText="1"/>
      <protection locked="0"/>
    </xf>
    <xf numFmtId="0" fontId="9" fillId="0" borderId="1" xfId="52" applyFont="1" applyBorder="1" applyAlignment="1" applyProtection="1">
      <alignment vertical="center" wrapText="1"/>
      <protection locked="0"/>
    </xf>
    <xf numFmtId="2" fontId="9" fillId="0" borderId="1" xfId="52" applyNumberFormat="1" applyFont="1" applyBorder="1" applyAlignment="1" applyProtection="1">
      <alignment vertical="center" wrapText="1"/>
      <protection locked="0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8" borderId="5" xfId="0" applyFill="1" applyBorder="1"/>
    <xf numFmtId="0" fontId="0" fillId="8" borderId="6" xfId="0" applyFill="1" applyBorder="1"/>
    <xf numFmtId="0" fontId="0" fillId="0" borderId="25" xfId="0" applyBorder="1"/>
    <xf numFmtId="0" fontId="0" fillId="8" borderId="1" xfId="0" applyFill="1" applyBorder="1"/>
    <xf numFmtId="0" fontId="0" fillId="8" borderId="6" xfId="0" applyFont="1" applyFill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120" fillId="0" borderId="0" xfId="0" applyFont="1"/>
    <xf numFmtId="0" fontId="0" fillId="9" borderId="1" xfId="0" applyFill="1" applyBorder="1" applyAlignment="1">
      <alignment horizontal="left" vertical="center" wrapText="1"/>
    </xf>
    <xf numFmtId="0" fontId="0" fillId="8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right" vertical="center" wrapText="1"/>
    </xf>
    <xf numFmtId="0" fontId="0" fillId="0" borderId="1" xfId="0" applyFill="1" applyBorder="1" applyAlignment="1">
      <alignment horizontal="right" vertical="center" wrapText="1"/>
    </xf>
    <xf numFmtId="2" fontId="0" fillId="0" borderId="1" xfId="0" applyNumberFormat="1" applyFill="1" applyBorder="1" applyAlignment="1">
      <alignment horizontal="right"/>
    </xf>
    <xf numFmtId="0" fontId="0" fillId="8" borderId="0" xfId="0" applyFill="1"/>
    <xf numFmtId="0" fontId="0" fillId="8" borderId="0" xfId="0" applyFont="1" applyFill="1" applyAlignment="1">
      <alignment wrapText="1"/>
    </xf>
    <xf numFmtId="0" fontId="0" fillId="8" borderId="0" xfId="0" applyFont="1" applyFill="1"/>
    <xf numFmtId="0" fontId="121" fillId="0" borderId="0" xfId="0" applyFont="1" applyFill="1"/>
    <xf numFmtId="0" fontId="0" fillId="9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left" vertical="center" wrapText="1"/>
    </xf>
    <xf numFmtId="0" fontId="0" fillId="0" borderId="1" xfId="0" applyBorder="1" applyAlignment="1"/>
    <xf numFmtId="0" fontId="0" fillId="0" borderId="0" xfId="0" applyBorder="1" applyAlignment="1"/>
    <xf numFmtId="0" fontId="0" fillId="8" borderId="1" xfId="0" applyFont="1" applyFill="1" applyBorder="1"/>
    <xf numFmtId="0" fontId="0" fillId="0" borderId="1" xfId="0" applyFill="1" applyBorder="1" applyAlignment="1">
      <alignment horizontal="left" vertical="center" wrapText="1"/>
    </xf>
    <xf numFmtId="2" fontId="0" fillId="0" borderId="1" xfId="0" applyNumberFormat="1" applyFill="1" applyBorder="1"/>
    <xf numFmtId="0" fontId="0" fillId="8" borderId="1" xfId="0" applyFont="1" applyFill="1" applyBorder="1" applyAlignment="1">
      <alignment wrapText="1"/>
    </xf>
    <xf numFmtId="4" fontId="0" fillId="0" borderId="1" xfId="0" applyNumberFormat="1" applyFill="1" applyBorder="1" applyAlignment="1">
      <alignment horizontal="right" vertical="center" wrapText="1"/>
    </xf>
    <xf numFmtId="4" fontId="0" fillId="0" borderId="1" xfId="0" applyNumberFormat="1" applyFill="1" applyBorder="1" applyAlignment="1">
      <alignment horizontal="right" wrapText="1"/>
    </xf>
    <xf numFmtId="9" fontId="0" fillId="0" borderId="1" xfId="0" applyNumberFormat="1" applyFill="1" applyBorder="1" applyAlignment="1">
      <alignment horizontal="right" wrapText="1"/>
    </xf>
    <xf numFmtId="2" fontId="0" fillId="0" borderId="1" xfId="0" applyNumberFormat="1" applyFill="1" applyBorder="1" applyAlignment="1">
      <alignment horizontal="right" wrapText="1"/>
    </xf>
    <xf numFmtId="170" fontId="0" fillId="0" borderId="1" xfId="0" applyNumberFormat="1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10" fontId="0" fillId="0" borderId="1" xfId="0" applyNumberFormat="1" applyFill="1" applyBorder="1" applyAlignment="1">
      <alignment horizontal="right" vertical="center" wrapText="1"/>
    </xf>
    <xf numFmtId="0" fontId="0" fillId="8" borderId="1" xfId="0" applyFill="1" applyBorder="1" applyAlignment="1">
      <alignment wrapText="1"/>
    </xf>
    <xf numFmtId="0" fontId="0" fillId="8" borderId="12" xfId="0" applyFill="1" applyBorder="1"/>
    <xf numFmtId="2" fontId="0" fillId="0" borderId="1" xfId="0" applyNumberFormat="1" applyFill="1" applyBorder="1" applyAlignment="1">
      <alignment horizontal="right" vertical="center"/>
    </xf>
    <xf numFmtId="0" fontId="120" fillId="0" borderId="0" xfId="0" applyFont="1" applyFill="1" applyBorder="1"/>
    <xf numFmtId="0" fontId="0" fillId="0" borderId="0" xfId="0" applyFill="1" applyBorder="1"/>
    <xf numFmtId="0" fontId="0" fillId="9" borderId="1" xfId="0" applyFill="1" applyBorder="1"/>
    <xf numFmtId="0" fontId="0" fillId="7" borderId="1" xfId="0" applyFill="1" applyBorder="1"/>
    <xf numFmtId="165" fontId="44" fillId="0" borderId="0" xfId="0" applyNumberFormat="1" applyFont="1" applyBorder="1" applyAlignment="1">
      <alignment vertical="center" wrapText="1"/>
    </xf>
    <xf numFmtId="0" fontId="0" fillId="0" borderId="5" xfId="0" applyBorder="1"/>
    <xf numFmtId="165" fontId="44" fillId="0" borderId="1" xfId="0" applyNumberFormat="1" applyFont="1" applyFill="1" applyBorder="1" applyAlignment="1">
      <alignment vertical="center" wrapText="1"/>
    </xf>
    <xf numFmtId="0" fontId="0" fillId="9" borderId="26" xfId="0" applyFill="1" applyBorder="1"/>
    <xf numFmtId="0" fontId="0" fillId="9" borderId="28" xfId="0" applyFill="1" applyBorder="1"/>
    <xf numFmtId="0" fontId="0" fillId="9" borderId="37" xfId="0" applyFill="1" applyBorder="1"/>
    <xf numFmtId="0" fontId="0" fillId="8" borderId="28" xfId="0" applyFill="1" applyBorder="1"/>
    <xf numFmtId="2" fontId="0" fillId="0" borderId="37" xfId="0" applyNumberFormat="1" applyFill="1" applyBorder="1"/>
    <xf numFmtId="1" fontId="0" fillId="0" borderId="37" xfId="0" applyNumberFormat="1" applyBorder="1"/>
    <xf numFmtId="2" fontId="0" fillId="0" borderId="37" xfId="0" applyNumberFormat="1" applyBorder="1"/>
    <xf numFmtId="0" fontId="0" fillId="8" borderId="29" xfId="0" applyFill="1" applyBorder="1"/>
    <xf numFmtId="0" fontId="0" fillId="0" borderId="30" xfId="0" applyBorder="1"/>
    <xf numFmtId="2" fontId="0" fillId="0" borderId="30" xfId="0" applyNumberFormat="1" applyBorder="1"/>
    <xf numFmtId="0" fontId="0" fillId="0" borderId="38" xfId="0" applyBorder="1"/>
    <xf numFmtId="165" fontId="44" fillId="0" borderId="1" xfId="0" applyNumberFormat="1" applyFont="1" applyFill="1" applyBorder="1" applyAlignment="1">
      <alignment horizontal="center" vertical="center" wrapText="1"/>
    </xf>
    <xf numFmtId="0" fontId="0" fillId="0" borderId="37" xfId="0" applyFill="1" applyBorder="1"/>
    <xf numFmtId="0" fontId="0" fillId="0" borderId="37" xfId="0" applyBorder="1"/>
    <xf numFmtId="0" fontId="0" fillId="7" borderId="29" xfId="0" applyFill="1" applyBorder="1"/>
    <xf numFmtId="0" fontId="54" fillId="0" borderId="0" xfId="0" applyFont="1" applyFill="1"/>
    <xf numFmtId="0" fontId="54" fillId="0" borderId="0" xfId="0" applyFont="1" applyFill="1" applyBorder="1"/>
    <xf numFmtId="0" fontId="7" fillId="0" borderId="0" xfId="3" applyFill="1" applyBorder="1" applyAlignment="1" applyProtection="1">
      <alignment horizontal="left"/>
    </xf>
    <xf numFmtId="0" fontId="54" fillId="0" borderId="0" xfId="0" applyFont="1" applyFill="1" applyBorder="1" applyAlignment="1">
      <alignment horizontal="center"/>
    </xf>
    <xf numFmtId="0" fontId="54" fillId="8" borderId="1" xfId="0" applyFont="1" applyFill="1" applyBorder="1" applyAlignment="1">
      <alignment horizontal="left" vertical="center"/>
    </xf>
    <xf numFmtId="0" fontId="54" fillId="0" borderId="1" xfId="0" applyFont="1" applyFill="1" applyBorder="1" applyAlignment="1">
      <alignment vertical="center" wrapText="1"/>
    </xf>
    <xf numFmtId="0" fontId="54" fillId="0" borderId="1" xfId="0" applyFont="1" applyFill="1" applyBorder="1" applyAlignment="1">
      <alignment wrapText="1"/>
    </xf>
    <xf numFmtId="0" fontId="54" fillId="8" borderId="0" xfId="0" applyFont="1" applyFill="1" applyBorder="1"/>
    <xf numFmtId="0" fontId="54" fillId="8" borderId="1" xfId="0" applyFont="1" applyFill="1" applyBorder="1"/>
    <xf numFmtId="0" fontId="54" fillId="0" borderId="0" xfId="0" applyFont="1" applyFill="1" applyBorder="1" applyAlignment="1">
      <alignment horizontal="center" wrapText="1"/>
    </xf>
    <xf numFmtId="0" fontId="54" fillId="8" borderId="1" xfId="0" applyFont="1" applyFill="1" applyBorder="1" applyAlignment="1">
      <alignment wrapText="1"/>
    </xf>
    <xf numFmtId="0" fontId="54" fillId="8" borderId="1" xfId="0" applyFont="1" applyFill="1" applyBorder="1" applyAlignment="1">
      <alignment vertical="center"/>
    </xf>
    <xf numFmtId="0" fontId="54" fillId="8" borderId="1" xfId="0" applyFont="1" applyFill="1" applyBorder="1" applyAlignment="1">
      <alignment vertical="center" wrapText="1"/>
    </xf>
    <xf numFmtId="0" fontId="54" fillId="0" borderId="0" xfId="0" applyFont="1" applyFill="1" applyBorder="1" applyAlignment="1"/>
    <xf numFmtId="0" fontId="54" fillId="0" borderId="1" xfId="0" applyFont="1" applyFill="1" applyBorder="1"/>
    <xf numFmtId="0" fontId="54" fillId="0" borderId="1" xfId="0" applyFont="1" applyFill="1" applyBorder="1" applyAlignment="1">
      <alignment vertical="center"/>
    </xf>
    <xf numFmtId="0" fontId="54" fillId="8" borderId="1" xfId="0" applyFont="1" applyFill="1" applyBorder="1" applyAlignment="1">
      <alignment horizontal="right" vertical="center"/>
    </xf>
    <xf numFmtId="0" fontId="54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vertical="center"/>
    </xf>
    <xf numFmtId="0" fontId="54" fillId="8" borderId="5" xfId="0" applyFont="1" applyFill="1" applyBorder="1" applyAlignment="1">
      <alignment wrapText="1"/>
    </xf>
    <xf numFmtId="0" fontId="54" fillId="8" borderId="1" xfId="0" applyFont="1" applyFill="1" applyBorder="1" applyAlignment="1">
      <alignment horizontal="left"/>
    </xf>
    <xf numFmtId="0" fontId="54" fillId="0" borderId="1" xfId="0" applyFont="1" applyFill="1" applyBorder="1" applyAlignment="1">
      <alignment horizontal="right"/>
    </xf>
    <xf numFmtId="0" fontId="54" fillId="8" borderId="1" xfId="0" applyFont="1" applyFill="1" applyBorder="1" applyAlignment="1">
      <alignment horizontal="right"/>
    </xf>
    <xf numFmtId="0" fontId="54" fillId="0" borderId="1" xfId="0" applyFont="1" applyFill="1" applyBorder="1" applyAlignment="1"/>
    <xf numFmtId="0" fontId="54" fillId="8" borderId="1" xfId="0" applyFont="1" applyFill="1" applyBorder="1" applyAlignment="1"/>
    <xf numFmtId="0" fontId="121" fillId="0" borderId="0" xfId="0" applyFont="1" applyFill="1" applyBorder="1"/>
    <xf numFmtId="0" fontId="54" fillId="9" borderId="1" xfId="0" applyFont="1" applyFill="1" applyBorder="1" applyAlignment="1">
      <alignment horizontal="center" vertical="center"/>
    </xf>
    <xf numFmtId="0" fontId="54" fillId="9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horizontal="center" vertical="center" wrapText="1"/>
    </xf>
    <xf numFmtId="2" fontId="54" fillId="0" borderId="1" xfId="0" applyNumberFormat="1" applyFont="1" applyFill="1" applyBorder="1" applyAlignment="1">
      <alignment wrapText="1"/>
    </xf>
    <xf numFmtId="168" fontId="54" fillId="0" borderId="1" xfId="0" applyNumberFormat="1" applyFont="1" applyFill="1" applyBorder="1" applyAlignment="1">
      <alignment horizontal="center" vertical="center" wrapText="1"/>
    </xf>
    <xf numFmtId="2" fontId="54" fillId="0" borderId="1" xfId="0" applyNumberFormat="1" applyFont="1" applyFill="1" applyBorder="1" applyAlignment="1">
      <alignment horizontal="center" vertical="center"/>
    </xf>
    <xf numFmtId="166" fontId="54" fillId="0" borderId="1" xfId="0" applyNumberFormat="1" applyFont="1" applyFill="1" applyBorder="1" applyAlignment="1">
      <alignment horizontal="center" vertical="center"/>
    </xf>
    <xf numFmtId="2" fontId="54" fillId="0" borderId="1" xfId="0" applyNumberFormat="1" applyFont="1" applyFill="1" applyBorder="1" applyAlignment="1">
      <alignment vertical="center"/>
    </xf>
    <xf numFmtId="166" fontId="54" fillId="0" borderId="1" xfId="0" applyNumberFormat="1" applyFont="1" applyFill="1" applyBorder="1" applyAlignment="1">
      <alignment wrapText="1"/>
    </xf>
    <xf numFmtId="2" fontId="54" fillId="0" borderId="1" xfId="0" applyNumberFormat="1" applyFont="1" applyFill="1" applyBorder="1" applyAlignment="1">
      <alignment horizontal="center"/>
    </xf>
    <xf numFmtId="166" fontId="54" fillId="0" borderId="1" xfId="0" applyNumberFormat="1" applyFont="1" applyFill="1" applyBorder="1"/>
    <xf numFmtId="2" fontId="54" fillId="0" borderId="1" xfId="0" applyNumberFormat="1" applyFont="1" applyFill="1" applyBorder="1" applyAlignment="1"/>
    <xf numFmtId="2" fontId="54" fillId="0" borderId="1" xfId="0" applyNumberFormat="1" applyFont="1" applyFill="1" applyBorder="1"/>
    <xf numFmtId="166" fontId="54" fillId="0" borderId="1" xfId="0" applyNumberFormat="1" applyFont="1" applyFill="1" applyBorder="1" applyAlignment="1">
      <alignment vertical="center"/>
    </xf>
    <xf numFmtId="0" fontId="54" fillId="0" borderId="0" xfId="0" applyFont="1" applyFill="1" applyBorder="1" applyAlignment="1">
      <alignment horizontal="left" vertical="center"/>
    </xf>
    <xf numFmtId="0" fontId="54" fillId="0" borderId="0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vertical="center" wrapText="1"/>
    </xf>
    <xf numFmtId="0" fontId="54" fillId="8" borderId="4" xfId="0" applyFont="1" applyFill="1" applyBorder="1"/>
    <xf numFmtId="171" fontId="54" fillId="0" borderId="1" xfId="0" applyNumberFormat="1" applyFont="1" applyFill="1" applyBorder="1" applyAlignment="1">
      <alignment horizontal="center" vertical="center" wrapText="1"/>
    </xf>
    <xf numFmtId="2" fontId="54" fillId="0" borderId="1" xfId="0" applyNumberFormat="1" applyFont="1" applyFill="1" applyBorder="1" applyAlignment="1">
      <alignment horizontal="right" vertical="center"/>
    </xf>
    <xf numFmtId="166" fontId="54" fillId="0" borderId="1" xfId="0" applyNumberFormat="1" applyFont="1" applyFill="1" applyBorder="1" applyAlignment="1">
      <alignment horizontal="center" vertical="center" wrapText="1"/>
    </xf>
    <xf numFmtId="166" fontId="55" fillId="0" borderId="1" xfId="0" applyNumberFormat="1" applyFont="1" applyFill="1" applyBorder="1"/>
    <xf numFmtId="0" fontId="54" fillId="11" borderId="1" xfId="0" applyFont="1" applyFill="1" applyBorder="1" applyAlignment="1">
      <alignment horizontal="center" vertical="center"/>
    </xf>
    <xf numFmtId="0" fontId="54" fillId="11" borderId="1" xfId="0" applyFont="1" applyFill="1" applyBorder="1" applyAlignment="1">
      <alignment vertical="center"/>
    </xf>
    <xf numFmtId="2" fontId="55" fillId="0" borderId="1" xfId="0" applyNumberFormat="1" applyFont="1" applyFill="1" applyBorder="1"/>
    <xf numFmtId="0" fontId="54" fillId="8" borderId="5" xfId="0" applyFont="1" applyFill="1" applyBorder="1"/>
    <xf numFmtId="0" fontId="54" fillId="8" borderId="7" xfId="0" applyFont="1" applyFill="1" applyBorder="1"/>
    <xf numFmtId="0" fontId="54" fillId="8" borderId="4" xfId="0" applyFont="1" applyFill="1" applyBorder="1" applyAlignment="1">
      <alignment vertical="center"/>
    </xf>
    <xf numFmtId="0" fontId="54" fillId="8" borderId="8" xfId="0" applyFont="1" applyFill="1" applyBorder="1" applyAlignment="1">
      <alignment wrapText="1"/>
    </xf>
    <xf numFmtId="0" fontId="54" fillId="0" borderId="1" xfId="0" applyFont="1" applyFill="1" applyBorder="1" applyAlignment="1">
      <alignment horizontal="center"/>
    </xf>
    <xf numFmtId="0" fontId="54" fillId="0" borderId="5" xfId="0" applyFont="1" applyFill="1" applyBorder="1" applyAlignment="1"/>
    <xf numFmtId="0" fontId="54" fillId="0" borderId="6" xfId="0" applyFont="1" applyFill="1" applyBorder="1" applyAlignment="1"/>
    <xf numFmtId="0" fontId="54" fillId="0" borderId="7" xfId="0" applyFont="1" applyFill="1" applyBorder="1" applyAlignment="1"/>
    <xf numFmtId="0" fontId="54" fillId="8" borderId="0" xfId="0" applyFont="1" applyFill="1" applyBorder="1" applyAlignment="1">
      <alignment wrapText="1"/>
    </xf>
    <xf numFmtId="0" fontId="54" fillId="0" borderId="1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right" vertical="center"/>
    </xf>
    <xf numFmtId="0" fontId="54" fillId="8" borderId="5" xfId="0" applyFont="1" applyFill="1" applyBorder="1" applyAlignment="1"/>
    <xf numFmtId="0" fontId="54" fillId="8" borderId="6" xfId="0" applyFont="1" applyFill="1" applyBorder="1" applyAlignment="1"/>
    <xf numFmtId="0" fontId="98" fillId="0" borderId="0" xfId="0" applyFont="1" applyFill="1" applyBorder="1"/>
    <xf numFmtId="0" fontId="99" fillId="0" borderId="5" xfId="0" applyNumberFormat="1" applyFont="1" applyFill="1" applyBorder="1" applyAlignment="1" applyProtection="1">
      <alignment horizontal="center"/>
    </xf>
    <xf numFmtId="0" fontId="99" fillId="0" borderId="7" xfId="0" applyNumberFormat="1" applyFont="1" applyFill="1" applyBorder="1" applyAlignment="1" applyProtection="1">
      <alignment horizontal="center"/>
    </xf>
    <xf numFmtId="0" fontId="99" fillId="0" borderId="9" xfId="0" applyNumberFormat="1" applyFont="1" applyFill="1" applyBorder="1" applyAlignment="1" applyProtection="1">
      <alignment horizontal="center"/>
    </xf>
    <xf numFmtId="0" fontId="99" fillId="0" borderId="10" xfId="0" applyNumberFormat="1" applyFont="1" applyFill="1" applyBorder="1" applyAlignment="1" applyProtection="1">
      <alignment horizontal="center"/>
    </xf>
    <xf numFmtId="0" fontId="99" fillId="0" borderId="11" xfId="0" applyNumberFormat="1" applyFont="1" applyFill="1" applyBorder="1" applyAlignment="1" applyProtection="1">
      <alignment horizontal="center"/>
    </xf>
    <xf numFmtId="0" fontId="99" fillId="0" borderId="12" xfId="0" applyNumberFormat="1" applyFont="1" applyFill="1" applyBorder="1" applyAlignment="1" applyProtection="1">
      <alignment horizontal="center"/>
    </xf>
    <xf numFmtId="0" fontId="99" fillId="0" borderId="13" xfId="0" applyNumberFormat="1" applyFont="1" applyFill="1" applyBorder="1" applyAlignment="1" applyProtection="1">
      <alignment horizontal="center"/>
    </xf>
    <xf numFmtId="0" fontId="99" fillId="0" borderId="14" xfId="0" applyNumberFormat="1" applyFont="1" applyFill="1" applyBorder="1" applyAlignment="1" applyProtection="1">
      <alignment horizontal="center"/>
    </xf>
    <xf numFmtId="0" fontId="99" fillId="0" borderId="2" xfId="0" applyNumberFormat="1" applyFont="1" applyFill="1" applyBorder="1" applyAlignment="1" applyProtection="1">
      <alignment horizontal="center"/>
    </xf>
    <xf numFmtId="0" fontId="99" fillId="0" borderId="3" xfId="0" applyNumberFormat="1" applyFont="1" applyFill="1" applyBorder="1" applyAlignment="1" applyProtection="1">
      <alignment horizontal="center"/>
    </xf>
    <xf numFmtId="0" fontId="7" fillId="3" borderId="0" xfId="3" applyFill="1" applyAlignment="1" applyProtection="1">
      <alignment horizontal="left"/>
    </xf>
    <xf numFmtId="0" fontId="99" fillId="0" borderId="5" xfId="0" applyNumberFormat="1" applyFont="1" applyFill="1" applyBorder="1" applyAlignment="1" applyProtection="1">
      <alignment horizontal="center" vertical="top" wrapText="1"/>
    </xf>
    <xf numFmtId="0" fontId="99" fillId="0" borderId="7" xfId="0" applyNumberFormat="1" applyFont="1" applyFill="1" applyBorder="1" applyAlignment="1" applyProtection="1">
      <alignment horizontal="center" vertical="top" wrapText="1"/>
    </xf>
    <xf numFmtId="0" fontId="99" fillId="0" borderId="6" xfId="0" applyNumberFormat="1" applyFont="1" applyFill="1" applyBorder="1" applyAlignment="1" applyProtection="1">
      <alignment horizontal="center" vertical="top" wrapText="1"/>
    </xf>
    <xf numFmtId="0" fontId="99" fillId="0" borderId="6" xfId="0" applyNumberFormat="1" applyFont="1" applyFill="1" applyBorder="1" applyAlignment="1" applyProtection="1">
      <alignment horizontal="center"/>
    </xf>
    <xf numFmtId="0" fontId="101" fillId="0" borderId="5" xfId="0" applyNumberFormat="1" applyFont="1" applyFill="1" applyBorder="1" applyAlignment="1" applyProtection="1">
      <alignment horizontal="center" vertical="top" wrapText="1"/>
    </xf>
    <xf numFmtId="0" fontId="101" fillId="0" borderId="6" xfId="0" applyNumberFormat="1" applyFont="1" applyFill="1" applyBorder="1" applyAlignment="1" applyProtection="1">
      <alignment horizontal="center" vertical="top" wrapText="1"/>
    </xf>
    <xf numFmtId="0" fontId="101" fillId="0" borderId="7" xfId="0" applyNumberFormat="1" applyFont="1" applyFill="1" applyBorder="1" applyAlignment="1" applyProtection="1">
      <alignment horizontal="center" vertical="top" wrapText="1"/>
    </xf>
    <xf numFmtId="0" fontId="101" fillId="0" borderId="4" xfId="0" applyNumberFormat="1" applyFont="1" applyFill="1" applyBorder="1" applyAlignment="1" applyProtection="1">
      <alignment vertical="top" wrapText="1"/>
    </xf>
    <xf numFmtId="0" fontId="101" fillId="0" borderId="8" xfId="0" applyNumberFormat="1" applyFont="1" applyFill="1" applyBorder="1" applyAlignment="1" applyProtection="1">
      <alignment vertical="top" wrapText="1"/>
    </xf>
    <xf numFmtId="0" fontId="101" fillId="0" borderId="0" xfId="0" applyNumberFormat="1" applyFont="1" applyFill="1" applyBorder="1" applyAlignment="1" applyProtection="1">
      <alignment horizontal="center"/>
    </xf>
    <xf numFmtId="0" fontId="99" fillId="0" borderId="5" xfId="0" applyNumberFormat="1" applyFont="1" applyFill="1" applyBorder="1" applyAlignment="1" applyProtection="1">
      <alignment horizontal="center" vertical="center"/>
    </xf>
    <xf numFmtId="0" fontId="99" fillId="0" borderId="7" xfId="0" applyNumberFormat="1" applyFont="1" applyFill="1" applyBorder="1" applyAlignment="1" applyProtection="1">
      <alignment horizontal="center" vertical="center"/>
    </xf>
    <xf numFmtId="0" fontId="99" fillId="0" borderId="9" xfId="0" applyNumberFormat="1" applyFont="1" applyFill="1" applyBorder="1" applyAlignment="1" applyProtection="1">
      <alignment horizontal="center" vertical="center"/>
    </xf>
    <xf numFmtId="0" fontId="99" fillId="0" borderId="10" xfId="0" applyNumberFormat="1" applyFont="1" applyFill="1" applyBorder="1" applyAlignment="1" applyProtection="1">
      <alignment horizontal="center" vertical="center"/>
    </xf>
    <xf numFmtId="0" fontId="99" fillId="0" borderId="11" xfId="0" applyNumberFormat="1" applyFont="1" applyFill="1" applyBorder="1" applyAlignment="1" applyProtection="1">
      <alignment horizontal="center" vertical="center"/>
    </xf>
    <xf numFmtId="0" fontId="99" fillId="0" borderId="12" xfId="0" applyNumberFormat="1" applyFont="1" applyFill="1" applyBorder="1" applyAlignment="1" applyProtection="1">
      <alignment horizontal="center" vertical="center"/>
    </xf>
    <xf numFmtId="0" fontId="99" fillId="0" borderId="13" xfId="0" applyNumberFormat="1" applyFont="1" applyFill="1" applyBorder="1" applyAlignment="1" applyProtection="1">
      <alignment horizontal="center" vertical="center"/>
    </xf>
    <xf numFmtId="0" fontId="99" fillId="0" borderId="14" xfId="0" applyNumberFormat="1" applyFont="1" applyFill="1" applyBorder="1" applyAlignment="1" applyProtection="1">
      <alignment horizontal="center" vertical="center"/>
    </xf>
    <xf numFmtId="0" fontId="99" fillId="0" borderId="5" xfId="0" applyNumberFormat="1" applyFont="1" applyFill="1" applyBorder="1" applyAlignment="1" applyProtection="1">
      <alignment horizontal="center" vertical="center" wrapText="1"/>
    </xf>
    <xf numFmtId="0" fontId="99" fillId="0" borderId="7" xfId="0" applyNumberFormat="1" applyFont="1" applyFill="1" applyBorder="1" applyAlignment="1" applyProtection="1">
      <alignment horizontal="center" vertical="center" wrapText="1"/>
    </xf>
    <xf numFmtId="0" fontId="99" fillId="0" borderId="6" xfId="0" applyNumberFormat="1" applyFont="1" applyFill="1" applyBorder="1" applyAlignment="1" applyProtection="1">
      <alignment horizontal="center" vertical="center"/>
    </xf>
    <xf numFmtId="0" fontId="99" fillId="0" borderId="6" xfId="0" applyNumberFormat="1" applyFont="1" applyFill="1" applyBorder="1" applyAlignment="1" applyProtection="1">
      <alignment horizontal="center" vertical="center" wrapText="1"/>
    </xf>
    <xf numFmtId="0" fontId="99" fillId="0" borderId="9" xfId="0" applyNumberFormat="1" applyFont="1" applyFill="1" applyBorder="1" applyAlignment="1" applyProtection="1">
      <alignment horizontal="center" vertical="center" wrapText="1"/>
    </xf>
    <xf numFmtId="0" fontId="99" fillId="0" borderId="10" xfId="0" applyNumberFormat="1" applyFont="1" applyFill="1" applyBorder="1" applyAlignment="1" applyProtection="1">
      <alignment horizontal="center" vertical="center" wrapText="1"/>
    </xf>
    <xf numFmtId="0" fontId="99" fillId="0" borderId="11" xfId="0" applyNumberFormat="1" applyFont="1" applyFill="1" applyBorder="1" applyAlignment="1" applyProtection="1">
      <alignment horizontal="center" vertical="center" wrapText="1"/>
    </xf>
    <xf numFmtId="0" fontId="99" fillId="0" borderId="12" xfId="0" applyNumberFormat="1" applyFont="1" applyFill="1" applyBorder="1" applyAlignment="1" applyProtection="1">
      <alignment horizontal="center" vertical="center" wrapText="1"/>
    </xf>
    <xf numFmtId="0" fontId="99" fillId="0" borderId="13" xfId="0" applyNumberFormat="1" applyFont="1" applyFill="1" applyBorder="1" applyAlignment="1" applyProtection="1">
      <alignment horizontal="center" vertical="center" wrapText="1"/>
    </xf>
    <xf numFmtId="0" fontId="99" fillId="0" borderId="14" xfId="0" applyNumberFormat="1" applyFont="1" applyFill="1" applyBorder="1" applyAlignment="1" applyProtection="1">
      <alignment horizontal="center" vertical="center" wrapText="1"/>
    </xf>
    <xf numFmtId="11" fontId="99" fillId="0" borderId="9" xfId="0" applyNumberFormat="1" applyFont="1" applyFill="1" applyBorder="1" applyAlignment="1" applyProtection="1">
      <alignment horizontal="center" vertical="center" wrapText="1" shrinkToFit="1"/>
    </xf>
    <xf numFmtId="11" fontId="99" fillId="0" borderId="10" xfId="0" applyNumberFormat="1" applyFont="1" applyFill="1" applyBorder="1" applyAlignment="1" applyProtection="1">
      <alignment horizontal="center" vertical="center" wrapText="1" shrinkToFit="1"/>
    </xf>
    <xf numFmtId="11" fontId="99" fillId="0" borderId="11" xfId="0" applyNumberFormat="1" applyFont="1" applyFill="1" applyBorder="1" applyAlignment="1" applyProtection="1">
      <alignment horizontal="center" vertical="center" wrapText="1" shrinkToFit="1"/>
    </xf>
    <xf numFmtId="11" fontId="99" fillId="0" borderId="12" xfId="0" applyNumberFormat="1" applyFont="1" applyFill="1" applyBorder="1" applyAlignment="1" applyProtection="1">
      <alignment horizontal="center" vertical="center" wrapText="1" shrinkToFit="1"/>
    </xf>
    <xf numFmtId="11" fontId="99" fillId="0" borderId="13" xfId="0" applyNumberFormat="1" applyFont="1" applyFill="1" applyBorder="1" applyAlignment="1" applyProtection="1">
      <alignment horizontal="center" vertical="center" wrapText="1" shrinkToFit="1"/>
    </xf>
    <xf numFmtId="11" fontId="99" fillId="0" borderId="14" xfId="0" applyNumberFormat="1" applyFont="1" applyFill="1" applyBorder="1" applyAlignment="1" applyProtection="1">
      <alignment horizontal="center" vertical="center" wrapText="1" shrinkToFit="1"/>
    </xf>
    <xf numFmtId="0" fontId="24" fillId="0" borderId="5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center" vertical="top" wrapText="1"/>
    </xf>
    <xf numFmtId="0" fontId="103" fillId="0" borderId="1" xfId="0" applyFont="1" applyBorder="1" applyAlignment="1">
      <alignment vertical="top" wrapText="1"/>
    </xf>
    <xf numFmtId="0" fontId="103" fillId="0" borderId="0" xfId="0" applyFont="1" applyAlignment="1">
      <alignment horizontal="center"/>
    </xf>
    <xf numFmtId="0" fontId="24" fillId="0" borderId="9" xfId="0" applyFont="1" applyBorder="1" applyAlignment="1">
      <alignment horizontal="center" wrapText="1"/>
    </xf>
    <xf numFmtId="0" fontId="24" fillId="0" borderId="10" xfId="0" applyFont="1" applyBorder="1" applyAlignment="1">
      <alignment horizontal="center" wrapText="1"/>
    </xf>
    <xf numFmtId="0" fontId="24" fillId="0" borderId="11" xfId="0" applyFont="1" applyBorder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0" fontId="24" fillId="0" borderId="13" xfId="0" applyFont="1" applyBorder="1" applyAlignment="1">
      <alignment horizontal="center" wrapText="1"/>
    </xf>
    <xf numFmtId="0" fontId="24" fillId="0" borderId="14" xfId="0" applyFont="1" applyBorder="1" applyAlignment="1">
      <alignment horizontal="center" wrapText="1"/>
    </xf>
    <xf numFmtId="0" fontId="24" fillId="0" borderId="1" xfId="0" applyFont="1" applyBorder="1" applyAlignment="1"/>
    <xf numFmtId="0" fontId="24" fillId="0" borderId="5" xfId="0" quotePrefix="1" applyFont="1" applyBorder="1" applyAlignment="1">
      <alignment horizontal="center"/>
    </xf>
    <xf numFmtId="0" fontId="24" fillId="0" borderId="5" xfId="0" applyFont="1" applyBorder="1" applyAlignment="1">
      <alignment horizontal="center" vertical="top" wrapText="1"/>
    </xf>
    <xf numFmtId="0" fontId="24" fillId="0" borderId="7" xfId="0" applyFont="1" applyBorder="1" applyAlignment="1">
      <alignment horizontal="center" vertical="top" wrapText="1"/>
    </xf>
    <xf numFmtId="0" fontId="24" fillId="0" borderId="6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wrapText="1"/>
    </xf>
    <xf numFmtId="0" fontId="24" fillId="0" borderId="6" xfId="0" applyFont="1" applyBorder="1" applyAlignment="1">
      <alignment horizontal="center"/>
    </xf>
    <xf numFmtId="0" fontId="103" fillId="0" borderId="4" xfId="0" applyFont="1" applyBorder="1" applyAlignment="1">
      <alignment vertical="top" wrapText="1"/>
    </xf>
    <xf numFmtId="0" fontId="103" fillId="0" borderId="8" xfId="0" applyFont="1" applyBorder="1" applyAlignment="1">
      <alignment vertical="top" wrapText="1"/>
    </xf>
    <xf numFmtId="0" fontId="103" fillId="0" borderId="5" xfId="0" applyFont="1" applyBorder="1" applyAlignment="1">
      <alignment horizontal="center" vertical="top" wrapText="1"/>
    </xf>
    <xf numFmtId="0" fontId="103" fillId="0" borderId="6" xfId="0" applyFont="1" applyBorder="1" applyAlignment="1">
      <alignment horizontal="center" vertical="top" wrapText="1"/>
    </xf>
    <xf numFmtId="0" fontId="103" fillId="0" borderId="7" xfId="0" applyFont="1" applyBorder="1" applyAlignment="1">
      <alignment horizontal="center" vertical="top" wrapText="1"/>
    </xf>
    <xf numFmtId="0" fontId="24" fillId="0" borderId="9" xfId="0" applyFont="1" applyBorder="1" applyAlignment="1"/>
    <xf numFmtId="0" fontId="24" fillId="0" borderId="11" xfId="0" applyFont="1" applyBorder="1" applyAlignment="1"/>
    <xf numFmtId="0" fontId="24" fillId="0" borderId="12" xfId="0" applyFont="1" applyBorder="1" applyAlignment="1"/>
    <xf numFmtId="0" fontId="24" fillId="0" borderId="14" xfId="0" applyFont="1" applyBorder="1" applyAlignment="1"/>
    <xf numFmtId="0" fontId="103" fillId="0" borderId="10" xfId="0" applyFont="1" applyBorder="1" applyAlignment="1">
      <alignment horizontal="center"/>
    </xf>
    <xf numFmtId="0" fontId="24" fillId="0" borderId="7" xfId="0" quotePrefix="1" applyFont="1" applyBorder="1" applyAlignment="1">
      <alignment horizontal="center"/>
    </xf>
    <xf numFmtId="0" fontId="24" fillId="0" borderId="9" xfId="0" applyFont="1" applyBorder="1" applyAlignment="1">
      <alignment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9" xfId="0" applyFont="1" applyBorder="1" applyAlignment="1">
      <alignment horizontal="left" wrapText="1"/>
    </xf>
    <xf numFmtId="0" fontId="24" fillId="0" borderId="10" xfId="0" applyFont="1" applyBorder="1" applyAlignment="1">
      <alignment horizontal="left" wrapText="1"/>
    </xf>
    <xf numFmtId="0" fontId="24" fillId="0" borderId="11" xfId="0" applyFont="1" applyBorder="1" applyAlignment="1">
      <alignment horizontal="left" wrapText="1"/>
    </xf>
    <xf numFmtId="0" fontId="24" fillId="0" borderId="12" xfId="0" applyFont="1" applyBorder="1" applyAlignment="1">
      <alignment horizontal="left" wrapText="1"/>
    </xf>
    <xf numFmtId="0" fontId="24" fillId="0" borderId="13" xfId="0" applyFont="1" applyBorder="1" applyAlignment="1">
      <alignment horizontal="left" wrapText="1"/>
    </xf>
    <xf numFmtId="0" fontId="24" fillId="0" borderId="14" xfId="0" applyFont="1" applyBorder="1" applyAlignment="1">
      <alignment horizontal="left" wrapText="1"/>
    </xf>
    <xf numFmtId="0" fontId="105" fillId="0" borderId="1" xfId="0" applyFont="1" applyBorder="1" applyAlignment="1">
      <alignment vertical="top" wrapText="1"/>
    </xf>
    <xf numFmtId="0" fontId="105" fillId="0" borderId="1" xfId="0" applyFont="1" applyBorder="1" applyAlignment="1">
      <alignment horizontal="center" vertical="top" wrapText="1"/>
    </xf>
    <xf numFmtId="0" fontId="52" fillId="0" borderId="1" xfId="0" applyFont="1" applyBorder="1" applyAlignment="1">
      <alignment horizontal="center" vertical="top" wrapText="1"/>
    </xf>
    <xf numFmtId="0" fontId="52" fillId="0" borderId="1" xfId="0" applyFont="1" applyBorder="1" applyAlignment="1">
      <alignment horizontal="center"/>
    </xf>
    <xf numFmtId="0" fontId="52" fillId="0" borderId="5" xfId="0" applyFont="1" applyBorder="1" applyAlignment="1">
      <alignment horizontal="center"/>
    </xf>
    <xf numFmtId="0" fontId="52" fillId="0" borderId="7" xfId="0" applyFont="1" applyBorder="1" applyAlignment="1">
      <alignment horizontal="center"/>
    </xf>
    <xf numFmtId="0" fontId="52" fillId="0" borderId="9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11" xfId="0" applyFont="1" applyBorder="1" applyAlignment="1">
      <alignment horizontal="center"/>
    </xf>
    <xf numFmtId="0" fontId="52" fillId="0" borderId="12" xfId="0" applyFont="1" applyBorder="1" applyAlignment="1">
      <alignment horizontal="center"/>
    </xf>
    <xf numFmtId="0" fontId="52" fillId="0" borderId="13" xfId="0" applyFont="1" applyBorder="1" applyAlignment="1">
      <alignment horizontal="center"/>
    </xf>
    <xf numFmtId="0" fontId="52" fillId="0" borderId="14" xfId="0" applyFont="1" applyBorder="1" applyAlignment="1">
      <alignment horizontal="center"/>
    </xf>
    <xf numFmtId="0" fontId="52" fillId="0" borderId="2" xfId="0" applyFont="1" applyBorder="1" applyAlignment="1">
      <alignment horizontal="right"/>
    </xf>
    <xf numFmtId="0" fontId="52" fillId="0" borderId="3" xfId="0" applyFont="1" applyBorder="1" applyAlignment="1">
      <alignment horizontal="right"/>
    </xf>
    <xf numFmtId="0" fontId="106" fillId="0" borderId="1" xfId="0" applyFont="1" applyBorder="1" applyAlignment="1">
      <alignment horizontal="center" vertical="top" wrapText="1"/>
    </xf>
    <xf numFmtId="0" fontId="52" fillId="0" borderId="2" xfId="0" applyFont="1" applyBorder="1" applyAlignment="1">
      <alignment horizontal="center"/>
    </xf>
    <xf numFmtId="0" fontId="52" fillId="0" borderId="3" xfId="0" applyFont="1" applyBorder="1" applyAlignment="1">
      <alignment horizontal="center"/>
    </xf>
    <xf numFmtId="0" fontId="107" fillId="0" borderId="0" xfId="0" applyFont="1" applyFill="1" applyAlignment="1">
      <alignment horizontal="center"/>
    </xf>
    <xf numFmtId="0" fontId="52" fillId="0" borderId="5" xfId="0" quotePrefix="1" applyFont="1" applyBorder="1" applyAlignment="1">
      <alignment horizontal="center"/>
    </xf>
    <xf numFmtId="0" fontId="52" fillId="0" borderId="5" xfId="0" applyFont="1" applyBorder="1" applyAlignment="1">
      <alignment horizontal="center" vertical="top" wrapText="1"/>
    </xf>
    <xf numFmtId="0" fontId="52" fillId="0" borderId="7" xfId="0" applyFont="1" applyBorder="1" applyAlignment="1">
      <alignment horizontal="center" vertical="top" wrapText="1"/>
    </xf>
    <xf numFmtId="0" fontId="106" fillId="0" borderId="1" xfId="0" applyFont="1" applyBorder="1" applyAlignment="1">
      <alignment horizontal="center"/>
    </xf>
    <xf numFmtId="0" fontId="24" fillId="0" borderId="5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center"/>
    </xf>
    <xf numFmtId="0" fontId="24" fillId="0" borderId="5" xfId="0" quotePrefix="1" applyFont="1" applyBorder="1" applyAlignment="1">
      <alignment horizontal="center" wrapText="1"/>
    </xf>
    <xf numFmtId="0" fontId="24" fillId="0" borderId="7" xfId="0" applyFont="1" applyBorder="1" applyAlignment="1">
      <alignment horizontal="center" wrapText="1"/>
    </xf>
    <xf numFmtId="0" fontId="24" fillId="0" borderId="5" xfId="0" quotePrefix="1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24" fillId="0" borderId="5" xfId="0" quotePrefix="1" applyFont="1" applyFill="1" applyBorder="1" applyAlignment="1">
      <alignment horizontal="center" wrapText="1"/>
    </xf>
    <xf numFmtId="0" fontId="24" fillId="0" borderId="7" xfId="0" applyFont="1" applyFill="1" applyBorder="1" applyAlignment="1">
      <alignment horizont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5" xfId="0" quotePrefix="1" applyFont="1" applyBorder="1" applyAlignment="1">
      <alignment horizontal="center" vertical="center"/>
    </xf>
    <xf numFmtId="0" fontId="0" fillId="0" borderId="7" xfId="0" applyBorder="1"/>
    <xf numFmtId="0" fontId="99" fillId="0" borderId="1" xfId="53" applyFont="1" applyBorder="1" applyAlignment="1">
      <alignment horizontal="center" vertical="top" wrapText="1"/>
    </xf>
    <xf numFmtId="0" fontId="99" fillId="0" borderId="1" xfId="53" applyFont="1" applyBorder="1" applyAlignment="1">
      <alignment horizontal="center"/>
    </xf>
    <xf numFmtId="0" fontId="99" fillId="0" borderId="5" xfId="53" applyFont="1" applyBorder="1" applyAlignment="1">
      <alignment horizontal="center"/>
    </xf>
    <xf numFmtId="0" fontId="99" fillId="0" borderId="7" xfId="53" applyFont="1" applyBorder="1" applyAlignment="1">
      <alignment horizontal="center"/>
    </xf>
    <xf numFmtId="0" fontId="99" fillId="0" borderId="9" xfId="53" applyFont="1" applyBorder="1" applyAlignment="1">
      <alignment horizontal="center" vertical="center" wrapText="1"/>
    </xf>
    <xf numFmtId="0" fontId="99" fillId="0" borderId="10" xfId="53" applyFont="1" applyBorder="1" applyAlignment="1">
      <alignment horizontal="center" vertical="center" wrapText="1"/>
    </xf>
    <xf numFmtId="0" fontId="99" fillId="0" borderId="11" xfId="53" applyFont="1" applyBorder="1" applyAlignment="1">
      <alignment horizontal="center" vertical="center" wrapText="1"/>
    </xf>
    <xf numFmtId="0" fontId="99" fillId="0" borderId="12" xfId="53" applyFont="1" applyBorder="1" applyAlignment="1">
      <alignment horizontal="center" vertical="center" wrapText="1"/>
    </xf>
    <xf numFmtId="0" fontId="99" fillId="0" borderId="13" xfId="53" applyFont="1" applyBorder="1" applyAlignment="1">
      <alignment horizontal="center" vertical="center" wrapText="1"/>
    </xf>
    <xf numFmtId="0" fontId="99" fillId="0" borderId="14" xfId="53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top" wrapText="1"/>
    </xf>
    <xf numFmtId="0" fontId="108" fillId="0" borderId="1" xfId="0" applyFont="1" applyBorder="1" applyAlignment="1">
      <alignment horizontal="center"/>
    </xf>
    <xf numFmtId="0" fontId="24" fillId="0" borderId="5" xfId="0" quotePrefix="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99" fillId="0" borderId="1" xfId="53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4" fillId="0" borderId="5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6" fillId="0" borderId="4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4" fillId="0" borderId="4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8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7" xfId="0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vertical="center" wrapText="1"/>
    </xf>
    <xf numFmtId="0" fontId="24" fillId="0" borderId="8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4" fillId="0" borderId="1" xfId="0" applyFont="1" applyBorder="1" applyAlignment="1">
      <alignment horizontal="left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" xfId="0" applyFont="1" applyBorder="1" applyAlignment="1">
      <alignment horizontal="center"/>
    </xf>
    <xf numFmtId="0" fontId="24" fillId="0" borderId="3" xfId="0" applyFont="1" applyBorder="1" applyAlignment="1">
      <alignment horizontal="left"/>
    </xf>
    <xf numFmtId="0" fontId="24" fillId="0" borderId="2" xfId="0" applyFont="1" applyBorder="1" applyAlignment="1">
      <alignment horizontal="left"/>
    </xf>
    <xf numFmtId="0" fontId="0" fillId="0" borderId="0" xfId="0" applyAlignment="1">
      <alignment horizontal="center"/>
    </xf>
    <xf numFmtId="0" fontId="24" fillId="5" borderId="2" xfId="0" applyFont="1" applyFill="1" applyBorder="1" applyAlignment="1">
      <alignment horizontal="center"/>
    </xf>
    <xf numFmtId="0" fontId="24" fillId="5" borderId="3" xfId="0" applyFont="1" applyFill="1" applyBorder="1" applyAlignment="1">
      <alignment horizontal="center"/>
    </xf>
    <xf numFmtId="0" fontId="11" fillId="0" borderId="5" xfId="0" applyFont="1" applyBorder="1" applyAlignment="1">
      <alignment horizontal="right"/>
    </xf>
    <xf numFmtId="0" fontId="11" fillId="0" borderId="6" xfId="0" applyFont="1" applyBorder="1" applyAlignment="1">
      <alignment horizontal="right"/>
    </xf>
    <xf numFmtId="0" fontId="11" fillId="0" borderId="7" xfId="0" applyFont="1" applyBorder="1" applyAlignment="1">
      <alignment horizontal="right"/>
    </xf>
    <xf numFmtId="0" fontId="24" fillId="0" borderId="0" xfId="0" applyFont="1" applyBorder="1" applyAlignment="1">
      <alignment horizontal="left"/>
    </xf>
    <xf numFmtId="0" fontId="24" fillId="0" borderId="16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0" fontId="24" fillId="0" borderId="19" xfId="0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4" xfId="0" applyFont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0" fontId="30" fillId="0" borderId="0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30" fillId="0" borderId="1" xfId="0" applyFont="1" applyBorder="1" applyAlignment="1">
      <alignment horizontal="center" wrapText="1"/>
    </xf>
    <xf numFmtId="0" fontId="30" fillId="0" borderId="1" xfId="0" applyFont="1" applyBorder="1" applyAlignment="1">
      <alignment horizontal="center"/>
    </xf>
    <xf numFmtId="0" fontId="33" fillId="0" borderId="5" xfId="0" applyFont="1" applyBorder="1" applyAlignment="1">
      <alignment horizontal="center" wrapText="1"/>
    </xf>
    <xf numFmtId="0" fontId="33" fillId="0" borderId="6" xfId="0" applyFont="1" applyBorder="1" applyAlignment="1">
      <alignment horizontal="center" wrapText="1"/>
    </xf>
    <xf numFmtId="0" fontId="33" fillId="0" borderId="7" xfId="0" applyFont="1" applyBorder="1" applyAlignment="1">
      <alignment horizontal="center" wrapText="1"/>
    </xf>
    <xf numFmtId="0" fontId="30" fillId="0" borderId="0" xfId="0" applyFont="1" applyFill="1" applyBorder="1" applyAlignment="1">
      <alignment horizontal="left" wrapText="1"/>
    </xf>
    <xf numFmtId="0" fontId="30" fillId="0" borderId="4" xfId="0" applyFont="1" applyBorder="1" applyAlignment="1">
      <alignment horizontal="center" wrapText="1"/>
    </xf>
    <xf numFmtId="0" fontId="30" fillId="0" borderId="8" xfId="0" applyFont="1" applyBorder="1" applyAlignment="1">
      <alignment horizontal="center" wrapText="1"/>
    </xf>
    <xf numFmtId="0" fontId="30" fillId="0" borderId="4" xfId="0" applyFont="1" applyBorder="1" applyAlignment="1">
      <alignment horizontal="left" wrapText="1"/>
    </xf>
    <xf numFmtId="0" fontId="30" fillId="0" borderId="8" xfId="0" applyFont="1" applyBorder="1" applyAlignment="1">
      <alignment horizontal="left" wrapText="1"/>
    </xf>
    <xf numFmtId="0" fontId="37" fillId="0" borderId="1" xfId="0" applyFont="1" applyBorder="1" applyAlignment="1">
      <alignment horizontal="center" wrapText="1"/>
    </xf>
    <xf numFmtId="0" fontId="26" fillId="0" borderId="1" xfId="0" applyFont="1" applyBorder="1" applyAlignment="1">
      <alignment horizontal="left"/>
    </xf>
    <xf numFmtId="0" fontId="51" fillId="0" borderId="5" xfId="0" applyFont="1" applyBorder="1" applyAlignment="1">
      <alignment horizontal="right"/>
    </xf>
    <xf numFmtId="0" fontId="51" fillId="0" borderId="6" xfId="0" applyFont="1" applyBorder="1" applyAlignment="1">
      <alignment horizontal="right"/>
    </xf>
    <xf numFmtId="0" fontId="51" fillId="0" borderId="7" xfId="0" applyFont="1" applyBorder="1" applyAlignment="1">
      <alignment horizontal="right"/>
    </xf>
    <xf numFmtId="0" fontId="37" fillId="0" borderId="1" xfId="0" applyFont="1" applyBorder="1" applyAlignment="1">
      <alignment horizontal="center"/>
    </xf>
    <xf numFmtId="0" fontId="26" fillId="0" borderId="5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5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0" fontId="50" fillId="0" borderId="6" xfId="0" applyFont="1" applyBorder="1" applyAlignment="1">
      <alignment horizontal="center"/>
    </xf>
    <xf numFmtId="0" fontId="50" fillId="0" borderId="7" xfId="0" applyFont="1" applyBorder="1" applyAlignment="1">
      <alignment horizontal="center"/>
    </xf>
    <xf numFmtId="0" fontId="49" fillId="0" borderId="0" xfId="0" applyFont="1" applyAlignment="1">
      <alignment horizontal="center" wrapText="1"/>
    </xf>
    <xf numFmtId="0" fontId="49" fillId="0" borderId="0" xfId="0" applyFont="1" applyBorder="1" applyAlignment="1">
      <alignment horizontal="center" wrapText="1"/>
    </xf>
    <xf numFmtId="0" fontId="50" fillId="0" borderId="0" xfId="0" applyFont="1" applyBorder="1" applyAlignment="1">
      <alignment horizontal="center" wrapText="1"/>
    </xf>
    <xf numFmtId="0" fontId="37" fillId="0" borderId="22" xfId="0" applyFont="1" applyBorder="1" applyAlignment="1">
      <alignment horizontal="center" wrapText="1"/>
    </xf>
    <xf numFmtId="0" fontId="37" fillId="0" borderId="23" xfId="0" applyFont="1" applyBorder="1" applyAlignment="1">
      <alignment horizontal="center" wrapText="1"/>
    </xf>
    <xf numFmtId="0" fontId="37" fillId="0" borderId="24" xfId="0" applyFont="1" applyBorder="1" applyAlignment="1">
      <alignment horizontal="center" wrapText="1"/>
    </xf>
    <xf numFmtId="0" fontId="55" fillId="0" borderId="5" xfId="0" applyFont="1" applyBorder="1" applyAlignment="1">
      <alignment horizontal="right"/>
    </xf>
    <xf numFmtId="0" fontId="55" fillId="0" borderId="6" xfId="0" applyFont="1" applyBorder="1" applyAlignment="1">
      <alignment horizontal="right"/>
    </xf>
    <xf numFmtId="0" fontId="55" fillId="0" borderId="7" xfId="0" applyFont="1" applyBorder="1" applyAlignment="1">
      <alignment horizontal="right"/>
    </xf>
    <xf numFmtId="0" fontId="24" fillId="0" borderId="5" xfId="0" applyFont="1" applyBorder="1" applyAlignment="1">
      <alignment horizontal="left"/>
    </xf>
    <xf numFmtId="0" fontId="24" fillId="0" borderId="1" xfId="0" applyFont="1" applyBorder="1" applyAlignment="1">
      <alignment horizontal="left" wrapText="1"/>
    </xf>
    <xf numFmtId="0" fontId="24" fillId="0" borderId="2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0" fontId="24" fillId="0" borderId="0" xfId="0" applyFont="1" applyBorder="1" applyAlignment="1">
      <alignment horizontal="center" wrapText="1"/>
    </xf>
    <xf numFmtId="0" fontId="37" fillId="0" borderId="5" xfId="0" applyFont="1" applyBorder="1" applyAlignment="1">
      <alignment horizontal="left"/>
    </xf>
    <xf numFmtId="0" fontId="37" fillId="0" borderId="5" xfId="0" applyFont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51" fillId="0" borderId="1" xfId="0" applyFont="1" applyBorder="1" applyAlignment="1">
      <alignment horizontal="left"/>
    </xf>
    <xf numFmtId="0" fontId="50" fillId="0" borderId="0" xfId="0" applyFont="1" applyAlignment="1">
      <alignment horizontal="center" wrapText="1"/>
    </xf>
    <xf numFmtId="0" fontId="24" fillId="0" borderId="6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24" fillId="0" borderId="4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50" fillId="0" borderId="1" xfId="0" applyFont="1" applyBorder="1" applyAlignment="1">
      <alignment horizontal="left"/>
    </xf>
    <xf numFmtId="0" fontId="58" fillId="0" borderId="5" xfId="0" applyFont="1" applyBorder="1" applyAlignment="1">
      <alignment horizontal="right"/>
    </xf>
    <xf numFmtId="0" fontId="58" fillId="0" borderId="6" xfId="0" applyFont="1" applyBorder="1" applyAlignment="1">
      <alignment horizontal="right"/>
    </xf>
    <xf numFmtId="0" fontId="58" fillId="0" borderId="7" xfId="0" applyFont="1" applyBorder="1" applyAlignment="1">
      <alignment horizontal="right"/>
    </xf>
    <xf numFmtId="0" fontId="50" fillId="0" borderId="5" xfId="0" applyFont="1" applyBorder="1" applyAlignment="1">
      <alignment horizontal="left"/>
    </xf>
    <xf numFmtId="0" fontId="50" fillId="0" borderId="1" xfId="0" applyFont="1" applyBorder="1" applyAlignment="1">
      <alignment horizontal="center" wrapText="1"/>
    </xf>
    <xf numFmtId="0" fontId="50" fillId="0" borderId="1" xfId="0" applyFont="1" applyBorder="1" applyAlignment="1">
      <alignment horizontal="center"/>
    </xf>
    <xf numFmtId="0" fontId="50" fillId="0" borderId="2" xfId="0" applyFont="1" applyBorder="1" applyAlignment="1">
      <alignment horizontal="center" wrapText="1"/>
    </xf>
    <xf numFmtId="0" fontId="50" fillId="0" borderId="3" xfId="0" applyFont="1" applyBorder="1" applyAlignment="1">
      <alignment horizontal="center" wrapText="1"/>
    </xf>
    <xf numFmtId="0" fontId="21" fillId="0" borderId="1" xfId="0" applyFont="1" applyBorder="1" applyAlignment="1">
      <alignment horizontal="left"/>
    </xf>
    <xf numFmtId="0" fontId="26" fillId="0" borderId="1" xfId="0" applyFont="1" applyBorder="1" applyAlignment="1">
      <alignment horizontal="center" wrapText="1"/>
    </xf>
    <xf numFmtId="0" fontId="26" fillId="0" borderId="1" xfId="0" applyFont="1" applyBorder="1" applyAlignment="1">
      <alignment horizontal="center"/>
    </xf>
    <xf numFmtId="0" fontId="61" fillId="0" borderId="1" xfId="0" applyFont="1" applyBorder="1" applyAlignment="1">
      <alignment horizontal="left"/>
    </xf>
    <xf numFmtId="0" fontId="68" fillId="0" borderId="5" xfId="0" applyFont="1" applyBorder="1" applyAlignment="1">
      <alignment horizontal="right"/>
    </xf>
    <xf numFmtId="0" fontId="68" fillId="0" borderId="6" xfId="0" applyFont="1" applyBorder="1" applyAlignment="1">
      <alignment horizontal="right"/>
    </xf>
    <xf numFmtId="0" fontId="68" fillId="0" borderId="7" xfId="0" applyFont="1" applyBorder="1" applyAlignment="1">
      <alignment horizontal="right"/>
    </xf>
    <xf numFmtId="0" fontId="61" fillId="0" borderId="5" xfId="0" applyFont="1" applyBorder="1" applyAlignment="1">
      <alignment horizontal="left"/>
    </xf>
    <xf numFmtId="0" fontId="61" fillId="0" borderId="1" xfId="0" applyFont="1" applyBorder="1" applyAlignment="1">
      <alignment horizontal="center" wrapText="1"/>
    </xf>
    <xf numFmtId="0" fontId="61" fillId="0" borderId="1" xfId="0" applyFont="1" applyBorder="1" applyAlignment="1">
      <alignment horizontal="center"/>
    </xf>
    <xf numFmtId="0" fontId="61" fillId="0" borderId="2" xfId="0" applyFont="1" applyBorder="1" applyAlignment="1">
      <alignment horizontal="center" wrapText="1"/>
    </xf>
    <xf numFmtId="0" fontId="61" fillId="0" borderId="0" xfId="0" applyFont="1" applyAlignment="1">
      <alignment horizontal="center" wrapText="1"/>
    </xf>
    <xf numFmtId="0" fontId="61" fillId="0" borderId="5" xfId="0" applyFont="1" applyBorder="1" applyAlignment="1">
      <alignment horizontal="center"/>
    </xf>
    <xf numFmtId="0" fontId="61" fillId="0" borderId="7" xfId="0" applyFont="1" applyBorder="1" applyAlignment="1">
      <alignment horizontal="center"/>
    </xf>
    <xf numFmtId="0" fontId="61" fillId="0" borderId="3" xfId="0" applyFont="1" applyBorder="1" applyAlignment="1">
      <alignment horizontal="center" wrapText="1"/>
    </xf>
    <xf numFmtId="0" fontId="61" fillId="0" borderId="6" xfId="0" applyFont="1" applyBorder="1" applyAlignment="1">
      <alignment horizontal="center"/>
    </xf>
    <xf numFmtId="0" fontId="61" fillId="0" borderId="0" xfId="0" applyFont="1" applyBorder="1" applyAlignment="1">
      <alignment horizontal="center" wrapText="1"/>
    </xf>
    <xf numFmtId="0" fontId="33" fillId="0" borderId="5" xfId="52" applyFont="1" applyBorder="1" applyAlignment="1">
      <alignment horizontal="right" wrapText="1"/>
    </xf>
    <xf numFmtId="0" fontId="33" fillId="0" borderId="7" xfId="52" applyFont="1" applyBorder="1" applyAlignment="1">
      <alignment horizontal="right" wrapText="1"/>
    </xf>
    <xf numFmtId="0" fontId="30" fillId="0" borderId="4" xfId="52" applyFont="1" applyBorder="1" applyAlignment="1">
      <alignment horizontal="center" wrapText="1"/>
    </xf>
    <xf numFmtId="0" fontId="30" fillId="0" borderId="8" xfId="52" applyFont="1" applyBorder="1" applyAlignment="1">
      <alignment horizontal="center" wrapText="1"/>
    </xf>
    <xf numFmtId="0" fontId="33" fillId="0" borderId="5" xfId="52" applyFont="1" applyBorder="1" applyAlignment="1">
      <alignment horizontal="center" wrapText="1"/>
    </xf>
    <xf numFmtId="0" fontId="33" fillId="0" borderId="6" xfId="52" applyFont="1" applyBorder="1" applyAlignment="1">
      <alignment horizontal="center" wrapText="1"/>
    </xf>
    <xf numFmtId="0" fontId="33" fillId="0" borderId="7" xfId="52" applyFont="1" applyBorder="1" applyAlignment="1">
      <alignment horizontal="center" wrapText="1"/>
    </xf>
    <xf numFmtId="0" fontId="30" fillId="0" borderId="1" xfId="52" applyFont="1" applyBorder="1" applyAlignment="1">
      <alignment horizontal="left" wrapText="1"/>
    </xf>
    <xf numFmtId="0" fontId="30" fillId="0" borderId="0" xfId="52" applyFont="1" applyAlignment="1">
      <alignment horizontal="center" wrapText="1"/>
    </xf>
    <xf numFmtId="0" fontId="30" fillId="0" borderId="3" xfId="52" applyFont="1" applyBorder="1" applyAlignment="1">
      <alignment horizontal="center" wrapText="1"/>
    </xf>
    <xf numFmtId="0" fontId="30" fillId="0" borderId="2" xfId="52" applyFont="1" applyBorder="1" applyAlignment="1">
      <alignment horizontal="center" wrapText="1"/>
    </xf>
    <xf numFmtId="0" fontId="99" fillId="0" borderId="0" xfId="52" applyFont="1" applyAlignment="1">
      <alignment horizontal="center" vertical="center" wrapText="1"/>
    </xf>
    <xf numFmtId="0" fontId="33" fillId="0" borderId="13" xfId="52" applyFont="1" applyBorder="1" applyAlignment="1">
      <alignment horizontal="center" wrapText="1"/>
    </xf>
    <xf numFmtId="0" fontId="30" fillId="0" borderId="4" xfId="52" applyFont="1" applyBorder="1" applyAlignment="1">
      <alignment horizontal="center" vertical="center" wrapText="1"/>
    </xf>
    <xf numFmtId="0" fontId="30" fillId="0" borderId="8" xfId="52" applyFont="1" applyBorder="1" applyAlignment="1">
      <alignment horizontal="center" vertical="center" wrapText="1"/>
    </xf>
    <xf numFmtId="0" fontId="30" fillId="0" borderId="1" xfId="52" applyFont="1" applyBorder="1" applyAlignment="1">
      <alignment horizontal="center" wrapText="1"/>
    </xf>
    <xf numFmtId="0" fontId="30" fillId="0" borderId="5" xfId="52" applyFont="1" applyBorder="1" applyAlignment="1">
      <alignment horizontal="center" wrapText="1"/>
    </xf>
    <xf numFmtId="0" fontId="30" fillId="0" borderId="7" xfId="52" applyFont="1" applyBorder="1" applyAlignment="1">
      <alignment horizontal="center" wrapText="1"/>
    </xf>
    <xf numFmtId="0" fontId="30" fillId="0" borderId="1" xfId="52" applyFont="1" applyFill="1" applyBorder="1" applyAlignment="1">
      <alignment horizontal="center" wrapText="1"/>
    </xf>
    <xf numFmtId="0" fontId="95" fillId="0" borderId="1" xfId="52" applyBorder="1" applyAlignment="1">
      <alignment horizontal="center"/>
    </xf>
    <xf numFmtId="0" fontId="30" fillId="0" borderId="1" xfId="52" applyFont="1" applyBorder="1" applyAlignment="1">
      <alignment horizontal="center"/>
    </xf>
    <xf numFmtId="0" fontId="30" fillId="0" borderId="0" xfId="52" applyFont="1" applyAlignment="1">
      <alignment horizontal="left" wrapText="1"/>
    </xf>
    <xf numFmtId="0" fontId="30" fillId="0" borderId="3" xfId="52" applyFont="1" applyBorder="1" applyAlignment="1">
      <alignment horizontal="left" wrapText="1"/>
    </xf>
    <xf numFmtId="0" fontId="30" fillId="0" borderId="2" xfId="52" applyFont="1" applyBorder="1" applyAlignment="1">
      <alignment horizontal="left" wrapText="1"/>
    </xf>
    <xf numFmtId="0" fontId="99" fillId="0" borderId="0" xfId="52" applyFont="1" applyBorder="1" applyAlignment="1">
      <alignment horizontal="center" wrapText="1"/>
    </xf>
    <xf numFmtId="0" fontId="99" fillId="0" borderId="3" xfId="52" applyFont="1" applyBorder="1" applyAlignment="1">
      <alignment horizontal="center" wrapText="1"/>
    </xf>
    <xf numFmtId="0" fontId="109" fillId="0" borderId="1" xfId="52" applyFont="1" applyBorder="1" applyAlignment="1">
      <alignment horizontal="center"/>
    </xf>
    <xf numFmtId="0" fontId="109" fillId="0" borderId="0" xfId="52" applyFont="1" applyAlignment="1">
      <alignment horizontal="center"/>
    </xf>
    <xf numFmtId="0" fontId="112" fillId="0" borderId="5" xfId="52" applyFont="1" applyBorder="1" applyAlignment="1">
      <alignment horizontal="right" wrapText="1"/>
    </xf>
    <xf numFmtId="0" fontId="112" fillId="0" borderId="7" xfId="52" applyFont="1" applyBorder="1" applyAlignment="1">
      <alignment horizontal="right" wrapText="1"/>
    </xf>
    <xf numFmtId="0" fontId="111" fillId="0" borderId="4" xfId="52" applyFont="1" applyBorder="1" applyAlignment="1">
      <alignment horizontal="center" wrapText="1"/>
    </xf>
    <xf numFmtId="0" fontId="111" fillId="0" borderId="8" xfId="52" applyFont="1" applyBorder="1" applyAlignment="1">
      <alignment horizontal="center" wrapText="1"/>
    </xf>
    <xf numFmtId="0" fontId="112" fillId="0" borderId="5" xfId="52" applyFont="1" applyBorder="1" applyAlignment="1">
      <alignment horizontal="center" wrapText="1"/>
    </xf>
    <xf numFmtId="0" fontId="112" fillId="0" borderId="6" xfId="52" applyFont="1" applyBorder="1" applyAlignment="1">
      <alignment horizontal="center" wrapText="1"/>
    </xf>
    <xf numFmtId="0" fontId="112" fillId="0" borderId="7" xfId="52" applyFont="1" applyBorder="1" applyAlignment="1">
      <alignment horizontal="center" wrapText="1"/>
    </xf>
    <xf numFmtId="0" fontId="111" fillId="0" borderId="1" xfId="52" applyFont="1" applyBorder="1" applyAlignment="1">
      <alignment horizontal="left" wrapText="1"/>
    </xf>
    <xf numFmtId="0" fontId="111" fillId="0" borderId="4" xfId="52" applyFont="1" applyBorder="1" applyAlignment="1">
      <alignment horizontal="center" vertical="center" wrapText="1"/>
    </xf>
    <xf numFmtId="0" fontId="111" fillId="0" borderId="8" xfId="52" applyFont="1" applyBorder="1" applyAlignment="1">
      <alignment horizontal="center" vertical="center" wrapText="1"/>
    </xf>
    <xf numFmtId="0" fontId="30" fillId="0" borderId="5" xfId="52" applyFont="1" applyBorder="1" applyAlignment="1">
      <alignment horizontal="left" wrapText="1"/>
    </xf>
    <xf numFmtId="0" fontId="30" fillId="0" borderId="6" xfId="52" applyFont="1" applyBorder="1" applyAlignment="1">
      <alignment horizontal="left" wrapText="1"/>
    </xf>
    <xf numFmtId="0" fontId="30" fillId="0" borderId="7" xfId="52" applyFont="1" applyBorder="1" applyAlignment="1">
      <alignment horizontal="left" wrapText="1"/>
    </xf>
    <xf numFmtId="0" fontId="30" fillId="0" borderId="6" xfId="52" applyFont="1" applyBorder="1" applyAlignment="1">
      <alignment horizontal="center" wrapText="1"/>
    </xf>
    <xf numFmtId="0" fontId="115" fillId="0" borderId="5" xfId="52" applyFont="1" applyBorder="1" applyAlignment="1">
      <alignment horizontal="right" wrapText="1"/>
    </xf>
    <xf numFmtId="0" fontId="115" fillId="0" borderId="7" xfId="52" applyFont="1" applyBorder="1" applyAlignment="1">
      <alignment horizontal="right" wrapText="1"/>
    </xf>
    <xf numFmtId="0" fontId="72" fillId="0" borderId="5" xfId="52" applyFont="1" applyBorder="1" applyAlignment="1">
      <alignment horizontal="right" wrapText="1"/>
    </xf>
    <xf numFmtId="0" fontId="72" fillId="0" borderId="7" xfId="52" applyFont="1" applyBorder="1" applyAlignment="1">
      <alignment horizontal="right" wrapText="1"/>
    </xf>
    <xf numFmtId="0" fontId="116" fillId="0" borderId="5" xfId="52" applyFont="1" applyBorder="1" applyAlignment="1">
      <alignment horizontal="right" wrapText="1"/>
    </xf>
    <xf numFmtId="0" fontId="116" fillId="0" borderId="7" xfId="52" applyFont="1" applyBorder="1" applyAlignment="1">
      <alignment horizontal="right" wrapText="1"/>
    </xf>
    <xf numFmtId="0" fontId="95" fillId="0" borderId="5" xfId="52" applyBorder="1" applyAlignment="1">
      <alignment horizontal="center" wrapText="1"/>
    </xf>
    <xf numFmtId="0" fontId="95" fillId="0" borderId="7" xfId="52" applyBorder="1" applyAlignment="1">
      <alignment horizontal="center" wrapText="1"/>
    </xf>
    <xf numFmtId="0" fontId="118" fillId="0" borderId="4" xfId="52" applyFont="1" applyBorder="1" applyAlignment="1">
      <alignment horizontal="center" wrapText="1"/>
    </xf>
    <xf numFmtId="0" fontId="118" fillId="0" borderId="8" xfId="52" applyFont="1" applyBorder="1" applyAlignment="1">
      <alignment horizontal="center" wrapText="1"/>
    </xf>
    <xf numFmtId="0" fontId="115" fillId="0" borderId="5" xfId="52" applyFont="1" applyBorder="1" applyAlignment="1">
      <alignment horizontal="center" wrapText="1"/>
    </xf>
    <xf numFmtId="0" fontId="115" fillId="0" borderId="6" xfId="52" applyFont="1" applyBorder="1" applyAlignment="1">
      <alignment horizontal="center" wrapText="1"/>
    </xf>
    <xf numFmtId="0" fontId="115" fillId="0" borderId="7" xfId="52" applyFont="1" applyBorder="1" applyAlignment="1">
      <alignment horizontal="center" wrapText="1"/>
    </xf>
    <xf numFmtId="0" fontId="118" fillId="0" borderId="1" xfId="52" applyFont="1" applyBorder="1" applyAlignment="1">
      <alignment horizontal="left" wrapText="1"/>
    </xf>
    <xf numFmtId="0" fontId="118" fillId="0" borderId="4" xfId="52" applyFont="1" applyBorder="1" applyAlignment="1">
      <alignment horizontal="center" vertical="center" wrapText="1"/>
    </xf>
    <xf numFmtId="0" fontId="118" fillId="0" borderId="8" xfId="52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/>
    </xf>
    <xf numFmtId="0" fontId="66" fillId="0" borderId="1" xfId="0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wrapText="1"/>
    </xf>
    <xf numFmtId="0" fontId="24" fillId="0" borderId="6" xfId="0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0" fontId="69" fillId="0" borderId="0" xfId="0" applyFont="1" applyAlignment="1">
      <alignment horizontal="center" vertical="center" wrapText="1"/>
    </xf>
    <xf numFmtId="0" fontId="70" fillId="0" borderId="1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49" fontId="70" fillId="0" borderId="1" xfId="0" applyNumberFormat="1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2" xfId="0" applyFont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70" fillId="0" borderId="0" xfId="0" applyFont="1" applyAlignment="1">
      <alignment horizontal="left" vertical="center" wrapText="1"/>
    </xf>
    <xf numFmtId="0" fontId="70" fillId="0" borderId="0" xfId="0" applyFont="1" applyAlignment="1">
      <alignment horizontal="left" vertical="center"/>
    </xf>
    <xf numFmtId="0" fontId="70" fillId="0" borderId="5" xfId="0" applyFont="1" applyBorder="1" applyAlignment="1">
      <alignment horizontal="center" vertical="center" wrapText="1"/>
    </xf>
    <xf numFmtId="0" fontId="70" fillId="0" borderId="6" xfId="0" applyFont="1" applyBorder="1" applyAlignment="1">
      <alignment horizontal="center" vertical="center" wrapText="1"/>
    </xf>
    <xf numFmtId="0" fontId="70" fillId="0" borderId="7" xfId="0" applyFont="1" applyBorder="1" applyAlignment="1">
      <alignment horizontal="center" vertical="center" wrapText="1"/>
    </xf>
    <xf numFmtId="0" fontId="70" fillId="0" borderId="2" xfId="0" applyFont="1" applyBorder="1" applyAlignment="1">
      <alignment horizontal="left" vertical="center"/>
    </xf>
    <xf numFmtId="0" fontId="70" fillId="0" borderId="3" xfId="0" applyFont="1" applyBorder="1" applyAlignment="1">
      <alignment horizontal="left" vertical="center"/>
    </xf>
    <xf numFmtId="0" fontId="72" fillId="0" borderId="4" xfId="0" applyFont="1" applyBorder="1" applyAlignment="1">
      <alignment vertical="center"/>
    </xf>
    <xf numFmtId="0" fontId="72" fillId="0" borderId="8" xfId="0" applyFont="1" applyBorder="1" applyAlignment="1">
      <alignment vertical="center"/>
    </xf>
    <xf numFmtId="0" fontId="72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/>
    </xf>
    <xf numFmtId="0" fontId="70" fillId="0" borderId="5" xfId="0" applyFont="1" applyBorder="1" applyAlignment="1">
      <alignment horizontal="center" vertical="center"/>
    </xf>
    <xf numFmtId="0" fontId="70" fillId="0" borderId="6" xfId="0" applyFont="1" applyBorder="1" applyAlignment="1">
      <alignment horizontal="center" vertical="center"/>
    </xf>
    <xf numFmtId="0" fontId="70" fillId="0" borderId="7" xfId="0" applyFont="1" applyBorder="1" applyAlignment="1">
      <alignment horizontal="center" vertical="center"/>
    </xf>
    <xf numFmtId="49" fontId="70" fillId="0" borderId="5" xfId="0" applyNumberFormat="1" applyFont="1" applyBorder="1" applyAlignment="1">
      <alignment horizontal="center" vertical="center" wrapText="1"/>
    </xf>
    <xf numFmtId="49" fontId="70" fillId="0" borderId="6" xfId="0" applyNumberFormat="1" applyFont="1" applyBorder="1" applyAlignment="1">
      <alignment horizontal="center" vertical="center" wrapText="1"/>
    </xf>
    <xf numFmtId="49" fontId="70" fillId="0" borderId="7" xfId="0" applyNumberFormat="1" applyFont="1" applyBorder="1" applyAlignment="1">
      <alignment horizontal="center" vertical="center" wrapText="1"/>
    </xf>
    <xf numFmtId="0" fontId="72" fillId="0" borderId="4" xfId="0" applyFont="1" applyBorder="1" applyAlignment="1">
      <alignment horizontal="left" vertical="center"/>
    </xf>
    <xf numFmtId="0" fontId="72" fillId="0" borderId="8" xfId="0" applyFont="1" applyBorder="1" applyAlignment="1">
      <alignment horizontal="left" vertical="center"/>
    </xf>
    <xf numFmtId="49" fontId="70" fillId="0" borderId="5" xfId="0" applyNumberFormat="1" applyFont="1" applyBorder="1" applyAlignment="1">
      <alignment horizontal="center" vertical="center"/>
    </xf>
    <xf numFmtId="49" fontId="70" fillId="0" borderId="7" xfId="0" applyNumberFormat="1" applyFont="1" applyBorder="1" applyAlignment="1">
      <alignment horizontal="center" vertical="center"/>
    </xf>
    <xf numFmtId="0" fontId="73" fillId="0" borderId="0" xfId="52" applyFont="1" applyAlignment="1">
      <alignment horizontal="center"/>
    </xf>
    <xf numFmtId="0" fontId="2" fillId="0" borderId="5" xfId="52" applyFont="1" applyBorder="1" applyAlignment="1">
      <alignment horizontal="left"/>
    </xf>
    <xf numFmtId="0" fontId="2" fillId="0" borderId="6" xfId="52" applyFont="1" applyBorder="1" applyAlignment="1">
      <alignment horizontal="left"/>
    </xf>
    <xf numFmtId="0" fontId="2" fillId="0" borderId="7" xfId="52" applyFont="1" applyBorder="1" applyAlignment="1">
      <alignment horizontal="left"/>
    </xf>
    <xf numFmtId="49" fontId="44" fillId="0" borderId="1" xfId="52" applyNumberFormat="1" applyFont="1" applyBorder="1" applyAlignment="1">
      <alignment horizontal="center"/>
    </xf>
    <xf numFmtId="0" fontId="44" fillId="0" borderId="5" xfId="52" applyFont="1" applyBorder="1" applyAlignment="1">
      <alignment horizontal="left"/>
    </xf>
    <xf numFmtId="0" fontId="44" fillId="0" borderId="6" xfId="52" applyFont="1" applyBorder="1" applyAlignment="1">
      <alignment horizontal="left"/>
    </xf>
    <xf numFmtId="0" fontId="44" fillId="0" borderId="7" xfId="52" applyFont="1" applyBorder="1" applyAlignment="1">
      <alignment horizontal="left"/>
    </xf>
    <xf numFmtId="0" fontId="3" fillId="0" borderId="5" xfId="52" applyFont="1" applyBorder="1" applyAlignment="1">
      <alignment horizontal="center"/>
    </xf>
    <xf numFmtId="0" fontId="3" fillId="0" borderId="6" xfId="52" applyFont="1" applyBorder="1" applyAlignment="1">
      <alignment horizontal="center"/>
    </xf>
    <xf numFmtId="0" fontId="3" fillId="0" borderId="7" xfId="52" applyFont="1" applyBorder="1" applyAlignment="1">
      <alignment horizontal="center"/>
    </xf>
    <xf numFmtId="0" fontId="75" fillId="0" borderId="0" xfId="52" applyFont="1" applyAlignment="1">
      <alignment horizontal="left" vertical="center" wrapText="1"/>
    </xf>
    <xf numFmtId="0" fontId="3" fillId="0" borderId="1" xfId="52" applyFont="1" applyBorder="1" applyAlignment="1">
      <alignment horizontal="center"/>
    </xf>
    <xf numFmtId="0" fontId="3" fillId="0" borderId="1" xfId="52" applyFont="1" applyBorder="1" applyAlignment="1">
      <alignment horizontal="left" vertical="center" wrapText="1"/>
    </xf>
    <xf numFmtId="0" fontId="77" fillId="0" borderId="5" xfId="52" applyFont="1" applyBorder="1" applyAlignment="1">
      <alignment horizontal="center" vertical="center" wrapText="1"/>
    </xf>
    <xf numFmtId="0" fontId="77" fillId="0" borderId="6" xfId="52" applyFont="1" applyBorder="1" applyAlignment="1">
      <alignment horizontal="center" vertical="center" wrapText="1"/>
    </xf>
    <xf numFmtId="0" fontId="77" fillId="0" borderId="7" xfId="52" applyFont="1" applyBorder="1" applyAlignment="1">
      <alignment horizontal="center" vertical="center" wrapText="1"/>
    </xf>
    <xf numFmtId="0" fontId="75" fillId="0" borderId="2" xfId="52" applyFont="1" applyBorder="1" applyAlignment="1">
      <alignment horizontal="left" vertical="center" wrapText="1"/>
    </xf>
    <xf numFmtId="0" fontId="75" fillId="0" borderId="3" xfId="52" applyFont="1" applyBorder="1" applyAlignment="1">
      <alignment horizontal="left" vertical="center" wrapText="1"/>
    </xf>
    <xf numFmtId="0" fontId="77" fillId="0" borderId="4" xfId="52" applyFont="1" applyBorder="1" applyAlignment="1">
      <alignment horizontal="left" vertical="center" wrapText="1"/>
    </xf>
    <xf numFmtId="0" fontId="77" fillId="0" borderId="8" xfId="52" applyFont="1" applyBorder="1" applyAlignment="1">
      <alignment horizontal="left" vertical="center" wrapText="1"/>
    </xf>
    <xf numFmtId="0" fontId="2" fillId="0" borderId="1" xfId="52" applyFont="1" applyBorder="1" applyAlignment="1">
      <alignment horizontal="center"/>
    </xf>
    <xf numFmtId="0" fontId="44" fillId="0" borderId="1" xfId="52" applyFont="1" applyBorder="1" applyAlignment="1">
      <alignment horizontal="left" vertical="center" wrapText="1"/>
    </xf>
    <xf numFmtId="0" fontId="3" fillId="0" borderId="1" xfId="52" applyFont="1" applyBorder="1" applyAlignment="1">
      <alignment horizontal="center" vertical="center" wrapText="1"/>
    </xf>
    <xf numFmtId="0" fontId="44" fillId="0" borderId="9" xfId="52" applyFont="1" applyBorder="1" applyAlignment="1">
      <alignment horizontal="left" vertical="center" wrapText="1"/>
    </xf>
    <xf numFmtId="0" fontId="44" fillId="0" borderId="10" xfId="52" applyFont="1" applyBorder="1" applyAlignment="1">
      <alignment horizontal="left" vertical="center" wrapText="1"/>
    </xf>
    <xf numFmtId="0" fontId="44" fillId="0" borderId="11" xfId="52" applyFont="1" applyBorder="1" applyAlignment="1">
      <alignment horizontal="left" vertical="center" wrapText="1"/>
    </xf>
    <xf numFmtId="0" fontId="44" fillId="0" borderId="12" xfId="52" applyFont="1" applyBorder="1" applyAlignment="1">
      <alignment horizontal="left" vertical="center" wrapText="1"/>
    </xf>
    <xf numFmtId="0" fontId="44" fillId="0" borderId="13" xfId="52" applyFont="1" applyBorder="1" applyAlignment="1">
      <alignment horizontal="left" vertical="center" wrapText="1"/>
    </xf>
    <xf numFmtId="0" fontId="44" fillId="0" borderId="14" xfId="52" applyFont="1" applyBorder="1" applyAlignment="1">
      <alignment horizontal="left" vertical="center" wrapText="1"/>
    </xf>
    <xf numFmtId="0" fontId="73" fillId="0" borderId="0" xfId="52" applyFont="1" applyAlignment="1" applyProtection="1">
      <alignment horizontal="center"/>
      <protection locked="0"/>
    </xf>
    <xf numFmtId="0" fontId="2" fillId="0" borderId="1" xfId="52" applyFont="1" applyBorder="1" applyAlignment="1" applyProtection="1">
      <alignment horizontal="center"/>
      <protection locked="0"/>
    </xf>
    <xf numFmtId="49" fontId="44" fillId="0" borderId="1" xfId="52" applyNumberFormat="1" applyFont="1" applyBorder="1" applyAlignment="1" applyProtection="1">
      <alignment horizontal="center"/>
      <protection locked="0"/>
    </xf>
    <xf numFmtId="0" fontId="44" fillId="0" borderId="5" xfId="52" applyFont="1" applyBorder="1" applyAlignment="1" applyProtection="1">
      <alignment horizontal="left"/>
      <protection locked="0"/>
    </xf>
    <xf numFmtId="0" fontId="44" fillId="0" borderId="6" xfId="52" applyFont="1" applyBorder="1" applyAlignment="1" applyProtection="1">
      <alignment horizontal="left"/>
      <protection locked="0"/>
    </xf>
    <xf numFmtId="0" fontId="44" fillId="0" borderId="7" xfId="52" applyFont="1" applyBorder="1" applyAlignment="1" applyProtection="1">
      <alignment horizontal="left"/>
      <protection locked="0"/>
    </xf>
    <xf numFmtId="0" fontId="3" fillId="0" borderId="5" xfId="52" applyFont="1" applyBorder="1" applyAlignment="1" applyProtection="1">
      <alignment horizontal="left"/>
      <protection locked="0"/>
    </xf>
    <xf numFmtId="0" fontId="3" fillId="0" borderId="6" xfId="52" applyFont="1" applyBorder="1" applyAlignment="1" applyProtection="1">
      <alignment horizontal="left"/>
      <protection locked="0"/>
    </xf>
    <xf numFmtId="0" fontId="3" fillId="0" borderId="7" xfId="52" applyFont="1" applyBorder="1" applyAlignment="1" applyProtection="1">
      <alignment horizontal="left"/>
      <protection locked="0"/>
    </xf>
    <xf numFmtId="0" fontId="75" fillId="0" borderId="0" xfId="52" applyFont="1" applyAlignment="1" applyProtection="1">
      <alignment horizontal="left" vertical="center" wrapText="1"/>
      <protection locked="0"/>
    </xf>
    <xf numFmtId="0" fontId="3" fillId="0" borderId="9" xfId="52" applyFont="1" applyBorder="1" applyAlignment="1" applyProtection="1">
      <alignment horizontal="left"/>
      <protection locked="0"/>
    </xf>
    <xf numFmtId="0" fontId="3" fillId="0" borderId="10" xfId="52" applyFont="1" applyBorder="1" applyAlignment="1" applyProtection="1">
      <alignment horizontal="left"/>
      <protection locked="0"/>
    </xf>
    <xf numFmtId="0" fontId="3" fillId="0" borderId="11" xfId="52" applyFont="1" applyBorder="1" applyAlignment="1" applyProtection="1">
      <alignment horizontal="left"/>
      <protection locked="0"/>
    </xf>
    <xf numFmtId="0" fontId="3" fillId="0" borderId="12" xfId="52" applyFont="1" applyBorder="1" applyAlignment="1" applyProtection="1">
      <alignment horizontal="left"/>
      <protection locked="0"/>
    </xf>
    <xf numFmtId="0" fontId="3" fillId="0" borderId="13" xfId="52" applyFont="1" applyBorder="1" applyAlignment="1" applyProtection="1">
      <alignment horizontal="left"/>
      <protection locked="0"/>
    </xf>
    <xf numFmtId="0" fontId="3" fillId="0" borderId="14" xfId="52" applyFont="1" applyBorder="1" applyAlignment="1" applyProtection="1">
      <alignment horizontal="left"/>
      <protection locked="0"/>
    </xf>
    <xf numFmtId="0" fontId="44" fillId="0" borderId="1" xfId="52" applyFont="1" applyBorder="1" applyAlignment="1" applyProtection="1">
      <alignment horizontal="left" vertical="center" wrapText="1"/>
      <protection locked="0"/>
    </xf>
    <xf numFmtId="0" fontId="79" fillId="0" borderId="1" xfId="52" applyFont="1" applyBorder="1" applyAlignment="1" applyProtection="1">
      <alignment horizontal="center" vertical="center" wrapText="1"/>
      <protection locked="0"/>
    </xf>
    <xf numFmtId="0" fontId="74" fillId="0" borderId="1" xfId="52" applyFont="1" applyBorder="1" applyAlignment="1" applyProtection="1">
      <alignment horizontal="center" vertical="center" wrapText="1"/>
      <protection locked="0"/>
    </xf>
    <xf numFmtId="0" fontId="77" fillId="0" borderId="5" xfId="52" applyFont="1" applyBorder="1" applyAlignment="1" applyProtection="1">
      <alignment horizontal="center" vertical="center" wrapText="1"/>
      <protection locked="0"/>
    </xf>
    <xf numFmtId="0" fontId="77" fillId="0" borderId="6" xfId="52" applyFont="1" applyBorder="1" applyAlignment="1" applyProtection="1">
      <alignment horizontal="center" vertical="center" wrapText="1"/>
      <protection locked="0"/>
    </xf>
    <xf numFmtId="0" fontId="77" fillId="0" borderId="7" xfId="52" applyFont="1" applyBorder="1" applyAlignment="1" applyProtection="1">
      <alignment horizontal="center" vertical="center" wrapText="1"/>
      <protection locked="0"/>
    </xf>
    <xf numFmtId="0" fontId="75" fillId="0" borderId="2" xfId="52" applyFont="1" applyBorder="1" applyAlignment="1" applyProtection="1">
      <alignment horizontal="left" vertical="center" wrapText="1"/>
      <protection locked="0"/>
    </xf>
    <xf numFmtId="0" fontId="75" fillId="0" borderId="3" xfId="52" applyFont="1" applyBorder="1" applyAlignment="1" applyProtection="1">
      <alignment horizontal="left" vertical="center" wrapText="1"/>
      <protection locked="0"/>
    </xf>
    <xf numFmtId="0" fontId="77" fillId="0" borderId="4" xfId="52" applyFont="1" applyBorder="1" applyAlignment="1" applyProtection="1">
      <alignment horizontal="left" vertical="center" wrapText="1"/>
      <protection locked="0"/>
    </xf>
    <xf numFmtId="0" fontId="77" fillId="0" borderId="8" xfId="52" applyFont="1" applyBorder="1" applyAlignment="1" applyProtection="1">
      <alignment horizontal="left" vertical="center" wrapText="1"/>
      <protection locked="0"/>
    </xf>
    <xf numFmtId="0" fontId="3" fillId="0" borderId="9" xfId="52" applyFont="1" applyBorder="1" applyAlignment="1">
      <alignment horizontal="left"/>
    </xf>
    <xf numFmtId="0" fontId="3" fillId="0" borderId="10" xfId="52" applyFont="1" applyBorder="1" applyAlignment="1">
      <alignment horizontal="left"/>
    </xf>
    <xf numFmtId="0" fontId="3" fillId="0" borderId="11" xfId="52" applyFont="1" applyBorder="1" applyAlignment="1">
      <alignment horizontal="left"/>
    </xf>
    <xf numFmtId="0" fontId="3" fillId="0" borderId="12" xfId="52" applyFont="1" applyBorder="1" applyAlignment="1">
      <alignment horizontal="left"/>
    </xf>
    <xf numFmtId="0" fontId="3" fillId="0" borderId="13" xfId="52" applyFont="1" applyBorder="1" applyAlignment="1">
      <alignment horizontal="left"/>
    </xf>
    <xf numFmtId="0" fontId="3" fillId="0" borderId="14" xfId="52" applyFont="1" applyBorder="1" applyAlignment="1">
      <alignment horizontal="left"/>
    </xf>
    <xf numFmtId="0" fontId="3" fillId="0" borderId="5" xfId="52" applyFont="1" applyBorder="1" applyAlignment="1">
      <alignment horizontal="left"/>
    </xf>
    <xf numFmtId="0" fontId="3" fillId="0" borderId="6" xfId="52" applyFont="1" applyBorder="1" applyAlignment="1">
      <alignment horizontal="left"/>
    </xf>
    <xf numFmtId="0" fontId="3" fillId="0" borderId="7" xfId="52" applyFont="1" applyBorder="1" applyAlignment="1">
      <alignment horizontal="left"/>
    </xf>
    <xf numFmtId="0" fontId="83" fillId="0" borderId="5" xfId="0" applyFont="1" applyBorder="1" applyAlignment="1">
      <alignment horizontal="center"/>
    </xf>
    <xf numFmtId="0" fontId="83" fillId="0" borderId="6" xfId="0" applyFont="1" applyBorder="1" applyAlignment="1">
      <alignment horizontal="center"/>
    </xf>
    <xf numFmtId="0" fontId="83" fillId="0" borderId="7" xfId="0" applyFont="1" applyBorder="1" applyAlignment="1">
      <alignment horizontal="center"/>
    </xf>
    <xf numFmtId="0" fontId="8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83" fillId="0" borderId="0" xfId="0" applyFont="1" applyBorder="1" applyAlignment="1">
      <alignment horizontal="left"/>
    </xf>
    <xf numFmtId="0" fontId="83" fillId="0" borderId="3" xfId="0" applyFont="1" applyBorder="1" applyAlignment="1">
      <alignment horizontal="left"/>
    </xf>
    <xf numFmtId="0" fontId="84" fillId="0" borderId="5" xfId="0" applyFont="1" applyBorder="1" applyAlignment="1">
      <alignment horizontal="center"/>
    </xf>
    <xf numFmtId="0" fontId="84" fillId="0" borderId="6" xfId="0" applyFont="1" applyBorder="1" applyAlignment="1">
      <alignment horizontal="center"/>
    </xf>
    <xf numFmtId="0" fontId="84" fillId="0" borderId="7" xfId="0" applyFont="1" applyBorder="1" applyAlignment="1">
      <alignment horizontal="center"/>
    </xf>
    <xf numFmtId="49" fontId="83" fillId="0" borderId="5" xfId="0" applyNumberFormat="1" applyFont="1" applyBorder="1" applyAlignment="1">
      <alignment vertical="center" wrapText="1"/>
    </xf>
    <xf numFmtId="49" fontId="83" fillId="0" borderId="6" xfId="0" applyNumberFormat="1" applyFont="1" applyBorder="1" applyAlignment="1">
      <alignment vertical="center" wrapText="1"/>
    </xf>
    <xf numFmtId="49" fontId="83" fillId="0" borderId="7" xfId="0" applyNumberFormat="1" applyFont="1" applyBorder="1" applyAlignment="1">
      <alignment vertical="center" wrapText="1"/>
    </xf>
    <xf numFmtId="0" fontId="83" fillId="0" borderId="0" xfId="0" applyFont="1" applyAlignment="1">
      <alignment horizontal="left" vertical="center" wrapText="1"/>
    </xf>
    <xf numFmtId="0" fontId="83" fillId="0" borderId="1" xfId="0" applyFont="1" applyBorder="1" applyAlignment="1">
      <alignment horizontal="center" wrapText="1"/>
    </xf>
    <xf numFmtId="0" fontId="83" fillId="0" borderId="5" xfId="0" applyFont="1" applyBorder="1" applyAlignment="1">
      <alignment horizontal="left"/>
    </xf>
    <xf numFmtId="0" fontId="83" fillId="0" borderId="6" xfId="0" applyFont="1" applyBorder="1" applyAlignment="1">
      <alignment horizontal="left"/>
    </xf>
    <xf numFmtId="0" fontId="83" fillId="0" borderId="7" xfId="0" applyFont="1" applyBorder="1" applyAlignment="1">
      <alignment horizontal="left"/>
    </xf>
    <xf numFmtId="0" fontId="83" fillId="0" borderId="1" xfId="0" applyFont="1" applyBorder="1" applyAlignment="1">
      <alignment horizontal="left"/>
    </xf>
    <xf numFmtId="0" fontId="83" fillId="0" borderId="1" xfId="0" applyFont="1" applyBorder="1" applyAlignment="1">
      <alignment horizontal="center"/>
    </xf>
    <xf numFmtId="0" fontId="83" fillId="0" borderId="0" xfId="0" applyFont="1" applyAlignment="1">
      <alignment horizontal="left"/>
    </xf>
    <xf numFmtId="0" fontId="83" fillId="0" borderId="2" xfId="0" applyFont="1" applyBorder="1" applyAlignment="1">
      <alignment horizontal="left"/>
    </xf>
    <xf numFmtId="0" fontId="85" fillId="0" borderId="13" xfId="0" applyFont="1" applyBorder="1" applyAlignment="1">
      <alignment horizontal="left"/>
    </xf>
    <xf numFmtId="0" fontId="83" fillId="0" borderId="9" xfId="0" applyFont="1" applyBorder="1" applyAlignment="1">
      <alignment horizontal="center" vertical="center"/>
    </xf>
    <xf numFmtId="0" fontId="83" fillId="0" borderId="10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center"/>
    </xf>
    <xf numFmtId="0" fontId="83" fillId="0" borderId="12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 vertical="center"/>
    </xf>
    <xf numFmtId="0" fontId="83" fillId="0" borderId="4" xfId="0" applyFont="1" applyBorder="1" applyAlignment="1">
      <alignment horizontal="center" vertical="center" wrapText="1"/>
    </xf>
    <xf numFmtId="0" fontId="83" fillId="0" borderId="8" xfId="0" applyFont="1" applyBorder="1" applyAlignment="1">
      <alignment horizontal="center" vertical="center" wrapText="1"/>
    </xf>
    <xf numFmtId="0" fontId="84" fillId="0" borderId="5" xfId="0" applyFont="1" applyBorder="1" applyAlignment="1">
      <alignment horizontal="center" vertical="center"/>
    </xf>
    <xf numFmtId="0" fontId="84" fillId="0" borderId="6" xfId="0" applyFont="1" applyBorder="1" applyAlignment="1">
      <alignment horizontal="center" vertical="center"/>
    </xf>
    <xf numFmtId="0" fontId="84" fillId="0" borderId="7" xfId="0" applyFont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86" fillId="0" borderId="5" xfId="0" applyFont="1" applyBorder="1" applyAlignment="1">
      <alignment horizontal="center"/>
    </xf>
    <xf numFmtId="0" fontId="86" fillId="0" borderId="6" xfId="0" applyFont="1" applyBorder="1" applyAlignment="1">
      <alignment horizontal="center"/>
    </xf>
    <xf numFmtId="0" fontId="86" fillId="0" borderId="7" xfId="0" applyFont="1" applyBorder="1" applyAlignment="1">
      <alignment horizontal="center"/>
    </xf>
    <xf numFmtId="1" fontId="83" fillId="0" borderId="5" xfId="0" quotePrefix="1" applyNumberFormat="1" applyFont="1" applyBorder="1" applyAlignment="1">
      <alignment horizontal="center"/>
    </xf>
    <xf numFmtId="1" fontId="83" fillId="0" borderId="6" xfId="0" applyNumberFormat="1" applyFont="1" applyBorder="1" applyAlignment="1">
      <alignment horizontal="center"/>
    </xf>
    <xf numFmtId="1" fontId="83" fillId="0" borderId="7" xfId="0" applyNumberFormat="1" applyFont="1" applyBorder="1" applyAlignment="1">
      <alignment horizontal="center"/>
    </xf>
    <xf numFmtId="0" fontId="83" fillId="0" borderId="1" xfId="0" applyFont="1" applyBorder="1" applyAlignment="1">
      <alignment horizontal="left" wrapText="1"/>
    </xf>
    <xf numFmtId="0" fontId="80" fillId="0" borderId="5" xfId="0" applyFont="1" applyBorder="1" applyAlignment="1">
      <alignment horizontal="center"/>
    </xf>
    <xf numFmtId="0" fontId="80" fillId="0" borderId="6" xfId="0" applyFont="1" applyBorder="1" applyAlignment="1">
      <alignment horizontal="center"/>
    </xf>
    <xf numFmtId="0" fontId="80" fillId="0" borderId="7" xfId="0" applyFont="1" applyBorder="1" applyAlignment="1">
      <alignment horizontal="center"/>
    </xf>
    <xf numFmtId="0" fontId="80" fillId="0" borderId="0" xfId="0" applyFont="1" applyBorder="1" applyAlignment="1">
      <alignment horizontal="left"/>
    </xf>
    <xf numFmtId="0" fontId="80" fillId="0" borderId="3" xfId="0" applyFont="1" applyBorder="1" applyAlignment="1">
      <alignment horizontal="left"/>
    </xf>
    <xf numFmtId="49" fontId="80" fillId="0" borderId="5" xfId="0" applyNumberFormat="1" applyFont="1" applyBorder="1" applyAlignment="1">
      <alignment horizontal="center"/>
    </xf>
    <xf numFmtId="49" fontId="80" fillId="0" borderId="6" xfId="0" applyNumberFormat="1" applyFont="1" applyBorder="1" applyAlignment="1">
      <alignment horizontal="center"/>
    </xf>
    <xf numFmtId="49" fontId="80" fillId="0" borderId="7" xfId="0" applyNumberFormat="1" applyFont="1" applyBorder="1" applyAlignment="1">
      <alignment horizontal="center"/>
    </xf>
    <xf numFmtId="0" fontId="80" fillId="0" borderId="0" xfId="0" applyFont="1" applyAlignment="1">
      <alignment horizontal="left" vertical="center" wrapText="1"/>
    </xf>
    <xf numFmtId="0" fontId="80" fillId="0" borderId="1" xfId="0" applyFont="1" applyBorder="1" applyAlignment="1">
      <alignment horizontal="center" wrapText="1"/>
    </xf>
    <xf numFmtId="0" fontId="80" fillId="0" borderId="5" xfId="0" applyFont="1" applyBorder="1" applyAlignment="1">
      <alignment horizontal="left"/>
    </xf>
    <xf numFmtId="0" fontId="80" fillId="0" borderId="6" xfId="0" applyFont="1" applyBorder="1" applyAlignment="1">
      <alignment horizontal="left"/>
    </xf>
    <xf numFmtId="0" fontId="80" fillId="0" borderId="7" xfId="0" applyFont="1" applyBorder="1" applyAlignment="1">
      <alignment horizontal="left"/>
    </xf>
    <xf numFmtId="0" fontId="80" fillId="0" borderId="1" xfId="0" applyFont="1" applyBorder="1" applyAlignment="1">
      <alignment horizontal="left"/>
    </xf>
    <xf numFmtId="0" fontId="80" fillId="0" borderId="1" xfId="0" applyFont="1" applyBorder="1" applyAlignment="1">
      <alignment horizontal="center"/>
    </xf>
    <xf numFmtId="0" fontId="80" fillId="0" borderId="0" xfId="0" applyFont="1" applyAlignment="1">
      <alignment horizontal="left"/>
    </xf>
    <xf numFmtId="0" fontId="80" fillId="0" borderId="2" xfId="0" applyFont="1" applyBorder="1" applyAlignment="1">
      <alignment horizontal="left"/>
    </xf>
    <xf numFmtId="0" fontId="87" fillId="0" borderId="13" xfId="0" applyFont="1" applyBorder="1" applyAlignment="1">
      <alignment horizontal="left"/>
    </xf>
    <xf numFmtId="0" fontId="80" fillId="0" borderId="9" xfId="0" applyFont="1" applyBorder="1" applyAlignment="1">
      <alignment horizontal="center" vertical="center"/>
    </xf>
    <xf numFmtId="0" fontId="80" fillId="0" borderId="10" xfId="0" applyFont="1" applyBorder="1" applyAlignment="1">
      <alignment horizontal="center" vertical="center"/>
    </xf>
    <xf numFmtId="0" fontId="80" fillId="0" borderId="11" xfId="0" applyFont="1" applyBorder="1" applyAlignment="1">
      <alignment horizontal="center" vertical="center"/>
    </xf>
    <xf numFmtId="0" fontId="80" fillId="0" borderId="12" xfId="0" applyFont="1" applyBorder="1" applyAlignment="1">
      <alignment horizontal="center" vertical="center"/>
    </xf>
    <xf numFmtId="0" fontId="80" fillId="0" borderId="13" xfId="0" applyFont="1" applyBorder="1" applyAlignment="1">
      <alignment horizontal="center" vertical="center"/>
    </xf>
    <xf numFmtId="0" fontId="80" fillId="0" borderId="14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 wrapText="1"/>
    </xf>
    <xf numFmtId="0" fontId="80" fillId="0" borderId="8" xfId="0" applyFont="1" applyBorder="1" applyAlignment="1">
      <alignment horizontal="center" vertical="center" wrapText="1"/>
    </xf>
    <xf numFmtId="0" fontId="86" fillId="0" borderId="5" xfId="0" applyFont="1" applyBorder="1" applyAlignment="1">
      <alignment horizontal="center" vertical="center"/>
    </xf>
    <xf numFmtId="0" fontId="86" fillId="0" borderId="6" xfId="0" applyFont="1" applyBorder="1" applyAlignment="1">
      <alignment horizontal="center" vertical="center"/>
    </xf>
    <xf numFmtId="0" fontId="86" fillId="0" borderId="7" xfId="0" applyFont="1" applyBorder="1" applyAlignment="1">
      <alignment horizontal="center" vertical="center"/>
    </xf>
    <xf numFmtId="0" fontId="83" fillId="0" borderId="5" xfId="0" applyFont="1" applyFill="1" applyBorder="1" applyAlignment="1">
      <alignment horizontal="left"/>
    </xf>
    <xf numFmtId="0" fontId="83" fillId="0" borderId="6" xfId="0" applyFont="1" applyFill="1" applyBorder="1" applyAlignment="1">
      <alignment horizontal="left"/>
    </xf>
    <xf numFmtId="0" fontId="83" fillId="0" borderId="7" xfId="0" applyFont="1" applyFill="1" applyBorder="1" applyAlignment="1">
      <alignment horizontal="left"/>
    </xf>
    <xf numFmtId="0" fontId="83" fillId="0" borderId="9" xfId="0" applyFont="1" applyBorder="1" applyAlignment="1">
      <alignment horizontal="left" wrapText="1"/>
    </xf>
    <xf numFmtId="0" fontId="83" fillId="0" borderId="10" xfId="0" applyFont="1" applyBorder="1" applyAlignment="1">
      <alignment horizontal="left" wrapText="1"/>
    </xf>
    <xf numFmtId="0" fontId="83" fillId="0" borderId="11" xfId="0" applyFont="1" applyBorder="1" applyAlignment="1">
      <alignment horizontal="left" wrapText="1"/>
    </xf>
    <xf numFmtId="0" fontId="83" fillId="0" borderId="12" xfId="0" applyFont="1" applyBorder="1" applyAlignment="1">
      <alignment horizontal="left" wrapText="1"/>
    </xf>
    <xf numFmtId="0" fontId="83" fillId="0" borderId="13" xfId="0" applyFont="1" applyBorder="1" applyAlignment="1">
      <alignment horizontal="left" wrapText="1"/>
    </xf>
    <xf numFmtId="0" fontId="83" fillId="0" borderId="14" xfId="0" applyFont="1" applyBorder="1" applyAlignment="1">
      <alignment horizontal="left" wrapText="1"/>
    </xf>
    <xf numFmtId="0" fontId="83" fillId="0" borderId="0" xfId="0" applyFont="1" applyBorder="1" applyAlignment="1">
      <alignment horizontal="center"/>
    </xf>
    <xf numFmtId="0" fontId="85" fillId="0" borderId="0" xfId="0" applyFont="1" applyAlignment="1">
      <alignment horizontal="left"/>
    </xf>
    <xf numFmtId="0" fontId="83" fillId="0" borderId="1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/>
    </xf>
    <xf numFmtId="49" fontId="80" fillId="0" borderId="5" xfId="0" applyNumberFormat="1" applyFont="1" applyBorder="1" applyAlignment="1">
      <alignment horizontal="center" vertical="center" wrapText="1"/>
    </xf>
    <xf numFmtId="49" fontId="80" fillId="0" borderId="6" xfId="0" applyNumberFormat="1" applyFont="1" applyBorder="1" applyAlignment="1">
      <alignment horizontal="center" vertical="center" wrapText="1"/>
    </xf>
    <xf numFmtId="49" fontId="80" fillId="0" borderId="7" xfId="0" applyNumberFormat="1" applyFont="1" applyBorder="1" applyAlignment="1">
      <alignment horizontal="center" vertical="center" wrapText="1"/>
    </xf>
    <xf numFmtId="0" fontId="80" fillId="0" borderId="9" xfId="0" applyFont="1" applyBorder="1" applyAlignment="1">
      <alignment horizontal="left" vertical="center" wrapText="1"/>
    </xf>
    <xf numFmtId="0" fontId="80" fillId="0" borderId="10" xfId="0" applyFont="1" applyBorder="1" applyAlignment="1">
      <alignment horizontal="left" vertical="center" wrapText="1"/>
    </xf>
    <xf numFmtId="0" fontId="80" fillId="0" borderId="11" xfId="0" applyFont="1" applyBorder="1" applyAlignment="1">
      <alignment horizontal="left" vertical="center" wrapText="1"/>
    </xf>
    <xf numFmtId="0" fontId="80" fillId="0" borderId="12" xfId="0" applyFont="1" applyBorder="1" applyAlignment="1">
      <alignment horizontal="left" vertical="center" wrapText="1"/>
    </xf>
    <xf numFmtId="0" fontId="80" fillId="0" borderId="13" xfId="0" applyFont="1" applyBorder="1" applyAlignment="1">
      <alignment horizontal="left" vertical="center" wrapText="1"/>
    </xf>
    <xf numFmtId="0" fontId="80" fillId="0" borderId="14" xfId="0" applyFont="1" applyBorder="1" applyAlignment="1">
      <alignment horizontal="left" vertical="center" wrapText="1"/>
    </xf>
    <xf numFmtId="49" fontId="83" fillId="0" borderId="5" xfId="0" applyNumberFormat="1" applyFont="1" applyBorder="1" applyAlignment="1">
      <alignment horizontal="center" vertical="center" wrapText="1"/>
    </xf>
    <xf numFmtId="49" fontId="83" fillId="0" borderId="6" xfId="0" applyNumberFormat="1" applyFont="1" applyBorder="1" applyAlignment="1">
      <alignment horizontal="center" vertical="center" wrapText="1"/>
    </xf>
    <xf numFmtId="49" fontId="83" fillId="0" borderId="7" xfId="0" applyNumberFormat="1" applyFont="1" applyBorder="1" applyAlignment="1">
      <alignment horizontal="center" vertical="center" wrapText="1"/>
    </xf>
    <xf numFmtId="0" fontId="80" fillId="0" borderId="9" xfId="0" applyFont="1" applyBorder="1" applyAlignment="1">
      <alignment vertical="top" wrapText="1"/>
    </xf>
    <xf numFmtId="0" fontId="80" fillId="0" borderId="10" xfId="0" applyFont="1" applyBorder="1" applyAlignment="1">
      <alignment vertical="top" wrapText="1"/>
    </xf>
    <xf numFmtId="0" fontId="80" fillId="0" borderId="11" xfId="0" applyFont="1" applyBorder="1" applyAlignment="1">
      <alignment vertical="top" wrapText="1"/>
    </xf>
    <xf numFmtId="0" fontId="80" fillId="0" borderId="12" xfId="0" applyFont="1" applyBorder="1" applyAlignment="1">
      <alignment vertical="top" wrapText="1"/>
    </xf>
    <xf numFmtId="0" fontId="80" fillId="0" borderId="13" xfId="0" applyFont="1" applyBorder="1" applyAlignment="1">
      <alignment vertical="top" wrapText="1"/>
    </xf>
    <xf numFmtId="0" fontId="80" fillId="0" borderId="14" xfId="0" applyFont="1" applyBorder="1" applyAlignment="1">
      <alignment vertical="top" wrapText="1"/>
    </xf>
    <xf numFmtId="0" fontId="78" fillId="0" borderId="1" xfId="52" applyFont="1" applyBorder="1" applyAlignment="1">
      <alignment horizontal="center"/>
    </xf>
    <xf numFmtId="0" fontId="74" fillId="0" borderId="1" xfId="52" applyFont="1" applyBorder="1" applyAlignment="1">
      <alignment horizontal="center"/>
    </xf>
    <xf numFmtId="0" fontId="74" fillId="0" borderId="5" xfId="52" applyFont="1" applyBorder="1" applyAlignment="1">
      <alignment horizontal="center"/>
    </xf>
    <xf numFmtId="0" fontId="74" fillId="0" borderId="6" xfId="52" applyFont="1" applyBorder="1" applyAlignment="1">
      <alignment horizontal="center"/>
    </xf>
    <xf numFmtId="0" fontId="74" fillId="0" borderId="7" xfId="52" applyFont="1" applyBorder="1" applyAlignment="1">
      <alignment horizontal="center"/>
    </xf>
    <xf numFmtId="0" fontId="74" fillId="0" borderId="9" xfId="52" applyFont="1" applyBorder="1" applyAlignment="1">
      <alignment horizontal="left" vertical="center" wrapText="1"/>
    </xf>
    <xf numFmtId="0" fontId="74" fillId="0" borderId="10" xfId="52" applyFont="1" applyBorder="1" applyAlignment="1">
      <alignment horizontal="left" vertical="center" wrapText="1"/>
    </xf>
    <xf numFmtId="0" fontId="74" fillId="0" borderId="11" xfId="52" applyFont="1" applyBorder="1" applyAlignment="1">
      <alignment horizontal="left" vertical="center" wrapText="1"/>
    </xf>
    <xf numFmtId="0" fontId="74" fillId="0" borderId="12" xfId="52" applyFont="1" applyBorder="1" applyAlignment="1">
      <alignment horizontal="left" vertical="center" wrapText="1"/>
    </xf>
    <xf numFmtId="0" fontId="74" fillId="0" borderId="13" xfId="52" applyFont="1" applyBorder="1" applyAlignment="1">
      <alignment horizontal="left" vertical="center" wrapText="1"/>
    </xf>
    <xf numFmtId="0" fontId="74" fillId="0" borderId="14" xfId="52" applyFont="1" applyBorder="1" applyAlignment="1">
      <alignment horizontal="left" vertical="center" wrapText="1"/>
    </xf>
    <xf numFmtId="0" fontId="74" fillId="0" borderId="1" xfId="52" applyFont="1" applyBorder="1" applyAlignment="1">
      <alignment horizontal="center" vertical="center" wrapText="1"/>
    </xf>
    <xf numFmtId="0" fontId="74" fillId="0" borderId="1" xfId="52" applyFont="1" applyBorder="1" applyAlignment="1">
      <alignment horizontal="left" vertical="center" wrapText="1"/>
    </xf>
    <xf numFmtId="0" fontId="44" fillId="0" borderId="1" xfId="52" applyFont="1" applyBorder="1" applyAlignment="1">
      <alignment horizontal="center"/>
    </xf>
    <xf numFmtId="0" fontId="74" fillId="0" borderId="9" xfId="52" applyFont="1" applyBorder="1" applyAlignment="1">
      <alignment horizontal="center" wrapText="1"/>
    </xf>
    <xf numFmtId="0" fontId="74" fillId="0" borderId="10" xfId="52" applyFont="1" applyBorder="1" applyAlignment="1">
      <alignment horizontal="center" wrapText="1"/>
    </xf>
    <xf numFmtId="0" fontId="74" fillId="0" borderId="11" xfId="52" applyFont="1" applyBorder="1" applyAlignment="1">
      <alignment horizontal="center" wrapText="1"/>
    </xf>
    <xf numFmtId="0" fontId="74" fillId="0" borderId="12" xfId="52" applyFont="1" applyBorder="1" applyAlignment="1">
      <alignment horizontal="center" wrapText="1"/>
    </xf>
    <xf numFmtId="0" fontId="74" fillId="0" borderId="13" xfId="52" applyFont="1" applyBorder="1" applyAlignment="1">
      <alignment horizontal="center" wrapText="1"/>
    </xf>
    <xf numFmtId="0" fontId="74" fillId="0" borderId="14" xfId="52" applyFont="1" applyBorder="1" applyAlignment="1">
      <alignment horizontal="center" wrapText="1"/>
    </xf>
    <xf numFmtId="0" fontId="74" fillId="0" borderId="5" xfId="52" applyFont="1" applyBorder="1" applyAlignment="1">
      <alignment horizontal="left" vertical="center" wrapText="1"/>
    </xf>
    <xf numFmtId="0" fontId="74" fillId="0" borderId="7" xfId="52" applyFont="1" applyBorder="1" applyAlignment="1">
      <alignment horizontal="left" vertical="center" wrapText="1"/>
    </xf>
    <xf numFmtId="0" fontId="74" fillId="0" borderId="5" xfId="52" applyFont="1" applyBorder="1" applyAlignment="1">
      <alignment horizontal="left"/>
    </xf>
    <xf numFmtId="0" fontId="74" fillId="0" borderId="6" xfId="52" applyFont="1" applyBorder="1" applyAlignment="1">
      <alignment horizontal="left"/>
    </xf>
    <xf numFmtId="0" fontId="74" fillId="0" borderId="7" xfId="52" applyFont="1" applyBorder="1" applyAlignment="1">
      <alignment horizontal="left"/>
    </xf>
    <xf numFmtId="0" fontId="74" fillId="0" borderId="1" xfId="52" applyFont="1" applyBorder="1" applyAlignment="1">
      <alignment horizontal="left"/>
    </xf>
    <xf numFmtId="0" fontId="74" fillId="0" borderId="6" xfId="52" applyFont="1" applyBorder="1" applyAlignment="1">
      <alignment horizontal="left" vertical="center" wrapText="1"/>
    </xf>
    <xf numFmtId="49" fontId="3" fillId="0" borderId="1" xfId="52" applyNumberFormat="1" applyFont="1" applyBorder="1" applyAlignment="1">
      <alignment horizontal="center"/>
    </xf>
    <xf numFmtId="0" fontId="74" fillId="0" borderId="9" xfId="52" applyFont="1" applyBorder="1" applyAlignment="1">
      <alignment horizontal="left" wrapText="1"/>
    </xf>
    <xf numFmtId="0" fontId="74" fillId="0" borderId="10" xfId="52" applyFont="1" applyBorder="1" applyAlignment="1">
      <alignment horizontal="left" wrapText="1"/>
    </xf>
    <xf numFmtId="0" fontId="74" fillId="0" borderId="11" xfId="52" applyFont="1" applyBorder="1" applyAlignment="1">
      <alignment horizontal="left" wrapText="1"/>
    </xf>
    <xf numFmtId="0" fontId="74" fillId="0" borderId="12" xfId="52" applyFont="1" applyBorder="1" applyAlignment="1">
      <alignment horizontal="left" wrapText="1"/>
    </xf>
    <xf numFmtId="0" fontId="74" fillId="0" borderId="13" xfId="52" applyFont="1" applyBorder="1" applyAlignment="1">
      <alignment horizontal="left" wrapText="1"/>
    </xf>
    <xf numFmtId="0" fontId="74" fillId="0" borderId="14" xfId="52" applyFont="1" applyBorder="1" applyAlignment="1">
      <alignment horizontal="left" wrapText="1"/>
    </xf>
    <xf numFmtId="0" fontId="79" fillId="0" borderId="1" xfId="52" applyFont="1" applyBorder="1" applyAlignment="1">
      <alignment horizontal="left" vertical="center" wrapText="1"/>
    </xf>
    <xf numFmtId="0" fontId="79" fillId="0" borderId="5" xfId="52" applyFont="1" applyBorder="1" applyAlignment="1">
      <alignment horizontal="left" vertical="center" wrapText="1"/>
    </xf>
    <xf numFmtId="0" fontId="79" fillId="0" borderId="7" xfId="52" applyFont="1" applyBorder="1" applyAlignment="1">
      <alignment horizontal="left" vertical="center" wrapText="1"/>
    </xf>
    <xf numFmtId="0" fontId="74" fillId="0" borderId="5" xfId="52" applyFont="1" applyBorder="1" applyAlignment="1">
      <alignment horizontal="center" vertical="center" wrapText="1"/>
    </xf>
    <xf numFmtId="0" fontId="74" fillId="0" borderId="6" xfId="52" applyFont="1" applyBorder="1" applyAlignment="1">
      <alignment horizontal="center" vertical="center" wrapText="1"/>
    </xf>
    <xf numFmtId="0" fontId="74" fillId="0" borderId="7" xfId="52" applyFont="1" applyBorder="1" applyAlignment="1">
      <alignment horizontal="center" vertical="center" wrapText="1"/>
    </xf>
    <xf numFmtId="0" fontId="78" fillId="0" borderId="5" xfId="52" applyFont="1" applyBorder="1" applyAlignment="1">
      <alignment horizontal="left"/>
    </xf>
    <xf numFmtId="0" fontId="78" fillId="0" borderId="6" xfId="52" applyFont="1" applyBorder="1" applyAlignment="1">
      <alignment horizontal="left"/>
    </xf>
    <xf numFmtId="0" fontId="78" fillId="0" borderId="7" xfId="52" applyFont="1" applyBorder="1" applyAlignment="1">
      <alignment horizontal="left"/>
    </xf>
    <xf numFmtId="49" fontId="74" fillId="0" borderId="1" xfId="52" applyNumberFormat="1" applyFont="1" applyBorder="1" applyAlignment="1">
      <alignment horizontal="center"/>
    </xf>
    <xf numFmtId="0" fontId="7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49" fontId="44" fillId="0" borderId="1" xfId="0" applyNumberFormat="1" applyFont="1" applyBorder="1" applyAlignment="1">
      <alignment horizontal="center"/>
    </xf>
    <xf numFmtId="0" fontId="44" fillId="0" borderId="5" xfId="0" applyFont="1" applyBorder="1" applyAlignment="1">
      <alignment horizontal="left"/>
    </xf>
    <xf numFmtId="0" fontId="44" fillId="0" borderId="6" xfId="0" applyFont="1" applyBorder="1" applyAlignment="1">
      <alignment horizontal="left"/>
    </xf>
    <xf numFmtId="0" fontId="44" fillId="0" borderId="7" xfId="0" applyFont="1" applyBorder="1" applyAlignment="1">
      <alignment horizontal="left"/>
    </xf>
    <xf numFmtId="0" fontId="75" fillId="0" borderId="0" xfId="0" applyFont="1" applyAlignment="1">
      <alignment horizontal="left" vertical="center" wrapText="1"/>
    </xf>
    <xf numFmtId="0" fontId="44" fillId="0" borderId="9" xfId="0" applyFont="1" applyBorder="1" applyAlignment="1">
      <alignment horizontal="left" vertical="center" wrapText="1"/>
    </xf>
    <xf numFmtId="0" fontId="44" fillId="0" borderId="10" xfId="0" applyFont="1" applyBorder="1" applyAlignment="1">
      <alignment horizontal="left" vertical="center" wrapText="1"/>
    </xf>
    <xf numFmtId="0" fontId="44" fillId="0" borderId="11" xfId="0" applyFont="1" applyBorder="1" applyAlignment="1">
      <alignment horizontal="left" vertical="center" wrapText="1"/>
    </xf>
    <xf numFmtId="0" fontId="44" fillId="0" borderId="12" xfId="0" applyFont="1" applyBorder="1" applyAlignment="1">
      <alignment horizontal="left" vertical="center" wrapText="1"/>
    </xf>
    <xf numFmtId="0" fontId="44" fillId="0" borderId="13" xfId="0" applyFont="1" applyBorder="1" applyAlignment="1">
      <alignment horizontal="left" vertical="center" wrapText="1"/>
    </xf>
    <xf numFmtId="0" fontId="44" fillId="0" borderId="14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75" fillId="0" borderId="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left" vertical="center" wrapText="1"/>
    </xf>
    <xf numFmtId="0" fontId="77" fillId="0" borderId="4" xfId="0" applyFont="1" applyBorder="1" applyAlignment="1">
      <alignment horizontal="left" vertical="center" wrapText="1"/>
    </xf>
    <xf numFmtId="0" fontId="77" fillId="0" borderId="8" xfId="0" applyFont="1" applyBorder="1" applyAlignment="1">
      <alignment horizontal="left" vertical="center" wrapText="1"/>
    </xf>
    <xf numFmtId="0" fontId="77" fillId="0" borderId="5" xfId="0" applyFont="1" applyBorder="1" applyAlignment="1">
      <alignment horizontal="center" vertical="center" wrapText="1"/>
    </xf>
    <xf numFmtId="0" fontId="77" fillId="0" borderId="6" xfId="0" applyFont="1" applyBorder="1" applyAlignment="1">
      <alignment horizontal="center" vertical="center" wrapText="1"/>
    </xf>
    <xf numFmtId="0" fontId="77" fillId="0" borderId="7" xfId="0" applyFont="1" applyBorder="1" applyAlignment="1">
      <alignment horizontal="center" vertical="center" wrapText="1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44" fillId="0" borderId="5" xfId="0" applyFont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44" fillId="0" borderId="9" xfId="0" applyFont="1" applyFill="1" applyBorder="1" applyAlignment="1">
      <alignment horizontal="left" vertical="center" wrapText="1"/>
    </xf>
    <xf numFmtId="0" fontId="44" fillId="0" borderId="10" xfId="0" applyFont="1" applyFill="1" applyBorder="1" applyAlignment="1">
      <alignment horizontal="left" vertical="center" wrapText="1"/>
    </xf>
    <xf numFmtId="0" fontId="44" fillId="0" borderId="11" xfId="0" applyFont="1" applyFill="1" applyBorder="1" applyAlignment="1">
      <alignment horizontal="left" vertical="center" wrapText="1"/>
    </xf>
    <xf numFmtId="0" fontId="0" fillId="0" borderId="10" xfId="0" applyBorder="1"/>
    <xf numFmtId="0" fontId="0" fillId="0" borderId="11" xfId="0" applyBorder="1"/>
    <xf numFmtId="0" fontId="59" fillId="7" borderId="2" xfId="0" applyFont="1" applyFill="1" applyBorder="1" applyAlignment="1">
      <alignment horizontal="left" vertical="center"/>
    </xf>
    <xf numFmtId="0" fontId="59" fillId="7" borderId="0" xfId="0" applyFont="1" applyFill="1" applyAlignment="1">
      <alignment horizontal="left" vertical="center"/>
    </xf>
    <xf numFmtId="0" fontId="59" fillId="7" borderId="4" xfId="0" applyFont="1" applyFill="1" applyBorder="1" applyAlignment="1">
      <alignment horizontal="center" vertical="center" wrapText="1"/>
    </xf>
    <xf numFmtId="0" fontId="59" fillId="7" borderId="8" xfId="0" applyFont="1" applyFill="1" applyBorder="1" applyAlignment="1">
      <alignment horizontal="center" vertical="center" wrapText="1"/>
    </xf>
    <xf numFmtId="0" fontId="59" fillId="7" borderId="5" xfId="0" applyFont="1" applyFill="1" applyBorder="1" applyAlignment="1">
      <alignment horizontal="center" vertical="center" wrapText="1"/>
    </xf>
    <xf numFmtId="0" fontId="59" fillId="7" borderId="6" xfId="0" applyFont="1" applyFill="1" applyBorder="1" applyAlignment="1">
      <alignment horizontal="center" vertical="center" wrapText="1"/>
    </xf>
    <xf numFmtId="0" fontId="59" fillId="7" borderId="7" xfId="0" applyFont="1" applyFill="1" applyBorder="1" applyAlignment="1">
      <alignment horizontal="center" vertical="center" wrapText="1"/>
    </xf>
    <xf numFmtId="0" fontId="59" fillId="0" borderId="5" xfId="0" applyFont="1" applyBorder="1" applyAlignment="1">
      <alignment horizontal="center" vertical="center"/>
    </xf>
    <xf numFmtId="0" fontId="59" fillId="0" borderId="6" xfId="0" applyFont="1" applyBorder="1" applyAlignment="1">
      <alignment horizontal="center" vertical="center"/>
    </xf>
    <xf numFmtId="0" fontId="59" fillId="0" borderId="7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0" fontId="59" fillId="0" borderId="5" xfId="0" applyFont="1" applyBorder="1" applyAlignment="1">
      <alignment horizontal="center" vertical="center" wrapText="1"/>
    </xf>
    <xf numFmtId="0" fontId="59" fillId="0" borderId="6" xfId="0" applyFont="1" applyBorder="1" applyAlignment="1">
      <alignment horizontal="center" vertical="center" wrapText="1"/>
    </xf>
    <xf numFmtId="0" fontId="59" fillId="0" borderId="7" xfId="0" applyFont="1" applyBorder="1" applyAlignment="1">
      <alignment horizontal="center" vertical="center" wrapText="1"/>
    </xf>
    <xf numFmtId="0" fontId="59" fillId="7" borderId="2" xfId="0" applyFont="1" applyFill="1" applyBorder="1" applyAlignment="1">
      <alignment horizontal="left" vertical="center" wrapText="1"/>
    </xf>
    <xf numFmtId="0" fontId="59" fillId="7" borderId="3" xfId="0" applyFont="1" applyFill="1" applyBorder="1" applyAlignment="1">
      <alignment horizontal="left" vertical="center" wrapText="1"/>
    </xf>
    <xf numFmtId="0" fontId="91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49" fontId="59" fillId="0" borderId="2" xfId="0" applyNumberFormat="1" applyFont="1" applyBorder="1" applyAlignment="1">
      <alignment horizontal="center" vertical="center"/>
    </xf>
    <xf numFmtId="49" fontId="59" fillId="0" borderId="3" xfId="0" applyNumberFormat="1" applyFont="1" applyBorder="1" applyAlignment="1">
      <alignment horizontal="center" vertical="center"/>
    </xf>
    <xf numFmtId="49" fontId="59" fillId="0" borderId="1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49" fontId="0" fillId="0" borderId="22" xfId="0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0" fontId="0" fillId="8" borderId="7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8" borderId="1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0" borderId="22" xfId="0" applyBorder="1" applyAlignment="1"/>
    <xf numFmtId="0" fontId="0" fillId="0" borderId="23" xfId="0" applyBorder="1" applyAlignment="1"/>
    <xf numFmtId="0" fontId="0" fillId="0" borderId="24" xfId="0" applyBorder="1" applyAlignment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left" vertical="center" wrapText="1"/>
    </xf>
    <xf numFmtId="0" fontId="0" fillId="9" borderId="4" xfId="0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 wrapText="1"/>
    </xf>
    <xf numFmtId="0" fontId="0" fillId="9" borderId="7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34" xfId="0" applyFont="1" applyFill="1" applyBorder="1" applyAlignment="1">
      <alignment horizontal="center" wrapText="1"/>
    </xf>
    <xf numFmtId="0" fontId="0" fillId="8" borderId="35" xfId="0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8" borderId="1" xfId="0" applyFont="1" applyFill="1" applyBorder="1" applyAlignment="1">
      <alignment horizontal="center" wrapText="1"/>
    </xf>
    <xf numFmtId="0" fontId="0" fillId="8" borderId="1" xfId="0" applyFill="1" applyBorder="1" applyAlignment="1">
      <alignment horizontal="center" wrapText="1"/>
    </xf>
    <xf numFmtId="0" fontId="0" fillId="0" borderId="1" xfId="0" applyBorder="1" applyAlignment="1"/>
    <xf numFmtId="0" fontId="0" fillId="0" borderId="8" xfId="0" applyBorder="1" applyAlignment="1">
      <alignment horizontal="center"/>
    </xf>
    <xf numFmtId="0" fontId="0" fillId="8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10" borderId="1" xfId="0" applyFill="1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 wrapText="1"/>
    </xf>
    <xf numFmtId="0" fontId="0" fillId="9" borderId="13" xfId="0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165" fontId="44" fillId="0" borderId="1" xfId="0" applyNumberFormat="1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left"/>
    </xf>
    <xf numFmtId="0" fontId="0" fillId="8" borderId="5" xfId="0" applyFill="1" applyBorder="1" applyAlignment="1">
      <alignment horizontal="left"/>
    </xf>
    <xf numFmtId="0" fontId="7" fillId="3" borderId="0" xfId="3" applyFill="1" applyBorder="1" applyAlignment="1" applyProtection="1">
      <alignment horizontal="left"/>
    </xf>
    <xf numFmtId="0" fontId="0" fillId="0" borderId="1" xfId="0" applyFill="1" applyBorder="1" applyAlignment="1">
      <alignment horizontal="center"/>
    </xf>
    <xf numFmtId="0" fontId="0" fillId="9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wrapText="1"/>
    </xf>
    <xf numFmtId="165" fontId="44" fillId="0" borderId="1" xfId="0" applyNumberFormat="1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8" borderId="5" xfId="0" applyFill="1" applyBorder="1" applyAlignment="1">
      <alignment horizontal="center" wrapText="1"/>
    </xf>
    <xf numFmtId="0" fontId="0" fillId="8" borderId="7" xfId="0" applyFill="1" applyBorder="1" applyAlignment="1">
      <alignment horizontal="center" wrapText="1"/>
    </xf>
    <xf numFmtId="0" fontId="0" fillId="0" borderId="1" xfId="0" applyBorder="1" applyAlignment="1">
      <alignment horizontal="left" vertical="top"/>
    </xf>
    <xf numFmtId="0" fontId="0" fillId="7" borderId="1" xfId="0" applyFill="1" applyBorder="1" applyAlignment="1">
      <alignment horizontal="center" wrapText="1"/>
    </xf>
    <xf numFmtId="0" fontId="0" fillId="7" borderId="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9" borderId="27" xfId="0" applyFill="1" applyBorder="1" applyAlignment="1">
      <alignment horizontal="center" vertical="center" wrapText="1"/>
    </xf>
    <xf numFmtId="0" fontId="0" fillId="9" borderId="27" xfId="0" applyFill="1" applyBorder="1" applyAlignment="1">
      <alignment horizontal="center" vertical="center"/>
    </xf>
    <xf numFmtId="0" fontId="0" fillId="9" borderId="27" xfId="0" applyFill="1" applyBorder="1" applyAlignment="1">
      <alignment horizontal="center" wrapText="1"/>
    </xf>
    <xf numFmtId="0" fontId="0" fillId="9" borderId="36" xfId="0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92" fillId="0" borderId="1" xfId="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54" fillId="0" borderId="1" xfId="0" applyFont="1" applyFill="1" applyBorder="1" applyAlignment="1">
      <alignment horizontal="center"/>
    </xf>
    <xf numFmtId="0" fontId="54" fillId="8" borderId="1" xfId="0" applyFont="1" applyFill="1" applyBorder="1" applyAlignment="1">
      <alignment horizontal="center" vertical="center" wrapText="1"/>
    </xf>
    <xf numFmtId="1" fontId="54" fillId="0" borderId="1" xfId="0" applyNumberFormat="1" applyFont="1" applyFill="1" applyBorder="1" applyAlignment="1">
      <alignment horizontal="center" vertical="center" wrapText="1"/>
    </xf>
    <xf numFmtId="0" fontId="54" fillId="0" borderId="15" xfId="0" applyFont="1" applyFill="1" applyBorder="1" applyAlignment="1">
      <alignment horizontal="center"/>
    </xf>
    <xf numFmtId="0" fontId="54" fillId="0" borderId="5" xfId="0" applyFont="1" applyFill="1" applyBorder="1" applyAlignment="1">
      <alignment horizontal="center"/>
    </xf>
    <xf numFmtId="0" fontId="54" fillId="0" borderId="6" xfId="0" applyFont="1" applyFill="1" applyBorder="1" applyAlignment="1">
      <alignment horizontal="center"/>
    </xf>
    <xf numFmtId="0" fontId="54" fillId="0" borderId="7" xfId="0" applyFont="1" applyFill="1" applyBorder="1" applyAlignment="1">
      <alignment horizontal="center"/>
    </xf>
    <xf numFmtId="0" fontId="54" fillId="8" borderId="5" xfId="0" applyFont="1" applyFill="1" applyBorder="1" applyAlignment="1">
      <alignment horizontal="center"/>
    </xf>
    <xf numFmtId="0" fontId="54" fillId="8" borderId="6" xfId="0" applyFont="1" applyFill="1" applyBorder="1" applyAlignment="1">
      <alignment horizontal="center"/>
    </xf>
    <xf numFmtId="0" fontId="54" fillId="8" borderId="7" xfId="0" applyFont="1" applyFill="1" applyBorder="1" applyAlignment="1">
      <alignment horizontal="center"/>
    </xf>
    <xf numFmtId="0" fontId="54" fillId="8" borderId="1" xfId="0" applyFont="1" applyFill="1" applyBorder="1" applyAlignment="1">
      <alignment horizontal="center" wrapText="1"/>
    </xf>
    <xf numFmtId="0" fontId="54" fillId="0" borderId="1" xfId="0" applyFont="1" applyFill="1" applyBorder="1" applyAlignment="1">
      <alignment horizontal="center" wrapText="1"/>
    </xf>
    <xf numFmtId="0" fontId="54" fillId="0" borderId="4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54" fillId="0" borderId="9" xfId="0" applyFont="1" applyFill="1" applyBorder="1" applyAlignment="1">
      <alignment horizontal="center"/>
    </xf>
    <xf numFmtId="0" fontId="54" fillId="8" borderId="1" xfId="0" applyFont="1" applyFill="1" applyBorder="1" applyAlignment="1">
      <alignment horizontal="center" vertical="center"/>
    </xf>
    <xf numFmtId="0" fontId="96" fillId="0" borderId="0" xfId="0" applyFont="1" applyFill="1" applyAlignment="1">
      <alignment horizontal="center"/>
    </xf>
    <xf numFmtId="0" fontId="54" fillId="8" borderId="1" xfId="0" applyFont="1" applyFill="1" applyBorder="1" applyAlignment="1">
      <alignment horizontal="center"/>
    </xf>
    <xf numFmtId="0" fontId="54" fillId="9" borderId="1" xfId="0" applyFont="1" applyFill="1" applyBorder="1" applyAlignment="1">
      <alignment vertical="center"/>
    </xf>
    <xf numFmtId="0" fontId="54" fillId="9" borderId="1" xfId="0" applyFont="1" applyFill="1" applyBorder="1" applyAlignment="1">
      <alignment horizontal="center" vertical="center" wrapText="1"/>
    </xf>
    <xf numFmtId="0" fontId="54" fillId="9" borderId="1" xfId="0" applyFont="1" applyFill="1" applyBorder="1" applyAlignment="1">
      <alignment horizontal="center" vertical="center"/>
    </xf>
    <xf numFmtId="0" fontId="54" fillId="0" borderId="8" xfId="0" applyFont="1" applyFill="1" applyBorder="1" applyAlignment="1">
      <alignment horizontal="center"/>
    </xf>
    <xf numFmtId="0" fontId="54" fillId="0" borderId="12" xfId="0" applyFont="1" applyFill="1" applyBorder="1" applyAlignment="1">
      <alignment horizontal="center"/>
    </xf>
    <xf numFmtId="0" fontId="54" fillId="0" borderId="1" xfId="0" applyFont="1" applyFill="1" applyBorder="1" applyAlignment="1">
      <alignment horizontal="center" vertical="center" wrapText="1"/>
    </xf>
    <xf numFmtId="0" fontId="54" fillId="8" borderId="12" xfId="0" applyFont="1" applyFill="1" applyBorder="1" applyAlignment="1">
      <alignment horizontal="center"/>
    </xf>
    <xf numFmtId="0" fontId="54" fillId="8" borderId="13" xfId="0" applyFont="1" applyFill="1" applyBorder="1" applyAlignment="1">
      <alignment horizontal="center"/>
    </xf>
    <xf numFmtId="0" fontId="54" fillId="8" borderId="0" xfId="0" applyFont="1" applyFill="1" applyBorder="1" applyAlignment="1">
      <alignment horizontal="center"/>
    </xf>
    <xf numFmtId="0" fontId="97" fillId="0" borderId="0" xfId="0" applyFont="1" applyFill="1" applyBorder="1" applyAlignment="1">
      <alignment horizontal="center"/>
    </xf>
    <xf numFmtId="0" fontId="54" fillId="8" borderId="1" xfId="0" applyFont="1" applyFill="1" applyBorder="1" applyAlignment="1">
      <alignment horizontal="right"/>
    </xf>
    <xf numFmtId="0" fontId="54" fillId="0" borderId="1" xfId="0" applyFont="1" applyFill="1" applyBorder="1" applyAlignment="1">
      <alignment vertical="center"/>
    </xf>
    <xf numFmtId="0" fontId="54" fillId="8" borderId="4" xfId="0" applyFont="1" applyFill="1" applyBorder="1" applyAlignment="1">
      <alignment horizontal="center"/>
    </xf>
    <xf numFmtId="0" fontId="54" fillId="0" borderId="7" xfId="0" applyFont="1" applyFill="1" applyBorder="1" applyAlignment="1">
      <alignment horizontal="center" wrapText="1"/>
    </xf>
    <xf numFmtId="0" fontId="54" fillId="0" borderId="14" xfId="0" applyFont="1" applyFill="1" applyBorder="1" applyAlignment="1">
      <alignment horizontal="center"/>
    </xf>
    <xf numFmtId="0" fontId="54" fillId="0" borderId="8" xfId="0" applyFont="1" applyFill="1" applyBorder="1" applyAlignment="1">
      <alignment horizontal="center" wrapText="1"/>
    </xf>
    <xf numFmtId="0" fontId="54" fillId="0" borderId="11" xfId="0" applyFont="1" applyFill="1" applyBorder="1" applyAlignment="1">
      <alignment horizontal="center"/>
    </xf>
    <xf numFmtId="0" fontId="54" fillId="8" borderId="2" xfId="0" applyFont="1" applyFill="1" applyBorder="1" applyAlignment="1">
      <alignment horizontal="center"/>
    </xf>
    <xf numFmtId="0" fontId="54" fillId="8" borderId="1" xfId="0" applyFont="1" applyFill="1" applyBorder="1" applyAlignment="1">
      <alignment vertical="center"/>
    </xf>
    <xf numFmtId="0" fontId="54" fillId="11" borderId="1" xfId="0" applyFont="1" applyFill="1" applyBorder="1" applyAlignment="1">
      <alignment horizontal="center" vertical="center" wrapText="1"/>
    </xf>
    <xf numFmtId="0" fontId="54" fillId="11" borderId="8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4" fillId="7" borderId="1" xfId="0" applyFont="1" applyFill="1" applyBorder="1" applyAlignment="1">
      <alignment horizontal="center"/>
    </xf>
    <xf numFmtId="0" fontId="54" fillId="8" borderId="1" xfId="0" applyFont="1" applyFill="1" applyBorder="1" applyAlignment="1">
      <alignment horizontal="left"/>
    </xf>
    <xf numFmtId="0" fontId="54" fillId="8" borderId="4" xfId="0" applyFont="1" applyFill="1" applyBorder="1" applyAlignment="1">
      <alignment horizontal="left"/>
    </xf>
    <xf numFmtId="0" fontId="54" fillId="0" borderId="15" xfId="0" applyFont="1" applyFill="1" applyBorder="1" applyAlignment="1">
      <alignment horizontal="center" vertical="center"/>
    </xf>
    <xf numFmtId="0" fontId="54" fillId="0" borderId="8" xfId="0" applyFont="1" applyFill="1" applyBorder="1" applyAlignment="1">
      <alignment horizontal="center" vertical="center"/>
    </xf>
    <xf numFmtId="0" fontId="54" fillId="0" borderId="8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94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5" xfId="0" quotePrefix="1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vertical="center"/>
    </xf>
    <xf numFmtId="1" fontId="2" fillId="0" borderId="7" xfId="0" applyNumberFormat="1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9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1" fontId="0" fillId="0" borderId="5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49" fontId="95" fillId="0" borderId="0" xfId="0" applyNumberFormat="1" applyFont="1" applyAlignment="1">
      <alignment horizontal="left" wrapText="1"/>
    </xf>
    <xf numFmtId="0" fontId="2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1" fontId="2" fillId="0" borderId="5" xfId="0" applyNumberFormat="1" applyFont="1" applyBorder="1" applyAlignment="1">
      <alignment horizontal="left" vertical="center"/>
    </xf>
    <xf numFmtId="1" fontId="2" fillId="0" borderId="7" xfId="0" applyNumberFormat="1" applyFont="1" applyBorder="1" applyAlignment="1">
      <alignment horizontal="left" vertical="center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7" fillId="0" borderId="1" xfId="3" applyFill="1" applyBorder="1" applyAlignment="1" applyProtection="1">
      <alignment horizontal="left" vertical="center" wrapText="1"/>
    </xf>
  </cellXfs>
  <cellStyles count="79">
    <cellStyle name="Comma" xfId="1" builtinId="3"/>
    <cellStyle name="Comma 10" xfId="12"/>
    <cellStyle name="Comma 11" xfId="13"/>
    <cellStyle name="Comma 12" xfId="14"/>
    <cellStyle name="Comma 13" xfId="17"/>
    <cellStyle name="Comma 14" xfId="18"/>
    <cellStyle name="Comma 15" xfId="19"/>
    <cellStyle name="Comma 16" xfId="20"/>
    <cellStyle name="Comma 17" xfId="21"/>
    <cellStyle name="Comma 18" xfId="22"/>
    <cellStyle name="Comma 19" xfId="23"/>
    <cellStyle name="Comma 2" xfId="4"/>
    <cellStyle name="Comma 2 2" xfId="15"/>
    <cellStyle name="Comma 2 3" xfId="49"/>
    <cellStyle name="Comma 2 4" xfId="50"/>
    <cellStyle name="Comma 2 5" xfId="51"/>
    <cellStyle name="Comma 20" xfId="24"/>
    <cellStyle name="Comma 21" xfId="25"/>
    <cellStyle name="Comma 22" xfId="26"/>
    <cellStyle name="Comma 23" xfId="27"/>
    <cellStyle name="Comma 24" xfId="28"/>
    <cellStyle name="Comma 25" xfId="29"/>
    <cellStyle name="Comma 26" xfId="30"/>
    <cellStyle name="Comma 27" xfId="31"/>
    <cellStyle name="Comma 28" xfId="32"/>
    <cellStyle name="Comma 29" xfId="33"/>
    <cellStyle name="Comma 3" xfId="5"/>
    <cellStyle name="Comma 30" xfId="34"/>
    <cellStyle name="Comma 31" xfId="35"/>
    <cellStyle name="Comma 32" xfId="36"/>
    <cellStyle name="Comma 33" xfId="37"/>
    <cellStyle name="Comma 34" xfId="38"/>
    <cellStyle name="Comma 35" xfId="39"/>
    <cellStyle name="Comma 36" xfId="40"/>
    <cellStyle name="Comma 37" xfId="41"/>
    <cellStyle name="Comma 38" xfId="42"/>
    <cellStyle name="Comma 39" xfId="43"/>
    <cellStyle name="Comma 4" xfId="6"/>
    <cellStyle name="Comma 40" xfId="44"/>
    <cellStyle name="Comma 41" xfId="45"/>
    <cellStyle name="Comma 42" xfId="46"/>
    <cellStyle name="Comma 43" xfId="48"/>
    <cellStyle name="Comma 44" xfId="54"/>
    <cellStyle name="Comma 45" xfId="55"/>
    <cellStyle name="Comma 46" xfId="56"/>
    <cellStyle name="Comma 47" xfId="57"/>
    <cellStyle name="Comma 48" xfId="58"/>
    <cellStyle name="Comma 49" xfId="59"/>
    <cellStyle name="Comma 5" xfId="7"/>
    <cellStyle name="Comma 50" xfId="60"/>
    <cellStyle name="Comma 51" xfId="61"/>
    <cellStyle name="Comma 52" xfId="62"/>
    <cellStyle name="Comma 53" xfId="63"/>
    <cellStyle name="Comma 54" xfId="64"/>
    <cellStyle name="Comma 55" xfId="65"/>
    <cellStyle name="Comma 56" xfId="66"/>
    <cellStyle name="Comma 57" xfId="67"/>
    <cellStyle name="Comma 58" xfId="68"/>
    <cellStyle name="Comma 59" xfId="69"/>
    <cellStyle name="Comma 6" xfId="8"/>
    <cellStyle name="Comma 60" xfId="70"/>
    <cellStyle name="Comma 61" xfId="71"/>
    <cellStyle name="Comma 62" xfId="72"/>
    <cellStyle name="Comma 63" xfId="73"/>
    <cellStyle name="Comma 64" xfId="74"/>
    <cellStyle name="Comma 65" xfId="75"/>
    <cellStyle name="Comma 66" xfId="76"/>
    <cellStyle name="Comma 67" xfId="77"/>
    <cellStyle name="Comma 68" xfId="78"/>
    <cellStyle name="Comma 7" xfId="9"/>
    <cellStyle name="Comma 8" xfId="10"/>
    <cellStyle name="Comma 9" xfId="11"/>
    <cellStyle name="Hyperlink" xfId="3" builtinId="8"/>
    <cellStyle name="Normal" xfId="0" builtinId="0"/>
    <cellStyle name="Normal 2" xfId="2"/>
    <cellStyle name="Normal 3" xfId="47"/>
    <cellStyle name="Normal 4" xfId="52"/>
    <cellStyle name="Normal_Sheet1" xfId="53"/>
    <cellStyle name="Percent 2" xfId="1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350" Type="http://schemas.openxmlformats.org/officeDocument/2006/relationships/worksheet" Target="worksheets/sheet350.xml"/><Relationship Id="rId355" Type="http://schemas.openxmlformats.org/officeDocument/2006/relationships/worksheet" Target="worksheets/sheet35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theme" Target="theme/theme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styles" Target="styles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sharedStrings" Target="sharedString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6</xdr:row>
      <xdr:rowOff>219075</xdr:rowOff>
    </xdr:from>
    <xdr:to>
      <xdr:col>3</xdr:col>
      <xdr:colOff>276225</xdr:colOff>
      <xdr:row>6</xdr:row>
      <xdr:rowOff>220663</xdr:rowOff>
    </xdr:to>
    <xdr:cxnSp macro="">
      <xdr:nvCxnSpPr>
        <xdr:cNvPr id="2" name="Straight Connector 1"/>
        <xdr:cNvCxnSpPr/>
      </xdr:nvCxnSpPr>
      <xdr:spPr>
        <a:xfrm>
          <a:off x="3448050" y="1647825"/>
          <a:ext cx="6096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6</xdr:row>
      <xdr:rowOff>219075</xdr:rowOff>
    </xdr:from>
    <xdr:to>
      <xdr:col>3</xdr:col>
      <xdr:colOff>276225</xdr:colOff>
      <xdr:row>6</xdr:row>
      <xdr:rowOff>220663</xdr:rowOff>
    </xdr:to>
    <xdr:cxnSp macro="">
      <xdr:nvCxnSpPr>
        <xdr:cNvPr id="2" name="Straight Connector 1"/>
        <xdr:cNvCxnSpPr/>
      </xdr:nvCxnSpPr>
      <xdr:spPr>
        <a:xfrm>
          <a:off x="3448050" y="1647825"/>
          <a:ext cx="6096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6</xdr:row>
      <xdr:rowOff>219075</xdr:rowOff>
    </xdr:from>
    <xdr:to>
      <xdr:col>3</xdr:col>
      <xdr:colOff>276225</xdr:colOff>
      <xdr:row>6</xdr:row>
      <xdr:rowOff>220663</xdr:rowOff>
    </xdr:to>
    <xdr:cxnSp macro="">
      <xdr:nvCxnSpPr>
        <xdr:cNvPr id="2" name="Straight Connector 1"/>
        <xdr:cNvCxnSpPr/>
      </xdr:nvCxnSpPr>
      <xdr:spPr>
        <a:xfrm>
          <a:off x="3448050" y="1647825"/>
          <a:ext cx="6096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6</xdr:row>
      <xdr:rowOff>219075</xdr:rowOff>
    </xdr:from>
    <xdr:to>
      <xdr:col>3</xdr:col>
      <xdr:colOff>276225</xdr:colOff>
      <xdr:row>6</xdr:row>
      <xdr:rowOff>220663</xdr:rowOff>
    </xdr:to>
    <xdr:cxnSp macro="">
      <xdr:nvCxnSpPr>
        <xdr:cNvPr id="2" name="Straight Connector 1"/>
        <xdr:cNvCxnSpPr/>
      </xdr:nvCxnSpPr>
      <xdr:spPr>
        <a:xfrm>
          <a:off x="3448050" y="1647825"/>
          <a:ext cx="6096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6</xdr:row>
      <xdr:rowOff>219075</xdr:rowOff>
    </xdr:from>
    <xdr:to>
      <xdr:col>3</xdr:col>
      <xdr:colOff>276225</xdr:colOff>
      <xdr:row>6</xdr:row>
      <xdr:rowOff>220663</xdr:rowOff>
    </xdr:to>
    <xdr:cxnSp macro="">
      <xdr:nvCxnSpPr>
        <xdr:cNvPr id="2" name="Straight Connector 1"/>
        <xdr:cNvCxnSpPr/>
      </xdr:nvCxnSpPr>
      <xdr:spPr>
        <a:xfrm>
          <a:off x="3448050" y="1647825"/>
          <a:ext cx="6096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6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8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9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60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2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358"/>
  <sheetViews>
    <sheetView tabSelected="1" workbookViewId="0"/>
  </sheetViews>
  <sheetFormatPr defaultColWidth="9.140625" defaultRowHeight="15"/>
  <cols>
    <col min="1" max="1" width="6.28515625" customWidth="1"/>
    <col min="2" max="2" width="16.7109375" customWidth="1"/>
    <col min="3" max="3" width="21.5703125" customWidth="1"/>
    <col min="4" max="4" width="29.28515625" customWidth="1"/>
    <col min="5" max="5" width="55.28515625" customWidth="1"/>
  </cols>
  <sheetData>
    <row r="1" spans="1: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>
      <c r="A2" s="2">
        <v>1</v>
      </c>
      <c r="B2" s="2" t="s">
        <v>6</v>
      </c>
      <c r="C2" s="2" t="s">
        <v>7</v>
      </c>
      <c r="D2" s="2" t="s">
        <v>8</v>
      </c>
      <c r="E2" s="6" t="s">
        <v>9</v>
      </c>
    </row>
    <row r="3" spans="1:5">
      <c r="A3" s="2">
        <v>2</v>
      </c>
      <c r="B3" s="2" t="s">
        <v>6</v>
      </c>
      <c r="C3" s="2" t="s">
        <v>7</v>
      </c>
      <c r="D3" s="2" t="s">
        <v>8</v>
      </c>
      <c r="E3" s="6" t="s">
        <v>10</v>
      </c>
    </row>
    <row r="4" spans="1:5">
      <c r="A4" s="2">
        <v>3</v>
      </c>
      <c r="B4" s="2" t="s">
        <v>6</v>
      </c>
      <c r="C4" s="2" t="s">
        <v>7</v>
      </c>
      <c r="D4" s="2" t="s">
        <v>8</v>
      </c>
      <c r="E4" s="6" t="s">
        <v>11</v>
      </c>
    </row>
    <row r="5" spans="1:5">
      <c r="A5" s="2">
        <v>4</v>
      </c>
      <c r="B5" s="2" t="s">
        <v>6</v>
      </c>
      <c r="C5" s="2" t="s">
        <v>7</v>
      </c>
      <c r="D5" s="2" t="s">
        <v>8</v>
      </c>
      <c r="E5" s="6" t="s">
        <v>12</v>
      </c>
    </row>
    <row r="6" spans="1:5">
      <c r="A6" s="2">
        <v>5</v>
      </c>
      <c r="B6" s="2" t="s">
        <v>6</v>
      </c>
      <c r="C6" s="2" t="s">
        <v>7</v>
      </c>
      <c r="D6" s="2" t="s">
        <v>8</v>
      </c>
      <c r="E6" s="6" t="s">
        <v>13</v>
      </c>
    </row>
    <row r="7" spans="1:5">
      <c r="A7" s="2">
        <v>6</v>
      </c>
      <c r="B7" s="2" t="s">
        <v>6</v>
      </c>
      <c r="C7" s="2" t="s">
        <v>7</v>
      </c>
      <c r="D7" s="2" t="s">
        <v>8</v>
      </c>
      <c r="E7" s="6" t="s">
        <v>14</v>
      </c>
    </row>
    <row r="8" spans="1:5">
      <c r="A8" s="2">
        <v>7</v>
      </c>
      <c r="B8" s="2" t="s">
        <v>6</v>
      </c>
      <c r="C8" s="2" t="s">
        <v>7</v>
      </c>
      <c r="D8" s="2" t="s">
        <v>8</v>
      </c>
      <c r="E8" s="6" t="s">
        <v>15</v>
      </c>
    </row>
    <row r="9" spans="1:5">
      <c r="A9" s="2">
        <v>8</v>
      </c>
      <c r="B9" s="2" t="s">
        <v>6</v>
      </c>
      <c r="C9" s="2" t="s">
        <v>7</v>
      </c>
      <c r="D9" s="2" t="s">
        <v>8</v>
      </c>
      <c r="E9" s="6" t="s">
        <v>16</v>
      </c>
    </row>
    <row r="10" spans="1:5">
      <c r="A10" s="2">
        <v>9</v>
      </c>
      <c r="B10" s="2" t="s">
        <v>6</v>
      </c>
      <c r="C10" s="2" t="s">
        <v>7</v>
      </c>
      <c r="D10" s="2" t="s">
        <v>8</v>
      </c>
      <c r="E10" s="6" t="s">
        <v>17</v>
      </c>
    </row>
    <row r="11" spans="1:5">
      <c r="A11" s="2">
        <v>10</v>
      </c>
      <c r="B11" s="2" t="s">
        <v>6</v>
      </c>
      <c r="C11" s="2" t="s">
        <v>7</v>
      </c>
      <c r="D11" s="2" t="s">
        <v>8</v>
      </c>
      <c r="E11" s="6" t="s">
        <v>18</v>
      </c>
    </row>
    <row r="12" spans="1:5">
      <c r="A12" s="2">
        <v>11</v>
      </c>
      <c r="B12" s="2" t="s">
        <v>6</v>
      </c>
      <c r="C12" s="2" t="s">
        <v>7</v>
      </c>
      <c r="D12" s="2" t="s">
        <v>8</v>
      </c>
      <c r="E12" s="6" t="s">
        <v>19</v>
      </c>
    </row>
    <row r="13" spans="1:5">
      <c r="A13" s="2">
        <v>12</v>
      </c>
      <c r="B13" s="2" t="s">
        <v>6</v>
      </c>
      <c r="C13" s="2" t="s">
        <v>7</v>
      </c>
      <c r="D13" s="2" t="s">
        <v>8</v>
      </c>
      <c r="E13" s="6" t="s">
        <v>20</v>
      </c>
    </row>
    <row r="14" spans="1:5">
      <c r="A14" s="2">
        <v>13</v>
      </c>
      <c r="B14" s="2" t="s">
        <v>6</v>
      </c>
      <c r="C14" s="2" t="s">
        <v>7</v>
      </c>
      <c r="D14" s="2" t="s">
        <v>21</v>
      </c>
      <c r="E14" s="7" t="s">
        <v>22</v>
      </c>
    </row>
    <row r="15" spans="1:5">
      <c r="A15" s="2">
        <v>14</v>
      </c>
      <c r="B15" s="2" t="s">
        <v>6</v>
      </c>
      <c r="C15" s="2" t="s">
        <v>7</v>
      </c>
      <c r="D15" s="2" t="s">
        <v>21</v>
      </c>
      <c r="E15" s="7" t="s">
        <v>23</v>
      </c>
    </row>
    <row r="16" spans="1:5">
      <c r="A16" s="2">
        <v>15</v>
      </c>
      <c r="B16" s="2" t="s">
        <v>6</v>
      </c>
      <c r="C16" s="2" t="s">
        <v>7</v>
      </c>
      <c r="D16" s="2" t="s">
        <v>21</v>
      </c>
      <c r="E16" s="7" t="s">
        <v>24</v>
      </c>
    </row>
    <row r="17" spans="1:5">
      <c r="A17" s="2">
        <v>16</v>
      </c>
      <c r="B17" s="2" t="s">
        <v>6</v>
      </c>
      <c r="C17" s="2" t="s">
        <v>7</v>
      </c>
      <c r="D17" s="2" t="s">
        <v>21</v>
      </c>
      <c r="E17" s="7" t="s">
        <v>25</v>
      </c>
    </row>
    <row r="18" spans="1:5">
      <c r="A18" s="2">
        <v>17</v>
      </c>
      <c r="B18" s="2" t="s">
        <v>6</v>
      </c>
      <c r="C18" s="2" t="s">
        <v>7</v>
      </c>
      <c r="D18" s="2" t="s">
        <v>21</v>
      </c>
      <c r="E18" s="7" t="s">
        <v>26</v>
      </c>
    </row>
    <row r="19" spans="1:5">
      <c r="A19" s="2">
        <v>18</v>
      </c>
      <c r="B19" s="2" t="s">
        <v>6</v>
      </c>
      <c r="C19" s="2" t="s">
        <v>7</v>
      </c>
      <c r="D19" s="2" t="s">
        <v>21</v>
      </c>
      <c r="E19" s="7" t="s">
        <v>27</v>
      </c>
    </row>
    <row r="20" spans="1:5">
      <c r="A20" s="2">
        <v>19</v>
      </c>
      <c r="B20" s="2" t="s">
        <v>6</v>
      </c>
      <c r="C20" s="2" t="s">
        <v>7</v>
      </c>
      <c r="D20" s="2" t="s">
        <v>21</v>
      </c>
      <c r="E20" s="7" t="s">
        <v>28</v>
      </c>
    </row>
    <row r="21" spans="1:5">
      <c r="A21" s="2">
        <v>20</v>
      </c>
      <c r="B21" s="2" t="s">
        <v>6</v>
      </c>
      <c r="C21" s="2" t="s">
        <v>7</v>
      </c>
      <c r="D21" s="2" t="s">
        <v>21</v>
      </c>
      <c r="E21" s="7" t="s">
        <v>29</v>
      </c>
    </row>
    <row r="22" spans="1:5">
      <c r="A22" s="2">
        <v>21</v>
      </c>
      <c r="B22" s="2" t="s">
        <v>6</v>
      </c>
      <c r="C22" s="2" t="s">
        <v>7</v>
      </c>
      <c r="D22" s="2" t="s">
        <v>21</v>
      </c>
      <c r="E22" s="7" t="s">
        <v>30</v>
      </c>
    </row>
    <row r="23" spans="1:5">
      <c r="A23" s="2">
        <v>22</v>
      </c>
      <c r="B23" s="2" t="s">
        <v>6</v>
      </c>
      <c r="C23" s="2" t="s">
        <v>7</v>
      </c>
      <c r="D23" s="2" t="s">
        <v>21</v>
      </c>
      <c r="E23" s="7" t="s">
        <v>31</v>
      </c>
    </row>
    <row r="24" spans="1:5">
      <c r="A24" s="2">
        <v>23</v>
      </c>
      <c r="B24" s="2" t="s">
        <v>6</v>
      </c>
      <c r="C24" s="2" t="s">
        <v>7</v>
      </c>
      <c r="D24" s="2" t="s">
        <v>21</v>
      </c>
      <c r="E24" s="7" t="s">
        <v>32</v>
      </c>
    </row>
    <row r="25" spans="1:5">
      <c r="A25" s="2">
        <v>24</v>
      </c>
      <c r="B25" s="2" t="s">
        <v>6</v>
      </c>
      <c r="C25" s="2" t="s">
        <v>33</v>
      </c>
      <c r="D25" s="80" t="s">
        <v>34</v>
      </c>
      <c r="E25" s="6" t="s">
        <v>35</v>
      </c>
    </row>
    <row r="26" spans="1:5">
      <c r="A26" s="2">
        <v>25</v>
      </c>
      <c r="B26" s="2" t="s">
        <v>6</v>
      </c>
      <c r="C26" s="2" t="s">
        <v>33</v>
      </c>
      <c r="D26" s="80" t="s">
        <v>34</v>
      </c>
      <c r="E26" s="6" t="s">
        <v>36</v>
      </c>
    </row>
    <row r="27" spans="1:5">
      <c r="A27" s="2">
        <v>26</v>
      </c>
      <c r="B27" s="2" t="s">
        <v>6</v>
      </c>
      <c r="C27" s="2" t="s">
        <v>33</v>
      </c>
      <c r="D27" s="80" t="s">
        <v>34</v>
      </c>
      <c r="E27" s="6" t="s">
        <v>37</v>
      </c>
    </row>
    <row r="28" spans="1:5">
      <c r="A28" s="2">
        <v>27</v>
      </c>
      <c r="B28" s="2" t="s">
        <v>6</v>
      </c>
      <c r="C28" s="2" t="s">
        <v>33</v>
      </c>
      <c r="D28" s="80" t="s">
        <v>34</v>
      </c>
      <c r="E28" s="6" t="s">
        <v>38</v>
      </c>
    </row>
    <row r="29" spans="1:5">
      <c r="A29" s="2">
        <v>28</v>
      </c>
      <c r="B29" s="2" t="s">
        <v>6</v>
      </c>
      <c r="C29" s="2" t="s">
        <v>33</v>
      </c>
      <c r="D29" s="80" t="s">
        <v>34</v>
      </c>
      <c r="E29" s="6" t="s">
        <v>39</v>
      </c>
    </row>
    <row r="30" spans="1:5">
      <c r="A30" s="2">
        <v>29</v>
      </c>
      <c r="B30" s="2" t="s">
        <v>6</v>
      </c>
      <c r="C30" s="2" t="s">
        <v>33</v>
      </c>
      <c r="D30" s="80" t="s">
        <v>34</v>
      </c>
      <c r="E30" s="6" t="s">
        <v>40</v>
      </c>
    </row>
    <row r="31" spans="1:5">
      <c r="A31" s="2">
        <v>30</v>
      </c>
      <c r="B31" s="2" t="s">
        <v>6</v>
      </c>
      <c r="C31" s="2" t="s">
        <v>33</v>
      </c>
      <c r="D31" s="80" t="s">
        <v>34</v>
      </c>
      <c r="E31" s="6" t="s">
        <v>41</v>
      </c>
    </row>
    <row r="32" spans="1:5">
      <c r="A32" s="2">
        <v>31</v>
      </c>
      <c r="B32" s="2" t="s">
        <v>6</v>
      </c>
      <c r="C32" s="2" t="s">
        <v>33</v>
      </c>
      <c r="D32" s="80" t="s">
        <v>34</v>
      </c>
      <c r="E32" s="6" t="s">
        <v>42</v>
      </c>
    </row>
    <row r="33" spans="1:5">
      <c r="A33" s="2">
        <v>32</v>
      </c>
      <c r="B33" s="2" t="s">
        <v>6</v>
      </c>
      <c r="C33" s="2" t="s">
        <v>33</v>
      </c>
      <c r="D33" s="80" t="s">
        <v>34</v>
      </c>
      <c r="E33" s="6" t="s">
        <v>43</v>
      </c>
    </row>
    <row r="34" spans="1:5">
      <c r="A34" s="2">
        <v>33</v>
      </c>
      <c r="B34" s="2" t="s">
        <v>6</v>
      </c>
      <c r="C34" s="2" t="s">
        <v>33</v>
      </c>
      <c r="D34" s="80" t="s">
        <v>34</v>
      </c>
      <c r="E34" s="6" t="s">
        <v>44</v>
      </c>
    </row>
    <row r="35" spans="1:5">
      <c r="A35" s="2">
        <v>34</v>
      </c>
      <c r="B35" s="2" t="s">
        <v>6</v>
      </c>
      <c r="C35" s="2" t="s">
        <v>33</v>
      </c>
      <c r="D35" s="80" t="s">
        <v>34</v>
      </c>
      <c r="E35" s="6" t="s">
        <v>45</v>
      </c>
    </row>
    <row r="36" spans="1:5">
      <c r="A36" s="2">
        <v>35</v>
      </c>
      <c r="B36" s="2" t="s">
        <v>6</v>
      </c>
      <c r="C36" s="2" t="s">
        <v>33</v>
      </c>
      <c r="D36" s="80" t="s">
        <v>34</v>
      </c>
      <c r="E36" s="6" t="s">
        <v>46</v>
      </c>
    </row>
    <row r="37" spans="1:5">
      <c r="A37" s="2">
        <v>36</v>
      </c>
      <c r="B37" s="2" t="s">
        <v>6</v>
      </c>
      <c r="C37" s="2" t="s">
        <v>33</v>
      </c>
      <c r="D37" s="80" t="s">
        <v>34</v>
      </c>
      <c r="E37" s="6" t="s">
        <v>47</v>
      </c>
    </row>
    <row r="38" spans="1:5">
      <c r="A38" s="2">
        <v>37</v>
      </c>
      <c r="B38" s="4" t="s">
        <v>6</v>
      </c>
      <c r="C38" s="4" t="s">
        <v>33</v>
      </c>
      <c r="D38" s="4" t="s">
        <v>3089</v>
      </c>
      <c r="E38" s="345" t="s">
        <v>3090</v>
      </c>
    </row>
    <row r="39" spans="1:5">
      <c r="A39" s="2">
        <v>38</v>
      </c>
      <c r="B39" s="4" t="s">
        <v>6</v>
      </c>
      <c r="C39" s="4" t="s">
        <v>33</v>
      </c>
      <c r="D39" s="4" t="s">
        <v>3089</v>
      </c>
      <c r="E39" s="345" t="s">
        <v>3091</v>
      </c>
    </row>
    <row r="40" spans="1:5">
      <c r="A40" s="2">
        <v>39</v>
      </c>
      <c r="B40" s="4" t="s">
        <v>6</v>
      </c>
      <c r="C40" s="4" t="s">
        <v>33</v>
      </c>
      <c r="D40" s="4" t="s">
        <v>3089</v>
      </c>
      <c r="E40" s="345" t="s">
        <v>3092</v>
      </c>
    </row>
    <row r="41" spans="1:5">
      <c r="A41" s="2">
        <v>40</v>
      </c>
      <c r="B41" s="4" t="s">
        <v>6</v>
      </c>
      <c r="C41" s="4" t="s">
        <v>33</v>
      </c>
      <c r="D41" s="4" t="s">
        <v>3089</v>
      </c>
      <c r="E41" s="345" t="s">
        <v>3093</v>
      </c>
    </row>
    <row r="42" spans="1:5">
      <c r="A42" s="2">
        <v>41</v>
      </c>
      <c r="B42" s="4" t="s">
        <v>6</v>
      </c>
      <c r="C42" s="4" t="s">
        <v>33</v>
      </c>
      <c r="D42" s="4" t="s">
        <v>3089</v>
      </c>
      <c r="E42" s="345" t="s">
        <v>3094</v>
      </c>
    </row>
    <row r="43" spans="1:5">
      <c r="A43" s="2">
        <v>42</v>
      </c>
      <c r="B43" s="4" t="s">
        <v>6</v>
      </c>
      <c r="C43" s="4" t="s">
        <v>33</v>
      </c>
      <c r="D43" s="4" t="s">
        <v>3089</v>
      </c>
      <c r="E43" s="345" t="s">
        <v>3095</v>
      </c>
    </row>
    <row r="44" spans="1:5">
      <c r="A44" s="2">
        <v>43</v>
      </c>
      <c r="B44" s="4" t="s">
        <v>6</v>
      </c>
      <c r="C44" s="4" t="s">
        <v>33</v>
      </c>
      <c r="D44" s="4" t="s">
        <v>3089</v>
      </c>
      <c r="E44" s="345" t="s">
        <v>3096</v>
      </c>
    </row>
    <row r="45" spans="1:5">
      <c r="A45" s="2">
        <v>44</v>
      </c>
      <c r="B45" s="4" t="s">
        <v>6</v>
      </c>
      <c r="C45" s="4" t="s">
        <v>33</v>
      </c>
      <c r="D45" s="4" t="s">
        <v>3089</v>
      </c>
      <c r="E45" s="345" t="s">
        <v>3097</v>
      </c>
    </row>
    <row r="46" spans="1:5">
      <c r="A46" s="2">
        <v>45</v>
      </c>
      <c r="B46" s="4" t="s">
        <v>6</v>
      </c>
      <c r="C46" s="4" t="s">
        <v>33</v>
      </c>
      <c r="D46" s="4" t="s">
        <v>3089</v>
      </c>
      <c r="E46" s="345" t="s">
        <v>3098</v>
      </c>
    </row>
    <row r="47" spans="1:5">
      <c r="A47" s="2">
        <v>46</v>
      </c>
      <c r="B47" s="4" t="s">
        <v>6</v>
      </c>
      <c r="C47" s="4" t="s">
        <v>33</v>
      </c>
      <c r="D47" s="4" t="s">
        <v>3089</v>
      </c>
      <c r="E47" s="345" t="s">
        <v>3099</v>
      </c>
    </row>
    <row r="48" spans="1:5">
      <c r="A48" s="2">
        <v>47</v>
      </c>
      <c r="B48" s="4" t="s">
        <v>6</v>
      </c>
      <c r="C48" s="4" t="s">
        <v>33</v>
      </c>
      <c r="D48" s="4" t="s">
        <v>3089</v>
      </c>
      <c r="E48" s="345" t="s">
        <v>3100</v>
      </c>
    </row>
    <row r="49" spans="1:5">
      <c r="A49" s="2">
        <v>48</v>
      </c>
      <c r="B49" s="4" t="s">
        <v>6</v>
      </c>
      <c r="C49" s="4" t="s">
        <v>33</v>
      </c>
      <c r="D49" s="4" t="s">
        <v>3089</v>
      </c>
      <c r="E49" s="345" t="s">
        <v>3101</v>
      </c>
    </row>
    <row r="50" spans="1:5">
      <c r="A50" s="2">
        <v>49</v>
      </c>
      <c r="B50" s="4" t="s">
        <v>6</v>
      </c>
      <c r="C50" s="4" t="s">
        <v>3102</v>
      </c>
      <c r="D50" s="4" t="s">
        <v>3103</v>
      </c>
      <c r="E50" s="345" t="s">
        <v>3104</v>
      </c>
    </row>
    <row r="51" spans="1:5">
      <c r="A51" s="2">
        <v>50</v>
      </c>
      <c r="B51" s="4" t="s">
        <v>6</v>
      </c>
      <c r="C51" s="4" t="s">
        <v>3102</v>
      </c>
      <c r="D51" s="4" t="s">
        <v>3103</v>
      </c>
      <c r="E51" s="345" t="s">
        <v>3105</v>
      </c>
    </row>
    <row r="52" spans="1:5">
      <c r="A52" s="2">
        <v>51</v>
      </c>
      <c r="B52" s="4" t="s">
        <v>6</v>
      </c>
      <c r="C52" s="4" t="s">
        <v>3102</v>
      </c>
      <c r="D52" s="4" t="s">
        <v>3103</v>
      </c>
      <c r="E52" s="345" t="s">
        <v>3106</v>
      </c>
    </row>
    <row r="53" spans="1:5">
      <c r="A53" s="2">
        <v>52</v>
      </c>
      <c r="B53" s="4" t="s">
        <v>6</v>
      </c>
      <c r="C53" s="4" t="s">
        <v>3102</v>
      </c>
      <c r="D53" s="4" t="s">
        <v>3103</v>
      </c>
      <c r="E53" s="345" t="s">
        <v>3107</v>
      </c>
    </row>
    <row r="54" spans="1:5">
      <c r="A54" s="2">
        <v>53</v>
      </c>
      <c r="B54" s="4" t="s">
        <v>6</v>
      </c>
      <c r="C54" s="4" t="s">
        <v>3102</v>
      </c>
      <c r="D54" s="4" t="s">
        <v>3103</v>
      </c>
      <c r="E54" s="345" t="s">
        <v>3108</v>
      </c>
    </row>
    <row r="55" spans="1:5">
      <c r="A55" s="2">
        <v>54</v>
      </c>
      <c r="B55" s="4" t="s">
        <v>6</v>
      </c>
      <c r="C55" s="4" t="s">
        <v>3102</v>
      </c>
      <c r="D55" s="4" t="s">
        <v>3103</v>
      </c>
      <c r="E55" s="345" t="s">
        <v>3109</v>
      </c>
    </row>
    <row r="56" spans="1:5">
      <c r="A56" s="2">
        <v>55</v>
      </c>
      <c r="B56" s="4" t="s">
        <v>6</v>
      </c>
      <c r="C56" s="4" t="s">
        <v>3102</v>
      </c>
      <c r="D56" s="4" t="s">
        <v>3103</v>
      </c>
      <c r="E56" s="345" t="s">
        <v>3110</v>
      </c>
    </row>
    <row r="57" spans="1:5">
      <c r="A57" s="2">
        <v>56</v>
      </c>
      <c r="B57" s="4" t="s">
        <v>6</v>
      </c>
      <c r="C57" s="4" t="s">
        <v>3102</v>
      </c>
      <c r="D57" s="4" t="s">
        <v>3103</v>
      </c>
      <c r="E57" s="345" t="s">
        <v>3111</v>
      </c>
    </row>
    <row r="58" spans="1:5">
      <c r="A58" s="2">
        <v>57</v>
      </c>
      <c r="B58" s="4" t="s">
        <v>6</v>
      </c>
      <c r="C58" s="4" t="s">
        <v>3102</v>
      </c>
      <c r="D58" s="4" t="s">
        <v>3103</v>
      </c>
      <c r="E58" s="345" t="s">
        <v>3112</v>
      </c>
    </row>
    <row r="59" spans="1:5">
      <c r="A59" s="2">
        <v>58</v>
      </c>
      <c r="B59" s="4" t="s">
        <v>6</v>
      </c>
      <c r="C59" s="4" t="s">
        <v>3102</v>
      </c>
      <c r="D59" s="4" t="s">
        <v>3103</v>
      </c>
      <c r="E59" s="345" t="s">
        <v>3113</v>
      </c>
    </row>
    <row r="60" spans="1:5">
      <c r="A60" s="2">
        <v>59</v>
      </c>
      <c r="B60" s="4" t="s">
        <v>48</v>
      </c>
      <c r="C60" s="4" t="s">
        <v>49</v>
      </c>
      <c r="D60" s="4" t="s">
        <v>50</v>
      </c>
      <c r="E60" s="418" t="s">
        <v>51</v>
      </c>
    </row>
    <row r="61" spans="1:5">
      <c r="A61" s="2">
        <v>60</v>
      </c>
      <c r="B61" s="4" t="s">
        <v>48</v>
      </c>
      <c r="C61" s="4" t="s">
        <v>49</v>
      </c>
      <c r="D61" s="4" t="s">
        <v>50</v>
      </c>
      <c r="E61" s="345" t="s">
        <v>52</v>
      </c>
    </row>
    <row r="62" spans="1:5">
      <c r="A62" s="2">
        <v>61</v>
      </c>
      <c r="B62" s="4" t="s">
        <v>48</v>
      </c>
      <c r="C62" s="4" t="s">
        <v>49</v>
      </c>
      <c r="D62" s="4" t="s">
        <v>50</v>
      </c>
      <c r="E62" s="345" t="s">
        <v>53</v>
      </c>
    </row>
    <row r="63" spans="1:5">
      <c r="A63" s="2">
        <v>62</v>
      </c>
      <c r="B63" s="4" t="s">
        <v>48</v>
      </c>
      <c r="C63" s="4" t="s">
        <v>49</v>
      </c>
      <c r="D63" s="4" t="s">
        <v>50</v>
      </c>
      <c r="E63" s="345" t="s">
        <v>54</v>
      </c>
    </row>
    <row r="64" spans="1:5">
      <c r="A64" s="2">
        <v>63</v>
      </c>
      <c r="B64" s="4" t="s">
        <v>48</v>
      </c>
      <c r="C64" s="4" t="s">
        <v>49</v>
      </c>
      <c r="D64" s="4" t="s">
        <v>50</v>
      </c>
      <c r="E64" s="345" t="s">
        <v>55</v>
      </c>
    </row>
    <row r="65" spans="1:5">
      <c r="A65" s="2">
        <v>64</v>
      </c>
      <c r="B65" s="4" t="s">
        <v>48</v>
      </c>
      <c r="C65" s="4" t="s">
        <v>49</v>
      </c>
      <c r="D65" s="4" t="s">
        <v>50</v>
      </c>
      <c r="E65" s="345" t="s">
        <v>56</v>
      </c>
    </row>
    <row r="66" spans="1:5">
      <c r="A66" s="2">
        <v>65</v>
      </c>
      <c r="B66" s="4" t="s">
        <v>48</v>
      </c>
      <c r="C66" s="4" t="s">
        <v>49</v>
      </c>
      <c r="D66" s="4" t="s">
        <v>50</v>
      </c>
      <c r="E66" s="345" t="s">
        <v>57</v>
      </c>
    </row>
    <row r="67" spans="1:5">
      <c r="A67" s="2">
        <v>66</v>
      </c>
      <c r="B67" s="4" t="s">
        <v>48</v>
      </c>
      <c r="C67" s="4" t="s">
        <v>49</v>
      </c>
      <c r="D67" s="4" t="s">
        <v>50</v>
      </c>
      <c r="E67" s="345" t="s">
        <v>58</v>
      </c>
    </row>
    <row r="68" spans="1:5">
      <c r="A68" s="2">
        <v>67</v>
      </c>
      <c r="B68" s="4" t="s">
        <v>48</v>
      </c>
      <c r="C68" s="4" t="s">
        <v>49</v>
      </c>
      <c r="D68" s="4" t="s">
        <v>50</v>
      </c>
      <c r="E68" s="345" t="s">
        <v>59</v>
      </c>
    </row>
    <row r="69" spans="1:5">
      <c r="A69" s="2">
        <v>68</v>
      </c>
      <c r="B69" s="4" t="s">
        <v>48</v>
      </c>
      <c r="C69" s="4" t="s">
        <v>49</v>
      </c>
      <c r="D69" s="4" t="s">
        <v>50</v>
      </c>
      <c r="E69" s="345" t="s">
        <v>60</v>
      </c>
    </row>
    <row r="70" spans="1:5">
      <c r="A70" s="2">
        <v>69</v>
      </c>
      <c r="B70" s="4" t="s">
        <v>48</v>
      </c>
      <c r="C70" s="4" t="s">
        <v>61</v>
      </c>
      <c r="D70" s="4" t="s">
        <v>62</v>
      </c>
      <c r="E70" s="79" t="s">
        <v>63</v>
      </c>
    </row>
    <row r="71" spans="1:5">
      <c r="A71" s="2">
        <v>70</v>
      </c>
      <c r="B71" s="4" t="s">
        <v>48</v>
      </c>
      <c r="C71" s="4" t="s">
        <v>61</v>
      </c>
      <c r="D71" s="4" t="s">
        <v>62</v>
      </c>
      <c r="E71" s="79" t="s">
        <v>64</v>
      </c>
    </row>
    <row r="72" spans="1:5">
      <c r="A72" s="2">
        <v>71</v>
      </c>
      <c r="B72" s="4" t="s">
        <v>48</v>
      </c>
      <c r="C72" s="4" t="s">
        <v>61</v>
      </c>
      <c r="D72" s="4" t="s">
        <v>62</v>
      </c>
      <c r="E72" s="79" t="s">
        <v>65</v>
      </c>
    </row>
    <row r="73" spans="1:5">
      <c r="A73" s="2">
        <v>72</v>
      </c>
      <c r="B73" s="4" t="s">
        <v>48</v>
      </c>
      <c r="C73" s="4" t="s">
        <v>61</v>
      </c>
      <c r="D73" s="4" t="s">
        <v>62</v>
      </c>
      <c r="E73" s="79" t="s">
        <v>66</v>
      </c>
    </row>
    <row r="74" spans="1:5">
      <c r="A74" s="2">
        <v>73</v>
      </c>
      <c r="B74" s="4" t="s">
        <v>48</v>
      </c>
      <c r="C74" s="4" t="s">
        <v>61</v>
      </c>
      <c r="D74" s="4" t="s">
        <v>62</v>
      </c>
      <c r="E74" s="79" t="s">
        <v>67</v>
      </c>
    </row>
    <row r="75" spans="1:5">
      <c r="A75" s="2">
        <v>74</v>
      </c>
      <c r="B75" s="4" t="s">
        <v>48</v>
      </c>
      <c r="C75" s="4" t="s">
        <v>61</v>
      </c>
      <c r="D75" s="4" t="s">
        <v>62</v>
      </c>
      <c r="E75" s="79" t="s">
        <v>68</v>
      </c>
    </row>
    <row r="76" spans="1:5">
      <c r="A76" s="2">
        <v>75</v>
      </c>
      <c r="B76" s="4" t="s">
        <v>48</v>
      </c>
      <c r="C76" s="4" t="s">
        <v>61</v>
      </c>
      <c r="D76" s="4" t="s">
        <v>62</v>
      </c>
      <c r="E76" s="79" t="s">
        <v>69</v>
      </c>
    </row>
    <row r="77" spans="1:5">
      <c r="A77" s="2">
        <v>76</v>
      </c>
      <c r="B77" s="4" t="s">
        <v>48</v>
      </c>
      <c r="C77" s="4" t="s">
        <v>61</v>
      </c>
      <c r="D77" s="4" t="s">
        <v>62</v>
      </c>
      <c r="E77" s="79" t="s">
        <v>70</v>
      </c>
    </row>
    <row r="78" spans="1:5">
      <c r="A78" s="2">
        <v>77</v>
      </c>
      <c r="B78" s="4" t="s">
        <v>48</v>
      </c>
      <c r="C78" s="4" t="s">
        <v>61</v>
      </c>
      <c r="D78" s="4" t="s">
        <v>62</v>
      </c>
      <c r="E78" s="79" t="s">
        <v>71</v>
      </c>
    </row>
    <row r="79" spans="1:5">
      <c r="A79" s="2">
        <v>78</v>
      </c>
      <c r="B79" s="4" t="s">
        <v>48</v>
      </c>
      <c r="C79" s="4" t="s">
        <v>61</v>
      </c>
      <c r="D79" s="4" t="s">
        <v>62</v>
      </c>
      <c r="E79" s="79" t="s">
        <v>72</v>
      </c>
    </row>
    <row r="80" spans="1:5">
      <c r="A80" s="2">
        <v>79</v>
      </c>
      <c r="B80" s="4" t="s">
        <v>48</v>
      </c>
      <c r="C80" s="4" t="s">
        <v>73</v>
      </c>
      <c r="D80" s="4" t="s">
        <v>74</v>
      </c>
      <c r="E80" s="272" t="s">
        <v>75</v>
      </c>
    </row>
    <row r="81" spans="1:5">
      <c r="A81" s="2">
        <v>80</v>
      </c>
      <c r="B81" s="4" t="s">
        <v>48</v>
      </c>
      <c r="C81" s="4" t="s">
        <v>73</v>
      </c>
      <c r="D81" s="4" t="s">
        <v>74</v>
      </c>
      <c r="E81" s="272" t="s">
        <v>76</v>
      </c>
    </row>
    <row r="82" spans="1:5">
      <c r="A82" s="2">
        <v>81</v>
      </c>
      <c r="B82" s="4" t="s">
        <v>48</v>
      </c>
      <c r="C82" s="4" t="s">
        <v>73</v>
      </c>
      <c r="D82" s="4" t="s">
        <v>74</v>
      </c>
      <c r="E82" s="272" t="s">
        <v>77</v>
      </c>
    </row>
    <row r="83" spans="1:5">
      <c r="A83" s="2">
        <v>82</v>
      </c>
      <c r="B83" s="4" t="s">
        <v>48</v>
      </c>
      <c r="C83" s="4" t="s">
        <v>73</v>
      </c>
      <c r="D83" s="4" t="s">
        <v>74</v>
      </c>
      <c r="E83" s="272" t="s">
        <v>78</v>
      </c>
    </row>
    <row r="84" spans="1:5">
      <c r="A84" s="2">
        <v>83</v>
      </c>
      <c r="B84" s="4" t="s">
        <v>48</v>
      </c>
      <c r="C84" s="4" t="s">
        <v>73</v>
      </c>
      <c r="D84" s="4" t="s">
        <v>74</v>
      </c>
      <c r="E84" s="272" t="s">
        <v>79</v>
      </c>
    </row>
    <row r="85" spans="1:5">
      <c r="A85" s="2">
        <v>84</v>
      </c>
      <c r="B85" s="4" t="s">
        <v>48</v>
      </c>
      <c r="C85" s="4" t="s">
        <v>73</v>
      </c>
      <c r="D85" s="4" t="s">
        <v>74</v>
      </c>
      <c r="E85" s="272" t="s">
        <v>80</v>
      </c>
    </row>
    <row r="86" spans="1:5">
      <c r="A86" s="2">
        <v>85</v>
      </c>
      <c r="B86" s="4" t="s">
        <v>48</v>
      </c>
      <c r="C86" s="4" t="s">
        <v>73</v>
      </c>
      <c r="D86" s="4" t="s">
        <v>74</v>
      </c>
      <c r="E86" s="272" t="s">
        <v>81</v>
      </c>
    </row>
    <row r="87" spans="1:5">
      <c r="A87" s="2">
        <v>86</v>
      </c>
      <c r="B87" s="4" t="s">
        <v>48</v>
      </c>
      <c r="C87" s="4" t="s">
        <v>73</v>
      </c>
      <c r="D87" s="4" t="s">
        <v>74</v>
      </c>
      <c r="E87" s="272" t="s">
        <v>82</v>
      </c>
    </row>
    <row r="88" spans="1:5">
      <c r="A88" s="2">
        <v>87</v>
      </c>
      <c r="B88" s="4" t="s">
        <v>48</v>
      </c>
      <c r="C88" s="4" t="s">
        <v>73</v>
      </c>
      <c r="D88" s="4" t="s">
        <v>74</v>
      </c>
      <c r="E88" s="272" t="s">
        <v>83</v>
      </c>
    </row>
    <row r="89" spans="1:5">
      <c r="A89" s="2">
        <v>88</v>
      </c>
      <c r="B89" s="4" t="s">
        <v>48</v>
      </c>
      <c r="C89" s="4" t="s">
        <v>73</v>
      </c>
      <c r="D89" s="4" t="s">
        <v>74</v>
      </c>
      <c r="E89" s="272" t="s">
        <v>84</v>
      </c>
    </row>
    <row r="90" spans="1:5">
      <c r="A90" s="2">
        <v>89</v>
      </c>
      <c r="B90" s="4" t="s">
        <v>48</v>
      </c>
      <c r="C90" s="4" t="s">
        <v>3114</v>
      </c>
      <c r="D90" s="4" t="s">
        <v>3115</v>
      </c>
      <c r="E90" s="272" t="s">
        <v>3116</v>
      </c>
    </row>
    <row r="91" spans="1:5">
      <c r="A91" s="2">
        <v>90</v>
      </c>
      <c r="B91" s="4" t="s">
        <v>48</v>
      </c>
      <c r="C91" s="4" t="s">
        <v>3114</v>
      </c>
      <c r="D91" s="4" t="s">
        <v>3115</v>
      </c>
      <c r="E91" s="272" t="s">
        <v>3117</v>
      </c>
    </row>
    <row r="92" spans="1:5">
      <c r="A92" s="2">
        <v>91</v>
      </c>
      <c r="B92" s="4" t="s">
        <v>48</v>
      </c>
      <c r="C92" s="4" t="s">
        <v>3114</v>
      </c>
      <c r="D92" s="4" t="s">
        <v>3115</v>
      </c>
      <c r="E92" s="272" t="s">
        <v>3118</v>
      </c>
    </row>
    <row r="93" spans="1:5">
      <c r="A93" s="2">
        <v>92</v>
      </c>
      <c r="B93" s="4" t="s">
        <v>48</v>
      </c>
      <c r="C93" s="4" t="s">
        <v>3114</v>
      </c>
      <c r="D93" s="4" t="s">
        <v>3115</v>
      </c>
      <c r="E93" s="272" t="s">
        <v>3119</v>
      </c>
    </row>
    <row r="94" spans="1:5">
      <c r="A94" s="2">
        <v>93</v>
      </c>
      <c r="B94" s="4" t="s">
        <v>48</v>
      </c>
      <c r="C94" s="4" t="s">
        <v>3114</v>
      </c>
      <c r="D94" s="4" t="s">
        <v>3115</v>
      </c>
      <c r="E94" s="272" t="s">
        <v>3120</v>
      </c>
    </row>
    <row r="95" spans="1:5">
      <c r="A95" s="2">
        <v>94</v>
      </c>
      <c r="B95" s="4" t="s">
        <v>48</v>
      </c>
      <c r="C95" s="4" t="s">
        <v>3114</v>
      </c>
      <c r="D95" s="4" t="s">
        <v>3115</v>
      </c>
      <c r="E95" s="272" t="s">
        <v>3121</v>
      </c>
    </row>
    <row r="96" spans="1:5">
      <c r="A96" s="2">
        <v>95</v>
      </c>
      <c r="B96" s="4" t="s">
        <v>48</v>
      </c>
      <c r="C96" s="4" t="s">
        <v>3114</v>
      </c>
      <c r="D96" s="4" t="s">
        <v>3115</v>
      </c>
      <c r="E96" s="272" t="s">
        <v>3122</v>
      </c>
    </row>
    <row r="97" spans="1:5">
      <c r="A97" s="2">
        <v>96</v>
      </c>
      <c r="B97" s="4" t="s">
        <v>48</v>
      </c>
      <c r="C97" s="4" t="s">
        <v>3114</v>
      </c>
      <c r="D97" s="4" t="s">
        <v>3115</v>
      </c>
      <c r="E97" s="272" t="s">
        <v>3123</v>
      </c>
    </row>
    <row r="98" spans="1:5">
      <c r="A98" s="2">
        <v>97</v>
      </c>
      <c r="B98" s="4" t="s">
        <v>48</v>
      </c>
      <c r="C98" s="4" t="s">
        <v>3114</v>
      </c>
      <c r="D98" s="4" t="s">
        <v>3115</v>
      </c>
      <c r="E98" s="272" t="s">
        <v>3124</v>
      </c>
    </row>
    <row r="99" spans="1:5">
      <c r="A99" s="2">
        <v>98</v>
      </c>
      <c r="B99" s="4" t="s">
        <v>48</v>
      </c>
      <c r="C99" s="4" t="s">
        <v>3114</v>
      </c>
      <c r="D99" s="4" t="s">
        <v>3115</v>
      </c>
      <c r="E99" s="272" t="s">
        <v>3125</v>
      </c>
    </row>
    <row r="100" spans="1:5">
      <c r="A100" s="2">
        <v>99</v>
      </c>
      <c r="B100" s="4" t="s">
        <v>48</v>
      </c>
      <c r="C100" s="4" t="s">
        <v>3126</v>
      </c>
      <c r="D100" s="4" t="s">
        <v>3127</v>
      </c>
      <c r="E100" s="272" t="s">
        <v>3128</v>
      </c>
    </row>
    <row r="101" spans="1:5">
      <c r="A101" s="2">
        <v>100</v>
      </c>
      <c r="B101" s="4" t="s">
        <v>48</v>
      </c>
      <c r="C101" s="4" t="s">
        <v>3126</v>
      </c>
      <c r="D101" s="4" t="s">
        <v>3127</v>
      </c>
      <c r="E101" s="272" t="s">
        <v>3129</v>
      </c>
    </row>
    <row r="102" spans="1:5">
      <c r="A102" s="2">
        <v>101</v>
      </c>
      <c r="B102" s="4" t="s">
        <v>48</v>
      </c>
      <c r="C102" s="4" t="s">
        <v>3126</v>
      </c>
      <c r="D102" s="4" t="s">
        <v>3127</v>
      </c>
      <c r="E102" s="272" t="s">
        <v>3130</v>
      </c>
    </row>
    <row r="103" spans="1:5">
      <c r="A103" s="2">
        <v>102</v>
      </c>
      <c r="B103" s="4" t="s">
        <v>48</v>
      </c>
      <c r="C103" s="4" t="s">
        <v>3126</v>
      </c>
      <c r="D103" s="4" t="s">
        <v>3127</v>
      </c>
      <c r="E103" s="272" t="s">
        <v>3131</v>
      </c>
    </row>
    <row r="104" spans="1:5">
      <c r="A104" s="2">
        <v>103</v>
      </c>
      <c r="B104" s="4" t="s">
        <v>48</v>
      </c>
      <c r="C104" s="4" t="s">
        <v>3126</v>
      </c>
      <c r="D104" s="4" t="s">
        <v>3127</v>
      </c>
      <c r="E104" s="272" t="s">
        <v>3132</v>
      </c>
    </row>
    <row r="105" spans="1:5">
      <c r="A105" s="2">
        <v>104</v>
      </c>
      <c r="B105" s="4" t="s">
        <v>48</v>
      </c>
      <c r="C105" s="4" t="s">
        <v>3126</v>
      </c>
      <c r="D105" s="4" t="s">
        <v>3127</v>
      </c>
      <c r="E105" s="272" t="s">
        <v>3133</v>
      </c>
    </row>
    <row r="106" spans="1:5">
      <c r="A106" s="2">
        <v>105</v>
      </c>
      <c r="B106" s="4" t="s">
        <v>48</v>
      </c>
      <c r="C106" s="4" t="s">
        <v>3126</v>
      </c>
      <c r="D106" s="4" t="s">
        <v>3127</v>
      </c>
      <c r="E106" s="272" t="s">
        <v>3134</v>
      </c>
    </row>
    <row r="107" spans="1:5">
      <c r="A107" s="2">
        <v>106</v>
      </c>
      <c r="B107" s="4" t="s">
        <v>48</v>
      </c>
      <c r="C107" s="4" t="s">
        <v>3126</v>
      </c>
      <c r="D107" s="4" t="s">
        <v>3127</v>
      </c>
      <c r="E107" s="272" t="s">
        <v>3135</v>
      </c>
    </row>
    <row r="108" spans="1:5">
      <c r="A108" s="2">
        <v>107</v>
      </c>
      <c r="B108" s="4" t="s">
        <v>48</v>
      </c>
      <c r="C108" s="4" t="s">
        <v>3126</v>
      </c>
      <c r="D108" s="4" t="s">
        <v>3127</v>
      </c>
      <c r="E108" s="272" t="s">
        <v>3136</v>
      </c>
    </row>
    <row r="109" spans="1:5">
      <c r="A109" s="2">
        <v>108</v>
      </c>
      <c r="B109" s="4" t="s">
        <v>48</v>
      </c>
      <c r="C109" s="4" t="s">
        <v>3126</v>
      </c>
      <c r="D109" s="4" t="s">
        <v>3127</v>
      </c>
      <c r="E109" s="272" t="s">
        <v>3137</v>
      </c>
    </row>
    <row r="110" spans="1:5">
      <c r="A110" s="2">
        <v>109</v>
      </c>
      <c r="B110" s="4" t="s">
        <v>48</v>
      </c>
      <c r="C110" s="4" t="s">
        <v>3013</v>
      </c>
      <c r="D110" s="4" t="s">
        <v>3138</v>
      </c>
      <c r="E110" s="272" t="s">
        <v>3139</v>
      </c>
    </row>
    <row r="111" spans="1:5">
      <c r="A111" s="2">
        <v>110</v>
      </c>
      <c r="B111" s="4" t="s">
        <v>48</v>
      </c>
      <c r="C111" s="4" t="s">
        <v>3013</v>
      </c>
      <c r="D111" s="4" t="s">
        <v>3138</v>
      </c>
      <c r="E111" s="272" t="s">
        <v>3140</v>
      </c>
    </row>
    <row r="112" spans="1:5">
      <c r="A112" s="2">
        <v>111</v>
      </c>
      <c r="B112" s="4" t="s">
        <v>48</v>
      </c>
      <c r="C112" s="4" t="s">
        <v>3013</v>
      </c>
      <c r="D112" s="4" t="s">
        <v>3138</v>
      </c>
      <c r="E112" s="272" t="s">
        <v>3141</v>
      </c>
    </row>
    <row r="113" spans="1:5">
      <c r="A113" s="2">
        <v>112</v>
      </c>
      <c r="B113" s="4" t="s">
        <v>48</v>
      </c>
      <c r="C113" s="4" t="s">
        <v>3013</v>
      </c>
      <c r="D113" s="4" t="s">
        <v>3138</v>
      </c>
      <c r="E113" s="272" t="s">
        <v>3142</v>
      </c>
    </row>
    <row r="114" spans="1:5">
      <c r="A114" s="2">
        <v>113</v>
      </c>
      <c r="B114" s="4" t="s">
        <v>48</v>
      </c>
      <c r="C114" s="4" t="s">
        <v>3013</v>
      </c>
      <c r="D114" s="4" t="s">
        <v>3138</v>
      </c>
      <c r="E114" s="272" t="s">
        <v>3143</v>
      </c>
    </row>
    <row r="115" spans="1:5">
      <c r="A115" s="2">
        <v>114</v>
      </c>
      <c r="B115" s="4" t="s">
        <v>48</v>
      </c>
      <c r="C115" s="4" t="s">
        <v>3013</v>
      </c>
      <c r="D115" s="4" t="s">
        <v>3138</v>
      </c>
      <c r="E115" s="272" t="s">
        <v>3144</v>
      </c>
    </row>
    <row r="116" spans="1:5">
      <c r="A116" s="2">
        <v>115</v>
      </c>
      <c r="B116" s="4" t="s">
        <v>48</v>
      </c>
      <c r="C116" s="4" t="s">
        <v>3013</v>
      </c>
      <c r="D116" s="4" t="s">
        <v>3138</v>
      </c>
      <c r="E116" s="272" t="s">
        <v>3145</v>
      </c>
    </row>
    <row r="117" spans="1:5">
      <c r="A117" s="2">
        <v>116</v>
      </c>
      <c r="B117" s="4" t="s">
        <v>48</v>
      </c>
      <c r="C117" s="4" t="s">
        <v>3013</v>
      </c>
      <c r="D117" s="4" t="s">
        <v>3138</v>
      </c>
      <c r="E117" s="272" t="s">
        <v>3146</v>
      </c>
    </row>
    <row r="118" spans="1:5">
      <c r="A118" s="2">
        <v>117</v>
      </c>
      <c r="B118" s="4" t="s">
        <v>48</v>
      </c>
      <c r="C118" s="4" t="s">
        <v>3013</v>
      </c>
      <c r="D118" s="4" t="s">
        <v>3138</v>
      </c>
      <c r="E118" s="272" t="s">
        <v>3147</v>
      </c>
    </row>
    <row r="119" spans="1:5">
      <c r="A119" s="2">
        <v>118</v>
      </c>
      <c r="B119" s="4" t="s">
        <v>48</v>
      </c>
      <c r="C119" s="4" t="s">
        <v>3013</v>
      </c>
      <c r="D119" s="4" t="s">
        <v>3138</v>
      </c>
      <c r="E119" s="272" t="s">
        <v>3148</v>
      </c>
    </row>
    <row r="120" spans="1:5">
      <c r="A120" s="2">
        <v>119</v>
      </c>
      <c r="B120" s="4" t="s">
        <v>48</v>
      </c>
      <c r="C120" s="4" t="s">
        <v>3149</v>
      </c>
      <c r="D120" s="4" t="s">
        <v>3150</v>
      </c>
      <c r="E120" s="272" t="s">
        <v>3151</v>
      </c>
    </row>
    <row r="121" spans="1:5">
      <c r="A121" s="2">
        <v>120</v>
      </c>
      <c r="B121" s="4" t="s">
        <v>48</v>
      </c>
      <c r="C121" s="4" t="s">
        <v>3149</v>
      </c>
      <c r="D121" s="4" t="s">
        <v>3150</v>
      </c>
      <c r="E121" s="272" t="s">
        <v>3152</v>
      </c>
    </row>
    <row r="122" spans="1:5">
      <c r="A122" s="2">
        <v>121</v>
      </c>
      <c r="B122" s="4" t="s">
        <v>48</v>
      </c>
      <c r="C122" s="4" t="s">
        <v>3149</v>
      </c>
      <c r="D122" s="4" t="s">
        <v>3150</v>
      </c>
      <c r="E122" s="272" t="s">
        <v>3153</v>
      </c>
    </row>
    <row r="123" spans="1:5">
      <c r="A123" s="2">
        <v>122</v>
      </c>
      <c r="B123" s="4" t="s">
        <v>48</v>
      </c>
      <c r="C123" s="4" t="s">
        <v>3149</v>
      </c>
      <c r="D123" s="4" t="s">
        <v>3150</v>
      </c>
      <c r="E123" s="272" t="s">
        <v>3154</v>
      </c>
    </row>
    <row r="124" spans="1:5">
      <c r="A124" s="2">
        <v>123</v>
      </c>
      <c r="B124" s="4" t="s">
        <v>48</v>
      </c>
      <c r="C124" s="4" t="s">
        <v>3149</v>
      </c>
      <c r="D124" s="4" t="s">
        <v>3150</v>
      </c>
      <c r="E124" s="272" t="s">
        <v>3155</v>
      </c>
    </row>
    <row r="125" spans="1:5">
      <c r="A125" s="2">
        <v>124</v>
      </c>
      <c r="B125" s="4" t="s">
        <v>48</v>
      </c>
      <c r="C125" s="4" t="s">
        <v>3149</v>
      </c>
      <c r="D125" s="4" t="s">
        <v>3150</v>
      </c>
      <c r="E125" s="272" t="s">
        <v>3156</v>
      </c>
    </row>
    <row r="126" spans="1:5">
      <c r="A126" s="2">
        <v>125</v>
      </c>
      <c r="B126" s="4" t="s">
        <v>48</v>
      </c>
      <c r="C126" s="4" t="s">
        <v>3149</v>
      </c>
      <c r="D126" s="4" t="s">
        <v>3150</v>
      </c>
      <c r="E126" s="272" t="s">
        <v>3157</v>
      </c>
    </row>
    <row r="127" spans="1:5">
      <c r="A127" s="2">
        <v>126</v>
      </c>
      <c r="B127" s="4" t="s">
        <v>48</v>
      </c>
      <c r="C127" s="4" t="s">
        <v>3149</v>
      </c>
      <c r="D127" s="4" t="s">
        <v>3150</v>
      </c>
      <c r="E127" s="272" t="s">
        <v>3158</v>
      </c>
    </row>
    <row r="128" spans="1:5">
      <c r="A128" s="2">
        <v>127</v>
      </c>
      <c r="B128" s="4" t="s">
        <v>48</v>
      </c>
      <c r="C128" s="4" t="s">
        <v>3149</v>
      </c>
      <c r="D128" s="4" t="s">
        <v>3150</v>
      </c>
      <c r="E128" s="272" t="s">
        <v>3159</v>
      </c>
    </row>
    <row r="129" spans="1:5">
      <c r="A129" s="2">
        <v>128</v>
      </c>
      <c r="B129" s="4" t="s">
        <v>48</v>
      </c>
      <c r="C129" s="4" t="s">
        <v>3149</v>
      </c>
      <c r="D129" s="4" t="s">
        <v>3150</v>
      </c>
      <c r="E129" s="272" t="s">
        <v>3160</v>
      </c>
    </row>
    <row r="130" spans="1:5">
      <c r="A130" s="2">
        <v>129</v>
      </c>
      <c r="B130" s="4" t="s">
        <v>85</v>
      </c>
      <c r="C130" s="4" t="s">
        <v>86</v>
      </c>
      <c r="D130" s="4" t="s">
        <v>87</v>
      </c>
      <c r="E130" s="79" t="s">
        <v>88</v>
      </c>
    </row>
    <row r="131" spans="1:5">
      <c r="A131" s="2">
        <v>130</v>
      </c>
      <c r="B131" s="4" t="s">
        <v>85</v>
      </c>
      <c r="C131" s="4" t="s">
        <v>86</v>
      </c>
      <c r="D131" s="4" t="s">
        <v>87</v>
      </c>
      <c r="E131" s="79" t="s">
        <v>89</v>
      </c>
    </row>
    <row r="132" spans="1:5">
      <c r="A132" s="2">
        <v>131</v>
      </c>
      <c r="B132" s="4" t="s">
        <v>85</v>
      </c>
      <c r="C132" s="4" t="s">
        <v>86</v>
      </c>
      <c r="D132" s="4" t="s">
        <v>87</v>
      </c>
      <c r="E132" s="79" t="s">
        <v>90</v>
      </c>
    </row>
    <row r="133" spans="1:5">
      <c r="A133" s="2">
        <v>132</v>
      </c>
      <c r="B133" s="4" t="s">
        <v>85</v>
      </c>
      <c r="C133" s="4" t="s">
        <v>86</v>
      </c>
      <c r="D133" s="4" t="s">
        <v>87</v>
      </c>
      <c r="E133" s="79" t="s">
        <v>91</v>
      </c>
    </row>
    <row r="134" spans="1:5">
      <c r="A134" s="2">
        <v>133</v>
      </c>
      <c r="B134" s="4" t="s">
        <v>85</v>
      </c>
      <c r="C134" s="4" t="s">
        <v>86</v>
      </c>
      <c r="D134" s="4" t="s">
        <v>87</v>
      </c>
      <c r="E134" s="79" t="s">
        <v>92</v>
      </c>
    </row>
    <row r="135" spans="1:5">
      <c r="A135" s="2">
        <v>134</v>
      </c>
      <c r="B135" s="4" t="s">
        <v>85</v>
      </c>
      <c r="C135" s="4" t="s">
        <v>86</v>
      </c>
      <c r="D135" s="4" t="s">
        <v>87</v>
      </c>
      <c r="E135" s="79" t="s">
        <v>93</v>
      </c>
    </row>
    <row r="136" spans="1:5">
      <c r="A136" s="2">
        <v>135</v>
      </c>
      <c r="B136" s="4" t="s">
        <v>85</v>
      </c>
      <c r="C136" s="4" t="s">
        <v>86</v>
      </c>
      <c r="D136" s="4" t="s">
        <v>87</v>
      </c>
      <c r="E136" s="79" t="s">
        <v>94</v>
      </c>
    </row>
    <row r="137" spans="1:5">
      <c r="A137" s="2">
        <v>136</v>
      </c>
      <c r="B137" s="4" t="s">
        <v>85</v>
      </c>
      <c r="C137" s="4" t="s">
        <v>86</v>
      </c>
      <c r="D137" s="4" t="s">
        <v>87</v>
      </c>
      <c r="E137" s="79" t="s">
        <v>95</v>
      </c>
    </row>
    <row r="138" spans="1:5">
      <c r="A138" s="2">
        <v>137</v>
      </c>
      <c r="B138" s="4" t="s">
        <v>85</v>
      </c>
      <c r="C138" s="4" t="s">
        <v>86</v>
      </c>
      <c r="D138" s="4" t="s">
        <v>87</v>
      </c>
      <c r="E138" s="79" t="s">
        <v>96</v>
      </c>
    </row>
    <row r="139" spans="1:5">
      <c r="A139" s="2">
        <v>138</v>
      </c>
      <c r="B139" s="4" t="s">
        <v>85</v>
      </c>
      <c r="C139" s="4" t="s">
        <v>86</v>
      </c>
      <c r="D139" s="4" t="s">
        <v>87</v>
      </c>
      <c r="E139" s="79" t="s">
        <v>97</v>
      </c>
    </row>
    <row r="140" spans="1:5">
      <c r="A140" s="2">
        <v>139</v>
      </c>
      <c r="B140" s="4" t="s">
        <v>85</v>
      </c>
      <c r="C140" s="4" t="s">
        <v>98</v>
      </c>
      <c r="D140" s="4" t="s">
        <v>99</v>
      </c>
      <c r="E140" s="79" t="s">
        <v>100</v>
      </c>
    </row>
    <row r="141" spans="1:5">
      <c r="A141" s="2">
        <v>140</v>
      </c>
      <c r="B141" s="4" t="s">
        <v>85</v>
      </c>
      <c r="C141" s="4" t="s">
        <v>98</v>
      </c>
      <c r="D141" s="4" t="s">
        <v>99</v>
      </c>
      <c r="E141" s="79" t="s">
        <v>101</v>
      </c>
    </row>
    <row r="142" spans="1:5">
      <c r="A142" s="2">
        <v>141</v>
      </c>
      <c r="B142" s="4" t="s">
        <v>85</v>
      </c>
      <c r="C142" s="4" t="s">
        <v>98</v>
      </c>
      <c r="D142" s="4" t="s">
        <v>99</v>
      </c>
      <c r="E142" s="79" t="s">
        <v>102</v>
      </c>
    </row>
    <row r="143" spans="1:5">
      <c r="A143" s="2">
        <v>142</v>
      </c>
      <c r="B143" s="4" t="s">
        <v>85</v>
      </c>
      <c r="C143" s="4" t="s">
        <v>98</v>
      </c>
      <c r="D143" s="4" t="s">
        <v>99</v>
      </c>
      <c r="E143" s="79" t="s">
        <v>103</v>
      </c>
    </row>
    <row r="144" spans="1:5">
      <c r="A144" s="2">
        <v>143</v>
      </c>
      <c r="B144" s="4" t="s">
        <v>85</v>
      </c>
      <c r="C144" s="4" t="s">
        <v>98</v>
      </c>
      <c r="D144" s="4" t="s">
        <v>99</v>
      </c>
      <c r="E144" s="79" t="s">
        <v>104</v>
      </c>
    </row>
    <row r="145" spans="1:5">
      <c r="A145" s="2">
        <v>144</v>
      </c>
      <c r="B145" s="4" t="s">
        <v>85</v>
      </c>
      <c r="C145" s="4" t="s">
        <v>98</v>
      </c>
      <c r="D145" s="4" t="s">
        <v>99</v>
      </c>
      <c r="E145" s="79" t="s">
        <v>105</v>
      </c>
    </row>
    <row r="146" spans="1:5">
      <c r="A146" s="2">
        <v>145</v>
      </c>
      <c r="B146" s="4" t="s">
        <v>85</v>
      </c>
      <c r="C146" s="4" t="s">
        <v>98</v>
      </c>
      <c r="D146" s="4" t="s">
        <v>99</v>
      </c>
      <c r="E146" s="79" t="s">
        <v>106</v>
      </c>
    </row>
    <row r="147" spans="1:5">
      <c r="A147" s="2">
        <v>146</v>
      </c>
      <c r="B147" s="4" t="s">
        <v>85</v>
      </c>
      <c r="C147" s="4" t="s">
        <v>98</v>
      </c>
      <c r="D147" s="4" t="s">
        <v>99</v>
      </c>
      <c r="E147" s="79" t="s">
        <v>107</v>
      </c>
    </row>
    <row r="148" spans="1:5">
      <c r="A148" s="2">
        <v>147</v>
      </c>
      <c r="B148" s="4" t="s">
        <v>85</v>
      </c>
      <c r="C148" s="4" t="s">
        <v>98</v>
      </c>
      <c r="D148" s="4" t="s">
        <v>99</v>
      </c>
      <c r="E148" s="79" t="s">
        <v>108</v>
      </c>
    </row>
    <row r="149" spans="1:5">
      <c r="A149" s="2">
        <v>148</v>
      </c>
      <c r="B149" s="4" t="s">
        <v>85</v>
      </c>
      <c r="C149" s="4" t="s">
        <v>98</v>
      </c>
      <c r="D149" s="4" t="s">
        <v>99</v>
      </c>
      <c r="E149" s="79" t="s">
        <v>109</v>
      </c>
    </row>
    <row r="150" spans="1:5">
      <c r="A150" s="2">
        <v>149</v>
      </c>
      <c r="B150" s="4" t="s">
        <v>85</v>
      </c>
      <c r="C150" s="4" t="s">
        <v>110</v>
      </c>
      <c r="D150" s="4" t="s">
        <v>111</v>
      </c>
      <c r="E150" s="79" t="s">
        <v>112</v>
      </c>
    </row>
    <row r="151" spans="1:5">
      <c r="A151" s="2">
        <v>150</v>
      </c>
      <c r="B151" s="4" t="s">
        <v>85</v>
      </c>
      <c r="C151" s="4" t="s">
        <v>110</v>
      </c>
      <c r="D151" s="4" t="s">
        <v>111</v>
      </c>
      <c r="E151" s="79" t="s">
        <v>113</v>
      </c>
    </row>
    <row r="152" spans="1:5">
      <c r="A152" s="2">
        <v>151</v>
      </c>
      <c r="B152" s="4" t="s">
        <v>85</v>
      </c>
      <c r="C152" s="4" t="s">
        <v>110</v>
      </c>
      <c r="D152" s="4" t="s">
        <v>111</v>
      </c>
      <c r="E152" s="79" t="s">
        <v>114</v>
      </c>
    </row>
    <row r="153" spans="1:5">
      <c r="A153" s="2">
        <v>152</v>
      </c>
      <c r="B153" s="4" t="s">
        <v>85</v>
      </c>
      <c r="C153" s="4" t="s">
        <v>110</v>
      </c>
      <c r="D153" s="4" t="s">
        <v>111</v>
      </c>
      <c r="E153" s="79" t="s">
        <v>115</v>
      </c>
    </row>
    <row r="154" spans="1:5">
      <c r="A154" s="2">
        <v>153</v>
      </c>
      <c r="B154" s="4" t="s">
        <v>85</v>
      </c>
      <c r="C154" s="4" t="s">
        <v>110</v>
      </c>
      <c r="D154" s="4" t="s">
        <v>111</v>
      </c>
      <c r="E154" s="79" t="s">
        <v>116</v>
      </c>
    </row>
    <row r="155" spans="1:5">
      <c r="A155" s="2">
        <v>154</v>
      </c>
      <c r="B155" s="4" t="s">
        <v>85</v>
      </c>
      <c r="C155" s="4" t="s">
        <v>110</v>
      </c>
      <c r="D155" s="4" t="s">
        <v>111</v>
      </c>
      <c r="E155" s="79" t="s">
        <v>117</v>
      </c>
    </row>
    <row r="156" spans="1:5">
      <c r="A156" s="2">
        <v>155</v>
      </c>
      <c r="B156" s="4" t="s">
        <v>85</v>
      </c>
      <c r="C156" s="4" t="s">
        <v>110</v>
      </c>
      <c r="D156" s="4" t="s">
        <v>111</v>
      </c>
      <c r="E156" s="79" t="s">
        <v>118</v>
      </c>
    </row>
    <row r="157" spans="1:5">
      <c r="A157" s="2">
        <v>156</v>
      </c>
      <c r="B157" s="4" t="s">
        <v>85</v>
      </c>
      <c r="C157" s="4" t="s">
        <v>110</v>
      </c>
      <c r="D157" s="4" t="s">
        <v>111</v>
      </c>
      <c r="E157" s="79" t="s">
        <v>119</v>
      </c>
    </row>
    <row r="158" spans="1:5">
      <c r="A158" s="2">
        <v>157</v>
      </c>
      <c r="B158" s="4" t="s">
        <v>85</v>
      </c>
      <c r="C158" s="4" t="s">
        <v>110</v>
      </c>
      <c r="D158" s="4" t="s">
        <v>111</v>
      </c>
      <c r="E158" s="79" t="s">
        <v>120</v>
      </c>
    </row>
    <row r="159" spans="1:5">
      <c r="A159" s="2">
        <v>158</v>
      </c>
      <c r="B159" s="4" t="s">
        <v>85</v>
      </c>
      <c r="C159" s="4" t="s">
        <v>110</v>
      </c>
      <c r="D159" s="4" t="s">
        <v>111</v>
      </c>
      <c r="E159" s="79" t="s">
        <v>121</v>
      </c>
    </row>
    <row r="160" spans="1:5">
      <c r="A160" s="2">
        <v>159</v>
      </c>
      <c r="B160" s="4" t="s">
        <v>85</v>
      </c>
      <c r="C160" s="4" t="s">
        <v>110</v>
      </c>
      <c r="D160" s="4" t="s">
        <v>122</v>
      </c>
      <c r="E160" s="79" t="s">
        <v>123</v>
      </c>
    </row>
    <row r="161" spans="1:5">
      <c r="A161" s="2">
        <v>160</v>
      </c>
      <c r="B161" s="4" t="s">
        <v>85</v>
      </c>
      <c r="C161" s="4" t="s">
        <v>110</v>
      </c>
      <c r="D161" s="4" t="s">
        <v>122</v>
      </c>
      <c r="E161" s="79" t="s">
        <v>124</v>
      </c>
    </row>
    <row r="162" spans="1:5">
      <c r="A162" s="2">
        <v>161</v>
      </c>
      <c r="B162" s="4" t="s">
        <v>85</v>
      </c>
      <c r="C162" s="4" t="s">
        <v>110</v>
      </c>
      <c r="D162" s="4" t="s">
        <v>122</v>
      </c>
      <c r="E162" s="79" t="s">
        <v>125</v>
      </c>
    </row>
    <row r="163" spans="1:5">
      <c r="A163" s="2">
        <v>162</v>
      </c>
      <c r="B163" s="4" t="s">
        <v>85</v>
      </c>
      <c r="C163" s="4" t="s">
        <v>110</v>
      </c>
      <c r="D163" s="4" t="s">
        <v>122</v>
      </c>
      <c r="E163" s="79" t="s">
        <v>126</v>
      </c>
    </row>
    <row r="164" spans="1:5">
      <c r="A164" s="2">
        <v>163</v>
      </c>
      <c r="B164" s="4" t="s">
        <v>85</v>
      </c>
      <c r="C164" s="4" t="s">
        <v>110</v>
      </c>
      <c r="D164" s="4" t="s">
        <v>122</v>
      </c>
      <c r="E164" s="79" t="s">
        <v>127</v>
      </c>
    </row>
    <row r="165" spans="1:5">
      <c r="A165" s="2">
        <v>164</v>
      </c>
      <c r="B165" s="4" t="s">
        <v>85</v>
      </c>
      <c r="C165" s="4" t="s">
        <v>110</v>
      </c>
      <c r="D165" s="4" t="s">
        <v>122</v>
      </c>
      <c r="E165" s="79" t="s">
        <v>128</v>
      </c>
    </row>
    <row r="166" spans="1:5">
      <c r="A166" s="2">
        <v>165</v>
      </c>
      <c r="B166" s="4" t="s">
        <v>85</v>
      </c>
      <c r="C166" s="4" t="s">
        <v>110</v>
      </c>
      <c r="D166" s="4" t="s">
        <v>122</v>
      </c>
      <c r="E166" s="79" t="s">
        <v>129</v>
      </c>
    </row>
    <row r="167" spans="1:5">
      <c r="A167" s="2">
        <v>166</v>
      </c>
      <c r="B167" s="4" t="s">
        <v>85</v>
      </c>
      <c r="C167" s="4" t="s">
        <v>110</v>
      </c>
      <c r="D167" s="4" t="s">
        <v>122</v>
      </c>
      <c r="E167" s="79" t="s">
        <v>130</v>
      </c>
    </row>
    <row r="168" spans="1:5">
      <c r="A168" s="2">
        <v>167</v>
      </c>
      <c r="B168" s="4" t="s">
        <v>85</v>
      </c>
      <c r="C168" s="4" t="s">
        <v>110</v>
      </c>
      <c r="D168" s="4" t="s">
        <v>122</v>
      </c>
      <c r="E168" s="79" t="s">
        <v>131</v>
      </c>
    </row>
    <row r="169" spans="1:5">
      <c r="A169" s="2">
        <v>168</v>
      </c>
      <c r="B169" s="4" t="s">
        <v>85</v>
      </c>
      <c r="C169" s="4" t="s">
        <v>110</v>
      </c>
      <c r="D169" s="4" t="s">
        <v>122</v>
      </c>
      <c r="E169" s="79" t="s">
        <v>132</v>
      </c>
    </row>
    <row r="170" spans="1:5">
      <c r="A170" s="2">
        <v>169</v>
      </c>
      <c r="B170" s="4" t="s">
        <v>85</v>
      </c>
      <c r="C170" s="4" t="s">
        <v>3161</v>
      </c>
      <c r="D170" s="4" t="s">
        <v>3162</v>
      </c>
      <c r="E170" s="272" t="s">
        <v>3163</v>
      </c>
    </row>
    <row r="171" spans="1:5">
      <c r="A171" s="2">
        <v>170</v>
      </c>
      <c r="B171" s="4" t="s">
        <v>85</v>
      </c>
      <c r="C171" s="4" t="s">
        <v>3161</v>
      </c>
      <c r="D171" s="4" t="s">
        <v>3162</v>
      </c>
      <c r="E171" s="272" t="s">
        <v>3164</v>
      </c>
    </row>
    <row r="172" spans="1:5">
      <c r="A172" s="2">
        <v>171</v>
      </c>
      <c r="B172" s="4" t="s">
        <v>85</v>
      </c>
      <c r="C172" s="4" t="s">
        <v>3161</v>
      </c>
      <c r="D172" s="4" t="s">
        <v>3162</v>
      </c>
      <c r="E172" s="272" t="s">
        <v>3165</v>
      </c>
    </row>
    <row r="173" spans="1:5">
      <c r="A173" s="2">
        <v>172</v>
      </c>
      <c r="B173" s="4" t="s">
        <v>85</v>
      </c>
      <c r="C173" s="4" t="s">
        <v>3161</v>
      </c>
      <c r="D173" s="4" t="s">
        <v>3162</v>
      </c>
      <c r="E173" s="272" t="s">
        <v>3166</v>
      </c>
    </row>
    <row r="174" spans="1:5">
      <c r="A174" s="2">
        <v>173</v>
      </c>
      <c r="B174" s="4" t="s">
        <v>85</v>
      </c>
      <c r="C174" s="4" t="s">
        <v>3161</v>
      </c>
      <c r="D174" s="4" t="s">
        <v>3162</v>
      </c>
      <c r="E174" s="272" t="s">
        <v>3167</v>
      </c>
    </row>
    <row r="175" spans="1:5">
      <c r="A175" s="2">
        <v>174</v>
      </c>
      <c r="B175" s="4" t="s">
        <v>85</v>
      </c>
      <c r="C175" s="4" t="s">
        <v>3161</v>
      </c>
      <c r="D175" s="4" t="s">
        <v>3162</v>
      </c>
      <c r="E175" s="272" t="s">
        <v>3168</v>
      </c>
    </row>
    <row r="176" spans="1:5">
      <c r="A176" s="2">
        <v>175</v>
      </c>
      <c r="B176" s="4" t="s">
        <v>85</v>
      </c>
      <c r="C176" s="4" t="s">
        <v>3161</v>
      </c>
      <c r="D176" s="4" t="s">
        <v>3162</v>
      </c>
      <c r="E176" s="272" t="s">
        <v>3169</v>
      </c>
    </row>
    <row r="177" spans="1:5">
      <c r="A177" s="2">
        <v>176</v>
      </c>
      <c r="B177" s="4" t="s">
        <v>85</v>
      </c>
      <c r="C177" s="4" t="s">
        <v>3161</v>
      </c>
      <c r="D177" s="4" t="s">
        <v>3162</v>
      </c>
      <c r="E177" s="272" t="s">
        <v>3170</v>
      </c>
    </row>
    <row r="178" spans="1:5">
      <c r="A178" s="2">
        <v>177</v>
      </c>
      <c r="B178" s="4" t="s">
        <v>85</v>
      </c>
      <c r="C178" s="4" t="s">
        <v>3161</v>
      </c>
      <c r="D178" s="4" t="s">
        <v>3162</v>
      </c>
      <c r="E178" s="272" t="s">
        <v>3171</v>
      </c>
    </row>
    <row r="179" spans="1:5">
      <c r="A179" s="2">
        <v>178</v>
      </c>
      <c r="B179" s="4" t="s">
        <v>85</v>
      </c>
      <c r="C179" s="4" t="s">
        <v>3161</v>
      </c>
      <c r="D179" s="4" t="s">
        <v>3162</v>
      </c>
      <c r="E179" s="272" t="s">
        <v>3172</v>
      </c>
    </row>
    <row r="180" spans="1:5">
      <c r="A180" s="2">
        <v>179</v>
      </c>
      <c r="B180" s="4" t="s">
        <v>85</v>
      </c>
      <c r="C180" s="4" t="s">
        <v>3173</v>
      </c>
      <c r="D180" s="4" t="s">
        <v>3174</v>
      </c>
      <c r="E180" s="272" t="s">
        <v>3175</v>
      </c>
    </row>
    <row r="181" spans="1:5">
      <c r="A181" s="2">
        <v>180</v>
      </c>
      <c r="B181" s="4" t="s">
        <v>85</v>
      </c>
      <c r="C181" s="4" t="s">
        <v>3173</v>
      </c>
      <c r="D181" s="4" t="s">
        <v>3174</v>
      </c>
      <c r="E181" s="272" t="s">
        <v>3176</v>
      </c>
    </row>
    <row r="182" spans="1:5">
      <c r="A182" s="2">
        <v>181</v>
      </c>
      <c r="B182" s="4" t="s">
        <v>85</v>
      </c>
      <c r="C182" s="4" t="s">
        <v>3173</v>
      </c>
      <c r="D182" s="4" t="s">
        <v>3174</v>
      </c>
      <c r="E182" s="272" t="s">
        <v>3177</v>
      </c>
    </row>
    <row r="183" spans="1:5">
      <c r="A183" s="2">
        <v>182</v>
      </c>
      <c r="B183" s="4" t="s">
        <v>85</v>
      </c>
      <c r="C183" s="4" t="s">
        <v>3173</v>
      </c>
      <c r="D183" s="4" t="s">
        <v>3174</v>
      </c>
      <c r="E183" s="272" t="s">
        <v>3178</v>
      </c>
    </row>
    <row r="184" spans="1:5">
      <c r="A184" s="2">
        <v>183</v>
      </c>
      <c r="B184" s="4" t="s">
        <v>85</v>
      </c>
      <c r="C184" s="4" t="s">
        <v>3173</v>
      </c>
      <c r="D184" s="4" t="s">
        <v>3174</v>
      </c>
      <c r="E184" s="272" t="s">
        <v>3179</v>
      </c>
    </row>
    <row r="185" spans="1:5">
      <c r="A185" s="2">
        <v>184</v>
      </c>
      <c r="B185" s="4" t="s">
        <v>85</v>
      </c>
      <c r="C185" s="4" t="s">
        <v>3173</v>
      </c>
      <c r="D185" s="4" t="s">
        <v>3174</v>
      </c>
      <c r="E185" s="272" t="s">
        <v>3180</v>
      </c>
    </row>
    <row r="186" spans="1:5">
      <c r="A186" s="2">
        <v>185</v>
      </c>
      <c r="B186" s="4" t="s">
        <v>85</v>
      </c>
      <c r="C186" s="4" t="s">
        <v>3173</v>
      </c>
      <c r="D186" s="4" t="s">
        <v>3174</v>
      </c>
      <c r="E186" s="272" t="s">
        <v>3181</v>
      </c>
    </row>
    <row r="187" spans="1:5">
      <c r="A187" s="2">
        <v>186</v>
      </c>
      <c r="B187" s="4" t="s">
        <v>85</v>
      </c>
      <c r="C187" s="4" t="s">
        <v>3173</v>
      </c>
      <c r="D187" s="4" t="s">
        <v>3174</v>
      </c>
      <c r="E187" s="272" t="s">
        <v>3182</v>
      </c>
    </row>
    <row r="188" spans="1:5">
      <c r="A188" s="2">
        <v>187</v>
      </c>
      <c r="B188" s="4" t="s">
        <v>85</v>
      </c>
      <c r="C188" s="4" t="s">
        <v>3173</v>
      </c>
      <c r="D188" s="4" t="s">
        <v>3174</v>
      </c>
      <c r="E188" s="272" t="s">
        <v>3183</v>
      </c>
    </row>
    <row r="189" spans="1:5">
      <c r="A189" s="2">
        <v>188</v>
      </c>
      <c r="B189" s="4" t="s">
        <v>85</v>
      </c>
      <c r="C189" s="4" t="s">
        <v>3173</v>
      </c>
      <c r="D189" s="4" t="s">
        <v>3174</v>
      </c>
      <c r="E189" s="272" t="s">
        <v>3184</v>
      </c>
    </row>
    <row r="190" spans="1:5">
      <c r="A190" s="2">
        <v>189</v>
      </c>
      <c r="B190" s="4" t="s">
        <v>133</v>
      </c>
      <c r="C190" s="4" t="s">
        <v>134</v>
      </c>
      <c r="D190" s="4" t="s">
        <v>135</v>
      </c>
      <c r="E190" s="6" t="s">
        <v>136</v>
      </c>
    </row>
    <row r="191" spans="1:5">
      <c r="A191" s="2">
        <v>190</v>
      </c>
      <c r="B191" s="4" t="s">
        <v>133</v>
      </c>
      <c r="C191" s="4" t="s">
        <v>134</v>
      </c>
      <c r="D191" s="4" t="s">
        <v>135</v>
      </c>
      <c r="E191" s="6" t="s">
        <v>137</v>
      </c>
    </row>
    <row r="192" spans="1:5">
      <c r="A192" s="2">
        <v>191</v>
      </c>
      <c r="B192" s="4" t="s">
        <v>133</v>
      </c>
      <c r="C192" s="4" t="s">
        <v>134</v>
      </c>
      <c r="D192" s="4" t="s">
        <v>135</v>
      </c>
      <c r="E192" s="6" t="s">
        <v>138</v>
      </c>
    </row>
    <row r="193" spans="1:5">
      <c r="A193" s="2">
        <v>192</v>
      </c>
      <c r="B193" s="4" t="s">
        <v>133</v>
      </c>
      <c r="C193" s="4" t="s">
        <v>134</v>
      </c>
      <c r="D193" s="4" t="s">
        <v>135</v>
      </c>
      <c r="E193" s="6" t="s">
        <v>139</v>
      </c>
    </row>
    <row r="194" spans="1:5">
      <c r="A194" s="2">
        <v>193</v>
      </c>
      <c r="B194" s="4" t="s">
        <v>133</v>
      </c>
      <c r="C194" s="4" t="s">
        <v>134</v>
      </c>
      <c r="D194" s="4" t="s">
        <v>135</v>
      </c>
      <c r="E194" s="6" t="s">
        <v>140</v>
      </c>
    </row>
    <row r="195" spans="1:5">
      <c r="A195" s="2">
        <v>194</v>
      </c>
      <c r="B195" s="4" t="s">
        <v>133</v>
      </c>
      <c r="C195" s="4" t="s">
        <v>134</v>
      </c>
      <c r="D195" s="4" t="s">
        <v>135</v>
      </c>
      <c r="E195" s="6" t="s">
        <v>141</v>
      </c>
    </row>
    <row r="196" spans="1:5">
      <c r="A196" s="2">
        <v>195</v>
      </c>
      <c r="B196" s="4" t="s">
        <v>133</v>
      </c>
      <c r="C196" s="4" t="s">
        <v>134</v>
      </c>
      <c r="D196" s="4" t="s">
        <v>135</v>
      </c>
      <c r="E196" s="6" t="s">
        <v>142</v>
      </c>
    </row>
    <row r="197" spans="1:5">
      <c r="A197" s="2">
        <v>196</v>
      </c>
      <c r="B197" s="4" t="s">
        <v>133</v>
      </c>
      <c r="C197" s="4" t="s">
        <v>134</v>
      </c>
      <c r="D197" s="4" t="s">
        <v>135</v>
      </c>
      <c r="E197" s="6" t="s">
        <v>143</v>
      </c>
    </row>
    <row r="198" spans="1:5">
      <c r="A198" s="2">
        <v>197</v>
      </c>
      <c r="B198" s="4" t="s">
        <v>133</v>
      </c>
      <c r="C198" s="4" t="s">
        <v>134</v>
      </c>
      <c r="D198" s="4" t="s">
        <v>135</v>
      </c>
      <c r="E198" s="6" t="s">
        <v>144</v>
      </c>
    </row>
    <row r="199" spans="1:5">
      <c r="A199" s="2">
        <v>198</v>
      </c>
      <c r="B199" s="4" t="s">
        <v>133</v>
      </c>
      <c r="C199" s="4" t="s">
        <v>134</v>
      </c>
      <c r="D199" s="4" t="s">
        <v>135</v>
      </c>
      <c r="E199" s="6" t="s">
        <v>145</v>
      </c>
    </row>
    <row r="200" spans="1:5">
      <c r="A200" s="2">
        <v>199</v>
      </c>
      <c r="B200" s="4" t="s">
        <v>133</v>
      </c>
      <c r="C200" s="4" t="s">
        <v>134</v>
      </c>
      <c r="D200" s="4" t="s">
        <v>135</v>
      </c>
      <c r="E200" s="6" t="s">
        <v>146</v>
      </c>
    </row>
    <row r="201" spans="1:5">
      <c r="A201" s="2">
        <v>200</v>
      </c>
      <c r="B201" s="4" t="s">
        <v>133</v>
      </c>
      <c r="C201" s="4" t="s">
        <v>134</v>
      </c>
      <c r="D201" s="4" t="s">
        <v>135</v>
      </c>
      <c r="E201" s="6" t="s">
        <v>147</v>
      </c>
    </row>
    <row r="202" spans="1:5">
      <c r="A202" s="2">
        <v>201</v>
      </c>
      <c r="B202" s="4" t="s">
        <v>133</v>
      </c>
      <c r="C202" s="4" t="s">
        <v>134</v>
      </c>
      <c r="D202" s="4" t="s">
        <v>135</v>
      </c>
      <c r="E202" s="6" t="s">
        <v>148</v>
      </c>
    </row>
    <row r="203" spans="1:5">
      <c r="A203" s="2">
        <v>202</v>
      </c>
      <c r="B203" s="4" t="s">
        <v>133</v>
      </c>
      <c r="C203" s="4" t="s">
        <v>134</v>
      </c>
      <c r="D203" s="4" t="s">
        <v>135</v>
      </c>
      <c r="E203" s="6" t="s">
        <v>149</v>
      </c>
    </row>
    <row r="204" spans="1:5">
      <c r="A204" s="2">
        <v>203</v>
      </c>
      <c r="B204" s="4" t="s">
        <v>133</v>
      </c>
      <c r="C204" s="4" t="s">
        <v>150</v>
      </c>
      <c r="D204" s="4" t="s">
        <v>151</v>
      </c>
      <c r="E204" s="6" t="s">
        <v>152</v>
      </c>
    </row>
    <row r="205" spans="1:5">
      <c r="A205" s="2">
        <v>204</v>
      </c>
      <c r="B205" s="4" t="s">
        <v>133</v>
      </c>
      <c r="C205" s="4" t="s">
        <v>150</v>
      </c>
      <c r="D205" s="4" t="s">
        <v>151</v>
      </c>
      <c r="E205" s="6" t="s">
        <v>153</v>
      </c>
    </row>
    <row r="206" spans="1:5">
      <c r="A206" s="2">
        <v>205</v>
      </c>
      <c r="B206" s="4" t="s">
        <v>133</v>
      </c>
      <c r="C206" s="4" t="s">
        <v>150</v>
      </c>
      <c r="D206" s="4" t="s">
        <v>151</v>
      </c>
      <c r="E206" s="6" t="s">
        <v>154</v>
      </c>
    </row>
    <row r="207" spans="1:5">
      <c r="A207" s="2">
        <v>206</v>
      </c>
      <c r="B207" s="4" t="s">
        <v>133</v>
      </c>
      <c r="C207" s="4" t="s">
        <v>150</v>
      </c>
      <c r="D207" s="4" t="s">
        <v>151</v>
      </c>
      <c r="E207" s="6" t="s">
        <v>155</v>
      </c>
    </row>
    <row r="208" spans="1:5">
      <c r="A208" s="2">
        <v>207</v>
      </c>
      <c r="B208" s="4" t="s">
        <v>133</v>
      </c>
      <c r="C208" s="4" t="s">
        <v>150</v>
      </c>
      <c r="D208" s="4" t="s">
        <v>151</v>
      </c>
      <c r="E208" s="6" t="s">
        <v>156</v>
      </c>
    </row>
    <row r="209" spans="1:5">
      <c r="A209" s="2">
        <v>208</v>
      </c>
      <c r="B209" s="4" t="s">
        <v>133</v>
      </c>
      <c r="C209" s="4" t="s">
        <v>150</v>
      </c>
      <c r="D209" s="4" t="s">
        <v>151</v>
      </c>
      <c r="E209" s="6" t="s">
        <v>157</v>
      </c>
    </row>
    <row r="210" spans="1:5">
      <c r="A210" s="2">
        <v>209</v>
      </c>
      <c r="B210" s="4" t="s">
        <v>133</v>
      </c>
      <c r="C210" s="4" t="s">
        <v>150</v>
      </c>
      <c r="D210" s="4" t="s">
        <v>151</v>
      </c>
      <c r="E210" s="6" t="s">
        <v>158</v>
      </c>
    </row>
    <row r="211" spans="1:5">
      <c r="A211" s="2">
        <v>210</v>
      </c>
      <c r="B211" s="4" t="s">
        <v>133</v>
      </c>
      <c r="C211" s="4" t="s">
        <v>150</v>
      </c>
      <c r="D211" s="4" t="s">
        <v>151</v>
      </c>
      <c r="E211" s="6" t="s">
        <v>159</v>
      </c>
    </row>
    <row r="212" spans="1:5">
      <c r="A212" s="2">
        <v>211</v>
      </c>
      <c r="B212" s="4" t="s">
        <v>133</v>
      </c>
      <c r="C212" s="4" t="s">
        <v>150</v>
      </c>
      <c r="D212" s="4" t="s">
        <v>151</v>
      </c>
      <c r="E212" s="6" t="s">
        <v>160</v>
      </c>
    </row>
    <row r="213" spans="1:5">
      <c r="A213" s="2">
        <v>212</v>
      </c>
      <c r="B213" s="4" t="s">
        <v>133</v>
      </c>
      <c r="C213" s="4" t="s">
        <v>150</v>
      </c>
      <c r="D213" s="4" t="s">
        <v>151</v>
      </c>
      <c r="E213" s="6" t="s">
        <v>161</v>
      </c>
    </row>
    <row r="214" spans="1:5">
      <c r="A214" s="2">
        <v>213</v>
      </c>
      <c r="B214" s="4" t="s">
        <v>133</v>
      </c>
      <c r="C214" s="4" t="s">
        <v>150</v>
      </c>
      <c r="D214" s="4" t="s">
        <v>151</v>
      </c>
      <c r="E214" s="6" t="s">
        <v>162</v>
      </c>
    </row>
    <row r="215" spans="1:5">
      <c r="A215" s="2">
        <v>214</v>
      </c>
      <c r="B215" s="4" t="s">
        <v>133</v>
      </c>
      <c r="C215" s="4" t="s">
        <v>150</v>
      </c>
      <c r="D215" s="4" t="s">
        <v>151</v>
      </c>
      <c r="E215" s="6" t="s">
        <v>163</v>
      </c>
    </row>
    <row r="216" spans="1:5">
      <c r="A216" s="2">
        <v>215</v>
      </c>
      <c r="B216" s="4" t="s">
        <v>133</v>
      </c>
      <c r="C216" s="4" t="s">
        <v>150</v>
      </c>
      <c r="D216" s="4" t="s">
        <v>151</v>
      </c>
      <c r="E216" s="6" t="s">
        <v>164</v>
      </c>
    </row>
    <row r="217" spans="1:5">
      <c r="A217" s="2">
        <v>216</v>
      </c>
      <c r="B217" s="4" t="s">
        <v>133</v>
      </c>
      <c r="C217" s="4" t="s">
        <v>150</v>
      </c>
      <c r="D217" s="4" t="s">
        <v>151</v>
      </c>
      <c r="E217" s="6" t="s">
        <v>165</v>
      </c>
    </row>
    <row r="218" spans="1:5">
      <c r="A218" s="2">
        <v>217</v>
      </c>
      <c r="B218" s="4" t="s">
        <v>133</v>
      </c>
      <c r="C218" s="4" t="s">
        <v>150</v>
      </c>
      <c r="D218" s="4" t="s">
        <v>151</v>
      </c>
      <c r="E218" s="6" t="s">
        <v>166</v>
      </c>
    </row>
    <row r="219" spans="1:5">
      <c r="A219" s="2">
        <v>218</v>
      </c>
      <c r="B219" s="4" t="s">
        <v>133</v>
      </c>
      <c r="C219" s="4" t="s">
        <v>1868</v>
      </c>
      <c r="D219" s="4" t="s">
        <v>1869</v>
      </c>
      <c r="E219" s="272" t="s">
        <v>1894</v>
      </c>
    </row>
    <row r="220" spans="1:5">
      <c r="A220" s="2">
        <v>219</v>
      </c>
      <c r="B220" s="4" t="s">
        <v>133</v>
      </c>
      <c r="C220" s="4" t="s">
        <v>1868</v>
      </c>
      <c r="D220" s="4" t="s">
        <v>1869</v>
      </c>
      <c r="E220" s="272" t="s">
        <v>1895</v>
      </c>
    </row>
    <row r="221" spans="1:5">
      <c r="A221" s="2">
        <v>220</v>
      </c>
      <c r="B221" s="4" t="s">
        <v>133</v>
      </c>
      <c r="C221" s="4" t="s">
        <v>1868</v>
      </c>
      <c r="D221" s="4" t="s">
        <v>1869</v>
      </c>
      <c r="E221" s="272" t="s">
        <v>1896</v>
      </c>
    </row>
    <row r="222" spans="1:5">
      <c r="A222" s="2">
        <v>221</v>
      </c>
      <c r="B222" s="4" t="s">
        <v>133</v>
      </c>
      <c r="C222" s="4" t="s">
        <v>1868</v>
      </c>
      <c r="D222" s="4" t="s">
        <v>1869</v>
      </c>
      <c r="E222" s="272" t="s">
        <v>1897</v>
      </c>
    </row>
    <row r="223" spans="1:5">
      <c r="A223" s="2">
        <v>222</v>
      </c>
      <c r="B223" s="4" t="s">
        <v>133</v>
      </c>
      <c r="C223" s="4" t="s">
        <v>1868</v>
      </c>
      <c r="D223" s="4" t="s">
        <v>1869</v>
      </c>
      <c r="E223" s="272" t="s">
        <v>1898</v>
      </c>
    </row>
    <row r="224" spans="1:5">
      <c r="A224" s="2">
        <v>223</v>
      </c>
      <c r="B224" s="4" t="s">
        <v>133</v>
      </c>
      <c r="C224" s="4" t="s">
        <v>1868</v>
      </c>
      <c r="D224" s="4" t="s">
        <v>1869</v>
      </c>
      <c r="E224" s="272" t="s">
        <v>1899</v>
      </c>
    </row>
    <row r="225" spans="1:5">
      <c r="A225" s="2">
        <v>224</v>
      </c>
      <c r="B225" s="4" t="s">
        <v>133</v>
      </c>
      <c r="C225" s="4" t="s">
        <v>1868</v>
      </c>
      <c r="D225" s="4" t="s">
        <v>1869</v>
      </c>
      <c r="E225" s="272" t="s">
        <v>1870</v>
      </c>
    </row>
    <row r="226" spans="1:5">
      <c r="A226" s="2">
        <v>225</v>
      </c>
      <c r="B226" s="4" t="s">
        <v>133</v>
      </c>
      <c r="C226" s="4" t="s">
        <v>1868</v>
      </c>
      <c r="D226" s="4" t="s">
        <v>1869</v>
      </c>
      <c r="E226" s="272" t="s">
        <v>1871</v>
      </c>
    </row>
    <row r="227" spans="1:5">
      <c r="A227" s="2">
        <v>226</v>
      </c>
      <c r="B227" s="4" t="s">
        <v>133</v>
      </c>
      <c r="C227" s="4" t="s">
        <v>1868</v>
      </c>
      <c r="D227" s="4" t="s">
        <v>1869</v>
      </c>
      <c r="E227" s="272" t="s">
        <v>1872</v>
      </c>
    </row>
    <row r="228" spans="1:5">
      <c r="A228" s="2">
        <v>227</v>
      </c>
      <c r="B228" s="4" t="s">
        <v>133</v>
      </c>
      <c r="C228" s="4" t="s">
        <v>1868</v>
      </c>
      <c r="D228" s="4" t="s">
        <v>1869</v>
      </c>
      <c r="E228" s="272" t="s">
        <v>1873</v>
      </c>
    </row>
    <row r="229" spans="1:5">
      <c r="A229" s="2">
        <v>228</v>
      </c>
      <c r="B229" s="4" t="s">
        <v>133</v>
      </c>
      <c r="C229" s="4" t="s">
        <v>1874</v>
      </c>
      <c r="D229" s="4" t="s">
        <v>1875</v>
      </c>
      <c r="E229" s="272" t="s">
        <v>1876</v>
      </c>
    </row>
    <row r="230" spans="1:5">
      <c r="A230" s="2">
        <v>229</v>
      </c>
      <c r="B230" s="4" t="s">
        <v>133</v>
      </c>
      <c r="C230" s="4" t="s">
        <v>1874</v>
      </c>
      <c r="D230" s="4" t="s">
        <v>1875</v>
      </c>
      <c r="E230" s="272" t="s">
        <v>1877</v>
      </c>
    </row>
    <row r="231" spans="1:5">
      <c r="A231" s="2">
        <v>230</v>
      </c>
      <c r="B231" s="4" t="s">
        <v>133</v>
      </c>
      <c r="C231" s="4" t="s">
        <v>1874</v>
      </c>
      <c r="D231" s="4" t="s">
        <v>1875</v>
      </c>
      <c r="E231" s="272" t="s">
        <v>1878</v>
      </c>
    </row>
    <row r="232" spans="1:5">
      <c r="A232" s="2">
        <v>231</v>
      </c>
      <c r="B232" s="4" t="s">
        <v>133</v>
      </c>
      <c r="C232" s="4" t="s">
        <v>1874</v>
      </c>
      <c r="D232" s="4" t="s">
        <v>1875</v>
      </c>
      <c r="E232" s="272" t="s">
        <v>1879</v>
      </c>
    </row>
    <row r="233" spans="1:5">
      <c r="A233" s="2">
        <v>232</v>
      </c>
      <c r="B233" s="4" t="s">
        <v>133</v>
      </c>
      <c r="C233" s="4" t="s">
        <v>1874</v>
      </c>
      <c r="D233" s="4" t="s">
        <v>1875</v>
      </c>
      <c r="E233" s="272" t="s">
        <v>1880</v>
      </c>
    </row>
    <row r="234" spans="1:5">
      <c r="A234" s="2">
        <v>233</v>
      </c>
      <c r="B234" s="4" t="s">
        <v>133</v>
      </c>
      <c r="C234" s="4" t="s">
        <v>1874</v>
      </c>
      <c r="D234" s="4" t="s">
        <v>1875</v>
      </c>
      <c r="E234" s="272" t="s">
        <v>1881</v>
      </c>
    </row>
    <row r="235" spans="1:5">
      <c r="A235" s="2">
        <v>234</v>
      </c>
      <c r="B235" s="4" t="s">
        <v>133</v>
      </c>
      <c r="C235" s="4" t="s">
        <v>1874</v>
      </c>
      <c r="D235" s="4" t="s">
        <v>1875</v>
      </c>
      <c r="E235" s="272" t="s">
        <v>1882</v>
      </c>
    </row>
    <row r="236" spans="1:5">
      <c r="A236" s="2">
        <v>235</v>
      </c>
      <c r="B236" s="4" t="s">
        <v>133</v>
      </c>
      <c r="C236" s="4" t="s">
        <v>1874</v>
      </c>
      <c r="D236" s="4" t="s">
        <v>1875</v>
      </c>
      <c r="E236" s="272" t="s">
        <v>1883</v>
      </c>
    </row>
    <row r="237" spans="1:5">
      <c r="A237" s="2">
        <v>236</v>
      </c>
      <c r="B237" s="4" t="s">
        <v>133</v>
      </c>
      <c r="C237" s="4" t="s">
        <v>1874</v>
      </c>
      <c r="D237" s="4" t="s">
        <v>1875</v>
      </c>
      <c r="E237" s="272" t="s">
        <v>1884</v>
      </c>
    </row>
    <row r="238" spans="1:5">
      <c r="A238" s="2">
        <v>237</v>
      </c>
      <c r="B238" s="4" t="s">
        <v>133</v>
      </c>
      <c r="C238" s="4" t="s">
        <v>1874</v>
      </c>
      <c r="D238" s="4" t="s">
        <v>1875</v>
      </c>
      <c r="E238" s="272" t="s">
        <v>137</v>
      </c>
    </row>
    <row r="239" spans="1:5">
      <c r="A239" s="2">
        <v>238</v>
      </c>
      <c r="B239" s="4" t="s">
        <v>133</v>
      </c>
      <c r="C239" s="4" t="s">
        <v>1885</v>
      </c>
      <c r="D239" s="4" t="s">
        <v>2302</v>
      </c>
      <c r="E239" s="272" t="s">
        <v>1886</v>
      </c>
    </row>
    <row r="240" spans="1:5">
      <c r="A240" s="2">
        <v>239</v>
      </c>
      <c r="B240" s="4" t="s">
        <v>133</v>
      </c>
      <c r="C240" s="4" t="s">
        <v>1885</v>
      </c>
      <c r="D240" s="4" t="s">
        <v>2302</v>
      </c>
      <c r="E240" s="272" t="s">
        <v>1887</v>
      </c>
    </row>
    <row r="241" spans="1:5">
      <c r="A241" s="2">
        <v>240</v>
      </c>
      <c r="B241" s="4" t="s">
        <v>133</v>
      </c>
      <c r="C241" s="4" t="s">
        <v>1885</v>
      </c>
      <c r="D241" s="4" t="s">
        <v>2302</v>
      </c>
      <c r="E241" s="272" t="s">
        <v>1888</v>
      </c>
    </row>
    <row r="242" spans="1:5">
      <c r="A242" s="2">
        <v>241</v>
      </c>
      <c r="B242" s="4" t="s">
        <v>133</v>
      </c>
      <c r="C242" s="4" t="s">
        <v>1885</v>
      </c>
      <c r="D242" s="4" t="s">
        <v>2302</v>
      </c>
      <c r="E242" s="272" t="s">
        <v>1889</v>
      </c>
    </row>
    <row r="243" spans="1:5">
      <c r="A243" s="2">
        <v>242</v>
      </c>
      <c r="B243" s="4" t="s">
        <v>133</v>
      </c>
      <c r="C243" s="4" t="s">
        <v>1885</v>
      </c>
      <c r="D243" s="4" t="s">
        <v>2302</v>
      </c>
      <c r="E243" s="272" t="s">
        <v>1890</v>
      </c>
    </row>
    <row r="244" spans="1:5">
      <c r="A244" s="2">
        <v>243</v>
      </c>
      <c r="B244" s="4" t="s">
        <v>133</v>
      </c>
      <c r="C244" s="4" t="s">
        <v>1885</v>
      </c>
      <c r="D244" s="4" t="s">
        <v>2302</v>
      </c>
      <c r="E244" s="272" t="s">
        <v>1891</v>
      </c>
    </row>
    <row r="245" spans="1:5">
      <c r="A245" s="2">
        <v>244</v>
      </c>
      <c r="B245" s="4" t="s">
        <v>133</v>
      </c>
      <c r="C245" s="4" t="s">
        <v>1885</v>
      </c>
      <c r="D245" s="4" t="s">
        <v>2302</v>
      </c>
      <c r="E245" s="272" t="s">
        <v>147</v>
      </c>
    </row>
    <row r="246" spans="1:5">
      <c r="A246" s="2">
        <v>245</v>
      </c>
      <c r="B246" s="4" t="s">
        <v>133</v>
      </c>
      <c r="C246" s="4" t="s">
        <v>1885</v>
      </c>
      <c r="D246" s="4" t="s">
        <v>2302</v>
      </c>
      <c r="E246" s="272" t="s">
        <v>1892</v>
      </c>
    </row>
    <row r="247" spans="1:5">
      <c r="A247" s="2">
        <v>246</v>
      </c>
      <c r="B247" s="4" t="s">
        <v>133</v>
      </c>
      <c r="C247" s="4" t="s">
        <v>1885</v>
      </c>
      <c r="D247" s="4" t="s">
        <v>2302</v>
      </c>
      <c r="E247" s="272" t="s">
        <v>137</v>
      </c>
    </row>
    <row r="248" spans="1:5">
      <c r="A248" s="2">
        <v>247</v>
      </c>
      <c r="B248" s="4" t="s">
        <v>133</v>
      </c>
      <c r="C248" s="4" t="s">
        <v>1885</v>
      </c>
      <c r="D248" s="4" t="s">
        <v>2302</v>
      </c>
      <c r="E248" s="272" t="s">
        <v>1893</v>
      </c>
    </row>
    <row r="249" spans="1:5">
      <c r="A249" s="2">
        <v>248</v>
      </c>
      <c r="B249" s="4" t="s">
        <v>2303</v>
      </c>
      <c r="C249" s="4" t="s">
        <v>2304</v>
      </c>
      <c r="D249" s="4" t="s">
        <v>2305</v>
      </c>
      <c r="E249" s="79" t="s">
        <v>2306</v>
      </c>
    </row>
    <row r="250" spans="1:5">
      <c r="A250" s="2">
        <v>249</v>
      </c>
      <c r="B250" s="4" t="s">
        <v>2303</v>
      </c>
      <c r="C250" s="4" t="s">
        <v>2304</v>
      </c>
      <c r="D250" s="4" t="s">
        <v>2305</v>
      </c>
      <c r="E250" s="79" t="s">
        <v>2307</v>
      </c>
    </row>
    <row r="251" spans="1:5">
      <c r="A251" s="2">
        <v>250</v>
      </c>
      <c r="B251" s="4" t="s">
        <v>2303</v>
      </c>
      <c r="C251" s="4" t="s">
        <v>2304</v>
      </c>
      <c r="D251" s="4" t="s">
        <v>2305</v>
      </c>
      <c r="E251" s="79" t="s">
        <v>2308</v>
      </c>
    </row>
    <row r="252" spans="1:5">
      <c r="A252" s="2">
        <v>251</v>
      </c>
      <c r="B252" s="4" t="s">
        <v>2303</v>
      </c>
      <c r="C252" s="4" t="s">
        <v>2304</v>
      </c>
      <c r="D252" s="4" t="s">
        <v>2305</v>
      </c>
      <c r="E252" s="79" t="s">
        <v>2309</v>
      </c>
    </row>
    <row r="253" spans="1:5">
      <c r="A253" s="2">
        <v>252</v>
      </c>
      <c r="B253" s="4" t="s">
        <v>2303</v>
      </c>
      <c r="C253" s="4" t="s">
        <v>2304</v>
      </c>
      <c r="D253" s="4" t="s">
        <v>2305</v>
      </c>
      <c r="E253" s="79" t="s">
        <v>2310</v>
      </c>
    </row>
    <row r="254" spans="1:5">
      <c r="A254" s="2">
        <v>253</v>
      </c>
      <c r="B254" s="4" t="s">
        <v>2303</v>
      </c>
      <c r="C254" s="4" t="s">
        <v>2304</v>
      </c>
      <c r="D254" s="4" t="s">
        <v>2305</v>
      </c>
      <c r="E254" s="79" t="s">
        <v>2311</v>
      </c>
    </row>
    <row r="255" spans="1:5">
      <c r="A255" s="2">
        <v>254</v>
      </c>
      <c r="B255" s="4" t="s">
        <v>2303</v>
      </c>
      <c r="C255" s="4" t="s">
        <v>2304</v>
      </c>
      <c r="D255" s="4" t="s">
        <v>2305</v>
      </c>
      <c r="E255" s="79" t="s">
        <v>2312</v>
      </c>
    </row>
    <row r="256" spans="1:5">
      <c r="A256" s="2">
        <v>255</v>
      </c>
      <c r="B256" s="4" t="s">
        <v>2303</v>
      </c>
      <c r="C256" s="4" t="s">
        <v>2304</v>
      </c>
      <c r="D256" s="4" t="s">
        <v>2305</v>
      </c>
      <c r="E256" s="79" t="s">
        <v>2313</v>
      </c>
    </row>
    <row r="257" spans="1:5">
      <c r="A257" s="2">
        <v>256</v>
      </c>
      <c r="B257" s="4" t="s">
        <v>2303</v>
      </c>
      <c r="C257" s="4" t="s">
        <v>2304</v>
      </c>
      <c r="D257" s="4" t="s">
        <v>2305</v>
      </c>
      <c r="E257" s="79" t="s">
        <v>2314</v>
      </c>
    </row>
    <row r="258" spans="1:5">
      <c r="A258" s="2">
        <v>257</v>
      </c>
      <c r="B258" s="4" t="s">
        <v>2303</v>
      </c>
      <c r="C258" s="4" t="s">
        <v>2304</v>
      </c>
      <c r="D258" s="4" t="s">
        <v>2305</v>
      </c>
      <c r="E258" s="79" t="s">
        <v>2315</v>
      </c>
    </row>
    <row r="259" spans="1:5">
      <c r="A259" s="2">
        <v>258</v>
      </c>
      <c r="B259" s="4" t="s">
        <v>2303</v>
      </c>
      <c r="C259" s="4" t="s">
        <v>2316</v>
      </c>
      <c r="D259" s="4" t="s">
        <v>2317</v>
      </c>
      <c r="E259" s="79" t="s">
        <v>2318</v>
      </c>
    </row>
    <row r="260" spans="1:5">
      <c r="A260" s="2">
        <v>259</v>
      </c>
      <c r="B260" s="4" t="s">
        <v>2303</v>
      </c>
      <c r="C260" s="4" t="s">
        <v>2316</v>
      </c>
      <c r="D260" s="4" t="s">
        <v>2317</v>
      </c>
      <c r="E260" s="79" t="s">
        <v>2319</v>
      </c>
    </row>
    <row r="261" spans="1:5">
      <c r="A261" s="2">
        <v>260</v>
      </c>
      <c r="B261" s="4" t="s">
        <v>2303</v>
      </c>
      <c r="C261" s="4" t="s">
        <v>2316</v>
      </c>
      <c r="D261" s="4" t="s">
        <v>2317</v>
      </c>
      <c r="E261" s="79" t="s">
        <v>2320</v>
      </c>
    </row>
    <row r="262" spans="1:5">
      <c r="A262" s="2">
        <v>261</v>
      </c>
      <c r="B262" s="4" t="s">
        <v>2303</v>
      </c>
      <c r="C262" s="4" t="s">
        <v>2316</v>
      </c>
      <c r="D262" s="4" t="s">
        <v>2317</v>
      </c>
      <c r="E262" s="79" t="s">
        <v>2321</v>
      </c>
    </row>
    <row r="263" spans="1:5">
      <c r="A263" s="2">
        <v>262</v>
      </c>
      <c r="B263" s="4" t="s">
        <v>2303</v>
      </c>
      <c r="C263" s="4" t="s">
        <v>2316</v>
      </c>
      <c r="D263" s="4" t="s">
        <v>2317</v>
      </c>
      <c r="E263" s="79" t="s">
        <v>2322</v>
      </c>
    </row>
    <row r="264" spans="1:5">
      <c r="A264" s="2">
        <v>263</v>
      </c>
      <c r="B264" s="4" t="s">
        <v>2303</v>
      </c>
      <c r="C264" s="4" t="s">
        <v>2316</v>
      </c>
      <c r="D264" s="4" t="s">
        <v>2317</v>
      </c>
      <c r="E264" s="79" t="s">
        <v>2323</v>
      </c>
    </row>
    <row r="265" spans="1:5">
      <c r="A265" s="2">
        <v>264</v>
      </c>
      <c r="B265" s="4" t="s">
        <v>2303</v>
      </c>
      <c r="C265" s="4" t="s">
        <v>2316</v>
      </c>
      <c r="D265" s="4" t="s">
        <v>2317</v>
      </c>
      <c r="E265" s="79" t="s">
        <v>2324</v>
      </c>
    </row>
    <row r="266" spans="1:5">
      <c r="A266" s="2">
        <v>265</v>
      </c>
      <c r="B266" s="4" t="s">
        <v>2303</v>
      </c>
      <c r="C266" s="4" t="s">
        <v>2316</v>
      </c>
      <c r="D266" s="4" t="s">
        <v>2317</v>
      </c>
      <c r="E266" s="79" t="s">
        <v>2325</v>
      </c>
    </row>
    <row r="267" spans="1:5">
      <c r="A267" s="2">
        <v>266</v>
      </c>
      <c r="B267" s="4" t="s">
        <v>2303</v>
      </c>
      <c r="C267" s="4" t="s">
        <v>2316</v>
      </c>
      <c r="D267" s="4" t="s">
        <v>2317</v>
      </c>
      <c r="E267" s="79" t="s">
        <v>2326</v>
      </c>
    </row>
    <row r="268" spans="1:5">
      <c r="A268" s="2">
        <v>267</v>
      </c>
      <c r="B268" s="4" t="s">
        <v>2303</v>
      </c>
      <c r="C268" s="4" t="s">
        <v>2316</v>
      </c>
      <c r="D268" s="4" t="s">
        <v>2317</v>
      </c>
      <c r="E268" s="79" t="s">
        <v>2327</v>
      </c>
    </row>
    <row r="269" spans="1:5">
      <c r="A269" s="2">
        <v>268</v>
      </c>
      <c r="B269" s="4" t="s">
        <v>2303</v>
      </c>
      <c r="C269" s="4" t="s">
        <v>2328</v>
      </c>
      <c r="D269" s="4" t="s">
        <v>2329</v>
      </c>
      <c r="E269" s="79" t="s">
        <v>2330</v>
      </c>
    </row>
    <row r="270" spans="1:5">
      <c r="A270" s="2">
        <v>269</v>
      </c>
      <c r="B270" s="4" t="s">
        <v>2303</v>
      </c>
      <c r="C270" s="4" t="s">
        <v>2328</v>
      </c>
      <c r="D270" s="4" t="s">
        <v>2329</v>
      </c>
      <c r="E270" s="79" t="s">
        <v>2331</v>
      </c>
    </row>
    <row r="271" spans="1:5">
      <c r="A271" s="2">
        <v>270</v>
      </c>
      <c r="B271" s="4" t="s">
        <v>2303</v>
      </c>
      <c r="C271" s="4" t="s">
        <v>2328</v>
      </c>
      <c r="D271" s="4" t="s">
        <v>2329</v>
      </c>
      <c r="E271" s="79" t="s">
        <v>2332</v>
      </c>
    </row>
    <row r="272" spans="1:5">
      <c r="A272" s="2">
        <v>271</v>
      </c>
      <c r="B272" s="4" t="s">
        <v>2303</v>
      </c>
      <c r="C272" s="4" t="s">
        <v>2328</v>
      </c>
      <c r="D272" s="4" t="s">
        <v>2329</v>
      </c>
      <c r="E272" s="79" t="s">
        <v>2333</v>
      </c>
    </row>
    <row r="273" spans="1:5">
      <c r="A273" s="2">
        <v>272</v>
      </c>
      <c r="B273" s="4" t="s">
        <v>2303</v>
      </c>
      <c r="C273" s="4" t="s">
        <v>2328</v>
      </c>
      <c r="D273" s="4" t="s">
        <v>2329</v>
      </c>
      <c r="E273" s="346" t="s">
        <v>2334</v>
      </c>
    </row>
    <row r="274" spans="1:5">
      <c r="A274" s="2">
        <v>273</v>
      </c>
      <c r="B274" s="4" t="s">
        <v>2303</v>
      </c>
      <c r="C274" s="4" t="s">
        <v>2328</v>
      </c>
      <c r="D274" s="4" t="s">
        <v>2329</v>
      </c>
      <c r="E274" s="79" t="s">
        <v>2335</v>
      </c>
    </row>
    <row r="275" spans="1:5">
      <c r="A275" s="2">
        <v>274</v>
      </c>
      <c r="B275" s="4" t="s">
        <v>2303</v>
      </c>
      <c r="C275" s="4" t="s">
        <v>2328</v>
      </c>
      <c r="D275" s="4" t="s">
        <v>2329</v>
      </c>
      <c r="E275" s="79" t="s">
        <v>2336</v>
      </c>
    </row>
    <row r="276" spans="1:5">
      <c r="A276" s="2">
        <v>275</v>
      </c>
      <c r="B276" s="4" t="s">
        <v>2303</v>
      </c>
      <c r="C276" s="4" t="s">
        <v>2328</v>
      </c>
      <c r="D276" s="4" t="s">
        <v>2329</v>
      </c>
      <c r="E276" s="79" t="s">
        <v>2337</v>
      </c>
    </row>
    <row r="277" spans="1:5">
      <c r="A277" s="2">
        <v>276</v>
      </c>
      <c r="B277" s="4" t="s">
        <v>2303</v>
      </c>
      <c r="C277" s="4" t="s">
        <v>2328</v>
      </c>
      <c r="D277" s="4" t="s">
        <v>2329</v>
      </c>
      <c r="E277" s="79" t="s">
        <v>2326</v>
      </c>
    </row>
    <row r="278" spans="1:5">
      <c r="A278" s="2">
        <v>277</v>
      </c>
      <c r="B278" s="4" t="s">
        <v>2303</v>
      </c>
      <c r="C278" s="4" t="s">
        <v>2328</v>
      </c>
      <c r="D278" s="4" t="s">
        <v>2329</v>
      </c>
      <c r="E278" s="79" t="s">
        <v>2338</v>
      </c>
    </row>
    <row r="279" spans="1:5">
      <c r="A279" s="2">
        <v>278</v>
      </c>
      <c r="B279" s="4" t="s">
        <v>2339</v>
      </c>
      <c r="C279" s="4" t="s">
        <v>2340</v>
      </c>
      <c r="D279" s="4" t="s">
        <v>2341</v>
      </c>
      <c r="E279" s="79" t="s">
        <v>2342</v>
      </c>
    </row>
    <row r="280" spans="1:5">
      <c r="A280" s="2">
        <v>279</v>
      </c>
      <c r="B280" s="4" t="s">
        <v>2339</v>
      </c>
      <c r="C280" s="4" t="s">
        <v>2340</v>
      </c>
      <c r="D280" s="4" t="s">
        <v>2341</v>
      </c>
      <c r="E280" s="79" t="s">
        <v>2343</v>
      </c>
    </row>
    <row r="281" spans="1:5">
      <c r="A281" s="2">
        <v>280</v>
      </c>
      <c r="B281" s="4" t="s">
        <v>2339</v>
      </c>
      <c r="C281" s="4" t="s">
        <v>2340</v>
      </c>
      <c r="D281" s="4" t="s">
        <v>2341</v>
      </c>
      <c r="E281" s="79" t="s">
        <v>2344</v>
      </c>
    </row>
    <row r="282" spans="1:5">
      <c r="A282" s="2">
        <v>281</v>
      </c>
      <c r="B282" s="4" t="s">
        <v>2339</v>
      </c>
      <c r="C282" s="4" t="s">
        <v>2340</v>
      </c>
      <c r="D282" s="4" t="s">
        <v>2341</v>
      </c>
      <c r="E282" s="79" t="s">
        <v>2345</v>
      </c>
    </row>
    <row r="283" spans="1:5">
      <c r="A283" s="2">
        <v>282</v>
      </c>
      <c r="B283" s="4" t="s">
        <v>2339</v>
      </c>
      <c r="C283" s="4" t="s">
        <v>2340</v>
      </c>
      <c r="D283" s="4" t="s">
        <v>2341</v>
      </c>
      <c r="E283" s="79" t="s">
        <v>2346</v>
      </c>
    </row>
    <row r="284" spans="1:5" s="403" customFormat="1">
      <c r="A284" s="4">
        <v>283</v>
      </c>
      <c r="B284" s="4" t="s">
        <v>2339</v>
      </c>
      <c r="C284" s="4" t="s">
        <v>2340</v>
      </c>
      <c r="D284" s="4" t="s">
        <v>2341</v>
      </c>
      <c r="E284" s="1667" t="s">
        <v>2347</v>
      </c>
    </row>
    <row r="285" spans="1:5">
      <c r="A285" s="2">
        <v>284</v>
      </c>
      <c r="B285" s="4" t="s">
        <v>2339</v>
      </c>
      <c r="C285" s="4" t="s">
        <v>2340</v>
      </c>
      <c r="D285" s="4" t="s">
        <v>2341</v>
      </c>
      <c r="E285" s="79" t="s">
        <v>2348</v>
      </c>
    </row>
    <row r="286" spans="1:5">
      <c r="A286" s="2">
        <v>285</v>
      </c>
      <c r="B286" s="4" t="s">
        <v>2339</v>
      </c>
      <c r="C286" s="4" t="s">
        <v>2340</v>
      </c>
      <c r="D286" s="4" t="s">
        <v>2341</v>
      </c>
      <c r="E286" s="79" t="s">
        <v>2349</v>
      </c>
    </row>
    <row r="287" spans="1:5">
      <c r="A287" s="2">
        <v>286</v>
      </c>
      <c r="B287" s="4" t="s">
        <v>2339</v>
      </c>
      <c r="C287" s="4" t="s">
        <v>2340</v>
      </c>
      <c r="D287" s="4" t="s">
        <v>2341</v>
      </c>
      <c r="E287" s="79" t="s">
        <v>2350</v>
      </c>
    </row>
    <row r="288" spans="1:5">
      <c r="A288" s="2">
        <v>287</v>
      </c>
      <c r="B288" s="4" t="s">
        <v>2339</v>
      </c>
      <c r="C288" s="4" t="s">
        <v>2340</v>
      </c>
      <c r="D288" s="4" t="s">
        <v>2341</v>
      </c>
      <c r="E288" s="79" t="s">
        <v>2351</v>
      </c>
    </row>
    <row r="289" spans="1:5">
      <c r="A289" s="2">
        <v>288</v>
      </c>
      <c r="B289" s="4" t="s">
        <v>2339</v>
      </c>
      <c r="C289" s="4" t="s">
        <v>2352</v>
      </c>
      <c r="D289" s="4" t="s">
        <v>2353</v>
      </c>
      <c r="E289" s="79" t="s">
        <v>2354</v>
      </c>
    </row>
    <row r="290" spans="1:5">
      <c r="A290" s="2">
        <v>289</v>
      </c>
      <c r="B290" s="4" t="s">
        <v>2339</v>
      </c>
      <c r="C290" s="4" t="s">
        <v>2352</v>
      </c>
      <c r="D290" s="4" t="s">
        <v>2353</v>
      </c>
      <c r="E290" s="79" t="s">
        <v>2355</v>
      </c>
    </row>
    <row r="291" spans="1:5">
      <c r="A291" s="2">
        <v>290</v>
      </c>
      <c r="B291" s="4" t="s">
        <v>2339</v>
      </c>
      <c r="C291" s="4" t="s">
        <v>2352</v>
      </c>
      <c r="D291" s="4" t="s">
        <v>2353</v>
      </c>
      <c r="E291" s="79" t="s">
        <v>2356</v>
      </c>
    </row>
    <row r="292" spans="1:5">
      <c r="A292" s="2">
        <v>291</v>
      </c>
      <c r="B292" s="4" t="s">
        <v>2339</v>
      </c>
      <c r="C292" s="4" t="s">
        <v>2352</v>
      </c>
      <c r="D292" s="4" t="s">
        <v>2353</v>
      </c>
      <c r="E292" s="79" t="s">
        <v>2357</v>
      </c>
    </row>
    <row r="293" spans="1:5">
      <c r="A293" s="2">
        <v>292</v>
      </c>
      <c r="B293" s="4" t="s">
        <v>2339</v>
      </c>
      <c r="C293" s="4" t="s">
        <v>2352</v>
      </c>
      <c r="D293" s="4" t="s">
        <v>2353</v>
      </c>
      <c r="E293" s="79" t="s">
        <v>2358</v>
      </c>
    </row>
    <row r="294" spans="1:5">
      <c r="A294" s="2">
        <v>293</v>
      </c>
      <c r="B294" s="4" t="s">
        <v>2339</v>
      </c>
      <c r="C294" s="4" t="s">
        <v>2352</v>
      </c>
      <c r="D294" s="4" t="s">
        <v>2353</v>
      </c>
      <c r="E294" s="79" t="s">
        <v>2359</v>
      </c>
    </row>
    <row r="295" spans="1:5">
      <c r="A295" s="2">
        <v>294</v>
      </c>
      <c r="B295" s="4" t="s">
        <v>2339</v>
      </c>
      <c r="C295" s="4" t="s">
        <v>2352</v>
      </c>
      <c r="D295" s="4" t="s">
        <v>2353</v>
      </c>
      <c r="E295" s="79" t="s">
        <v>2360</v>
      </c>
    </row>
    <row r="296" spans="1:5">
      <c r="A296" s="2">
        <v>295</v>
      </c>
      <c r="B296" s="4" t="s">
        <v>2339</v>
      </c>
      <c r="C296" s="4" t="s">
        <v>2352</v>
      </c>
      <c r="D296" s="4" t="s">
        <v>2353</v>
      </c>
      <c r="E296" s="79" t="s">
        <v>2361</v>
      </c>
    </row>
    <row r="297" spans="1:5">
      <c r="A297" s="2">
        <v>296</v>
      </c>
      <c r="B297" s="4" t="s">
        <v>2339</v>
      </c>
      <c r="C297" s="4" t="s">
        <v>2352</v>
      </c>
      <c r="D297" s="4" t="s">
        <v>2353</v>
      </c>
      <c r="E297" s="79" t="s">
        <v>2362</v>
      </c>
    </row>
    <row r="298" spans="1:5">
      <c r="A298" s="2">
        <v>297</v>
      </c>
      <c r="B298" s="4" t="s">
        <v>2339</v>
      </c>
      <c r="C298" s="4" t="s">
        <v>2352</v>
      </c>
      <c r="D298" s="4" t="s">
        <v>2353</v>
      </c>
      <c r="E298" s="79" t="s">
        <v>2363</v>
      </c>
    </row>
    <row r="299" spans="1:5">
      <c r="A299" s="2">
        <v>298</v>
      </c>
      <c r="B299" s="4" t="s">
        <v>2339</v>
      </c>
      <c r="C299" s="4" t="s">
        <v>2364</v>
      </c>
      <c r="D299" s="4" t="s">
        <v>2365</v>
      </c>
      <c r="E299" s="79" t="s">
        <v>2366</v>
      </c>
    </row>
    <row r="300" spans="1:5">
      <c r="A300" s="2">
        <v>299</v>
      </c>
      <c r="B300" s="4" t="s">
        <v>2339</v>
      </c>
      <c r="C300" s="4" t="s">
        <v>2364</v>
      </c>
      <c r="D300" s="4" t="s">
        <v>2365</v>
      </c>
      <c r="E300" s="79" t="s">
        <v>2367</v>
      </c>
    </row>
    <row r="301" spans="1:5">
      <c r="A301" s="2">
        <v>300</v>
      </c>
      <c r="B301" s="4" t="s">
        <v>2339</v>
      </c>
      <c r="C301" s="4" t="s">
        <v>2364</v>
      </c>
      <c r="D301" s="4" t="s">
        <v>2365</v>
      </c>
      <c r="E301" s="79" t="s">
        <v>2368</v>
      </c>
    </row>
    <row r="302" spans="1:5">
      <c r="A302" s="2">
        <v>301</v>
      </c>
      <c r="B302" s="4" t="s">
        <v>2339</v>
      </c>
      <c r="C302" s="4" t="s">
        <v>2364</v>
      </c>
      <c r="D302" s="4" t="s">
        <v>2365</v>
      </c>
      <c r="E302" s="79" t="s">
        <v>2369</v>
      </c>
    </row>
    <row r="303" spans="1:5">
      <c r="A303" s="2">
        <v>302</v>
      </c>
      <c r="B303" s="4" t="s">
        <v>2339</v>
      </c>
      <c r="C303" s="4" t="s">
        <v>2364</v>
      </c>
      <c r="D303" s="4" t="s">
        <v>2365</v>
      </c>
      <c r="E303" s="79" t="s">
        <v>2370</v>
      </c>
    </row>
    <row r="304" spans="1:5">
      <c r="A304" s="2">
        <v>303</v>
      </c>
      <c r="B304" s="4" t="s">
        <v>2339</v>
      </c>
      <c r="C304" s="4" t="s">
        <v>2364</v>
      </c>
      <c r="D304" s="4" t="s">
        <v>2365</v>
      </c>
      <c r="E304" s="79" t="s">
        <v>2371</v>
      </c>
    </row>
    <row r="305" spans="1:5">
      <c r="A305" s="2">
        <v>304</v>
      </c>
      <c r="B305" s="4" t="s">
        <v>2339</v>
      </c>
      <c r="C305" s="4" t="s">
        <v>2364</v>
      </c>
      <c r="D305" s="4" t="s">
        <v>2365</v>
      </c>
      <c r="E305" s="79" t="s">
        <v>2372</v>
      </c>
    </row>
    <row r="306" spans="1:5">
      <c r="A306" s="2">
        <v>305</v>
      </c>
      <c r="B306" s="4" t="s">
        <v>2339</v>
      </c>
      <c r="C306" s="4" t="s">
        <v>2364</v>
      </c>
      <c r="D306" s="4" t="s">
        <v>2365</v>
      </c>
      <c r="E306" s="79" t="s">
        <v>2373</v>
      </c>
    </row>
    <row r="307" spans="1:5">
      <c r="A307" s="2">
        <v>306</v>
      </c>
      <c r="B307" s="4" t="s">
        <v>2339</v>
      </c>
      <c r="C307" s="4" t="s">
        <v>2364</v>
      </c>
      <c r="D307" s="4" t="s">
        <v>2365</v>
      </c>
      <c r="E307" s="79" t="s">
        <v>2374</v>
      </c>
    </row>
    <row r="308" spans="1:5">
      <c r="A308" s="2">
        <v>307</v>
      </c>
      <c r="B308" s="4" t="s">
        <v>2339</v>
      </c>
      <c r="C308" s="4" t="s">
        <v>2364</v>
      </c>
      <c r="D308" s="4" t="s">
        <v>2365</v>
      </c>
      <c r="E308" s="79" t="s">
        <v>2375</v>
      </c>
    </row>
    <row r="309" spans="1:5">
      <c r="A309" s="2">
        <v>308</v>
      </c>
      <c r="B309" s="4" t="s">
        <v>98</v>
      </c>
      <c r="C309" s="4" t="s">
        <v>2376</v>
      </c>
      <c r="D309" s="4" t="s">
        <v>2377</v>
      </c>
      <c r="E309" s="79" t="s">
        <v>2378</v>
      </c>
    </row>
    <row r="310" spans="1:5">
      <c r="A310" s="2">
        <v>309</v>
      </c>
      <c r="B310" s="4" t="s">
        <v>98</v>
      </c>
      <c r="C310" s="4" t="s">
        <v>2376</v>
      </c>
      <c r="D310" s="4" t="s">
        <v>2377</v>
      </c>
      <c r="E310" s="79" t="s">
        <v>2379</v>
      </c>
    </row>
    <row r="311" spans="1:5">
      <c r="A311" s="2">
        <v>310</v>
      </c>
      <c r="B311" s="4" t="s">
        <v>98</v>
      </c>
      <c r="C311" s="4" t="s">
        <v>2376</v>
      </c>
      <c r="D311" s="4" t="s">
        <v>2377</v>
      </c>
      <c r="E311" s="79" t="s">
        <v>2380</v>
      </c>
    </row>
    <row r="312" spans="1:5" s="319" customFormat="1">
      <c r="A312" s="318">
        <v>311</v>
      </c>
      <c r="B312" s="318" t="s">
        <v>98</v>
      </c>
      <c r="C312" s="318" t="s">
        <v>2376</v>
      </c>
      <c r="D312" s="318" t="s">
        <v>2377</v>
      </c>
      <c r="E312" s="341" t="s">
        <v>2381</v>
      </c>
    </row>
    <row r="313" spans="1:5">
      <c r="A313" s="2">
        <v>312</v>
      </c>
      <c r="B313" s="4" t="s">
        <v>98</v>
      </c>
      <c r="C313" s="4" t="s">
        <v>2376</v>
      </c>
      <c r="D313" s="4" t="s">
        <v>2377</v>
      </c>
      <c r="E313" s="79" t="s">
        <v>2382</v>
      </c>
    </row>
    <row r="314" spans="1:5">
      <c r="A314" s="2">
        <v>313</v>
      </c>
      <c r="B314" s="4" t="s">
        <v>98</v>
      </c>
      <c r="C314" s="4" t="s">
        <v>2376</v>
      </c>
      <c r="D314" s="4" t="s">
        <v>2377</v>
      </c>
      <c r="E314" s="79" t="s">
        <v>2383</v>
      </c>
    </row>
    <row r="315" spans="1:5">
      <c r="A315" s="2">
        <v>314</v>
      </c>
      <c r="B315" s="4" t="s">
        <v>98</v>
      </c>
      <c r="C315" s="4" t="s">
        <v>2376</v>
      </c>
      <c r="D315" s="4" t="s">
        <v>2377</v>
      </c>
      <c r="E315" s="79" t="s">
        <v>2384</v>
      </c>
    </row>
    <row r="316" spans="1:5">
      <c r="A316" s="2">
        <v>315</v>
      </c>
      <c r="B316" s="4" t="s">
        <v>98</v>
      </c>
      <c r="C316" s="4" t="s">
        <v>2376</v>
      </c>
      <c r="D316" s="4" t="s">
        <v>2377</v>
      </c>
      <c r="E316" s="79" t="s">
        <v>2385</v>
      </c>
    </row>
    <row r="317" spans="1:5">
      <c r="A317" s="2">
        <v>316</v>
      </c>
      <c r="B317" s="4" t="s">
        <v>98</v>
      </c>
      <c r="C317" s="4" t="s">
        <v>2376</v>
      </c>
      <c r="D317" s="4" t="s">
        <v>2377</v>
      </c>
      <c r="E317" s="79" t="s">
        <v>2386</v>
      </c>
    </row>
    <row r="318" spans="1:5">
      <c r="A318" s="2">
        <v>317</v>
      </c>
      <c r="B318" s="4" t="s">
        <v>98</v>
      </c>
      <c r="C318" s="4" t="s">
        <v>2376</v>
      </c>
      <c r="D318" s="4" t="s">
        <v>2377</v>
      </c>
      <c r="E318" s="79" t="s">
        <v>2387</v>
      </c>
    </row>
    <row r="319" spans="1:5" s="319" customFormat="1">
      <c r="A319" s="318">
        <v>318</v>
      </c>
      <c r="B319" s="318" t="s">
        <v>98</v>
      </c>
      <c r="C319" s="318" t="s">
        <v>2388</v>
      </c>
      <c r="D319" s="318" t="s">
        <v>2389</v>
      </c>
      <c r="E319" s="341" t="s">
        <v>2390</v>
      </c>
    </row>
    <row r="320" spans="1:5">
      <c r="A320" s="2">
        <v>319</v>
      </c>
      <c r="B320" s="4" t="s">
        <v>98</v>
      </c>
      <c r="C320" s="4" t="s">
        <v>2388</v>
      </c>
      <c r="D320" s="4" t="s">
        <v>2389</v>
      </c>
      <c r="E320" s="79" t="s">
        <v>2391</v>
      </c>
    </row>
    <row r="321" spans="1:5">
      <c r="A321" s="2">
        <v>320</v>
      </c>
      <c r="B321" s="4" t="s">
        <v>98</v>
      </c>
      <c r="C321" s="4" t="s">
        <v>2388</v>
      </c>
      <c r="D321" s="4" t="s">
        <v>2389</v>
      </c>
      <c r="E321" s="79" t="s">
        <v>2392</v>
      </c>
    </row>
    <row r="322" spans="1:5">
      <c r="A322" s="2">
        <v>321</v>
      </c>
      <c r="B322" s="4" t="s">
        <v>98</v>
      </c>
      <c r="C322" s="4" t="s">
        <v>2388</v>
      </c>
      <c r="D322" s="4" t="s">
        <v>2389</v>
      </c>
      <c r="E322" s="79" t="s">
        <v>2393</v>
      </c>
    </row>
    <row r="323" spans="1:5">
      <c r="A323" s="2">
        <v>322</v>
      </c>
      <c r="B323" s="4" t="s">
        <v>98</v>
      </c>
      <c r="C323" s="4" t="s">
        <v>2388</v>
      </c>
      <c r="D323" s="4" t="s">
        <v>2389</v>
      </c>
      <c r="E323" s="79" t="s">
        <v>154</v>
      </c>
    </row>
    <row r="324" spans="1:5">
      <c r="A324" s="2">
        <v>323</v>
      </c>
      <c r="B324" s="4" t="s">
        <v>98</v>
      </c>
      <c r="C324" s="4" t="s">
        <v>2388</v>
      </c>
      <c r="D324" s="4" t="s">
        <v>2389</v>
      </c>
      <c r="E324" s="79" t="s">
        <v>2394</v>
      </c>
    </row>
    <row r="325" spans="1:5">
      <c r="A325" s="2">
        <v>324</v>
      </c>
      <c r="B325" s="4" t="s">
        <v>98</v>
      </c>
      <c r="C325" s="4" t="s">
        <v>2388</v>
      </c>
      <c r="D325" s="4" t="s">
        <v>2389</v>
      </c>
      <c r="E325" s="79" t="s">
        <v>1788</v>
      </c>
    </row>
    <row r="326" spans="1:5">
      <c r="A326" s="2">
        <v>325</v>
      </c>
      <c r="B326" s="4" t="s">
        <v>98</v>
      </c>
      <c r="C326" s="4" t="s">
        <v>2388</v>
      </c>
      <c r="D326" s="4" t="s">
        <v>2389</v>
      </c>
      <c r="E326" s="79" t="s">
        <v>2395</v>
      </c>
    </row>
    <row r="327" spans="1:5">
      <c r="A327" s="2">
        <v>326</v>
      </c>
      <c r="B327" s="4" t="s">
        <v>98</v>
      </c>
      <c r="C327" s="4" t="s">
        <v>2388</v>
      </c>
      <c r="D327" s="4" t="s">
        <v>2389</v>
      </c>
      <c r="E327" s="79" t="s">
        <v>2396</v>
      </c>
    </row>
    <row r="328" spans="1:5">
      <c r="A328" s="2">
        <v>327</v>
      </c>
      <c r="B328" s="4" t="s">
        <v>98</v>
      </c>
      <c r="C328" s="4" t="s">
        <v>2388</v>
      </c>
      <c r="D328" s="4" t="s">
        <v>2389</v>
      </c>
      <c r="E328" s="79" t="s">
        <v>2397</v>
      </c>
    </row>
    <row r="329" spans="1:5" s="319" customFormat="1">
      <c r="A329" s="318">
        <v>328</v>
      </c>
      <c r="B329" s="318" t="s">
        <v>98</v>
      </c>
      <c r="C329" s="318" t="s">
        <v>2398</v>
      </c>
      <c r="D329" s="318" t="s">
        <v>2399</v>
      </c>
      <c r="E329" s="341" t="s">
        <v>2400</v>
      </c>
    </row>
    <row r="330" spans="1:5">
      <c r="A330" s="2">
        <v>329</v>
      </c>
      <c r="B330" s="4" t="s">
        <v>98</v>
      </c>
      <c r="C330" s="4" t="s">
        <v>2398</v>
      </c>
      <c r="D330" s="4" t="s">
        <v>2399</v>
      </c>
      <c r="E330" s="79" t="s">
        <v>2401</v>
      </c>
    </row>
    <row r="331" spans="1:5">
      <c r="A331" s="2">
        <v>330</v>
      </c>
      <c r="B331" s="4" t="s">
        <v>98</v>
      </c>
      <c r="C331" s="4" t="s">
        <v>2398</v>
      </c>
      <c r="D331" s="4" t="s">
        <v>2399</v>
      </c>
      <c r="E331" s="79" t="s">
        <v>2402</v>
      </c>
    </row>
    <row r="332" spans="1:5">
      <c r="A332" s="2">
        <v>331</v>
      </c>
      <c r="B332" s="4" t="s">
        <v>98</v>
      </c>
      <c r="C332" s="4" t="s">
        <v>2398</v>
      </c>
      <c r="D332" s="4" t="s">
        <v>2399</v>
      </c>
      <c r="E332" s="79" t="s">
        <v>2403</v>
      </c>
    </row>
    <row r="333" spans="1:5">
      <c r="A333" s="2">
        <v>332</v>
      </c>
      <c r="B333" s="4" t="s">
        <v>98</v>
      </c>
      <c r="C333" s="4" t="s">
        <v>2398</v>
      </c>
      <c r="D333" s="4" t="s">
        <v>2399</v>
      </c>
      <c r="E333" s="79" t="s">
        <v>2404</v>
      </c>
    </row>
    <row r="334" spans="1:5">
      <c r="A334" s="2">
        <v>333</v>
      </c>
      <c r="B334" s="4" t="s">
        <v>98</v>
      </c>
      <c r="C334" s="4" t="s">
        <v>2398</v>
      </c>
      <c r="D334" s="4" t="s">
        <v>2399</v>
      </c>
      <c r="E334" s="79" t="s">
        <v>2405</v>
      </c>
    </row>
    <row r="335" spans="1:5">
      <c r="A335" s="2">
        <v>334</v>
      </c>
      <c r="B335" s="4" t="s">
        <v>98</v>
      </c>
      <c r="C335" s="4" t="s">
        <v>2398</v>
      </c>
      <c r="D335" s="4" t="s">
        <v>2399</v>
      </c>
      <c r="E335" s="79" t="s">
        <v>2406</v>
      </c>
    </row>
    <row r="336" spans="1:5">
      <c r="A336" s="2">
        <v>335</v>
      </c>
      <c r="B336" s="4" t="s">
        <v>98</v>
      </c>
      <c r="C336" s="4" t="s">
        <v>2398</v>
      </c>
      <c r="D336" s="4" t="s">
        <v>2399</v>
      </c>
      <c r="E336" s="79" t="s">
        <v>2407</v>
      </c>
    </row>
    <row r="337" spans="1:5">
      <c r="A337" s="2">
        <v>336</v>
      </c>
      <c r="B337" s="4" t="s">
        <v>98</v>
      </c>
      <c r="C337" s="4" t="s">
        <v>2398</v>
      </c>
      <c r="D337" s="4" t="s">
        <v>2399</v>
      </c>
      <c r="E337" s="79" t="s">
        <v>2408</v>
      </c>
    </row>
    <row r="338" spans="1:5">
      <c r="A338" s="2">
        <v>337</v>
      </c>
      <c r="B338" s="4" t="s">
        <v>98</v>
      </c>
      <c r="C338" s="4" t="s">
        <v>2398</v>
      </c>
      <c r="D338" s="4" t="s">
        <v>2399</v>
      </c>
      <c r="E338" s="79" t="s">
        <v>2409</v>
      </c>
    </row>
    <row r="339" spans="1:5" s="319" customFormat="1">
      <c r="A339" s="318">
        <v>338</v>
      </c>
      <c r="B339" s="318" t="s">
        <v>98</v>
      </c>
      <c r="C339" s="318" t="s">
        <v>2410</v>
      </c>
      <c r="D339" s="318" t="s">
        <v>2411</v>
      </c>
      <c r="E339" s="341" t="s">
        <v>2412</v>
      </c>
    </row>
    <row r="340" spans="1:5">
      <c r="A340" s="2">
        <v>339</v>
      </c>
      <c r="B340" s="4" t="s">
        <v>98</v>
      </c>
      <c r="C340" s="4" t="s">
        <v>2410</v>
      </c>
      <c r="D340" s="4" t="s">
        <v>2411</v>
      </c>
      <c r="E340" s="79" t="s">
        <v>2413</v>
      </c>
    </row>
    <row r="341" spans="1:5">
      <c r="A341" s="2">
        <v>340</v>
      </c>
      <c r="B341" s="4" t="s">
        <v>98</v>
      </c>
      <c r="C341" s="4" t="s">
        <v>2410</v>
      </c>
      <c r="D341" s="4" t="s">
        <v>2411</v>
      </c>
      <c r="E341" s="79" t="s">
        <v>2414</v>
      </c>
    </row>
    <row r="342" spans="1:5">
      <c r="A342" s="2">
        <v>341</v>
      </c>
      <c r="B342" s="4" t="s">
        <v>98</v>
      </c>
      <c r="C342" s="4" t="s">
        <v>2410</v>
      </c>
      <c r="D342" s="4" t="s">
        <v>2411</v>
      </c>
      <c r="E342" s="79" t="s">
        <v>2415</v>
      </c>
    </row>
    <row r="343" spans="1:5">
      <c r="A343" s="2">
        <v>342</v>
      </c>
      <c r="B343" s="4" t="s">
        <v>98</v>
      </c>
      <c r="C343" s="4" t="s">
        <v>2410</v>
      </c>
      <c r="D343" s="4" t="s">
        <v>2411</v>
      </c>
      <c r="E343" s="79" t="s">
        <v>2416</v>
      </c>
    </row>
    <row r="344" spans="1:5">
      <c r="A344" s="2">
        <v>343</v>
      </c>
      <c r="B344" s="4" t="s">
        <v>98</v>
      </c>
      <c r="C344" s="4" t="s">
        <v>2410</v>
      </c>
      <c r="D344" s="4" t="s">
        <v>2411</v>
      </c>
      <c r="E344" s="79" t="s">
        <v>2417</v>
      </c>
    </row>
    <row r="345" spans="1:5">
      <c r="A345" s="2">
        <v>344</v>
      </c>
      <c r="B345" s="4" t="s">
        <v>98</v>
      </c>
      <c r="C345" s="4" t="s">
        <v>2410</v>
      </c>
      <c r="D345" s="4" t="s">
        <v>2411</v>
      </c>
      <c r="E345" s="79" t="s">
        <v>2418</v>
      </c>
    </row>
    <row r="346" spans="1:5">
      <c r="A346" s="2">
        <v>345</v>
      </c>
      <c r="B346" s="4" t="s">
        <v>98</v>
      </c>
      <c r="C346" s="4" t="s">
        <v>2410</v>
      </c>
      <c r="D346" s="4" t="s">
        <v>2411</v>
      </c>
      <c r="E346" s="79" t="s">
        <v>2419</v>
      </c>
    </row>
    <row r="347" spans="1:5">
      <c r="A347" s="2">
        <v>346</v>
      </c>
      <c r="B347" s="4" t="s">
        <v>98</v>
      </c>
      <c r="C347" s="4" t="s">
        <v>2410</v>
      </c>
      <c r="D347" s="4" t="s">
        <v>2411</v>
      </c>
      <c r="E347" s="79" t="s">
        <v>2420</v>
      </c>
    </row>
    <row r="348" spans="1:5">
      <c r="A348" s="2">
        <v>347</v>
      </c>
      <c r="B348" s="4" t="s">
        <v>98</v>
      </c>
      <c r="C348" s="4" t="s">
        <v>2410</v>
      </c>
      <c r="D348" s="4" t="s">
        <v>2411</v>
      </c>
      <c r="E348" s="79" t="s">
        <v>2421</v>
      </c>
    </row>
    <row r="349" spans="1:5" s="319" customFormat="1">
      <c r="A349" s="318">
        <v>348</v>
      </c>
      <c r="B349" s="318" t="s">
        <v>98</v>
      </c>
      <c r="C349" s="318" t="s">
        <v>2422</v>
      </c>
      <c r="D349" s="318" t="s">
        <v>2423</v>
      </c>
      <c r="E349" s="341" t="s">
        <v>2424</v>
      </c>
    </row>
    <row r="350" spans="1:5">
      <c r="A350" s="2">
        <v>349</v>
      </c>
      <c r="B350" s="4" t="s">
        <v>98</v>
      </c>
      <c r="C350" s="4" t="s">
        <v>2422</v>
      </c>
      <c r="D350" s="4" t="s">
        <v>2423</v>
      </c>
      <c r="E350" s="79" t="s">
        <v>2425</v>
      </c>
    </row>
    <row r="351" spans="1:5">
      <c r="A351" s="2">
        <v>350</v>
      </c>
      <c r="B351" s="4" t="s">
        <v>98</v>
      </c>
      <c r="C351" s="4" t="s">
        <v>2422</v>
      </c>
      <c r="D351" s="4" t="s">
        <v>2423</v>
      </c>
      <c r="E351" s="79" t="s">
        <v>2426</v>
      </c>
    </row>
    <row r="352" spans="1:5">
      <c r="A352" s="2">
        <v>351</v>
      </c>
      <c r="B352" s="4" t="s">
        <v>98</v>
      </c>
      <c r="C352" s="4" t="s">
        <v>2422</v>
      </c>
      <c r="D352" s="4" t="s">
        <v>2423</v>
      </c>
      <c r="E352" s="79" t="s">
        <v>2427</v>
      </c>
    </row>
    <row r="353" spans="1:5">
      <c r="A353" s="2">
        <v>352</v>
      </c>
      <c r="B353" s="4" t="s">
        <v>98</v>
      </c>
      <c r="C353" s="4" t="s">
        <v>2422</v>
      </c>
      <c r="D353" s="4" t="s">
        <v>2423</v>
      </c>
      <c r="E353" s="79" t="s">
        <v>2428</v>
      </c>
    </row>
    <row r="354" spans="1:5">
      <c r="A354" s="2">
        <v>353</v>
      </c>
      <c r="B354" s="4" t="s">
        <v>98</v>
      </c>
      <c r="C354" s="4" t="s">
        <v>2422</v>
      </c>
      <c r="D354" s="4" t="s">
        <v>2423</v>
      </c>
      <c r="E354" s="79" t="s">
        <v>2429</v>
      </c>
    </row>
    <row r="355" spans="1:5">
      <c r="A355" s="2">
        <v>354</v>
      </c>
      <c r="B355" s="4" t="s">
        <v>98</v>
      </c>
      <c r="C355" s="4" t="s">
        <v>2422</v>
      </c>
      <c r="D355" s="4" t="s">
        <v>2423</v>
      </c>
      <c r="E355" s="79" t="s">
        <v>2430</v>
      </c>
    </row>
    <row r="356" spans="1:5">
      <c r="A356" s="2">
        <v>355</v>
      </c>
      <c r="B356" s="4" t="s">
        <v>98</v>
      </c>
      <c r="C356" s="4" t="s">
        <v>2422</v>
      </c>
      <c r="D356" s="4" t="s">
        <v>2423</v>
      </c>
      <c r="E356" s="79" t="s">
        <v>2431</v>
      </c>
    </row>
    <row r="357" spans="1:5">
      <c r="A357" s="2">
        <v>356</v>
      </c>
      <c r="B357" s="4" t="s">
        <v>98</v>
      </c>
      <c r="C357" s="4" t="s">
        <v>2422</v>
      </c>
      <c r="D357" s="4" t="s">
        <v>2423</v>
      </c>
      <c r="E357" s="79" t="s">
        <v>2432</v>
      </c>
    </row>
    <row r="358" spans="1:5">
      <c r="A358" s="2">
        <v>357</v>
      </c>
      <c r="B358" s="4" t="s">
        <v>98</v>
      </c>
      <c r="C358" s="4" t="s">
        <v>2422</v>
      </c>
      <c r="D358" s="4" t="s">
        <v>2423</v>
      </c>
      <c r="E358" s="79" t="s">
        <v>2433</v>
      </c>
    </row>
  </sheetData>
  <autoFilter ref="A1:E358">
    <filterColumn colId="1"/>
    <filterColumn colId="2"/>
    <filterColumn colId="3"/>
  </autoFilter>
  <hyperlinks>
    <hyperlink ref="E25" location="Chacha!A1" display="Maa Dharani Debta GUS, Chachagaon"/>
    <hyperlink ref="E26" location="Ushabahali!A1" display="Maa Agni Bhairabi GUS, Usabahali"/>
    <hyperlink ref="E27" location="Malijubang!A1" display="Om Sibaya GUS, Malijubang"/>
    <hyperlink ref="E28" location="Madanguda!A1" display="Dharani Debata GUS, Madanguda"/>
    <hyperlink ref="E29" location="punjam!A1" display="Maa Tarini GUS, Punjam"/>
    <hyperlink ref="E30" location="jira!A1" display="Bhairab GUS, Jiragaon"/>
    <hyperlink ref="E31" location="Panpadar!A1" display="Siba Shakti GUS, Panpadar"/>
    <hyperlink ref="E32" location="Bater!A1" display="Maa Manikeswari GUS, Baterpada"/>
    <hyperlink ref="E33" location="Salpadar!A1" display="Jay Bagha Duar GUS, Salpadar"/>
    <hyperlink ref="E34" location="Bada!A1" display="Penu Debta GUS, Badsemelpadar"/>
    <hyperlink ref="E35" location="Bada!A1" display="Maa Kanakdurga GUS, Danariguda"/>
    <hyperlink ref="E36" location="Kalakupa!A1" display="Jay Bajrangi GUS, Kalakupa"/>
    <hyperlink ref="E37" location="Bank!A1" display="Patrabuda Budaraja GUS, Bankakundru"/>
    <hyperlink ref="E130" location="DEVAGIRI!A1" display="Debagiri   VDA , Panguda"/>
    <hyperlink ref="E131" location="PISION!A1" display="Pison VDA ,Tohojang"/>
    <hyperlink ref="E132" location="HEMAYANA!A1" display="Hemayan VDA ,Tala Abasing"/>
    <hyperlink ref="E133" location="ALEMBA!A1" display="Alemba VDA ,Sindhiba"/>
    <hyperlink ref="E134" location="GAMMA!A1" display="Gamma VDA , Tumulo"/>
    <hyperlink ref="E135" location="Emani!A1" display="Emani VDA,Badakalakote"/>
    <hyperlink ref="E136" location="SION!A1" display="Syon VDA,Tumkar"/>
    <hyperlink ref="E137" location="SHANTI!A1" display="Shanti VDA,Jangjanglo"/>
    <hyperlink ref="E138" location="BALINGDA!A1" display="Balingda VDA , Sindising"/>
    <hyperlink ref="E139" location="NILLA!A1" display="Nila VDA,Bantalada"/>
    <hyperlink ref="E140" location="Jambanal!A1" display="Jambanala,VDA, Bangusahi"/>
    <hyperlink ref="E141" location="Baghanal!A1" display="Baghanala VDA,Sankurda"/>
    <hyperlink ref="E142" location="Mahendratanaya!A1" display="Mahendratanya VDALanjipadar"/>
    <hyperlink ref="E143" location="Darubramha!A1" display="Darubrahma VDA, Badamasing"/>
    <hyperlink ref="E144" location="Badapathara!A1" display="Badapathara VDA, Padasahi"/>
    <hyperlink ref="E145" location="Ajayagadadhar!A1" display="Ajayagadadhara VDA, Badatundi"/>
    <hyperlink ref="E146" location="Debagiri!A1" display="Debagiri VDA, Hirapur"/>
    <hyperlink ref="E147" location="Gandakhal!A1" display="Gandakhal VDA, Raising"/>
    <hyperlink ref="E148" location="Satabhauni!A1" display="Satabahuni VDA ,M Laupur"/>
    <hyperlink ref="E149" location="Duarasunki!A1" display="Darusunki  VDA , Munigabada"/>
    <hyperlink ref="E150" location="'Mutukua Form-A'!A1" display="Mutukua VDA ,Buripadar  "/>
    <hyperlink ref="E151" location="'Nidhigudi Form-A'!A1" display="Nidhigudi VDA ,  Nidhigud"/>
    <hyperlink ref="E152" location="'Dahiamba Form- A'!A1" display="Dahiamba VDA ,Tatarang"/>
    <hyperlink ref="E153" location="'Bapedi Form-A'!A1" display="Bapedi VDA,Jamusahi"/>
    <hyperlink ref="E154" location="'Tandrang-Form-A'!A1" display="Tandarang VDA, Tandrang"/>
    <hyperlink ref="E155" location="'Puspang Form A'!A1" display="Puaspanga  VDA ,Puspanga"/>
    <hyperlink ref="E156" location="'Dhenkabandha Form-A'!A1" display="Dhenka BandhaVDA ,N.Rogeising"/>
    <hyperlink ref="E157" location="'BhamaranaLA Form-A'!A1" display="Bhamara Nala VDA Burduguda"/>
    <hyperlink ref="E158" location="'Badanala Form-A'!A1" display="Badanala VDA ,Jarigidua"/>
    <hyperlink ref="E159" location="'Dalimbapur Form A'!A1" display="Dalimbapur VDA ,Dalimbapur "/>
    <hyperlink ref="E160" location="Souri!A1" display="Sauri VDA,Sauri"/>
    <hyperlink ref="E161" location="Palapur!A1" display="Pallapur VDA,Palapur"/>
    <hyperlink ref="E162" location="'Ketung Pada'!A1" display="Ketungpada VDA  ,Ketungpada"/>
    <hyperlink ref="E163" location="Badadev!A1" display="Badadev  VDA,Burusingi"/>
    <hyperlink ref="E164" location="Konkarada!A1" display="Konkorda VDA,Konkorda"/>
    <hyperlink ref="E165" location="Attarsing!A1" display="Attarasing VDA,Atarsingi"/>
    <hyperlink ref="E166" location="Tuman!A1" display="Tuman VDA,Tuman"/>
    <hyperlink ref="E167" location="Luther!A1" display="Luthar VDA,Luthar"/>
    <hyperlink ref="E168" location="Saralapadar!A1" display="Saralapadar VDA,Saralapadar"/>
    <hyperlink ref="E169" location="Rubudising!A1" display="Rubudising VDA,Rugudising"/>
    <hyperlink ref="E190" location="Kalibudha!A1" display="Kallibudha"/>
    <hyperlink ref="E191" location="'Maa Bhagabati'!A1" display="Maa Bhagabati"/>
    <hyperlink ref="E192" location="'Siba Shakti'!A1" display="Sivasakti"/>
    <hyperlink ref="E193" location="'Jaya Hanuman'!A1" display="Jayahanuman"/>
    <hyperlink ref="E194" location="'Jana Chetana'!A1" display="Janachetana"/>
    <hyperlink ref="E195" location="Dimbuli!A1" display="Dimbuli"/>
    <hyperlink ref="E196" location="Raniadu!A1" display="Raniadu"/>
    <hyperlink ref="E197" location="'Utei Tanaya'!A1" display="Uteitanaya"/>
    <hyperlink ref="E198" location="'Maa Manikeswari'!A1" display="Maa Manikeswari "/>
    <hyperlink ref="E199" location="Sapengada!A1" display="Sapengada"/>
    <hyperlink ref="E200" location="'Maa Tulasi'!A1" display="Maa Tulasi"/>
    <hyperlink ref="E201" location="'Maa Tarini'!A1" display="Maa Tarini"/>
    <hyperlink ref="E202" location="Sitiguda!A1" display="Sitiguda"/>
    <hyperlink ref="E203" location="Dharanimata!A1" display="Dharanimata"/>
    <hyperlink ref="E204" location="'Maa Subasini'!A1" display="Maa Subasini"/>
    <hyperlink ref="E205" location="Krusibikash!A1" display="Krusibakash"/>
    <hyperlink ref="E206" location="'Maa Manikeswari (2)'!A1" display="Maa Manikeswari"/>
    <hyperlink ref="E207" location="Sangram!A1" display="Sangram"/>
    <hyperlink ref="E208" location="Jeevanjyoti!A1" display="Jibanjyoti"/>
    <hyperlink ref="E209" location="Sashakti!A1" display="Sasakti"/>
    <hyperlink ref="E210" location="Lazera!A1" display="Lazera"/>
    <hyperlink ref="E211" location="Jihobajiri!A1" display="Jeobajheri"/>
    <hyperlink ref="E212" location="'Dr. Ambedkar'!A1" display="Dr. Ambedkar"/>
    <hyperlink ref="E213" location="'Mother Teresa'!A1" display="Mother Teresa"/>
    <hyperlink ref="E214" location="'Sahid Bhagatsingh'!A1" display="Sahid Bhagat Sing"/>
    <hyperlink ref="E215" location="Bethel!A1" display="Bethel"/>
    <hyperlink ref="E216" location="Triranga!A1" display="Triranga"/>
    <hyperlink ref="E217" location="Shantidata!A1" display="Santidata"/>
    <hyperlink ref="E218" location="'Jay Sriram'!A1" display="Jay Sriram"/>
    <hyperlink ref="E219" location="Swadhin!A1" display="Swadhin"/>
    <hyperlink ref="E220" location="Kuki!A1" display="Kuki"/>
    <hyperlink ref="E221" location="Rushimala!A1" display="Rusimala"/>
    <hyperlink ref="E222" location="Janaseva!A1" display="JanaSeba"/>
    <hyperlink ref="E223" location="Bibekananda!A1" display="Vivekananda"/>
    <hyperlink ref="E224" location="Padujha!A1" display="Padujha"/>
    <hyperlink ref="E225" location="Kuruma!A1" display="Kuruma"/>
    <hyperlink ref="E226" location="Agraha!A1" display="Agraha"/>
    <hyperlink ref="E227" location="Kaupunja!A1" display="Kaupunja"/>
    <hyperlink ref="E228" location="Gilasakti!A1" display="Gilasakti"/>
    <hyperlink ref="E229" location="Bijaynagar!A1" display="Bijayanagar"/>
    <hyperlink ref="E230" location="Divyasakti!A1" display="Dibyasakti"/>
    <hyperlink ref="E231" location="Lapkapaheri!A1" display="Lapkapaheri"/>
    <hyperlink ref="E232" location="Taranga!A1" display="Taranga"/>
    <hyperlink ref="E233" location="Girijan!A1" display="Girijan"/>
    <hyperlink ref="E234" location="Gayatri!A1" display="Maa Gayatree"/>
    <hyperlink ref="E235" location="'Jihobajiri (2)'!A1" display="Jiho-Ba-jiri"/>
    <hyperlink ref="E236" location="'Maa Shakti'!A1" display="Maa Sakti"/>
    <hyperlink ref="E237" location="Kissan!A1" display="Kisan"/>
    <hyperlink ref="E238" location="'Maa Bhagabati (2)'!A1" display="Maa Bhagabati"/>
    <hyperlink ref="E239" location="Gramadevi!A1" display="Gramadevi"/>
    <hyperlink ref="E240" location="Lingaraj!A1" display="Lingaraj"/>
    <hyperlink ref="E241" location="'Sri Laxmi'!A1" display="Shree Laxmi"/>
    <hyperlink ref="E242" location="Chakadola!A1" display="Chakadola"/>
    <hyperlink ref="E243" location="Jagatjanani!A1" display="Jagat Janani (Talakangerikia)"/>
    <hyperlink ref="E244" location="Ujjanputta!A1" display="Ujana putta"/>
    <hyperlink ref="E245" location="'Maa Tarini (2)'!A1" display="Maa Tarini"/>
    <hyperlink ref="E246" location="Biswajanani!A1" display="Biswajanani"/>
    <hyperlink ref="E247" location="'Maa Bhagabati (3)'!A1" display="Maa Bhagabati"/>
    <hyperlink ref="E248" location="'Bibekananda (2)'!A1" display="Bibekananda (Nuamunda)"/>
    <hyperlink ref="E249" location="Sunadei!A1" display="Sunadei maa Thakurani "/>
    <hyperlink ref="E250" location="'Vande Mataram'!A1" display="Vande mataram "/>
    <hyperlink ref="E251" location="'Sahid Laxman Nayak'!A1" display="Sahid Lakhan Nayak "/>
    <hyperlink ref="E252" location="Budhachauria!A1" display="Budhachuria "/>
    <hyperlink ref="E253" location="Bapuji!A1" display="Bapuji"/>
    <hyperlink ref="E254" location="'Maa Thakurani (2)'!A1" display="Maa Thakurani "/>
    <hyperlink ref="E255" location="'Maa Sunadei'!A1" display="Maa Sunadei "/>
    <hyperlink ref="E256" location="'Maa Kala Dharini'!A1" display="Maa Kaladharini "/>
    <hyperlink ref="E257" location="'Sanu Majhi'!A1" display="Sanu Majhi "/>
    <hyperlink ref="E258" location="'Jaya Jagannath'!A1" display="Jaya Jagannath "/>
    <hyperlink ref="E259" location="'Jay Bima'!A1" display="JAY BIMAVDA "/>
    <hyperlink ref="E260" location="Trimuti!A1" display="TRIMUTI     "/>
    <hyperlink ref="E261" location="'Laxmi Narayani'!A1" display="LAXMI NARAYANI"/>
    <hyperlink ref="E262" location="Alekhmahima!A1" display="ALEKH MAHIMA "/>
    <hyperlink ref="E263" location="'Balram mahadev'!A1" display="SRI BALRAM MAHADEV "/>
    <hyperlink ref="E264" location="'Maa Haladi Gundiani'!A1" display="MAA HALADI GUNDIANI"/>
    <hyperlink ref="E265" location="Ghatimundiani!A1" display="MAA GHATIMUNDIANI "/>
    <hyperlink ref="E266" location="'Chandan Dhar'!A1" display="CHANDAN DHAR"/>
    <hyperlink ref="E267" location="MaaThakurani!A1" display="MAA THAKURANI "/>
    <hyperlink ref="E268" location="'Maa Mauli'!A1" display="MAA MAULI"/>
    <hyperlink ref="E269" location="Kalibaudi!A1" display="KALIBAUDI"/>
    <hyperlink ref="E270" location="Jagidangri!A1" display="JAGIDANGRI "/>
    <hyperlink ref="E271" location="'Gumunda Dangri'!A1" display="GUMUNDA DANGRI"/>
    <hyperlink ref="E272" location="Chaunria!A1" display="CHAUNRIA "/>
    <hyperlink ref="E274" location="Kanjibadna!A1" display="KANJIBADNA "/>
    <hyperlink ref="E275" location="'Kurundi Nala'!A1" display="KURUNDI  NALA "/>
    <hyperlink ref="E276" location="Kotagadani!A1" display="KOTAGADANI "/>
    <hyperlink ref="E277" location="'Maa Thakurani (3)'!A1" display="MAA THAKURANI "/>
    <hyperlink ref="E278" location="Bamandei!A1" display="BAMANDEI "/>
    <hyperlink ref="E279" location="'Baba Kapileswar'!A1" display="Baba Kapileswar Gramya Unnayan Sangha, Salimi"/>
    <hyperlink ref="E280" location="'Baba Gupteswar'!A1" display="Baba Gupteswar Gramya Unnayan Sangha, Barubeda"/>
    <hyperlink ref="E281" location="'Jay Jagannath'!A1" display="Jay Jagannath Gramya Unnayan Sangha, Chamundarasi"/>
    <hyperlink ref="E282" location="'Maa Durga'!A1" display="Maa Durga Gramya Unnayan Sangha, Biranpalli"/>
    <hyperlink ref="E283" location="'Baba Akhandalamani'!A1" display="Baba Akhandalamani Gramya Unnayan Sangha, Sindhiguda"/>
    <hyperlink ref="E284" location="'Maa Mauli (2)'!A1" display="Maa Mouli Gramya Unnayan Sangha, Kerangajoba"/>
    <hyperlink ref="E285" location="Baruadeimata!A1" display="Baruadei Mata Gramya Unnayan Sangha, Bara "/>
    <hyperlink ref="E286" location="'Babaiswar '!A1" display="Baba Iswar Gramya Unnayan Sangha, Luller"/>
    <hyperlink ref="E287" location="Mohatmagandhi!A1" display="Mahatma Gandhi Gramya Unnayan Committee, Sangumma"/>
    <hyperlink ref="E288" location="Gopabandhu!A1" display="Gopobandhu Gramya Unnanyan Sangha, Sarangpalli"/>
    <hyperlink ref="E289" location="'Tuberkond VDC'!A1" display="Tuberkonda Gramya Unnayan Sangha, Badbel"/>
    <hyperlink ref="E290" location="'Taratarini VDC'!A1" display="Tara Tarini Gramya Unnayan Sangha, Gobarkund"/>
    <hyperlink ref="E291" location="'Jay Maa Santoshi'!A1" display="Jay Maa Santoshi Gramya Unnayan Sangha, Similiguda"/>
    <hyperlink ref="E292" location="'Asan VDC'!A1" display="Assan Gramya Unnayan Sangha, Baunspada"/>
    <hyperlink ref="E293" location="'Gopabandhu VDC'!A1" display="Gopabandhu Gramya Unnayan Sangha, Kandhaguda"/>
    <hyperlink ref="E294" location="'Maa Bhairabi VDC'!A1" display="Maa Bhairabi gramya Unnayan Sangha, Amlabhata"/>
    <hyperlink ref="E295" location="'Saheed Laxman Nayak VDC'!A1" display="Saheed Laxman Nayak Gramya Unnayan Sangha, Khuriguda"/>
    <hyperlink ref="E296" location="'Jay Sri Ram VDC'!A1" display="Jay Sri Ram Gramya Unnayan Sangha, Badapoda"/>
    <hyperlink ref="E297" location="'Mebur VDC'!A1" display="Mebur Gramya Unnayan Sangha, Dumuripada"/>
    <hyperlink ref="E298" location="'Maa Durga VDC'!A1" display="Maa Durga Gramya Unnayan Sangha, Tulagurum"/>
    <hyperlink ref="E309" location="'AKSSUS-Bansadhara'!A1" display="Bansadhara VDC"/>
    <hyperlink ref="E310" location="'AKSSUS-Patiagada'!A1" display="Patiaguda"/>
    <hyperlink ref="E311" location="'AKSSUS-Himalaya'!A1" display="Himalaya"/>
    <hyperlink ref="E312" location="'AKSSUS-Kaladipa'!A1" display="Kaladipa VDC"/>
    <hyperlink ref="E313" location="'AKSSUS-Niyamgiri'!A1" display="Niyamgiri VDC"/>
    <hyperlink ref="E314" location="'AKSSUS-Gadagada'!A1" display="Gadagada"/>
    <hyperlink ref="E315" location="'AKSSUS-Debagiri'!A1" display="DevagiriVDC"/>
    <hyperlink ref="E316" location="'AKSSUS-Mahendragiri'!A1" display="Mahendragiri"/>
    <hyperlink ref="E317" location="'AKSSUS-Jhanjabati'!A1" display="Jhanjabati  VDC"/>
    <hyperlink ref="E318" location="'AKSSUS-Nagabali'!A1" display="NagabaliVDC"/>
    <hyperlink ref="E319" location="Bansadhara!A1" display="Bansadhara"/>
    <hyperlink ref="E320" location="'Jeevan Jyoti'!A1" display="Jiban Jyoti"/>
    <hyperlink ref="E321" location="REWA!A1" display="Rebha"/>
    <hyperlink ref="E322" location="Lehurilima!A1" display="Lehurnima"/>
    <hyperlink ref="E323" location="'Maa Manikeswari (3)'!A1" display="Maa Manikeswari"/>
    <hyperlink ref="E324" location="Chaturveda!A1" display="Chaturveda"/>
    <hyperlink ref="E325" location="Jeobajiri!A1" display="Jihobajiri"/>
    <hyperlink ref="E326" location="Dhanpati!A1" display="Dhanpati"/>
    <hyperlink ref="E327" location="Brahmanidei!A1" display="Brahmunidei"/>
    <hyperlink ref="E328" location="Mahendranaya!A1" display="Mahendra Taniya"/>
    <hyperlink ref="E329" location="Bhahmanimunda!A1" display="Brahamanimunda Grama Urnayana Samiti"/>
    <hyperlink ref="E330" location="'Budha Bhairab'!A1" display="Budha Bhairabi Grama urnayan committee"/>
    <hyperlink ref="E331" location="Kalarasuni!A1" display="Kalasuni Grama Urnayan Committee"/>
    <hyperlink ref="E332" location="'Shree Bhairabi'!A1" display="Shree Bhairabi Grama Urnayan Committee"/>
    <hyperlink ref="E333" location="'Baishnab Budha'!A1" display="Baishanb Budha Grama Unnayan Committee"/>
    <hyperlink ref="E334" location="'Repsa Khola'!A1" display="Ripsakhila Grama Urnayan Committee"/>
    <hyperlink ref="E335" location="Naringibadi!A1" display="Naringbadi Grama Urnayan Committee"/>
    <hyperlink ref="E336" location="Pundel!A1" display="Pundel Grama Urnayan Committee"/>
    <hyperlink ref="E337" location="Dedingidangar!A1" display="Deding Dangar Grama Unrnayan Committee"/>
    <hyperlink ref="E338" location="Pundera!A1" display="Pundera grama urnayan Committee"/>
    <hyperlink ref="E339" location="'Tij Raja'!A1" display="Tij Raja  GUS"/>
    <hyperlink ref="E340" location="'Maa Gayatri (2)'!A1" display="Maa Gayatri GUS"/>
    <hyperlink ref="E341" location="'Sahid Laxman nayak (2)'!A1" display="Sahid Laxman Naik"/>
    <hyperlink ref="E342" location="'Jay Jagannath (2)'!A1" display="Jay Jagarnnath GUS"/>
    <hyperlink ref="E343" location="'Budha Raja'!A1" display="Budha Raja GUS"/>
    <hyperlink ref="E344" location="ShreeRam!A1" display="Sri Ram GUS"/>
    <hyperlink ref="E345" location="'Nava Diganta'!A1" display="Nava Diganta GUS"/>
    <hyperlink ref="E346" location="'Jay Hanuman'!A1" display="Jay Hanuman GUS"/>
    <hyperlink ref="E347" location="'Maa Satabhuni'!A1" display="Maa Sata Bhauni GUS"/>
    <hyperlink ref="E348" location="'Chakadola (2)'!A1" display="Chakadala GUS"/>
    <hyperlink ref="E349" location="'USO-bapuji'!A1" display="BAPUJI"/>
    <hyperlink ref="E350" location="'USO-ShibaShakti'!A1" display="SHIBA SHAKTI"/>
    <hyperlink ref="E351" location="'USO-gangajamuna'!A1" display="GANGA JAMUNA"/>
    <hyperlink ref="E352" location="'USO-jagabalia'!A1" display="JAGA BALIA"/>
    <hyperlink ref="E353" location="'USO-Manikeswari'!A1" display="MAA MANIKESWARI"/>
    <hyperlink ref="E354" location="'USO-MaaLaxmi'!A1" display="MAA LAXMI"/>
    <hyperlink ref="E355" location="'USO-banadurga'!A1" display="MAA BANADURGA"/>
    <hyperlink ref="E356" location="'USO-Nagabali'!A1" display="NAGAVALI"/>
    <hyperlink ref="E357" location="'USO-kedaragouri'!A1" display="KEDARGOURI"/>
    <hyperlink ref="E358" location="'USO-Utkal'!A1" display="UTKALA"/>
    <hyperlink ref="E50" location="Udiguna!A1" display="Danguri dei GUS, Udiguna"/>
    <hyperlink ref="E51" location="Mardiguda!A1" display="Ma Indrabati GUS, Mardiguda"/>
    <hyperlink ref="E52" location="Ghutimaska!A1" display="Pragati GUS, Ghutimaska"/>
    <hyperlink ref="E53" location="Ghutiguda!A1" display="Maa Narayani GUS, Ghutiguda"/>
    <hyperlink ref="E54" location="Terengasil!A1" display="Kandual Budha GUS, Terengasil"/>
    <hyperlink ref="E55" location="Chachikana!A1" display="Maa Tarini GUS, Chachikana"/>
    <hyperlink ref="E56" location="Suksan!A1" display="Budharaja GUS, Suksan"/>
    <hyperlink ref="E57" location="Melkundel!A1" display="Radhakrushna GUS, Melkundel"/>
    <hyperlink ref="E58" location="Poiguda!A1" display="Nabadurga GUS, Derguda"/>
    <hyperlink ref="E59" location="Kosabara!A1" display="Rajarani GUS, Kosabara"/>
    <hyperlink ref="E38" location="Talbora!A1" display="Bandha Raja GUS, Talabara"/>
    <hyperlink ref="E39" location="Patangapadar!A1" display="Maa Niyam Raja GUS, Patangpadar"/>
    <hyperlink ref="E40" location="'Sindhibhata '!A1" display="Maa Kanaka Durga GUS, Sindhibhata"/>
    <hyperlink ref="E41" location="Ghatikundru!A1" display="Budharaja GUS, Ghatikundru"/>
    <hyperlink ref="E42" location="pradhanipada!A1" display="Jagat Jananee GUS, Pradhanipada"/>
    <hyperlink ref="E43" location="Talkalima!A1" display="Maa Kada Raja GUS, Talkalima"/>
    <hyperlink ref="E44" location="Khaksi!A1" display="Maa Dakribudhi GUS, Khakasi"/>
    <hyperlink ref="E45" location="Jobagaon!A1" display="Maa Thkurarani GUS, Jabagaon"/>
    <hyperlink ref="E46" location="jachuan!A1" display="Maa Bharabi GUS, Jamchuan"/>
    <hyperlink ref="E47" location="Dahanipadar!A1" display="Maa Bhagabati GUS, Dahanipadar"/>
    <hyperlink ref="E48" location="Lermuin!A1" display="Musaghati Budha Raja GUS, Lermuhin"/>
    <hyperlink ref="E49" location="kamalei!A1" display="Maa Santosi GUS, Kamalei"/>
    <hyperlink ref="E299" location="'Malyabanta VDC  Jodambo'!A1" display="Malyabanta Gramya Unnayan Committee, Jodambo"/>
    <hyperlink ref="E300" location="'Ram Dev VDC Darlabeda'!A1" display="Ramdev Gramya Unnayan Committee, Darlabeda"/>
    <hyperlink ref="E301" location="'Badadeveta VDC Kunturpadar'!A1" display="Bada Debata Gramya Unnayan Committee, Kunturpadar"/>
    <hyperlink ref="E302" location="'Jai Jagannath VDC Khjuriguda'!A1" display="Jai Jagannath Gramya Unnayan Committee, Khajuriguda"/>
    <hyperlink ref="E303" location="'Maa Tarini VDC Bihangudi'!A1" display="Maa Tarini Gramya Unnayan Committee, Bihangudi"/>
    <hyperlink ref="E304" location="'Maa Baijaruni VDC Hatimba'!A1" display="Maa Baijaruni Grmaya unnayan Committee, Hatiamba"/>
    <hyperlink ref="E305" location="'Maa Laxmi VDC Pipalpaar'!A1" display="Maa Laxmi Gramya Unnayan Committee, Pipalpadar"/>
    <hyperlink ref="E306" location="'Maa santoshi VDC Rajabandha'!A1" display="Maa Santoshi Gramya Unnayan Committee, Rajabandha"/>
    <hyperlink ref="E307" location="'Bana Durga VDC Nakamamudi'!A1" display="Bana Durga Gramya Unnayan Committee, Nakamamudi"/>
    <hyperlink ref="E308" location="'Tulasi VDC Chitapari'!A1" display="Tulasi Gramya Unnayan Committee, Chitapari"/>
    <hyperlink ref="E2" location="Mataji!A1" display="Mataji GUS, Sargipadar"/>
    <hyperlink ref="E3" location="Kanbura!A1" display="Kanbura GUS, Talampadar"/>
    <hyperlink ref="E4" location="'Maa Thakurani'!A1" display="Maa Thakurani GUS, Chulbadi"/>
    <hyperlink ref="E5" location="Sikilimali!A1" display="Siklimali GUS, Khakes"/>
    <hyperlink ref="E6" location="Tribeni!A1" display="Tribeni GUS, Karang"/>
    <hyperlink ref="E7" location="'Maa Gayatri'!A1" display="Maa Gayatri GUS, Bhataguda"/>
    <hyperlink ref="E8" location="Khandual!A1" display="Khandual GUS, Jabang"/>
    <hyperlink ref="E9" location="Laxmi!A1" display="Laxmi GUS, Kathaghara"/>
    <hyperlink ref="E10" location="'Maa Adimata'!A1" display="Maa Adimata GUS, Sialipadar"/>
    <hyperlink ref="E11" location="Nagabali!A1" display="Nagabali GUS, Semelpadar"/>
    <hyperlink ref="E12" location="Dharitri!A1" display="Dharitri GUS, Polingpadar"/>
    <hyperlink ref="E13" location="Subhasree!A1" display="Subhashree GUS, Kerpai"/>
    <hyperlink ref="E14" location="Pindapadar!A1" display="Maa Gundirani GUS, Pindapadar"/>
    <hyperlink ref="E15" location="'Amjhola '!A1" display="Tijraja GUS, Amjhola"/>
    <hyperlink ref="E16" location="Nakrundi!A1" display="Maa Dharni GUS, Nakrundi"/>
    <hyperlink ref="E17" location="'Taramundi '!A1" display="Maa Dokri GUS, Taramundi"/>
    <hyperlink ref="E18" location="'Kirkicha '!A1" display="Badaraja Madi GUS, Kirkicha"/>
    <hyperlink ref="E19" location="'T. Bhejiguda'!A1" display="Nagavali GUS, Turibhejiguda"/>
    <hyperlink ref="E20" location="Melrafa!A1" display="Duibhauni Debi GUS, Melrafa"/>
    <hyperlink ref="E21" location="'Sikerguda '!A1" display="Adishakti GUS, Sikerguda"/>
    <hyperlink ref="E22" location="Kandulguda!A1" display="Devgiri GUS, Kandulguda"/>
    <hyperlink ref="E23" location="Maltipadar!A1" display="Chandragiri GUS, Malatipadar"/>
    <hyperlink ref="E24" location="'Melghara '!A1" display="Kiaphul Mali GUS, Melghara"/>
    <hyperlink ref="E60" location="'Dui Samuduni'!A1" display="Dui Samuduni WDA (Bhalujodi)"/>
    <hyperlink ref="E70" location="'Maa Mangala'!A1" display="Maa Mangala VDA  (Jaguguda)"/>
    <hyperlink ref="E80" location="Paramakanda!A1" display="Paramakanda WA (Borigi)"/>
    <hyperlink ref="E61" location="'Maa Manidei'!A1" display="Maa Manidei WDA (Khalkona)"/>
    <hyperlink ref="E62" location="Ranasingha!A1" display="Ranasingha WDA (Karaguda)"/>
    <hyperlink ref="E63" location="Kadingmali!A1" display="Kadingamali WDA (Biriguda)"/>
    <hyperlink ref="E64" location="'Ama Dei'!A1" display="Ama Dei WDA (Bhitarguda)"/>
    <hyperlink ref="E65" location="Birisaunra!A1" display="Birisaunra WDA (U.Kuttinga)"/>
    <hyperlink ref="E66" location="Timibandha!A1" display="Timibandha WDA (Talakutinga)"/>
    <hyperlink ref="E67" location="Majhigouri!A1" display="Majji Gouri WDA (Balingi)"/>
    <hyperlink ref="E68" location="Bateswar!A1" display="Bateswar WDA (Kundar)"/>
    <hyperlink ref="E69" location="Pataleswar!A1" display="Pataleswar WDA (A.Ambaguda)"/>
    <hyperlink ref="E71" location="'Maa Bhavani'!A1" display="Maa Bhabani VDA (Lading)"/>
    <hyperlink ref="E72" location="Trinath!A1" display="Trinath VDA (Parting)"/>
    <hyperlink ref="E73" location="'Maa Tarini (3)'!A1" display="Maa Tarini VDA (Kutrabeda)"/>
    <hyperlink ref="E74" location="Godahada!A1" display="Godahada VDA (Kanagam)"/>
    <hyperlink ref="E75" location="'Agni Gangama'!A1" display="Agni Gangama VDA (Sodabadi)"/>
    <hyperlink ref="E76" location="Jhankiriama!A1" display="Jhankiriama   VDA (Hatigeda)"/>
    <hyperlink ref="E77" location="'Maa Taradevi'!A1" display="Maa Taradevi VDA (Badabankidi)"/>
    <hyperlink ref="E78" location="Padalama!A1" display="Padalamma VDA (Katulpeta)"/>
    <hyperlink ref="E79" location="'Majhi Gouri'!A1" display="Majji Gouri VDA (Yesseda)"/>
    <hyperlink ref="E90" location="'Jay Maa Nisanimunda'!A1" display="Jay Maa Nishani Munda"/>
    <hyperlink ref="E100" location="Baghjholla!A1" display="BAGJHOLA WS"/>
    <hyperlink ref="E81" location="Atamama!A1" display="Atamama WA (Podapadar)"/>
    <hyperlink ref="E82" location="Gangadevi!A1" display="Gangadevi WA (Berla, Borigi)"/>
    <hyperlink ref="E83" location="Gangadevta!A1" display="Gangadevata WA (Kelubadi)"/>
    <hyperlink ref="E84" location="Santinagar!A1" display="Santinagar WA (Kilmis)"/>
    <hyperlink ref="E85" location="Indirama!A1" display="Indrama WA (Langalbeda)"/>
    <hyperlink ref="E86" location="'Makar Huika '!A1" display="Penubandha WA (Pipalpadar)"/>
    <hyperlink ref="E87" location="'Jhankiriama (2)'!A1" display="Jhankiriamma WA (Pongapalur)"/>
    <hyperlink ref="E88" location="Penukupa!A1" display="Penukupa WA (Bhitarlacha)"/>
    <hyperlink ref="E89" location="Banadurga!A1" display="Banadurga WA (Kaspavalsa)"/>
    <hyperlink ref="E91" location="'Maa Nisanimunda'!A1" display="Maa Nisani Munda"/>
    <hyperlink ref="E92" location="Santi!A1" display="Santi"/>
    <hyperlink ref="E93" location="'Maa Sata Bhauni'!A1" display="Maa Sata Bhauni"/>
    <hyperlink ref="E94" location="'Kaliamali Dadibudha'!A1" display="Kaliamali Dadibudha"/>
    <hyperlink ref="E95" location="'Siba Sakti'!A1" display="Siba Sakti"/>
    <hyperlink ref="E96" location="'Laba Paraja'!A1" display="Maa Dadibudha"/>
    <hyperlink ref="E97" location="Tengdasil!A1" display="Tengdasil"/>
    <hyperlink ref="E98" location="'Jay Maa Surjyagada'!A1" display="Jay Maa Surjyagada"/>
    <hyperlink ref="E99" location="'Maa Gadri Mali'!A1" display="Maa Gadri Mail"/>
    <hyperlink ref="E110" location="'Maa Tarini (4)'!A1" display="MAA TARINI WDA"/>
    <hyperlink ref="E120" location="'Thakurani Nala'!A1" display="Thakurani Nala WDS"/>
    <hyperlink ref="E101" location="Kuremeta!A1" display="Kuremeta WS"/>
    <hyperlink ref="E102" location="Haticheru!A1" display="HATICHERU WS"/>
    <hyperlink ref="E103" location="Kamalabandha!A1" display="KAMALABANDHA WS"/>
    <hyperlink ref="E104" location="Sindheramoti!A1" display="SINDHERAMOTI WS"/>
    <hyperlink ref="E105" location="Sualoba!A1" display="Sualba MWS"/>
    <hyperlink ref="E106" location="Karamjhola!A1" display="KARAMJHOLA WS"/>
    <hyperlink ref="E107" location="'Bana Durga'!A1" display="BANA DURGA WS"/>
    <hyperlink ref="E108" location="Chapanjhola!A1" display="Chapanjhola WC"/>
    <hyperlink ref="E109" location="'Arju Maska'!A1" display="ARJU MASKA WC"/>
    <hyperlink ref="E111" location="'Linga Deomali'!A1" display="LINGA DEOMALI WDA"/>
    <hyperlink ref="E112" location="'Baba Gupteswar (2)'!A1" display="BABA GUPTESWAR WDA"/>
    <hyperlink ref="E113" location="'Maa Bhairavi'!A1" display="MAA BHAIRAVI WDA"/>
    <hyperlink ref="E114" location="'Jhankar Devi'!A1" display="JHANKAR DEVI WDA"/>
    <hyperlink ref="E115" location="Gangama!A1" display="GANGAMA WDA"/>
    <hyperlink ref="E116" location="'Puja Dora '!A1" display="PUJA DORA WDA"/>
    <hyperlink ref="E117" location="'Sidha Damagarh'!A1" display="SIDHA DAMAGARH WDA"/>
    <hyperlink ref="E118" location="'Veer Khamba'!A1" display="VEER KHAMBA WDA"/>
    <hyperlink ref="E119" location="'Jay Hanuman (2)'!A1" display="JAY HANUMAN WDA"/>
    <hyperlink ref="E121" location="'Balighata Nala'!A1" display="Balighata Nala"/>
    <hyperlink ref="E122" location="'Kandula Beda Nala '!A1" display="Kandula Beda Nala WDS"/>
    <hyperlink ref="E123" location="'Paka Nala '!A1" display="Paka Nala WDS"/>
    <hyperlink ref="E124" location="'Pani Nala'!A1" display="Pani Nala WDS"/>
    <hyperlink ref="E125" location="'Bada Nala'!A1" display="Bada Nala WDS"/>
    <hyperlink ref="E126" location="'Gangama Nala'!A1" display="Gangama Nala WDS"/>
    <hyperlink ref="E127" location="'Dudhari Nala '!A1" display="Dudhari Nala WDS"/>
    <hyperlink ref="E128" location="'Bhairabi Gudi Nala'!A1" display="Bhairabi Gudi Nala WDS"/>
    <hyperlink ref="E129" location="'Nageswari Nala'!A1" display="Nageswari Nala WDS"/>
    <hyperlink ref="E170" location="'BANKINADI-A'!A1" display="Bankinadi Gramyaunayana Sangha"/>
    <hyperlink ref="E171" location="'GANDHIJI-A'!A1" display="Gandhiji GUS, Juba"/>
    <hyperlink ref="E172" location="'KANTANALA-A'!A1" display="Kantanala GUS,Gummiguda"/>
    <hyperlink ref="E173" location="'RAMANALA-A'!A1" display="Ramanala GUS, Chudangapur"/>
    <hyperlink ref="E174" location="'DENGAMA-A'!A1" display="Dengama Gramya Unayana Sangha, Bhaliasahi"/>
    <hyperlink ref="E175" location="'SUSURALDING-A'!A1" display="Susuralding Gramya Unayana Sangha, Kurukima"/>
    <hyperlink ref="E176" location="'JIHOBAJIRI-A'!A1" display="Jihobajir Gramya Unayana Sangha, Dengili"/>
    <hyperlink ref="E177" location="'JANAPEJA-A'!A1" display="Janapeja Gramya Unayana Sangha, Purunasahi"/>
    <hyperlink ref="E178" location="'BANDAMERA-A'!A1" display="Badamera Gramyaunayana Sangha"/>
    <hyperlink ref="E179" location="'JAMANALA-A'!A1" display="Jamanala Gramya Unayana Sangha,Bariabandha"/>
    <hyperlink ref="E180" location="'Ratnagiri Nala'!A1" display="Ratnagiri Nalla"/>
    <hyperlink ref="E181" location="'Bangdol Nala'!A1" display="Bangdol Nalla"/>
    <hyperlink ref="E182" location="'Burjuli Nala'!A1" display="Burjuli Nalla"/>
    <hyperlink ref="E183" location="'Sangsang Nala'!A1" display="Sangsang Nalla"/>
    <hyperlink ref="E184" location="'Nakiamba Nala'!A1" display="Nakiamba Nalla"/>
    <hyperlink ref="E185" location="'Kamalalinga Nala'!A1" display="Kamalalinga Nalla"/>
    <hyperlink ref="E186" location="'Lubudi Nala'!A1" display="Lubudi Nalla"/>
    <hyperlink ref="E187" location="'Hatibandha Nala'!A1" display="Hatibandha Nalla"/>
    <hyperlink ref="E188" location="'Narangi Nala'!A1" display="Narangi Nalla"/>
    <hyperlink ref="E189" location="Belachanchadanala!A1" display="Belachanchada Nalla"/>
  </hyperlinks>
  <pageMargins left="0.70866141732283472" right="0.70866141732283472" top="0.15748031496062992" bottom="0.35433070866141736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299</v>
      </c>
      <c r="F4" t="s">
        <v>171</v>
      </c>
      <c r="H4" t="s">
        <v>5706</v>
      </c>
      <c r="J4" t="s">
        <v>172</v>
      </c>
      <c r="K4">
        <v>326</v>
      </c>
      <c r="L4" t="s">
        <v>173</v>
      </c>
      <c r="N4">
        <v>80</v>
      </c>
    </row>
    <row r="6" spans="1:14">
      <c r="A6" t="s">
        <v>174</v>
      </c>
      <c r="B6" t="s">
        <v>300</v>
      </c>
      <c r="F6" t="s">
        <v>176</v>
      </c>
      <c r="H6" t="s">
        <v>279</v>
      </c>
    </row>
    <row r="8" spans="1:14">
      <c r="A8" t="s">
        <v>178</v>
      </c>
      <c r="B8" t="s">
        <v>288</v>
      </c>
      <c r="F8" t="s">
        <v>180</v>
      </c>
      <c r="H8" t="s">
        <v>302</v>
      </c>
    </row>
    <row r="11" spans="1:14">
      <c r="A11" t="s">
        <v>182</v>
      </c>
      <c r="B11" t="s">
        <v>303</v>
      </c>
      <c r="E11" t="s">
        <v>304</v>
      </c>
    </row>
    <row r="12" spans="1:14">
      <c r="A12" t="s">
        <v>187</v>
      </c>
      <c r="B12" t="s">
        <v>305</v>
      </c>
      <c r="E12" t="s">
        <v>306</v>
      </c>
    </row>
    <row r="13" spans="1:14">
      <c r="A13" t="s">
        <v>192</v>
      </c>
      <c r="B13" t="s">
        <v>307</v>
      </c>
      <c r="E13" t="s">
        <v>308</v>
      </c>
      <c r="H13" t="s">
        <v>309</v>
      </c>
    </row>
    <row r="14" spans="1:14">
      <c r="A14" t="s">
        <v>197</v>
      </c>
    </row>
    <row r="16" spans="1:14">
      <c r="A16" t="s">
        <v>198</v>
      </c>
      <c r="B16">
        <v>2</v>
      </c>
      <c r="C16" t="s">
        <v>199</v>
      </c>
      <c r="F16">
        <v>2</v>
      </c>
      <c r="G16" t="s">
        <v>200</v>
      </c>
      <c r="H16">
        <v>4</v>
      </c>
      <c r="I16" t="s">
        <v>201</v>
      </c>
      <c r="J16">
        <v>1</v>
      </c>
      <c r="K16" t="s">
        <v>202</v>
      </c>
      <c r="L16">
        <v>8</v>
      </c>
    </row>
    <row r="18" spans="1:14">
      <c r="A18" t="s">
        <v>203</v>
      </c>
      <c r="B18" t="s">
        <v>204</v>
      </c>
      <c r="C18">
        <f>10+32</f>
        <v>42</v>
      </c>
      <c r="D18" t="s">
        <v>205</v>
      </c>
      <c r="E18">
        <v>3</v>
      </c>
      <c r="F18" t="s">
        <v>206</v>
      </c>
      <c r="G18">
        <v>4</v>
      </c>
      <c r="H18" t="s">
        <v>207</v>
      </c>
      <c r="I18">
        <v>5</v>
      </c>
      <c r="J18" t="s">
        <v>208</v>
      </c>
    </row>
    <row r="19" spans="1:14">
      <c r="A19" t="s">
        <v>209</v>
      </c>
      <c r="B19" t="s">
        <v>210</v>
      </c>
      <c r="C19">
        <f>25+92</f>
        <v>117</v>
      </c>
      <c r="D19" t="s">
        <v>211</v>
      </c>
      <c r="E19">
        <f>6+30</f>
        <v>36</v>
      </c>
      <c r="F19" t="s">
        <v>212</v>
      </c>
      <c r="G19">
        <v>10</v>
      </c>
    </row>
    <row r="20" spans="1:14">
      <c r="B20" t="s">
        <v>213</v>
      </c>
      <c r="C20">
        <f>4+30</f>
        <v>34</v>
      </c>
      <c r="D20" t="s">
        <v>214</v>
      </c>
      <c r="E20">
        <v>9</v>
      </c>
      <c r="F20" t="s">
        <v>215</v>
      </c>
      <c r="G20">
        <v>12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26.08</v>
      </c>
      <c r="E26">
        <v>26.08</v>
      </c>
      <c r="H26">
        <v>2.7155</v>
      </c>
      <c r="I26">
        <v>6.8031300000000003</v>
      </c>
      <c r="J26">
        <v>6.4544100000000002</v>
      </c>
      <c r="K26">
        <v>3.4913099999999999</v>
      </c>
      <c r="L26">
        <v>5.0791300000000001</v>
      </c>
      <c r="M26">
        <f>+F26+G26+H26+I26+J26+K26+L26</f>
        <v>24.543479999999999</v>
      </c>
      <c r="N26">
        <f>+M26/E26*100</f>
        <v>94.108435582822096</v>
      </c>
    </row>
    <row r="27" spans="1:14">
      <c r="A27" t="s">
        <v>234</v>
      </c>
      <c r="B27">
        <v>7000</v>
      </c>
      <c r="C27" t="s">
        <v>233</v>
      </c>
      <c r="D27">
        <f>+N4*B27/100000</f>
        <v>5.6</v>
      </c>
      <c r="E27">
        <v>5</v>
      </c>
      <c r="I27">
        <v>1.45549</v>
      </c>
      <c r="J27">
        <v>0.54020999999999997</v>
      </c>
      <c r="K27">
        <v>1.03745</v>
      </c>
      <c r="L27">
        <v>1.18543</v>
      </c>
      <c r="M27">
        <f t="shared" ref="M27:M34" si="0">+F27+G27+H27+I27+J27+K27+L27</f>
        <v>4.2185800000000002</v>
      </c>
      <c r="N27">
        <f t="shared" ref="N27:N35" si="1">+M27/E27*100</f>
        <v>84.371600000000001</v>
      </c>
    </row>
    <row r="28" spans="1:14">
      <c r="A28" t="s">
        <v>235</v>
      </c>
      <c r="B28">
        <v>86</v>
      </c>
      <c r="C28" t="s">
        <v>233</v>
      </c>
      <c r="D28">
        <v>0.28000000000000003</v>
      </c>
      <c r="E28">
        <v>0.43</v>
      </c>
      <c r="J28">
        <v>0.18</v>
      </c>
      <c r="K28">
        <v>9.9790000000000004E-2</v>
      </c>
      <c r="L28">
        <v>0.182</v>
      </c>
      <c r="M28">
        <f t="shared" si="0"/>
        <v>0.46178999999999998</v>
      </c>
      <c r="N28">
        <f t="shared" si="1"/>
        <v>107.39302325581394</v>
      </c>
    </row>
    <row r="29" spans="1:14">
      <c r="A29" t="s">
        <v>237</v>
      </c>
      <c r="B29">
        <v>68</v>
      </c>
      <c r="C29" t="s">
        <v>233</v>
      </c>
      <c r="D29">
        <v>0.22</v>
      </c>
      <c r="E29">
        <v>0.34</v>
      </c>
      <c r="I29">
        <v>0.12784000000000001</v>
      </c>
      <c r="J29">
        <v>3.5000000000000003E-2</v>
      </c>
      <c r="K29">
        <v>0.12937000000000001</v>
      </c>
      <c r="M29">
        <f t="shared" si="0"/>
        <v>0.29221000000000003</v>
      </c>
      <c r="N29">
        <f t="shared" si="1"/>
        <v>85.944117647058832</v>
      </c>
    </row>
    <row r="30" spans="1:14">
      <c r="A30" t="s">
        <v>238</v>
      </c>
      <c r="B30">
        <v>1200</v>
      </c>
      <c r="C30" t="s">
        <v>233</v>
      </c>
      <c r="D30">
        <f>+K4*B30/100000</f>
        <v>3.9119999999999999</v>
      </c>
      <c r="E30">
        <v>3.9119999999999999</v>
      </c>
      <c r="I30">
        <v>0.75378000000000001</v>
      </c>
      <c r="J30">
        <v>0.27401999999999999</v>
      </c>
      <c r="L30">
        <v>-0.58965999999999996</v>
      </c>
      <c r="M30">
        <f t="shared" si="0"/>
        <v>0.43814000000000008</v>
      </c>
      <c r="N30">
        <f t="shared" si="1"/>
        <v>11.19989775051125</v>
      </c>
    </row>
    <row r="31" spans="1:14">
      <c r="A31" t="s">
        <v>239</v>
      </c>
      <c r="B31">
        <v>565</v>
      </c>
      <c r="C31" t="s">
        <v>233</v>
      </c>
      <c r="D31">
        <v>1.7</v>
      </c>
      <c r="E31">
        <v>1.45</v>
      </c>
      <c r="K31">
        <v>1.45</v>
      </c>
      <c r="M31">
        <f t="shared" si="0"/>
        <v>1.45</v>
      </c>
      <c r="N31">
        <f t="shared" si="1"/>
        <v>100</v>
      </c>
    </row>
    <row r="32" spans="1:14">
      <c r="A32" t="s">
        <v>240</v>
      </c>
      <c r="B32">
        <v>1000</v>
      </c>
      <c r="C32" t="s">
        <v>233</v>
      </c>
      <c r="D32">
        <f>+K4*B32/100000</f>
        <v>3.26</v>
      </c>
      <c r="E32">
        <v>3.26</v>
      </c>
      <c r="H32">
        <v>0.11276</v>
      </c>
      <c r="I32">
        <v>3.9669999999999997E-2</v>
      </c>
      <c r="J32">
        <v>1.4420000000000001E-2</v>
      </c>
      <c r="L32">
        <f>0.0959-0.03103</f>
        <v>6.4869999999999997E-2</v>
      </c>
      <c r="M32">
        <f t="shared" si="0"/>
        <v>0.23171999999999998</v>
      </c>
      <c r="N32">
        <f t="shared" si="1"/>
        <v>7.1079754601226997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v>1.32</v>
      </c>
      <c r="H33">
        <v>0.2162</v>
      </c>
      <c r="I33">
        <v>0.18490000000000001</v>
      </c>
      <c r="J33">
        <v>0.21590000000000001</v>
      </c>
      <c r="K33">
        <v>0.18933</v>
      </c>
      <c r="L33">
        <v>8.1970000000000001E-2</v>
      </c>
      <c r="M33">
        <f t="shared" si="0"/>
        <v>0.88829999999999998</v>
      </c>
      <c r="N33">
        <f t="shared" si="1"/>
        <v>67.295454545454533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43.462000000000003</v>
      </c>
      <c r="E35">
        <f t="shared" ref="E35:M35" si="2">SUM(E26:E34)</f>
        <v>41.792000000000002</v>
      </c>
      <c r="F35">
        <f t="shared" si="2"/>
        <v>0</v>
      </c>
      <c r="G35">
        <f t="shared" si="2"/>
        <v>0</v>
      </c>
      <c r="H35">
        <f t="shared" si="2"/>
        <v>3.0444600000000004</v>
      </c>
      <c r="I35">
        <f t="shared" si="2"/>
        <v>9.3648100000000021</v>
      </c>
      <c r="J35">
        <f t="shared" si="2"/>
        <v>7.713960000000001</v>
      </c>
      <c r="K35">
        <f t="shared" si="2"/>
        <v>6.3972499999999997</v>
      </c>
      <c r="L35">
        <f t="shared" si="2"/>
        <v>6.0037400000000005</v>
      </c>
      <c r="M35">
        <f t="shared" si="2"/>
        <v>32.52422</v>
      </c>
      <c r="N35">
        <f t="shared" si="1"/>
        <v>77.824033307810097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156" t="s">
        <v>4347</v>
      </c>
      <c r="B1" s="896" t="s">
        <v>4910</v>
      </c>
      <c r="C1" s="897"/>
      <c r="D1" s="156" t="s">
        <v>4349</v>
      </c>
      <c r="E1" s="156"/>
      <c r="F1" s="896" t="s">
        <v>4911</v>
      </c>
      <c r="G1" s="897"/>
      <c r="H1" s="904" t="s">
        <v>5</v>
      </c>
      <c r="I1" s="905"/>
      <c r="J1" s="377">
        <v>420.66</v>
      </c>
      <c r="K1" s="156" t="s">
        <v>436</v>
      </c>
      <c r="L1" s="156"/>
      <c r="M1" s="377" t="s">
        <v>749</v>
      </c>
      <c r="N1" s="156"/>
    </row>
    <row r="2" spans="1:14">
      <c r="A2" s="808" t="s">
        <v>4176</v>
      </c>
      <c r="B2" s="808"/>
      <c r="C2" s="80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>
      <c r="A3" s="156" t="s">
        <v>832</v>
      </c>
      <c r="B3" s="896" t="s">
        <v>4912</v>
      </c>
      <c r="C3" s="897"/>
      <c r="D3" s="156" t="s">
        <v>1208</v>
      </c>
      <c r="E3" s="156"/>
      <c r="F3" s="896" t="s">
        <v>4913</v>
      </c>
      <c r="G3" s="897"/>
      <c r="H3" s="378"/>
      <c r="I3" s="378"/>
      <c r="J3" s="156"/>
      <c r="K3" s="156"/>
      <c r="L3" s="156"/>
      <c r="M3" s="156"/>
      <c r="N3" s="156"/>
    </row>
    <row r="4" spans="1:14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>
      <c r="A5" s="156" t="s">
        <v>4353</v>
      </c>
      <c r="B5" s="896" t="s">
        <v>2781</v>
      </c>
      <c r="C5" s="897"/>
      <c r="D5" s="156" t="s">
        <v>4355</v>
      </c>
      <c r="E5" s="156"/>
      <c r="F5" s="898" t="s">
        <v>4914</v>
      </c>
      <c r="G5" s="899"/>
      <c r="H5" s="899"/>
      <c r="I5" s="900"/>
      <c r="J5" s="156"/>
      <c r="K5" s="156"/>
      <c r="L5" s="156"/>
      <c r="M5" s="156"/>
      <c r="N5" s="156"/>
    </row>
    <row r="6" spans="1:14">
      <c r="A6" s="156"/>
      <c r="B6" s="156"/>
      <c r="C6" s="156"/>
      <c r="D6" s="156" t="s">
        <v>4357</v>
      </c>
      <c r="E6" s="156"/>
      <c r="F6" s="901"/>
      <c r="G6" s="902"/>
      <c r="H6" s="902"/>
      <c r="I6" s="903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379" t="s">
        <v>838</v>
      </c>
      <c r="B8" s="894" t="s">
        <v>4915</v>
      </c>
      <c r="C8" s="894"/>
      <c r="D8" s="894" t="s">
        <v>4916</v>
      </c>
      <c r="E8" s="894"/>
      <c r="F8" s="894"/>
      <c r="G8" s="895" t="s">
        <v>4917</v>
      </c>
      <c r="H8" s="895"/>
      <c r="I8" s="895"/>
      <c r="J8" s="895" t="s">
        <v>4918</v>
      </c>
      <c r="K8" s="895"/>
      <c r="L8" s="895"/>
      <c r="M8" s="156"/>
      <c r="N8" s="156"/>
    </row>
    <row r="9" spans="1:14">
      <c r="A9" s="379" t="s">
        <v>840</v>
      </c>
      <c r="B9" s="894" t="s">
        <v>2438</v>
      </c>
      <c r="C9" s="894"/>
      <c r="D9" s="894"/>
      <c r="E9" s="894"/>
      <c r="F9" s="894"/>
      <c r="G9" s="895"/>
      <c r="H9" s="895"/>
      <c r="I9" s="895"/>
      <c r="J9" s="895"/>
      <c r="K9" s="895"/>
      <c r="L9" s="895"/>
      <c r="M9" s="156"/>
      <c r="N9" s="156"/>
    </row>
    <row r="10" spans="1:14">
      <c r="A10" s="379" t="s">
        <v>4361</v>
      </c>
      <c r="B10" s="894" t="s">
        <v>4919</v>
      </c>
      <c r="C10" s="894"/>
      <c r="D10" s="894" t="s">
        <v>4920</v>
      </c>
      <c r="E10" s="894"/>
      <c r="F10" s="894"/>
      <c r="G10" s="895" t="s">
        <v>4921</v>
      </c>
      <c r="H10" s="895"/>
      <c r="I10" s="895"/>
      <c r="J10" s="895" t="s">
        <v>4922</v>
      </c>
      <c r="K10" s="895"/>
      <c r="L10" s="895"/>
      <c r="M10" s="156"/>
      <c r="N10" s="156"/>
    </row>
    <row r="11" spans="1:14" ht="25.5">
      <c r="A11" s="379" t="s">
        <v>420</v>
      </c>
      <c r="B11" s="894" t="s">
        <v>2438</v>
      </c>
      <c r="C11" s="894"/>
      <c r="D11" s="894"/>
      <c r="E11" s="894"/>
      <c r="F11" s="894"/>
      <c r="G11" s="895"/>
      <c r="H11" s="895"/>
      <c r="I11" s="895"/>
      <c r="J11" s="895"/>
      <c r="K11" s="895"/>
      <c r="L11" s="895"/>
      <c r="M11" s="156"/>
      <c r="N11" s="156"/>
    </row>
    <row r="12" spans="1:14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</row>
    <row r="13" spans="1:14">
      <c r="A13" s="156" t="s">
        <v>4365</v>
      </c>
      <c r="B13" s="377">
        <v>4</v>
      </c>
      <c r="C13" s="156" t="s">
        <v>4366</v>
      </c>
      <c r="D13" s="156"/>
      <c r="E13" s="377"/>
      <c r="F13" s="380"/>
      <c r="G13" s="381" t="s">
        <v>1491</v>
      </c>
      <c r="H13" s="377">
        <v>23</v>
      </c>
      <c r="I13" s="381" t="s">
        <v>1492</v>
      </c>
      <c r="J13" s="377">
        <v>1</v>
      </c>
      <c r="K13" s="381" t="s">
        <v>1493</v>
      </c>
      <c r="L13" s="377">
        <v>27</v>
      </c>
      <c r="M13" s="156"/>
      <c r="N13" s="156"/>
    </row>
    <row r="14" spans="1:14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</row>
    <row r="15" spans="1:14" ht="24" customHeight="1">
      <c r="A15" s="156" t="s">
        <v>646</v>
      </c>
      <c r="B15" s="156"/>
      <c r="C15" s="381" t="s">
        <v>204</v>
      </c>
      <c r="D15" s="377">
        <v>258</v>
      </c>
      <c r="E15" s="381" t="s">
        <v>205</v>
      </c>
      <c r="F15" s="377">
        <v>0</v>
      </c>
      <c r="G15" s="381" t="s">
        <v>206</v>
      </c>
      <c r="H15" s="377">
        <v>0</v>
      </c>
      <c r="I15" s="381" t="s">
        <v>230</v>
      </c>
      <c r="J15" s="377">
        <v>258</v>
      </c>
      <c r="K15" s="381" t="s">
        <v>207</v>
      </c>
      <c r="L15" s="377">
        <v>35</v>
      </c>
      <c r="M15" s="382" t="s">
        <v>4367</v>
      </c>
      <c r="N15" s="377">
        <v>20</v>
      </c>
    </row>
    <row r="16" spans="1:14">
      <c r="A16" s="156" t="s">
        <v>209</v>
      </c>
      <c r="B16" s="156"/>
      <c r="C16" s="381" t="s">
        <v>210</v>
      </c>
      <c r="D16" s="377">
        <v>610</v>
      </c>
      <c r="E16" s="381" t="s">
        <v>211</v>
      </c>
      <c r="F16" s="377">
        <v>0</v>
      </c>
      <c r="G16" s="381" t="s">
        <v>212</v>
      </c>
      <c r="H16" s="377">
        <v>0</v>
      </c>
      <c r="I16" s="381" t="s">
        <v>411</v>
      </c>
      <c r="J16" s="377">
        <f>H16+F16+D16</f>
        <v>610</v>
      </c>
      <c r="K16" s="156"/>
      <c r="L16" s="156"/>
      <c r="M16" s="156"/>
      <c r="N16" s="156"/>
    </row>
    <row r="17" spans="1:14">
      <c r="A17" s="156"/>
      <c r="B17" s="156"/>
      <c r="C17" s="381" t="s">
        <v>213</v>
      </c>
      <c r="D17" s="377">
        <v>624</v>
      </c>
      <c r="E17" s="381" t="s">
        <v>214</v>
      </c>
      <c r="F17" s="377">
        <v>0</v>
      </c>
      <c r="G17" s="381" t="s">
        <v>1494</v>
      </c>
      <c r="H17" s="377">
        <v>0</v>
      </c>
      <c r="I17" s="381" t="s">
        <v>410</v>
      </c>
      <c r="J17" s="377">
        <f>H17+F17+D17</f>
        <v>624</v>
      </c>
      <c r="K17" s="156"/>
      <c r="L17" s="156"/>
      <c r="M17" s="156"/>
      <c r="N17" s="156"/>
    </row>
    <row r="18" spans="1:14">
      <c r="A18" s="156"/>
      <c r="B18" s="156"/>
      <c r="C18" s="156"/>
      <c r="D18" s="156"/>
      <c r="E18" s="156"/>
      <c r="F18" s="156"/>
      <c r="G18" s="156"/>
      <c r="H18" s="156"/>
      <c r="I18" s="381"/>
      <c r="J18" s="156"/>
      <c r="K18" s="156"/>
      <c r="L18" s="156"/>
      <c r="M18" s="156"/>
      <c r="N18" s="156"/>
    </row>
    <row r="19" spans="1:14">
      <c r="A19" s="383" t="s">
        <v>216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</row>
    <row r="20" spans="1:14">
      <c r="A20" s="892" t="s">
        <v>217</v>
      </c>
      <c r="B20" s="892" t="s">
        <v>218</v>
      </c>
      <c r="C20" s="892" t="s">
        <v>219</v>
      </c>
      <c r="D20" s="892" t="s">
        <v>407</v>
      </c>
      <c r="E20" s="892" t="s">
        <v>864</v>
      </c>
      <c r="F20" s="893" t="s">
        <v>4368</v>
      </c>
      <c r="G20" s="893"/>
      <c r="H20" s="893"/>
      <c r="I20" s="893"/>
      <c r="J20" s="893"/>
      <c r="K20" s="893"/>
      <c r="L20" s="893"/>
      <c r="M20" s="893"/>
      <c r="N20" s="893"/>
    </row>
    <row r="21" spans="1:14">
      <c r="A21" s="892"/>
      <c r="B21" s="892"/>
      <c r="C21" s="892"/>
      <c r="D21" s="892"/>
      <c r="E21" s="892"/>
      <c r="F21" s="80" t="s">
        <v>227</v>
      </c>
      <c r="G21" s="384" t="s">
        <v>228</v>
      </c>
      <c r="H21" s="384" t="s">
        <v>229</v>
      </c>
      <c r="I21" s="384">
        <v>4</v>
      </c>
      <c r="J21" s="384">
        <v>5</v>
      </c>
      <c r="K21" s="384">
        <v>6</v>
      </c>
      <c r="L21" s="384">
        <v>7</v>
      </c>
      <c r="M21" s="384" t="s">
        <v>230</v>
      </c>
      <c r="N21" s="384" t="s">
        <v>231</v>
      </c>
    </row>
    <row r="22" spans="1:14">
      <c r="A22" s="379" t="s">
        <v>232</v>
      </c>
      <c r="B22" s="379">
        <v>8000</v>
      </c>
      <c r="C22" s="385" t="s">
        <v>4369</v>
      </c>
      <c r="D22" s="386">
        <f>B22*J1/100000</f>
        <v>33.652799999999999</v>
      </c>
      <c r="E22" s="379">
        <v>18</v>
      </c>
      <c r="F22" s="80"/>
      <c r="G22" s="387">
        <v>4.4051200000000001</v>
      </c>
      <c r="H22" s="387">
        <v>13.6021</v>
      </c>
      <c r="I22" s="379"/>
      <c r="J22" s="379"/>
      <c r="K22" s="379"/>
      <c r="L22" s="379"/>
      <c r="M22" s="387">
        <f>SUM(F22:L22)</f>
        <v>18.00722</v>
      </c>
      <c r="N22" s="387">
        <f>M22/E22*100</f>
        <v>100.0401111111111</v>
      </c>
    </row>
    <row r="23" spans="1:14" ht="25.5">
      <c r="A23" s="379" t="s">
        <v>234</v>
      </c>
      <c r="B23" s="379">
        <v>7000</v>
      </c>
      <c r="C23" s="385" t="s">
        <v>4369</v>
      </c>
      <c r="D23" s="388">
        <f>5.6-2.7</f>
        <v>2.8999999999999995</v>
      </c>
      <c r="E23" s="379">
        <v>2.56</v>
      </c>
      <c r="F23" s="80"/>
      <c r="G23" s="379">
        <v>0</v>
      </c>
      <c r="H23" s="387">
        <v>2.3191000000000002</v>
      </c>
      <c r="I23" s="379"/>
      <c r="J23" s="379"/>
      <c r="K23" s="379"/>
      <c r="L23" s="379"/>
      <c r="M23" s="387">
        <f t="shared" ref="M23:M30" si="0">SUM(F23:L23)</f>
        <v>2.3191000000000002</v>
      </c>
      <c r="N23" s="387">
        <f t="shared" ref="N23:N31" si="1">M23/E23*100</f>
        <v>90.589843750000014</v>
      </c>
    </row>
    <row r="24" spans="1:14" ht="25.5">
      <c r="A24" s="379" t="s">
        <v>235</v>
      </c>
      <c r="B24" s="379">
        <v>43000</v>
      </c>
      <c r="C24" s="385" t="s">
        <v>236</v>
      </c>
      <c r="D24" s="388">
        <f>0.43+2.7</f>
        <v>3.1300000000000003</v>
      </c>
      <c r="E24" s="379">
        <v>0.35</v>
      </c>
      <c r="F24" s="80"/>
      <c r="G24" s="379">
        <v>0.18</v>
      </c>
      <c r="H24" s="379">
        <v>0.12</v>
      </c>
      <c r="I24" s="379"/>
      <c r="J24" s="379"/>
      <c r="K24" s="379"/>
      <c r="L24" s="379"/>
      <c r="M24" s="379">
        <f t="shared" si="0"/>
        <v>0.3</v>
      </c>
      <c r="N24" s="387">
        <f t="shared" si="1"/>
        <v>85.714285714285722</v>
      </c>
    </row>
    <row r="25" spans="1:14" ht="25.5">
      <c r="A25" s="379" t="s">
        <v>237</v>
      </c>
      <c r="B25" s="379">
        <v>37000</v>
      </c>
      <c r="C25" s="385" t="s">
        <v>236</v>
      </c>
      <c r="D25" s="388">
        <v>0.37</v>
      </c>
      <c r="E25" s="379">
        <v>0.28999999999999998</v>
      </c>
      <c r="F25" s="80"/>
      <c r="G25" s="379">
        <v>0.16</v>
      </c>
      <c r="H25" s="379">
        <v>0</v>
      </c>
      <c r="I25" s="379"/>
      <c r="J25" s="379"/>
      <c r="K25" s="379"/>
      <c r="L25" s="379"/>
      <c r="M25" s="379">
        <f t="shared" si="0"/>
        <v>0.16</v>
      </c>
      <c r="N25" s="387">
        <f t="shared" si="1"/>
        <v>55.172413793103459</v>
      </c>
    </row>
    <row r="26" spans="1:14">
      <c r="A26" s="379" t="s">
        <v>238</v>
      </c>
      <c r="B26" s="379">
        <v>1200</v>
      </c>
      <c r="C26" s="385" t="s">
        <v>4369</v>
      </c>
      <c r="D26" s="386">
        <f>B26*J1/100000</f>
        <v>5.0479200000000004</v>
      </c>
      <c r="E26" s="379">
        <v>2</v>
      </c>
      <c r="F26" s="80"/>
      <c r="G26" s="379">
        <v>0</v>
      </c>
      <c r="H26" s="387">
        <v>1.5609</v>
      </c>
      <c r="I26" s="379"/>
      <c r="J26" s="379"/>
      <c r="K26" s="379"/>
      <c r="L26" s="379"/>
      <c r="M26" s="387">
        <f t="shared" si="0"/>
        <v>1.5609</v>
      </c>
      <c r="N26" s="387">
        <f t="shared" si="1"/>
        <v>78.045000000000002</v>
      </c>
    </row>
    <row r="27" spans="1:14">
      <c r="A27" s="379" t="s">
        <v>667</v>
      </c>
      <c r="B27" s="379">
        <v>565</v>
      </c>
      <c r="C27" s="385" t="s">
        <v>1036</v>
      </c>
      <c r="D27" s="386">
        <f>B27*J1/100000</f>
        <v>2.3767290000000001</v>
      </c>
      <c r="E27" s="379">
        <v>2.38</v>
      </c>
      <c r="F27" s="80"/>
      <c r="G27" s="387">
        <v>2.3767299999999998</v>
      </c>
      <c r="H27" s="379">
        <v>0</v>
      </c>
      <c r="I27" s="379"/>
      <c r="J27" s="379"/>
      <c r="K27" s="379"/>
      <c r="L27" s="379"/>
      <c r="M27" s="387">
        <f t="shared" si="0"/>
        <v>2.3767299999999998</v>
      </c>
      <c r="N27" s="387">
        <f t="shared" si="1"/>
        <v>99.86260504201681</v>
      </c>
    </row>
    <row r="28" spans="1:14">
      <c r="A28" s="379" t="s">
        <v>240</v>
      </c>
      <c r="B28" s="379">
        <v>1000</v>
      </c>
      <c r="C28" s="385" t="s">
        <v>1036</v>
      </c>
      <c r="D28" s="386">
        <f>B28*J1/100000</f>
        <v>4.2065999999999999</v>
      </c>
      <c r="E28" s="379">
        <v>0</v>
      </c>
      <c r="F28" s="80"/>
      <c r="G28" s="379">
        <v>0</v>
      </c>
      <c r="H28" s="379">
        <v>0</v>
      </c>
      <c r="I28" s="379"/>
      <c r="J28" s="379"/>
      <c r="K28" s="379"/>
      <c r="L28" s="379"/>
      <c r="M28" s="379">
        <f t="shared" si="0"/>
        <v>0</v>
      </c>
      <c r="N28" s="379" t="e">
        <f t="shared" si="1"/>
        <v>#DIV/0!</v>
      </c>
    </row>
    <row r="29" spans="1:14">
      <c r="A29" s="379" t="s">
        <v>241</v>
      </c>
      <c r="B29" s="379">
        <v>2750</v>
      </c>
      <c r="C29" s="385" t="s">
        <v>1036</v>
      </c>
      <c r="D29" s="388">
        <v>2.31</v>
      </c>
      <c r="E29" s="387">
        <v>0.59499999999999997</v>
      </c>
      <c r="F29" s="80"/>
      <c r="G29" s="387">
        <v>0.23046</v>
      </c>
      <c r="H29" s="387">
        <v>0.33540999999999999</v>
      </c>
      <c r="I29" s="379"/>
      <c r="J29" s="379"/>
      <c r="K29" s="379"/>
      <c r="L29" s="379"/>
      <c r="M29" s="387">
        <f t="shared" si="0"/>
        <v>0.56586999999999998</v>
      </c>
      <c r="N29" s="387">
        <f t="shared" si="1"/>
        <v>95.104201680672276</v>
      </c>
    </row>
    <row r="30" spans="1:14">
      <c r="A30" s="379" t="s">
        <v>670</v>
      </c>
      <c r="B30" s="379">
        <v>10000</v>
      </c>
      <c r="C30" s="385" t="s">
        <v>244</v>
      </c>
      <c r="D30" s="388">
        <v>0.1</v>
      </c>
      <c r="E30" s="379">
        <v>0.1</v>
      </c>
      <c r="F30" s="379"/>
      <c r="G30" s="379"/>
      <c r="H30" s="379"/>
      <c r="I30" s="379"/>
      <c r="J30" s="379"/>
      <c r="K30" s="379"/>
      <c r="L30" s="379"/>
      <c r="M30" s="379">
        <f t="shared" si="0"/>
        <v>0</v>
      </c>
      <c r="N30" s="379">
        <f t="shared" si="1"/>
        <v>0</v>
      </c>
    </row>
    <row r="31" spans="1:14">
      <c r="A31" s="389" t="s">
        <v>245</v>
      </c>
      <c r="B31" s="389"/>
      <c r="C31" s="384"/>
      <c r="D31" s="390">
        <f>SUM(D22:D30)</f>
        <v>54.094048999999998</v>
      </c>
      <c r="E31" s="390">
        <f t="shared" ref="E31:M31" si="2">SUM(E22:E30)</f>
        <v>26.274999999999999</v>
      </c>
      <c r="F31" s="391">
        <f t="shared" si="2"/>
        <v>0</v>
      </c>
      <c r="G31" s="390">
        <f t="shared" si="2"/>
        <v>7.3523100000000001</v>
      </c>
      <c r="H31" s="390">
        <f t="shared" si="2"/>
        <v>17.93751</v>
      </c>
      <c r="I31" s="391">
        <f t="shared" si="2"/>
        <v>0</v>
      </c>
      <c r="J31" s="391">
        <f t="shared" si="2"/>
        <v>0</v>
      </c>
      <c r="K31" s="391">
        <f t="shared" si="2"/>
        <v>0</v>
      </c>
      <c r="L31" s="391">
        <f t="shared" si="2"/>
        <v>0</v>
      </c>
      <c r="M31" s="390">
        <f t="shared" si="2"/>
        <v>25.289819999999999</v>
      </c>
      <c r="N31" s="387">
        <f t="shared" si="1"/>
        <v>96.250504281636537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156" t="s">
        <v>4347</v>
      </c>
      <c r="B1" s="896" t="s">
        <v>4923</v>
      </c>
      <c r="C1" s="897"/>
      <c r="D1" s="156" t="s">
        <v>4349</v>
      </c>
      <c r="E1" s="156"/>
      <c r="F1" s="896" t="s">
        <v>4924</v>
      </c>
      <c r="G1" s="897"/>
      <c r="H1" s="904" t="s">
        <v>5</v>
      </c>
      <c r="I1" s="905"/>
      <c r="J1" s="377">
        <v>372.39</v>
      </c>
      <c r="K1" s="156" t="s">
        <v>436</v>
      </c>
      <c r="L1" s="156"/>
      <c r="M1" s="377" t="s">
        <v>749</v>
      </c>
      <c r="N1" s="156"/>
    </row>
    <row r="2" spans="1:14">
      <c r="A2" s="808" t="s">
        <v>4176</v>
      </c>
      <c r="B2" s="808"/>
      <c r="C2" s="80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>
      <c r="A3" s="156" t="s">
        <v>832</v>
      </c>
      <c r="B3" s="896" t="s">
        <v>4925</v>
      </c>
      <c r="C3" s="897"/>
      <c r="D3" s="156" t="s">
        <v>1208</v>
      </c>
      <c r="E3" s="156"/>
      <c r="F3" s="896" t="s">
        <v>4926</v>
      </c>
      <c r="G3" s="897"/>
      <c r="H3" s="378"/>
      <c r="I3" s="378"/>
      <c r="J3" s="156"/>
      <c r="K3" s="156"/>
      <c r="L3" s="156"/>
      <c r="M3" s="156"/>
      <c r="N3" s="156"/>
    </row>
    <row r="4" spans="1:14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>
      <c r="A5" s="156" t="s">
        <v>4353</v>
      </c>
      <c r="B5" s="896" t="s">
        <v>4927</v>
      </c>
      <c r="C5" s="897"/>
      <c r="D5" s="156" t="s">
        <v>4355</v>
      </c>
      <c r="E5" s="156"/>
      <c r="F5" s="898" t="s">
        <v>4928</v>
      </c>
      <c r="G5" s="899"/>
      <c r="H5" s="899"/>
      <c r="I5" s="900"/>
      <c r="J5" s="156"/>
      <c r="K5" s="156"/>
      <c r="L5" s="156"/>
      <c r="M5" s="156"/>
      <c r="N5" s="156"/>
    </row>
    <row r="6" spans="1:14">
      <c r="A6" s="156"/>
      <c r="B6" s="156"/>
      <c r="C6" s="156"/>
      <c r="D6" s="156" t="s">
        <v>4357</v>
      </c>
      <c r="E6" s="156"/>
      <c r="F6" s="901"/>
      <c r="G6" s="902"/>
      <c r="H6" s="902"/>
      <c r="I6" s="903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379" t="s">
        <v>838</v>
      </c>
      <c r="B8" s="894" t="s">
        <v>4929</v>
      </c>
      <c r="C8" s="894"/>
      <c r="D8" s="894" t="s">
        <v>4930</v>
      </c>
      <c r="E8" s="894"/>
      <c r="F8" s="894"/>
      <c r="G8" s="895" t="s">
        <v>3017</v>
      </c>
      <c r="H8" s="895"/>
      <c r="I8" s="895"/>
      <c r="J8" s="895" t="s">
        <v>4931</v>
      </c>
      <c r="K8" s="895"/>
      <c r="L8" s="895"/>
      <c r="M8" s="156"/>
      <c r="N8" s="156"/>
    </row>
    <row r="9" spans="1:14">
      <c r="A9" s="379" t="s">
        <v>840</v>
      </c>
      <c r="B9" s="894" t="s">
        <v>4932</v>
      </c>
      <c r="C9" s="894"/>
      <c r="D9" s="894" t="s">
        <v>4933</v>
      </c>
      <c r="E9" s="894"/>
      <c r="F9" s="894"/>
      <c r="G9" s="895"/>
      <c r="H9" s="895"/>
      <c r="I9" s="895"/>
      <c r="J9" s="895"/>
      <c r="K9" s="895"/>
      <c r="L9" s="895"/>
      <c r="M9" s="156"/>
      <c r="N9" s="156"/>
    </row>
    <row r="10" spans="1:14">
      <c r="A10" s="379" t="s">
        <v>4361</v>
      </c>
      <c r="B10" s="894" t="s">
        <v>4934</v>
      </c>
      <c r="C10" s="894"/>
      <c r="D10" s="894" t="s">
        <v>4935</v>
      </c>
      <c r="E10" s="894"/>
      <c r="F10" s="894"/>
      <c r="G10" s="895" t="s">
        <v>4936</v>
      </c>
      <c r="H10" s="895"/>
      <c r="I10" s="895"/>
      <c r="J10" s="895"/>
      <c r="K10" s="895"/>
      <c r="L10" s="895"/>
      <c r="M10" s="156"/>
      <c r="N10" s="156"/>
    </row>
    <row r="11" spans="1:14" ht="25.5">
      <c r="A11" s="379" t="s">
        <v>420</v>
      </c>
      <c r="B11" s="894" t="s">
        <v>4925</v>
      </c>
      <c r="C11" s="894"/>
      <c r="D11" s="906" t="s">
        <v>4925</v>
      </c>
      <c r="E11" s="906"/>
      <c r="F11" s="906"/>
      <c r="G11" s="895"/>
      <c r="H11" s="895"/>
      <c r="I11" s="895"/>
      <c r="J11" s="895"/>
      <c r="K11" s="895"/>
      <c r="L11" s="895"/>
      <c r="M11" s="156"/>
      <c r="N11" s="156"/>
    </row>
    <row r="12" spans="1:14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</row>
    <row r="13" spans="1:14">
      <c r="A13" s="156" t="s">
        <v>4365</v>
      </c>
      <c r="B13" s="377">
        <v>4</v>
      </c>
      <c r="C13" s="156" t="s">
        <v>4937</v>
      </c>
      <c r="D13" s="156"/>
      <c r="E13" s="377">
        <v>2</v>
      </c>
      <c r="F13" s="380"/>
      <c r="G13" s="381" t="s">
        <v>1491</v>
      </c>
      <c r="H13" s="377">
        <v>13</v>
      </c>
      <c r="I13" s="381" t="s">
        <v>1492</v>
      </c>
      <c r="J13" s="377">
        <v>2</v>
      </c>
      <c r="K13" s="381" t="s">
        <v>1493</v>
      </c>
      <c r="L13" s="392">
        <v>25</v>
      </c>
      <c r="M13" s="156"/>
      <c r="N13" s="156"/>
    </row>
    <row r="14" spans="1:14">
      <c r="A14" s="156"/>
      <c r="B14" s="156"/>
      <c r="C14" s="156"/>
      <c r="D14" s="156"/>
      <c r="E14" s="381"/>
      <c r="F14" s="156"/>
      <c r="G14" s="381"/>
      <c r="H14" s="156"/>
      <c r="I14" s="156"/>
      <c r="J14" s="156"/>
      <c r="K14" s="156"/>
      <c r="L14" s="156"/>
      <c r="M14" s="156"/>
      <c r="N14" s="156"/>
    </row>
    <row r="15" spans="1:14" ht="24.75" customHeight="1">
      <c r="A15" s="156" t="s">
        <v>646</v>
      </c>
      <c r="B15" s="156"/>
      <c r="C15" s="381" t="s">
        <v>204</v>
      </c>
      <c r="D15" s="377">
        <v>128</v>
      </c>
      <c r="E15" s="381" t="s">
        <v>205</v>
      </c>
      <c r="F15" s="377">
        <v>0</v>
      </c>
      <c r="G15" s="381" t="s">
        <v>206</v>
      </c>
      <c r="H15" s="377">
        <v>19</v>
      </c>
      <c r="I15" s="381" t="s">
        <v>230</v>
      </c>
      <c r="J15" s="377">
        <v>147</v>
      </c>
      <c r="K15" s="381" t="s">
        <v>207</v>
      </c>
      <c r="L15" s="377">
        <v>40</v>
      </c>
      <c r="M15" s="382" t="s">
        <v>4367</v>
      </c>
      <c r="N15" s="377">
        <v>42</v>
      </c>
    </row>
    <row r="16" spans="1:14">
      <c r="A16" s="156" t="s">
        <v>209</v>
      </c>
      <c r="B16" s="156"/>
      <c r="C16" s="381" t="s">
        <v>210</v>
      </c>
      <c r="D16" s="377">
        <v>240</v>
      </c>
      <c r="E16" s="381" t="s">
        <v>211</v>
      </c>
      <c r="F16" s="377">
        <v>0</v>
      </c>
      <c r="G16" s="381" t="s">
        <v>212</v>
      </c>
      <c r="H16" s="377">
        <v>56</v>
      </c>
      <c r="I16" s="381" t="s">
        <v>411</v>
      </c>
      <c r="J16" s="377">
        <f>H16+F16+D16</f>
        <v>296</v>
      </c>
      <c r="K16" s="156"/>
      <c r="L16" s="156"/>
      <c r="M16" s="156"/>
      <c r="N16" s="156"/>
    </row>
    <row r="17" spans="1:14">
      <c r="A17" s="156"/>
      <c r="B17" s="156"/>
      <c r="C17" s="381" t="s">
        <v>213</v>
      </c>
      <c r="D17" s="377">
        <v>255</v>
      </c>
      <c r="E17" s="381" t="s">
        <v>214</v>
      </c>
      <c r="F17" s="377">
        <v>0</v>
      </c>
      <c r="G17" s="381" t="s">
        <v>1494</v>
      </c>
      <c r="H17" s="377">
        <v>39</v>
      </c>
      <c r="I17" s="381" t="s">
        <v>410</v>
      </c>
      <c r="J17" s="377">
        <f>H17+F17+D17</f>
        <v>294</v>
      </c>
      <c r="K17" s="156"/>
      <c r="L17" s="156"/>
      <c r="M17" s="156"/>
      <c r="N17" s="156"/>
    </row>
    <row r="18" spans="1:14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</row>
    <row r="19" spans="1:14">
      <c r="A19" s="383" t="s">
        <v>216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</row>
    <row r="20" spans="1:14">
      <c r="A20" s="892" t="s">
        <v>217</v>
      </c>
      <c r="B20" s="892" t="s">
        <v>218</v>
      </c>
      <c r="C20" s="892" t="s">
        <v>219</v>
      </c>
      <c r="D20" s="892" t="s">
        <v>407</v>
      </c>
      <c r="E20" s="892" t="s">
        <v>864</v>
      </c>
      <c r="F20" s="893" t="s">
        <v>4368</v>
      </c>
      <c r="G20" s="893"/>
      <c r="H20" s="893"/>
      <c r="I20" s="893"/>
      <c r="J20" s="893"/>
      <c r="K20" s="893"/>
      <c r="L20" s="893"/>
      <c r="M20" s="893"/>
      <c r="N20" s="893"/>
    </row>
    <row r="21" spans="1:14">
      <c r="A21" s="892"/>
      <c r="B21" s="892"/>
      <c r="C21" s="892"/>
      <c r="D21" s="892"/>
      <c r="E21" s="892"/>
      <c r="F21" s="80" t="s">
        <v>227</v>
      </c>
      <c r="G21" s="384" t="s">
        <v>228</v>
      </c>
      <c r="H21" s="384" t="s">
        <v>229</v>
      </c>
      <c r="I21" s="384">
        <v>4</v>
      </c>
      <c r="J21" s="384">
        <v>5</v>
      </c>
      <c r="K21" s="384">
        <v>6</v>
      </c>
      <c r="L21" s="384">
        <v>7</v>
      </c>
      <c r="M21" s="384" t="s">
        <v>230</v>
      </c>
      <c r="N21" s="384" t="s">
        <v>231</v>
      </c>
    </row>
    <row r="22" spans="1:14">
      <c r="A22" s="379" t="s">
        <v>232</v>
      </c>
      <c r="B22" s="379">
        <v>8000</v>
      </c>
      <c r="C22" s="385" t="s">
        <v>4369</v>
      </c>
      <c r="D22" s="386">
        <f>B22*J1/100000</f>
        <v>29.7912</v>
      </c>
      <c r="E22" s="379">
        <v>18</v>
      </c>
      <c r="F22" s="80"/>
      <c r="G22" s="387">
        <v>2.9623699999999999</v>
      </c>
      <c r="H22" s="387">
        <v>13.34066</v>
      </c>
      <c r="I22" s="379"/>
      <c r="J22" s="379"/>
      <c r="K22" s="379"/>
      <c r="L22" s="379"/>
      <c r="M22" s="387">
        <f>SUM(F22:L22)</f>
        <v>16.30303</v>
      </c>
      <c r="N22" s="387">
        <f>M22/E22*100</f>
        <v>90.572388888888895</v>
      </c>
    </row>
    <row r="23" spans="1:14" ht="25.5">
      <c r="A23" s="379" t="s">
        <v>234</v>
      </c>
      <c r="B23" s="379">
        <v>7000</v>
      </c>
      <c r="C23" s="385" t="s">
        <v>4369</v>
      </c>
      <c r="D23" s="388">
        <f>5.6-2.7</f>
        <v>2.8999999999999995</v>
      </c>
      <c r="E23" s="379">
        <v>2.56</v>
      </c>
      <c r="F23" s="80"/>
      <c r="G23" s="379">
        <v>0</v>
      </c>
      <c r="H23" s="387">
        <v>2.3449499999999999</v>
      </c>
      <c r="I23" s="379"/>
      <c r="J23" s="379"/>
      <c r="K23" s="379"/>
      <c r="L23" s="379"/>
      <c r="M23" s="387">
        <f t="shared" ref="M23:M30" si="0">SUM(F23:L23)</f>
        <v>2.3449499999999999</v>
      </c>
      <c r="N23" s="387">
        <f t="shared" ref="N23:N31" si="1">M23/E23*100</f>
        <v>91.599609374999986</v>
      </c>
    </row>
    <row r="24" spans="1:14" ht="25.5">
      <c r="A24" s="379" t="s">
        <v>235</v>
      </c>
      <c r="B24" s="379">
        <v>43000</v>
      </c>
      <c r="C24" s="385" t="s">
        <v>236</v>
      </c>
      <c r="D24" s="388">
        <f>0.43+2.7</f>
        <v>3.1300000000000003</v>
      </c>
      <c r="E24" s="379">
        <v>0.35</v>
      </c>
      <c r="F24" s="80"/>
      <c r="G24" s="379">
        <v>0.18</v>
      </c>
      <c r="H24" s="379">
        <v>0.12</v>
      </c>
      <c r="I24" s="379"/>
      <c r="J24" s="379"/>
      <c r="K24" s="379"/>
      <c r="L24" s="379"/>
      <c r="M24" s="379">
        <f t="shared" si="0"/>
        <v>0.3</v>
      </c>
      <c r="N24" s="387">
        <f t="shared" si="1"/>
        <v>85.714285714285722</v>
      </c>
    </row>
    <row r="25" spans="1:14" ht="25.5">
      <c r="A25" s="379" t="s">
        <v>237</v>
      </c>
      <c r="B25" s="379">
        <v>37000</v>
      </c>
      <c r="C25" s="385" t="s">
        <v>236</v>
      </c>
      <c r="D25" s="388">
        <v>0.37</v>
      </c>
      <c r="E25" s="379">
        <v>0.28999999999999998</v>
      </c>
      <c r="F25" s="80"/>
      <c r="G25" s="379">
        <v>0.16</v>
      </c>
      <c r="H25" s="379">
        <v>0</v>
      </c>
      <c r="I25" s="379"/>
      <c r="J25" s="379"/>
      <c r="K25" s="379"/>
      <c r="L25" s="379"/>
      <c r="M25" s="379">
        <f t="shared" si="0"/>
        <v>0.16</v>
      </c>
      <c r="N25" s="387">
        <f t="shared" si="1"/>
        <v>55.172413793103459</v>
      </c>
    </row>
    <row r="26" spans="1:14">
      <c r="A26" s="379" t="s">
        <v>238</v>
      </c>
      <c r="B26" s="379">
        <v>1200</v>
      </c>
      <c r="C26" s="385" t="s">
        <v>4369</v>
      </c>
      <c r="D26" s="386">
        <f>B26*J1/100000</f>
        <v>4.46868</v>
      </c>
      <c r="E26" s="379">
        <v>2</v>
      </c>
      <c r="F26" s="80"/>
      <c r="G26" s="379">
        <v>0</v>
      </c>
      <c r="H26" s="379">
        <v>1.94</v>
      </c>
      <c r="I26" s="379"/>
      <c r="J26" s="379"/>
      <c r="K26" s="379"/>
      <c r="L26" s="379"/>
      <c r="M26" s="379">
        <f t="shared" si="0"/>
        <v>1.94</v>
      </c>
      <c r="N26" s="379">
        <f t="shared" si="1"/>
        <v>97</v>
      </c>
    </row>
    <row r="27" spans="1:14">
      <c r="A27" s="379" t="s">
        <v>667</v>
      </c>
      <c r="B27" s="379">
        <v>565</v>
      </c>
      <c r="C27" s="385" t="s">
        <v>1036</v>
      </c>
      <c r="D27" s="386">
        <f>B27*J1/100000</f>
        <v>2.1040035000000001</v>
      </c>
      <c r="E27" s="379">
        <v>2.1</v>
      </c>
      <c r="F27" s="80"/>
      <c r="G27" s="387">
        <v>2.1040000000000001</v>
      </c>
      <c r="H27" s="379">
        <v>0</v>
      </c>
      <c r="I27" s="379"/>
      <c r="J27" s="379"/>
      <c r="K27" s="379"/>
      <c r="L27" s="379"/>
      <c r="M27" s="387">
        <f t="shared" si="0"/>
        <v>2.1040000000000001</v>
      </c>
      <c r="N27" s="387">
        <f t="shared" si="1"/>
        <v>100.19047619047619</v>
      </c>
    </row>
    <row r="28" spans="1:14">
      <c r="A28" s="379" t="s">
        <v>240</v>
      </c>
      <c r="B28" s="379">
        <v>1000</v>
      </c>
      <c r="C28" s="385" t="s">
        <v>1036</v>
      </c>
      <c r="D28" s="386">
        <f>B28*J1/100000</f>
        <v>3.7239</v>
      </c>
      <c r="E28" s="379">
        <v>0</v>
      </c>
      <c r="F28" s="80"/>
      <c r="G28" s="379">
        <v>0</v>
      </c>
      <c r="H28" s="379">
        <v>0</v>
      </c>
      <c r="I28" s="379"/>
      <c r="J28" s="379"/>
      <c r="K28" s="379"/>
      <c r="L28" s="379"/>
      <c r="M28" s="379">
        <f t="shared" si="0"/>
        <v>0</v>
      </c>
      <c r="N28" s="379" t="e">
        <f t="shared" si="1"/>
        <v>#DIV/0!</v>
      </c>
    </row>
    <row r="29" spans="1:14">
      <c r="A29" s="379" t="s">
        <v>241</v>
      </c>
      <c r="B29" s="379">
        <v>2750</v>
      </c>
      <c r="C29" s="385" t="s">
        <v>1036</v>
      </c>
      <c r="D29" s="388">
        <v>2.31</v>
      </c>
      <c r="E29" s="387">
        <v>0.59499999999999997</v>
      </c>
      <c r="F29" s="80"/>
      <c r="G29" s="387">
        <v>0.25897999999999999</v>
      </c>
      <c r="H29" s="387">
        <v>0.31813000000000002</v>
      </c>
      <c r="I29" s="379"/>
      <c r="J29" s="379"/>
      <c r="K29" s="379"/>
      <c r="L29" s="379"/>
      <c r="M29" s="387">
        <f t="shared" si="0"/>
        <v>0.57711000000000001</v>
      </c>
      <c r="N29" s="387">
        <f t="shared" si="1"/>
        <v>96.99327731092437</v>
      </c>
    </row>
    <row r="30" spans="1:14">
      <c r="A30" s="379" t="s">
        <v>670</v>
      </c>
      <c r="B30" s="379">
        <v>10000</v>
      </c>
      <c r="C30" s="385" t="s">
        <v>244</v>
      </c>
      <c r="D30" s="388">
        <v>0.1</v>
      </c>
      <c r="E30" s="379">
        <v>0.1</v>
      </c>
      <c r="F30" s="379"/>
      <c r="G30" s="379"/>
      <c r="H30" s="379"/>
      <c r="I30" s="379"/>
      <c r="J30" s="379"/>
      <c r="K30" s="379"/>
      <c r="L30" s="379"/>
      <c r="M30" s="379">
        <f t="shared" si="0"/>
        <v>0</v>
      </c>
      <c r="N30" s="379">
        <f t="shared" si="1"/>
        <v>0</v>
      </c>
    </row>
    <row r="31" spans="1:14">
      <c r="A31" s="389" t="s">
        <v>245</v>
      </c>
      <c r="B31" s="389"/>
      <c r="C31" s="384"/>
      <c r="D31" s="390">
        <f>SUM(D22:D30)</f>
        <v>48.897783500000003</v>
      </c>
      <c r="E31" s="390">
        <f t="shared" ref="E31:M31" si="2">SUM(E22:E30)</f>
        <v>25.995000000000001</v>
      </c>
      <c r="F31" s="390">
        <f t="shared" si="2"/>
        <v>0</v>
      </c>
      <c r="G31" s="390">
        <f t="shared" si="2"/>
        <v>5.665350000000001</v>
      </c>
      <c r="H31" s="390">
        <f t="shared" si="2"/>
        <v>18.063739999999999</v>
      </c>
      <c r="I31" s="390">
        <f t="shared" si="2"/>
        <v>0</v>
      </c>
      <c r="J31" s="390">
        <f t="shared" si="2"/>
        <v>0</v>
      </c>
      <c r="K31" s="390">
        <f t="shared" si="2"/>
        <v>0</v>
      </c>
      <c r="L31" s="390">
        <f t="shared" si="2"/>
        <v>0</v>
      </c>
      <c r="M31" s="390">
        <f t="shared" si="2"/>
        <v>23.729090000000003</v>
      </c>
      <c r="N31" s="387">
        <f t="shared" si="1"/>
        <v>91.283285247162922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2" sqref="A2:C2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156" t="s">
        <v>4347</v>
      </c>
      <c r="B1" s="896" t="s">
        <v>4938</v>
      </c>
      <c r="C1" s="897"/>
      <c r="D1" s="393" t="s">
        <v>4349</v>
      </c>
      <c r="E1" s="156"/>
      <c r="F1" s="896" t="s">
        <v>4939</v>
      </c>
      <c r="G1" s="897"/>
      <c r="H1" s="904" t="s">
        <v>5</v>
      </c>
      <c r="I1" s="905"/>
      <c r="J1" s="377">
        <v>563.94000000000005</v>
      </c>
      <c r="K1" s="156" t="s">
        <v>436</v>
      </c>
      <c r="L1" s="156"/>
      <c r="M1" s="377" t="s">
        <v>749</v>
      </c>
      <c r="N1" s="156"/>
    </row>
    <row r="2" spans="1:14">
      <c r="A2" s="808" t="s">
        <v>4176</v>
      </c>
      <c r="B2" s="808"/>
      <c r="C2" s="80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>
      <c r="A3" s="156" t="s">
        <v>832</v>
      </c>
      <c r="B3" s="896" t="s">
        <v>4940</v>
      </c>
      <c r="C3" s="897"/>
      <c r="D3" s="156" t="s">
        <v>1208</v>
      </c>
      <c r="E3" s="156"/>
      <c r="F3" s="896" t="s">
        <v>4941</v>
      </c>
      <c r="G3" s="897"/>
      <c r="H3" s="378"/>
      <c r="I3" s="378"/>
      <c r="J3" s="156"/>
      <c r="K3" s="156"/>
      <c r="L3" s="156"/>
      <c r="M3" s="156"/>
      <c r="N3" s="156"/>
    </row>
    <row r="4" spans="1:14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>
      <c r="A5" s="156" t="s">
        <v>4353</v>
      </c>
      <c r="B5" s="896" t="s">
        <v>4942</v>
      </c>
      <c r="C5" s="897"/>
      <c r="D5" s="156" t="s">
        <v>4355</v>
      </c>
      <c r="E5" s="156"/>
      <c r="F5" s="898" t="s">
        <v>4943</v>
      </c>
      <c r="G5" s="899"/>
      <c r="H5" s="899"/>
      <c r="I5" s="900"/>
      <c r="J5" s="156"/>
      <c r="K5" s="156"/>
      <c r="L5" s="156"/>
      <c r="M5" s="156"/>
      <c r="N5" s="156"/>
    </row>
    <row r="6" spans="1:14">
      <c r="A6" s="156"/>
      <c r="B6" s="156"/>
      <c r="C6" s="156"/>
      <c r="D6" s="156" t="s">
        <v>4357</v>
      </c>
      <c r="E6" s="156"/>
      <c r="F6" s="901"/>
      <c r="G6" s="902"/>
      <c r="H6" s="902"/>
      <c r="I6" s="903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379" t="s">
        <v>838</v>
      </c>
      <c r="B8" s="385" t="s">
        <v>4944</v>
      </c>
      <c r="C8" s="385" t="s">
        <v>4945</v>
      </c>
      <c r="D8" s="394" t="s">
        <v>4946</v>
      </c>
      <c r="E8" s="394" t="s">
        <v>4947</v>
      </c>
      <c r="F8" s="377" t="s">
        <v>4948</v>
      </c>
      <c r="G8" s="377" t="s">
        <v>4949</v>
      </c>
      <c r="H8" s="395"/>
      <c r="I8" s="395"/>
      <c r="J8" s="380"/>
      <c r="K8" s="395"/>
      <c r="L8" s="395"/>
      <c r="M8" s="380"/>
      <c r="N8" s="380"/>
    </row>
    <row r="9" spans="1:14">
      <c r="A9" s="379" t="s">
        <v>840</v>
      </c>
      <c r="B9" s="385" t="s">
        <v>2438</v>
      </c>
      <c r="C9" s="385"/>
      <c r="D9" s="385"/>
      <c r="E9" s="385"/>
      <c r="F9" s="385"/>
      <c r="G9" s="394"/>
      <c r="H9" s="395"/>
      <c r="I9" s="395"/>
      <c r="J9" s="395"/>
      <c r="K9" s="395"/>
      <c r="L9" s="395"/>
      <c r="M9" s="380"/>
      <c r="N9" s="380"/>
    </row>
    <row r="10" spans="1:14" ht="39">
      <c r="A10" s="379" t="s">
        <v>4361</v>
      </c>
      <c r="B10" s="385" t="s">
        <v>2438</v>
      </c>
      <c r="C10" s="385"/>
      <c r="D10" s="385"/>
      <c r="E10" s="385" t="s">
        <v>4950</v>
      </c>
      <c r="F10" s="385" t="s">
        <v>4951</v>
      </c>
      <c r="G10" s="396" t="s">
        <v>4952</v>
      </c>
      <c r="H10" s="395"/>
      <c r="I10" s="395"/>
      <c r="J10" s="395"/>
      <c r="K10" s="395"/>
      <c r="L10" s="395"/>
      <c r="M10" s="380"/>
      <c r="N10" s="380"/>
    </row>
    <row r="11" spans="1:14" ht="25.5">
      <c r="A11" s="379" t="s">
        <v>420</v>
      </c>
      <c r="B11" s="385" t="s">
        <v>2438</v>
      </c>
      <c r="C11" s="385"/>
      <c r="D11" s="385"/>
      <c r="E11" s="385"/>
      <c r="F11" s="385"/>
      <c r="G11" s="394" t="s">
        <v>4953</v>
      </c>
      <c r="H11" s="395"/>
      <c r="I11" s="395"/>
      <c r="J11" s="395"/>
      <c r="K11" s="395"/>
      <c r="L11" s="395"/>
      <c r="M11" s="380"/>
      <c r="N11" s="380"/>
    </row>
    <row r="12" spans="1:14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</row>
    <row r="13" spans="1:14">
      <c r="A13" s="156" t="s">
        <v>4365</v>
      </c>
      <c r="B13" s="377">
        <v>6</v>
      </c>
      <c r="C13" s="156" t="s">
        <v>4366</v>
      </c>
      <c r="D13" s="156"/>
      <c r="E13" s="377"/>
      <c r="F13" s="380"/>
      <c r="G13" s="381" t="s">
        <v>1491</v>
      </c>
      <c r="H13" s="377">
        <v>23</v>
      </c>
      <c r="I13" s="381" t="s">
        <v>1492</v>
      </c>
      <c r="J13" s="377"/>
      <c r="K13" s="381" t="s">
        <v>1493</v>
      </c>
      <c r="L13" s="377">
        <v>32</v>
      </c>
      <c r="M13" s="156"/>
      <c r="N13" s="156"/>
    </row>
    <row r="14" spans="1:14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</row>
    <row r="15" spans="1:14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</row>
    <row r="16" spans="1:14" ht="28.5" customHeight="1">
      <c r="A16" s="156" t="s">
        <v>646</v>
      </c>
      <c r="B16" s="156"/>
      <c r="C16" s="381" t="s">
        <v>204</v>
      </c>
      <c r="D16" s="377">
        <v>234</v>
      </c>
      <c r="E16" s="381" t="s">
        <v>205</v>
      </c>
      <c r="F16" s="377">
        <v>42</v>
      </c>
      <c r="G16" s="381" t="s">
        <v>206</v>
      </c>
      <c r="H16" s="377">
        <v>42</v>
      </c>
      <c r="I16" s="381" t="s">
        <v>230</v>
      </c>
      <c r="J16" s="377">
        <v>318</v>
      </c>
      <c r="K16" s="381" t="s">
        <v>207</v>
      </c>
      <c r="L16" s="377">
        <v>199</v>
      </c>
      <c r="M16" s="397" t="s">
        <v>4367</v>
      </c>
      <c r="N16" s="377">
        <v>85</v>
      </c>
    </row>
    <row r="17" spans="1:14">
      <c r="A17" s="156" t="s">
        <v>209</v>
      </c>
      <c r="B17" s="156"/>
      <c r="C17" s="381" t="s">
        <v>210</v>
      </c>
      <c r="D17" s="377">
        <v>352</v>
      </c>
      <c r="E17" s="381" t="s">
        <v>211</v>
      </c>
      <c r="F17" s="377">
        <v>84</v>
      </c>
      <c r="G17" s="381" t="s">
        <v>212</v>
      </c>
      <c r="H17" s="377">
        <v>183</v>
      </c>
      <c r="I17" s="381" t="s">
        <v>411</v>
      </c>
      <c r="J17" s="377">
        <f>H17+F17+D17</f>
        <v>619</v>
      </c>
      <c r="K17" s="156"/>
      <c r="L17" s="156"/>
      <c r="M17" s="156"/>
      <c r="N17" s="156"/>
    </row>
    <row r="18" spans="1:14">
      <c r="A18" s="156"/>
      <c r="B18" s="156"/>
      <c r="C18" s="381" t="s">
        <v>213</v>
      </c>
      <c r="D18" s="377">
        <v>350</v>
      </c>
      <c r="E18" s="381" t="s">
        <v>214</v>
      </c>
      <c r="F18" s="377">
        <v>71</v>
      </c>
      <c r="G18" s="381" t="s">
        <v>1494</v>
      </c>
      <c r="H18" s="377">
        <v>177</v>
      </c>
      <c r="I18" s="381" t="s">
        <v>410</v>
      </c>
      <c r="J18" s="377">
        <f>H18+F18+D18</f>
        <v>598</v>
      </c>
      <c r="K18" s="156"/>
      <c r="L18" s="156"/>
      <c r="M18" s="156"/>
      <c r="N18" s="156"/>
    </row>
    <row r="19" spans="1:14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</row>
    <row r="20" spans="1:14">
      <c r="A20" s="156"/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</row>
    <row r="21" spans="1:14">
      <c r="A21" s="383" t="s">
        <v>216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</row>
    <row r="22" spans="1:14">
      <c r="A22" s="892" t="s">
        <v>217</v>
      </c>
      <c r="B22" s="892" t="s">
        <v>218</v>
      </c>
      <c r="C22" s="892" t="s">
        <v>219</v>
      </c>
      <c r="D22" s="892" t="s">
        <v>407</v>
      </c>
      <c r="E22" s="892" t="s">
        <v>864</v>
      </c>
      <c r="F22" s="893" t="s">
        <v>4368</v>
      </c>
      <c r="G22" s="893"/>
      <c r="H22" s="893"/>
      <c r="I22" s="893"/>
      <c r="J22" s="893"/>
      <c r="K22" s="893"/>
      <c r="L22" s="893"/>
      <c r="M22" s="893"/>
      <c r="N22" s="893"/>
    </row>
    <row r="23" spans="1:14">
      <c r="A23" s="892"/>
      <c r="B23" s="892"/>
      <c r="C23" s="892"/>
      <c r="D23" s="892"/>
      <c r="E23" s="892"/>
      <c r="F23" t="s">
        <v>227</v>
      </c>
      <c r="G23" s="384" t="s">
        <v>228</v>
      </c>
      <c r="H23" s="384" t="s">
        <v>229</v>
      </c>
      <c r="I23" s="384">
        <v>4</v>
      </c>
      <c r="J23" s="384">
        <v>5</v>
      </c>
      <c r="K23" s="384">
        <v>6</v>
      </c>
      <c r="L23" s="384">
        <v>7</v>
      </c>
      <c r="M23" s="384" t="s">
        <v>230</v>
      </c>
      <c r="N23" s="384" t="s">
        <v>231</v>
      </c>
    </row>
    <row r="24" spans="1:14">
      <c r="A24" s="379" t="s">
        <v>232</v>
      </c>
      <c r="B24" s="379">
        <v>8000</v>
      </c>
      <c r="C24" s="385" t="s">
        <v>4369</v>
      </c>
      <c r="D24" s="386">
        <f>B24*J1/100000</f>
        <v>45.115200000000002</v>
      </c>
      <c r="E24" s="379">
        <v>18</v>
      </c>
      <c r="F24" s="80"/>
      <c r="G24" s="387">
        <v>3.13571</v>
      </c>
      <c r="H24" s="387">
        <v>14.44267</v>
      </c>
      <c r="I24" s="379"/>
      <c r="J24" s="379"/>
      <c r="K24" s="379"/>
      <c r="L24" s="379"/>
      <c r="M24" s="387">
        <f>SUM(F24:L24)</f>
        <v>17.578379999999999</v>
      </c>
      <c r="N24" s="387">
        <f>M24/E24*100</f>
        <v>97.657666666666671</v>
      </c>
    </row>
    <row r="25" spans="1:14" ht="25.5">
      <c r="A25" s="379" t="s">
        <v>234</v>
      </c>
      <c r="B25" s="379">
        <v>7000</v>
      </c>
      <c r="C25" s="385" t="s">
        <v>4369</v>
      </c>
      <c r="D25" s="388">
        <f>5.6-2.7</f>
        <v>2.8999999999999995</v>
      </c>
      <c r="E25" s="379">
        <v>2.56</v>
      </c>
      <c r="F25" s="80"/>
      <c r="G25" s="379">
        <v>0</v>
      </c>
      <c r="H25" s="387">
        <v>2.3659500000000002</v>
      </c>
      <c r="I25" s="379"/>
      <c r="J25" s="379"/>
      <c r="K25" s="379"/>
      <c r="L25" s="379"/>
      <c r="M25" s="387">
        <f t="shared" ref="M25:M32" si="0">SUM(F25:L25)</f>
        <v>2.3659500000000002</v>
      </c>
      <c r="N25" s="387">
        <f t="shared" ref="N25:N33" si="1">M25/E25*100</f>
        <v>92.419921875000014</v>
      </c>
    </row>
    <row r="26" spans="1:14" ht="25.5">
      <c r="A26" s="379" t="s">
        <v>235</v>
      </c>
      <c r="B26" s="379">
        <v>43000</v>
      </c>
      <c r="C26" s="385" t="s">
        <v>236</v>
      </c>
      <c r="D26" s="388">
        <f>0.43+2.7</f>
        <v>3.1300000000000003</v>
      </c>
      <c r="E26" s="379">
        <v>0.35</v>
      </c>
      <c r="F26" s="80"/>
      <c r="G26" s="379">
        <v>0.18</v>
      </c>
      <c r="H26" s="379">
        <v>0.12</v>
      </c>
      <c r="I26" s="379"/>
      <c r="J26" s="379"/>
      <c r="K26" s="379"/>
      <c r="L26" s="379"/>
      <c r="M26" s="379">
        <f t="shared" si="0"/>
        <v>0.3</v>
      </c>
      <c r="N26" s="387">
        <f t="shared" si="1"/>
        <v>85.714285714285722</v>
      </c>
    </row>
    <row r="27" spans="1:14" ht="25.5">
      <c r="A27" s="379" t="s">
        <v>237</v>
      </c>
      <c r="B27" s="379">
        <v>37000</v>
      </c>
      <c r="C27" s="385" t="s">
        <v>236</v>
      </c>
      <c r="D27" s="388">
        <v>0.37</v>
      </c>
      <c r="E27" s="379">
        <v>0.28999999999999998</v>
      </c>
      <c r="F27" s="80"/>
      <c r="G27" s="379">
        <v>0.16</v>
      </c>
      <c r="H27" s="379">
        <v>0</v>
      </c>
      <c r="I27" s="379"/>
      <c r="J27" s="379"/>
      <c r="K27" s="379"/>
      <c r="L27" s="379"/>
      <c r="M27" s="379">
        <f t="shared" si="0"/>
        <v>0.16</v>
      </c>
      <c r="N27" s="387">
        <f t="shared" si="1"/>
        <v>55.172413793103459</v>
      </c>
    </row>
    <row r="28" spans="1:14">
      <c r="A28" s="379" t="s">
        <v>238</v>
      </c>
      <c r="B28" s="379">
        <v>1200</v>
      </c>
      <c r="C28" s="385" t="s">
        <v>4369</v>
      </c>
      <c r="D28" s="386">
        <f>B28*J1/100000</f>
        <v>6.7672800000000013</v>
      </c>
      <c r="E28" s="379">
        <v>2</v>
      </c>
      <c r="F28" s="80"/>
      <c r="G28" s="379">
        <v>0</v>
      </c>
      <c r="H28" s="387">
        <v>1.1178999999999999</v>
      </c>
      <c r="I28" s="379"/>
      <c r="J28" s="379"/>
      <c r="K28" s="379"/>
      <c r="L28" s="379"/>
      <c r="M28" s="387">
        <f t="shared" si="0"/>
        <v>1.1178999999999999</v>
      </c>
      <c r="N28" s="387">
        <f t="shared" si="1"/>
        <v>55.894999999999996</v>
      </c>
    </row>
    <row r="29" spans="1:14">
      <c r="A29" s="379" t="s">
        <v>667</v>
      </c>
      <c r="B29" s="379">
        <v>565</v>
      </c>
      <c r="C29" s="385" t="s">
        <v>1036</v>
      </c>
      <c r="D29" s="386">
        <f>B29*J1/100000</f>
        <v>3.1862610000000005</v>
      </c>
      <c r="E29" s="379">
        <v>3.19</v>
      </c>
      <c r="F29" s="80"/>
      <c r="G29" s="387">
        <v>3.1862599999999999</v>
      </c>
      <c r="H29" s="379">
        <v>0</v>
      </c>
      <c r="I29" s="379"/>
      <c r="J29" s="379"/>
      <c r="K29" s="379"/>
      <c r="L29" s="379"/>
      <c r="M29" s="387">
        <f t="shared" si="0"/>
        <v>3.1862599999999999</v>
      </c>
      <c r="N29" s="387">
        <f t="shared" si="1"/>
        <v>99.882758620689643</v>
      </c>
    </row>
    <row r="30" spans="1:14">
      <c r="A30" s="379" t="s">
        <v>240</v>
      </c>
      <c r="B30" s="379">
        <v>1000</v>
      </c>
      <c r="C30" s="385" t="s">
        <v>1036</v>
      </c>
      <c r="D30" s="386">
        <f>B30*J1/100000</f>
        <v>5.6394000000000002</v>
      </c>
      <c r="E30" s="379">
        <v>0</v>
      </c>
      <c r="F30" s="80"/>
      <c r="G30" s="379">
        <v>0</v>
      </c>
      <c r="H30" s="379">
        <v>0</v>
      </c>
      <c r="I30" s="379"/>
      <c r="J30" s="379"/>
      <c r="K30" s="379"/>
      <c r="L30" s="379"/>
      <c r="M30" s="379">
        <f t="shared" si="0"/>
        <v>0</v>
      </c>
      <c r="N30" s="379" t="e">
        <f t="shared" si="1"/>
        <v>#DIV/0!</v>
      </c>
    </row>
    <row r="31" spans="1:14">
      <c r="A31" s="379" t="s">
        <v>241</v>
      </c>
      <c r="B31" s="379">
        <v>2750</v>
      </c>
      <c r="C31" s="385" t="s">
        <v>1036</v>
      </c>
      <c r="D31" s="388">
        <v>2.31</v>
      </c>
      <c r="E31" s="387">
        <v>0.59499999999999997</v>
      </c>
      <c r="F31" s="80"/>
      <c r="G31" s="387">
        <v>0.23030999999999999</v>
      </c>
      <c r="H31" s="387">
        <v>0.34399999999999997</v>
      </c>
      <c r="I31" s="379"/>
      <c r="J31" s="379"/>
      <c r="K31" s="379"/>
      <c r="L31" s="379"/>
      <c r="M31" s="387">
        <f t="shared" si="0"/>
        <v>0.57430999999999999</v>
      </c>
      <c r="N31" s="387">
        <f t="shared" si="1"/>
        <v>96.522689075630254</v>
      </c>
    </row>
    <row r="32" spans="1:14">
      <c r="A32" s="379" t="s">
        <v>670</v>
      </c>
      <c r="B32" s="379">
        <v>10000</v>
      </c>
      <c r="C32" s="385" t="s">
        <v>244</v>
      </c>
      <c r="D32" s="388">
        <v>0.1</v>
      </c>
      <c r="E32" s="379">
        <v>0.1</v>
      </c>
      <c r="F32" s="379"/>
      <c r="G32" s="379"/>
      <c r="H32" s="379"/>
      <c r="I32" s="379"/>
      <c r="J32" s="379"/>
      <c r="K32" s="379"/>
      <c r="L32" s="379"/>
      <c r="M32" s="379">
        <f t="shared" si="0"/>
        <v>0</v>
      </c>
      <c r="N32" s="379">
        <f t="shared" si="1"/>
        <v>0</v>
      </c>
    </row>
    <row r="33" spans="1:14">
      <c r="A33" s="389" t="s">
        <v>245</v>
      </c>
      <c r="B33" s="389"/>
      <c r="C33" s="384"/>
      <c r="D33" s="390">
        <f>SUM(D24:D32)</f>
        <v>69.518141</v>
      </c>
      <c r="E33" s="390">
        <f t="shared" ref="E33:M33" si="2">SUM(E24:E32)</f>
        <v>27.085000000000001</v>
      </c>
      <c r="F33" s="390">
        <f t="shared" si="2"/>
        <v>0</v>
      </c>
      <c r="G33" s="390">
        <f t="shared" si="2"/>
        <v>6.8922800000000004</v>
      </c>
      <c r="H33" s="390">
        <f t="shared" si="2"/>
        <v>18.390520000000002</v>
      </c>
      <c r="I33" s="390">
        <f t="shared" si="2"/>
        <v>0</v>
      </c>
      <c r="J33" s="390">
        <f t="shared" si="2"/>
        <v>0</v>
      </c>
      <c r="K33" s="390">
        <f t="shared" si="2"/>
        <v>0</v>
      </c>
      <c r="L33" s="390">
        <f t="shared" si="2"/>
        <v>0</v>
      </c>
      <c r="M33" s="390">
        <f t="shared" si="2"/>
        <v>25.282800000000002</v>
      </c>
      <c r="N33" s="387">
        <f t="shared" si="1"/>
        <v>93.3461325456895</v>
      </c>
    </row>
  </sheetData>
  <mergeCells count="14">
    <mergeCell ref="F22:N22"/>
    <mergeCell ref="B1:C1"/>
    <mergeCell ref="F1:G1"/>
    <mergeCell ref="H1:I1"/>
    <mergeCell ref="B3:C3"/>
    <mergeCell ref="F3:G3"/>
    <mergeCell ref="B5:C5"/>
    <mergeCell ref="F5:I6"/>
    <mergeCell ref="A2:C2"/>
    <mergeCell ref="A22:A23"/>
    <mergeCell ref="B22:B23"/>
    <mergeCell ref="C22:C23"/>
    <mergeCell ref="D22:D23"/>
    <mergeCell ref="E22:E23"/>
  </mergeCells>
  <hyperlinks>
    <hyperlink ref="A2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2" sqref="A2:C2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156" t="s">
        <v>4347</v>
      </c>
      <c r="B1" s="896" t="s">
        <v>4954</v>
      </c>
      <c r="C1" s="897"/>
      <c r="D1" s="156" t="s">
        <v>4349</v>
      </c>
      <c r="E1" s="156"/>
      <c r="F1" s="896" t="s">
        <v>4955</v>
      </c>
      <c r="G1" s="897"/>
      <c r="H1" s="907" t="s">
        <v>5</v>
      </c>
      <c r="I1" s="908"/>
      <c r="J1" s="377">
        <v>524.1</v>
      </c>
      <c r="K1" s="156" t="s">
        <v>436</v>
      </c>
      <c r="L1" s="156"/>
      <c r="M1" s="377" t="s">
        <v>749</v>
      </c>
      <c r="N1" s="156"/>
    </row>
    <row r="2" spans="1:14">
      <c r="A2" s="808" t="s">
        <v>4176</v>
      </c>
      <c r="B2" s="808"/>
      <c r="C2" s="80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>
      <c r="A3" s="156" t="s">
        <v>832</v>
      </c>
      <c r="B3" s="896" t="s">
        <v>4956</v>
      </c>
      <c r="C3" s="897"/>
      <c r="D3" s="156" t="s">
        <v>1208</v>
      </c>
      <c r="E3" s="156"/>
      <c r="F3" s="896" t="s">
        <v>4957</v>
      </c>
      <c r="G3" s="897"/>
      <c r="H3" s="378"/>
      <c r="I3" s="378"/>
      <c r="J3" s="156"/>
      <c r="K3" s="156"/>
      <c r="L3" s="156"/>
      <c r="M3" s="156"/>
      <c r="N3" s="156"/>
    </row>
    <row r="4" spans="1:14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>
      <c r="A5" s="156" t="s">
        <v>4353</v>
      </c>
      <c r="B5" s="896" t="s">
        <v>4958</v>
      </c>
      <c r="C5" s="897"/>
      <c r="D5" s="156" t="s">
        <v>4355</v>
      </c>
      <c r="E5" s="156"/>
      <c r="F5" s="898" t="s">
        <v>4959</v>
      </c>
      <c r="G5" s="899"/>
      <c r="H5" s="899"/>
      <c r="I5" s="900"/>
      <c r="J5" s="156"/>
      <c r="K5" s="156"/>
      <c r="L5" s="156"/>
      <c r="M5" s="156"/>
      <c r="N5" s="156"/>
    </row>
    <row r="6" spans="1:14">
      <c r="A6" s="156"/>
      <c r="B6" s="156"/>
      <c r="C6" s="156"/>
      <c r="D6" s="156" t="s">
        <v>4357</v>
      </c>
      <c r="E6" s="156"/>
      <c r="F6" s="901"/>
      <c r="G6" s="902"/>
      <c r="H6" s="902"/>
      <c r="I6" s="903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379" t="s">
        <v>838</v>
      </c>
      <c r="B8" s="385" t="s">
        <v>4960</v>
      </c>
      <c r="C8" s="385" t="s">
        <v>4961</v>
      </c>
      <c r="D8" s="394" t="s">
        <v>4962</v>
      </c>
      <c r="E8" s="394" t="s">
        <v>4963</v>
      </c>
      <c r="F8" s="377" t="s">
        <v>4949</v>
      </c>
      <c r="G8" s="377" t="s">
        <v>4964</v>
      </c>
      <c r="H8" s="377" t="s">
        <v>4965</v>
      </c>
      <c r="I8" s="395"/>
      <c r="J8" s="380"/>
      <c r="K8" s="395"/>
      <c r="L8" s="395"/>
      <c r="M8" s="380"/>
      <c r="N8" s="380"/>
    </row>
    <row r="9" spans="1:14" ht="39">
      <c r="A9" s="379" t="s">
        <v>840</v>
      </c>
      <c r="B9" s="385" t="s">
        <v>4966</v>
      </c>
      <c r="C9" s="385"/>
      <c r="D9" s="385"/>
      <c r="E9" s="385" t="s">
        <v>4967</v>
      </c>
      <c r="F9" s="385"/>
      <c r="G9" s="394"/>
      <c r="H9" s="396" t="s">
        <v>4968</v>
      </c>
      <c r="I9" s="395"/>
      <c r="J9" s="395"/>
      <c r="K9" s="395"/>
      <c r="L9" s="395"/>
      <c r="M9" s="380"/>
      <c r="N9" s="380"/>
    </row>
    <row r="10" spans="1:14" ht="26.25">
      <c r="A10" s="379" t="s">
        <v>4361</v>
      </c>
      <c r="B10" s="398" t="s">
        <v>4969</v>
      </c>
      <c r="C10" s="385" t="s">
        <v>4970</v>
      </c>
      <c r="D10" s="385"/>
      <c r="E10" s="385" t="s">
        <v>1590</v>
      </c>
      <c r="F10" s="385"/>
      <c r="G10" s="394" t="s">
        <v>4971</v>
      </c>
      <c r="H10" s="396" t="s">
        <v>1590</v>
      </c>
      <c r="I10" s="395"/>
      <c r="J10" s="395"/>
      <c r="K10" s="395"/>
      <c r="L10" s="395"/>
      <c r="M10" s="380"/>
      <c r="N10" s="380"/>
    </row>
    <row r="11" spans="1:14" ht="25.5">
      <c r="A11" s="379" t="s">
        <v>420</v>
      </c>
      <c r="B11" s="398" t="s">
        <v>4972</v>
      </c>
      <c r="C11" s="385" t="s">
        <v>4973</v>
      </c>
      <c r="D11" s="385"/>
      <c r="E11" s="398" t="s">
        <v>4974</v>
      </c>
      <c r="F11" s="385"/>
      <c r="G11" s="394"/>
      <c r="H11" s="394"/>
      <c r="I11" s="395"/>
      <c r="J11" s="395"/>
      <c r="K11" s="395"/>
      <c r="L11" s="395"/>
      <c r="M11" s="380"/>
      <c r="N11" s="380"/>
    </row>
    <row r="12" spans="1:14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</row>
    <row r="13" spans="1:14">
      <c r="A13" s="156" t="s">
        <v>4365</v>
      </c>
      <c r="B13" s="377">
        <v>7</v>
      </c>
      <c r="C13" s="393" t="s">
        <v>4975</v>
      </c>
      <c r="D13" s="393"/>
      <c r="E13" s="377">
        <v>2</v>
      </c>
      <c r="F13" s="380"/>
      <c r="G13" s="381" t="s">
        <v>1491</v>
      </c>
      <c r="H13" s="377">
        <v>17</v>
      </c>
      <c r="I13" s="381" t="s">
        <v>1492</v>
      </c>
      <c r="J13" s="377">
        <v>2</v>
      </c>
      <c r="K13" s="381" t="s">
        <v>1493</v>
      </c>
      <c r="L13" s="377">
        <v>33</v>
      </c>
      <c r="M13" s="156"/>
      <c r="N13" s="156"/>
    </row>
    <row r="14" spans="1:14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</row>
    <row r="15" spans="1:14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</row>
    <row r="16" spans="1:14" ht="25.5" customHeight="1">
      <c r="A16" s="156" t="s">
        <v>646</v>
      </c>
      <c r="B16" s="156"/>
      <c r="C16" s="381" t="s">
        <v>204</v>
      </c>
      <c r="D16" s="377">
        <v>166</v>
      </c>
      <c r="E16" s="381" t="s">
        <v>205</v>
      </c>
      <c r="F16" s="377">
        <v>39</v>
      </c>
      <c r="G16" s="381" t="s">
        <v>206</v>
      </c>
      <c r="H16" s="377">
        <v>11</v>
      </c>
      <c r="I16" s="381" t="s">
        <v>230</v>
      </c>
      <c r="J16" s="377">
        <v>216</v>
      </c>
      <c r="K16" s="381" t="s">
        <v>207</v>
      </c>
      <c r="L16" s="377">
        <v>64</v>
      </c>
      <c r="M16" s="397" t="s">
        <v>4367</v>
      </c>
      <c r="N16" s="377">
        <v>80</v>
      </c>
    </row>
    <row r="17" spans="1:14">
      <c r="A17" s="156" t="s">
        <v>209</v>
      </c>
      <c r="B17" s="156"/>
      <c r="C17" s="381" t="s">
        <v>210</v>
      </c>
      <c r="D17" s="377">
        <v>386</v>
      </c>
      <c r="E17" s="381" t="s">
        <v>211</v>
      </c>
      <c r="F17" s="377">
        <v>159</v>
      </c>
      <c r="G17" s="381" t="s">
        <v>212</v>
      </c>
      <c r="H17" s="377">
        <v>42</v>
      </c>
      <c r="I17" s="381" t="s">
        <v>411</v>
      </c>
      <c r="J17" s="377">
        <f>H17+F17+D17</f>
        <v>587</v>
      </c>
      <c r="K17" s="156"/>
      <c r="L17" s="156"/>
      <c r="M17" s="156"/>
      <c r="N17" s="156"/>
    </row>
    <row r="18" spans="1:14">
      <c r="A18" s="156"/>
      <c r="B18" s="156"/>
      <c r="C18" s="381" t="s">
        <v>213</v>
      </c>
      <c r="D18" s="377">
        <v>327</v>
      </c>
      <c r="E18" s="381" t="s">
        <v>214</v>
      </c>
      <c r="F18" s="377">
        <v>88</v>
      </c>
      <c r="G18" s="381" t="s">
        <v>1494</v>
      </c>
      <c r="H18" s="377">
        <v>47</v>
      </c>
      <c r="I18" s="381" t="s">
        <v>410</v>
      </c>
      <c r="J18" s="377">
        <f>H18+F18+D18</f>
        <v>462</v>
      </c>
      <c r="K18" s="156"/>
      <c r="L18" s="156"/>
      <c r="M18" s="156"/>
      <c r="N18" s="156"/>
    </row>
    <row r="19" spans="1:14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</row>
    <row r="20" spans="1:14">
      <c r="A20" s="156"/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</row>
    <row r="21" spans="1:14">
      <c r="A21" s="383" t="s">
        <v>216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</row>
    <row r="22" spans="1:14">
      <c r="A22" s="892" t="s">
        <v>217</v>
      </c>
      <c r="B22" s="892" t="s">
        <v>218</v>
      </c>
      <c r="C22" s="892" t="s">
        <v>219</v>
      </c>
      <c r="D22" s="892" t="s">
        <v>407</v>
      </c>
      <c r="E22" s="892" t="s">
        <v>864</v>
      </c>
      <c r="F22" s="893" t="s">
        <v>4368</v>
      </c>
      <c r="G22" s="893"/>
      <c r="H22" s="893"/>
      <c r="I22" s="893"/>
      <c r="J22" s="893"/>
      <c r="K22" s="893"/>
      <c r="L22" s="893"/>
      <c r="M22" s="893"/>
      <c r="N22" s="893"/>
    </row>
    <row r="23" spans="1:14">
      <c r="A23" s="892"/>
      <c r="B23" s="892"/>
      <c r="C23" s="892"/>
      <c r="D23" s="892"/>
      <c r="E23" s="892"/>
      <c r="F23" t="s">
        <v>227</v>
      </c>
      <c r="G23" s="384" t="s">
        <v>228</v>
      </c>
      <c r="H23" s="384" t="s">
        <v>229</v>
      </c>
      <c r="I23" s="384">
        <v>4</v>
      </c>
      <c r="J23" s="384">
        <v>5</v>
      </c>
      <c r="K23" s="384">
        <v>6</v>
      </c>
      <c r="L23" s="384">
        <v>7</v>
      </c>
      <c r="M23" s="384" t="s">
        <v>230</v>
      </c>
      <c r="N23" s="384" t="s">
        <v>231</v>
      </c>
    </row>
    <row r="24" spans="1:14">
      <c r="A24" s="379" t="s">
        <v>232</v>
      </c>
      <c r="B24" s="379">
        <v>8000</v>
      </c>
      <c r="C24" s="385" t="s">
        <v>4369</v>
      </c>
      <c r="D24" s="386">
        <f>B24*J1/100000</f>
        <v>41.927999999999997</v>
      </c>
      <c r="E24" s="379">
        <v>21.1</v>
      </c>
      <c r="F24" s="80"/>
      <c r="G24" s="387">
        <v>4.7721299999999998</v>
      </c>
      <c r="H24" s="387">
        <v>15.960279999999999</v>
      </c>
      <c r="I24" s="379"/>
      <c r="J24" s="379"/>
      <c r="K24" s="379"/>
      <c r="L24" s="379"/>
      <c r="M24" s="387">
        <f t="shared" ref="M24:M31" si="0">SUM(G24:L24)</f>
        <v>20.732409999999998</v>
      </c>
      <c r="N24" s="387">
        <f>M24/E24*100</f>
        <v>98.257867298578176</v>
      </c>
    </row>
    <row r="25" spans="1:14" ht="25.5">
      <c r="A25" s="379" t="s">
        <v>234</v>
      </c>
      <c r="B25" s="379">
        <v>7000</v>
      </c>
      <c r="C25" s="385" t="s">
        <v>4369</v>
      </c>
      <c r="D25" s="388">
        <f>5.6-2.7</f>
        <v>2.8999999999999995</v>
      </c>
      <c r="E25" s="379">
        <v>2.56</v>
      </c>
      <c r="F25" s="80"/>
      <c r="G25" s="379">
        <v>0</v>
      </c>
      <c r="H25" s="387">
        <v>2.3323499999999999</v>
      </c>
      <c r="I25" s="379"/>
      <c r="J25" s="379"/>
      <c r="K25" s="379"/>
      <c r="L25" s="379"/>
      <c r="M25" s="387">
        <f t="shared" si="0"/>
        <v>2.3323499999999999</v>
      </c>
      <c r="N25" s="387">
        <f t="shared" ref="N25:N33" si="1">M25/E25*100</f>
        <v>91.107421875</v>
      </c>
    </row>
    <row r="26" spans="1:14" ht="25.5">
      <c r="A26" s="379" t="s">
        <v>235</v>
      </c>
      <c r="B26" s="379">
        <v>43000</v>
      </c>
      <c r="C26" s="385" t="s">
        <v>236</v>
      </c>
      <c r="D26" s="388">
        <f>0.43+2.7</f>
        <v>3.1300000000000003</v>
      </c>
      <c r="E26" s="379">
        <v>0.35</v>
      </c>
      <c r="F26" s="80"/>
      <c r="G26" s="379">
        <v>0.18</v>
      </c>
      <c r="H26" s="379">
        <v>0.12</v>
      </c>
      <c r="I26" s="379"/>
      <c r="J26" s="379"/>
      <c r="K26" s="379"/>
      <c r="L26" s="379"/>
      <c r="M26" s="387">
        <f t="shared" si="0"/>
        <v>0.3</v>
      </c>
      <c r="N26" s="387">
        <f t="shared" si="1"/>
        <v>85.714285714285722</v>
      </c>
    </row>
    <row r="27" spans="1:14" ht="25.5">
      <c r="A27" s="379" t="s">
        <v>237</v>
      </c>
      <c r="B27" s="379">
        <v>37000</v>
      </c>
      <c r="C27" s="385" t="s">
        <v>236</v>
      </c>
      <c r="D27" s="388">
        <v>0.37</v>
      </c>
      <c r="E27" s="379">
        <v>0.28999999999999998</v>
      </c>
      <c r="F27" s="80"/>
      <c r="G27" s="379">
        <v>0.16</v>
      </c>
      <c r="H27" s="379">
        <v>0</v>
      </c>
      <c r="I27" s="379"/>
      <c r="J27" s="379"/>
      <c r="K27" s="379"/>
      <c r="L27" s="379"/>
      <c r="M27" s="387">
        <f t="shared" si="0"/>
        <v>0.16</v>
      </c>
      <c r="N27" s="387">
        <f t="shared" si="1"/>
        <v>55.172413793103459</v>
      </c>
    </row>
    <row r="28" spans="1:14">
      <c r="A28" s="379" t="s">
        <v>238</v>
      </c>
      <c r="B28" s="379">
        <v>1200</v>
      </c>
      <c r="C28" s="385" t="s">
        <v>4369</v>
      </c>
      <c r="D28" s="386">
        <f>B28*J1/100000</f>
        <v>6.2892000000000001</v>
      </c>
      <c r="E28" s="379">
        <v>2</v>
      </c>
      <c r="F28" s="80"/>
      <c r="G28" s="379">
        <v>0</v>
      </c>
      <c r="H28" s="387">
        <v>1.6478999999999999</v>
      </c>
      <c r="I28" s="379"/>
      <c r="J28" s="379"/>
      <c r="K28" s="379"/>
      <c r="L28" s="379"/>
      <c r="M28" s="387">
        <f t="shared" si="0"/>
        <v>1.6478999999999999</v>
      </c>
      <c r="N28" s="387">
        <f t="shared" si="1"/>
        <v>82.394999999999996</v>
      </c>
    </row>
    <row r="29" spans="1:14">
      <c r="A29" s="379" t="s">
        <v>667</v>
      </c>
      <c r="B29" s="379">
        <v>565</v>
      </c>
      <c r="C29" s="385" t="s">
        <v>1036</v>
      </c>
      <c r="D29" s="386">
        <f>B29*J1/100000</f>
        <v>2.9611649999999998</v>
      </c>
      <c r="E29" s="379">
        <v>2.96</v>
      </c>
      <c r="F29" s="80"/>
      <c r="G29" s="387">
        <v>2.96116</v>
      </c>
      <c r="H29" s="379">
        <v>0</v>
      </c>
      <c r="I29" s="379"/>
      <c r="J29" s="379"/>
      <c r="K29" s="379"/>
      <c r="L29" s="379"/>
      <c r="M29" s="387">
        <f t="shared" si="0"/>
        <v>2.96116</v>
      </c>
      <c r="N29" s="387">
        <f t="shared" si="1"/>
        <v>100.03918918918919</v>
      </c>
    </row>
    <row r="30" spans="1:14">
      <c r="A30" s="379" t="s">
        <v>240</v>
      </c>
      <c r="B30" s="379">
        <v>1000</v>
      </c>
      <c r="C30" s="385" t="s">
        <v>1036</v>
      </c>
      <c r="D30" s="386">
        <f>B30*J1/100000</f>
        <v>5.2409999999999997</v>
      </c>
      <c r="E30" s="379">
        <v>0</v>
      </c>
      <c r="F30" s="80"/>
      <c r="G30" s="379">
        <v>0</v>
      </c>
      <c r="H30" s="379">
        <v>0</v>
      </c>
      <c r="I30" s="379"/>
      <c r="J30" s="379"/>
      <c r="K30" s="379"/>
      <c r="L30" s="379"/>
      <c r="M30" s="387">
        <f t="shared" si="0"/>
        <v>0</v>
      </c>
      <c r="N30" s="379" t="e">
        <f t="shared" si="1"/>
        <v>#DIV/0!</v>
      </c>
    </row>
    <row r="31" spans="1:14">
      <c r="A31" s="379" t="s">
        <v>241</v>
      </c>
      <c r="B31" s="379">
        <v>2750</v>
      </c>
      <c r="C31" s="385" t="s">
        <v>1036</v>
      </c>
      <c r="D31" s="388">
        <v>2.31</v>
      </c>
      <c r="E31" s="387">
        <v>0.59499999999999997</v>
      </c>
      <c r="F31" s="80"/>
      <c r="G31" s="387">
        <v>0.25873000000000002</v>
      </c>
      <c r="H31" s="387">
        <v>0.32389000000000001</v>
      </c>
      <c r="I31" s="379"/>
      <c r="J31" s="379"/>
      <c r="K31" s="379"/>
      <c r="L31" s="379"/>
      <c r="M31" s="387">
        <f t="shared" si="0"/>
        <v>0.58262000000000003</v>
      </c>
      <c r="N31" s="387">
        <f t="shared" si="1"/>
        <v>97.919327731092437</v>
      </c>
    </row>
    <row r="32" spans="1:14">
      <c r="A32" s="379" t="s">
        <v>670</v>
      </c>
      <c r="B32" s="379">
        <v>10000</v>
      </c>
      <c r="C32" s="385" t="s">
        <v>244</v>
      </c>
      <c r="D32" s="388">
        <v>0.1</v>
      </c>
      <c r="E32" s="379">
        <v>0.1</v>
      </c>
      <c r="F32" s="379"/>
      <c r="G32" s="379"/>
      <c r="H32" s="379"/>
      <c r="I32" s="379"/>
      <c r="J32" s="379"/>
      <c r="K32" s="379"/>
      <c r="L32" s="379"/>
      <c r="M32" s="387">
        <f t="shared" ref="M32" si="2">SUM(F32:L32)</f>
        <v>0</v>
      </c>
      <c r="N32" s="379">
        <f t="shared" si="1"/>
        <v>0</v>
      </c>
    </row>
    <row r="33" spans="1:14">
      <c r="A33" s="389" t="s">
        <v>245</v>
      </c>
      <c r="B33" s="389"/>
      <c r="C33" s="384"/>
      <c r="D33" s="390">
        <f>SUM(D24:D32)</f>
        <v>65.229364999999987</v>
      </c>
      <c r="E33" s="390">
        <f t="shared" ref="E33:M33" si="3">SUM(E24:E32)</f>
        <v>29.955000000000002</v>
      </c>
      <c r="F33" s="390">
        <f t="shared" si="3"/>
        <v>0</v>
      </c>
      <c r="G33" s="390">
        <f t="shared" si="3"/>
        <v>8.33202</v>
      </c>
      <c r="H33" s="390">
        <f>SUM(H24:H32)</f>
        <v>20.384419999999999</v>
      </c>
      <c r="I33" s="391">
        <f t="shared" si="3"/>
        <v>0</v>
      </c>
      <c r="J33" s="391">
        <f t="shared" si="3"/>
        <v>0</v>
      </c>
      <c r="K33" s="391">
        <f t="shared" si="3"/>
        <v>0</v>
      </c>
      <c r="L33" s="391">
        <f t="shared" si="3"/>
        <v>0</v>
      </c>
      <c r="M33" s="390">
        <f t="shared" si="3"/>
        <v>28.716439999999999</v>
      </c>
      <c r="N33" s="387">
        <f t="shared" si="1"/>
        <v>95.865264563511914</v>
      </c>
    </row>
  </sheetData>
  <mergeCells count="14">
    <mergeCell ref="F22:N22"/>
    <mergeCell ref="B1:C1"/>
    <mergeCell ref="F1:G1"/>
    <mergeCell ref="H1:I1"/>
    <mergeCell ref="B3:C3"/>
    <mergeCell ref="F3:G3"/>
    <mergeCell ref="B5:C5"/>
    <mergeCell ref="F5:I6"/>
    <mergeCell ref="A2:C2"/>
    <mergeCell ref="A22:A23"/>
    <mergeCell ref="B22:B23"/>
    <mergeCell ref="C22:C23"/>
    <mergeCell ref="D22:D23"/>
    <mergeCell ref="E22:E23"/>
  </mergeCells>
  <hyperlinks>
    <hyperlink ref="A2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A3" sqref="A3:C3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909" t="s">
        <v>167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</row>
    <row r="2" spans="1:14">
      <c r="A2" s="909" t="s">
        <v>4976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</row>
    <row r="3" spans="1:14">
      <c r="A3" s="808" t="s">
        <v>4176</v>
      </c>
      <c r="B3" s="808"/>
      <c r="C3" s="808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</row>
    <row r="4" spans="1:14">
      <c r="A4" s="156" t="s">
        <v>4347</v>
      </c>
      <c r="B4" s="896" t="s">
        <v>4977</v>
      </c>
      <c r="C4" s="897"/>
      <c r="D4" s="156" t="s">
        <v>4349</v>
      </c>
      <c r="E4" s="156"/>
      <c r="F4" s="896" t="s">
        <v>4978</v>
      </c>
      <c r="G4" s="897"/>
      <c r="H4" s="904" t="s">
        <v>5</v>
      </c>
      <c r="I4" s="905"/>
      <c r="J4" s="377">
        <v>438.27</v>
      </c>
      <c r="K4" s="156" t="s">
        <v>436</v>
      </c>
      <c r="L4" s="156"/>
      <c r="M4" s="377" t="s">
        <v>749</v>
      </c>
      <c r="N4" s="156"/>
    </row>
    <row r="5" spans="1:14">
      <c r="A5" s="156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</row>
    <row r="6" spans="1:14">
      <c r="A6" s="156" t="s">
        <v>832</v>
      </c>
      <c r="B6" s="896" t="s">
        <v>4979</v>
      </c>
      <c r="C6" s="897"/>
      <c r="D6" s="156" t="s">
        <v>1208</v>
      </c>
      <c r="E6" s="156"/>
      <c r="F6" s="896" t="s">
        <v>4980</v>
      </c>
      <c r="G6" s="897"/>
      <c r="H6" s="378"/>
      <c r="I6" s="378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156" t="s">
        <v>4353</v>
      </c>
      <c r="B8" s="896" t="s">
        <v>2438</v>
      </c>
      <c r="C8" s="897"/>
      <c r="D8" s="156" t="s">
        <v>4355</v>
      </c>
      <c r="E8" s="156"/>
      <c r="F8" s="898" t="s">
        <v>2438</v>
      </c>
      <c r="G8" s="899"/>
      <c r="H8" s="899"/>
      <c r="I8" s="900"/>
      <c r="J8" s="156"/>
      <c r="K8" s="156"/>
      <c r="L8" s="156"/>
      <c r="M8" s="156"/>
      <c r="N8" s="156"/>
    </row>
    <row r="9" spans="1:14">
      <c r="A9" s="156"/>
      <c r="B9" s="156"/>
      <c r="C9" s="156"/>
      <c r="D9" s="156" t="s">
        <v>4357</v>
      </c>
      <c r="E9" s="156"/>
      <c r="F9" s="901"/>
      <c r="G9" s="902"/>
      <c r="H9" s="902"/>
      <c r="I9" s="903"/>
      <c r="J9" s="156"/>
      <c r="K9" s="156"/>
      <c r="L9" s="156"/>
      <c r="M9" s="156"/>
      <c r="N9" s="156"/>
    </row>
    <row r="10" spans="1:14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4">
      <c r="A11" s="379" t="s">
        <v>838</v>
      </c>
      <c r="B11" s="894" t="s">
        <v>4981</v>
      </c>
      <c r="C11" s="894"/>
      <c r="D11" s="894" t="s">
        <v>2484</v>
      </c>
      <c r="E11" s="894"/>
      <c r="F11" s="894"/>
      <c r="G11" s="895" t="s">
        <v>4982</v>
      </c>
      <c r="H11" s="895"/>
      <c r="I11" s="895"/>
      <c r="J11" s="895"/>
      <c r="K11" s="895"/>
      <c r="L11" s="895"/>
      <c r="M11" s="156"/>
      <c r="N11" s="156"/>
    </row>
    <row r="12" spans="1:14">
      <c r="A12" s="379" t="s">
        <v>840</v>
      </c>
      <c r="B12" s="894" t="s">
        <v>2438</v>
      </c>
      <c r="C12" s="894"/>
      <c r="D12" s="894"/>
      <c r="E12" s="894"/>
      <c r="F12" s="894"/>
      <c r="G12" s="895"/>
      <c r="H12" s="895"/>
      <c r="I12" s="895"/>
      <c r="J12" s="895"/>
      <c r="K12" s="895"/>
      <c r="L12" s="895"/>
      <c r="M12" s="156"/>
      <c r="N12" s="156"/>
    </row>
    <row r="13" spans="1:14">
      <c r="A13" s="379" t="s">
        <v>4361</v>
      </c>
      <c r="B13" s="894" t="s">
        <v>2438</v>
      </c>
      <c r="C13" s="894"/>
      <c r="D13" s="894"/>
      <c r="E13" s="894"/>
      <c r="F13" s="894"/>
      <c r="G13" s="895"/>
      <c r="H13" s="895"/>
      <c r="I13" s="895"/>
      <c r="J13" s="895"/>
      <c r="K13" s="895"/>
      <c r="L13" s="895"/>
      <c r="M13" s="156"/>
      <c r="N13" s="156"/>
    </row>
    <row r="14" spans="1:14" ht="25.5">
      <c r="A14" s="379" t="s">
        <v>420</v>
      </c>
      <c r="B14" s="894" t="s">
        <v>2438</v>
      </c>
      <c r="C14" s="894"/>
      <c r="D14" s="894"/>
      <c r="E14" s="894"/>
      <c r="F14" s="894"/>
      <c r="G14" s="895"/>
      <c r="H14" s="895"/>
      <c r="I14" s="895"/>
      <c r="J14" s="895"/>
      <c r="K14" s="895"/>
      <c r="L14" s="895"/>
      <c r="M14" s="156"/>
      <c r="N14" s="156"/>
    </row>
    <row r="15" spans="1:14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</row>
    <row r="16" spans="1:14">
      <c r="A16" s="156" t="s">
        <v>4365</v>
      </c>
      <c r="B16" s="377">
        <v>3</v>
      </c>
      <c r="C16" s="156" t="s">
        <v>4366</v>
      </c>
      <c r="D16" s="156"/>
      <c r="E16" s="377"/>
      <c r="F16" s="380"/>
      <c r="G16" s="381" t="s">
        <v>1491</v>
      </c>
      <c r="H16" s="377">
        <v>8</v>
      </c>
      <c r="I16" s="381" t="s">
        <v>1492</v>
      </c>
      <c r="J16" s="377">
        <v>2</v>
      </c>
      <c r="K16" s="381" t="s">
        <v>1493</v>
      </c>
      <c r="L16" s="377">
        <v>27</v>
      </c>
      <c r="M16" s="156"/>
      <c r="N16" s="156"/>
    </row>
    <row r="17" spans="1:14">
      <c r="A17" s="156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</row>
    <row r="18" spans="1:14">
      <c r="A18" s="156"/>
      <c r="B18" s="156"/>
      <c r="C18" s="156"/>
      <c r="D18" s="156"/>
      <c r="E18" s="156"/>
      <c r="F18" s="156"/>
      <c r="G18" s="381"/>
      <c r="H18" s="156"/>
      <c r="I18" s="156"/>
      <c r="J18" s="156"/>
      <c r="K18" s="156"/>
      <c r="L18" s="156"/>
      <c r="M18" s="156"/>
      <c r="N18" s="156"/>
    </row>
    <row r="19" spans="1:14" ht="24.75" customHeight="1">
      <c r="A19" s="156" t="s">
        <v>646</v>
      </c>
      <c r="B19" s="156"/>
      <c r="C19" s="381" t="s">
        <v>204</v>
      </c>
      <c r="D19" s="377">
        <v>62</v>
      </c>
      <c r="E19" s="381" t="s">
        <v>205</v>
      </c>
      <c r="F19" s="377">
        <v>0</v>
      </c>
      <c r="G19" s="381" t="s">
        <v>206</v>
      </c>
      <c r="H19" s="377">
        <v>24</v>
      </c>
      <c r="I19" s="381" t="s">
        <v>230</v>
      </c>
      <c r="J19" s="377">
        <v>86</v>
      </c>
      <c r="K19" s="381" t="s">
        <v>207</v>
      </c>
      <c r="L19" s="377">
        <v>34</v>
      </c>
      <c r="M19" s="399" t="s">
        <v>4367</v>
      </c>
      <c r="N19" s="377">
        <v>56</v>
      </c>
    </row>
    <row r="20" spans="1:14">
      <c r="A20" s="156" t="s">
        <v>209</v>
      </c>
      <c r="B20" s="156"/>
      <c r="C20" s="381" t="s">
        <v>210</v>
      </c>
      <c r="D20" s="377">
        <v>99</v>
      </c>
      <c r="E20" s="381" t="s">
        <v>211</v>
      </c>
      <c r="F20" s="377">
        <v>0</v>
      </c>
      <c r="G20" s="381" t="s">
        <v>212</v>
      </c>
      <c r="H20" s="377">
        <v>96</v>
      </c>
      <c r="I20" s="381" t="s">
        <v>411</v>
      </c>
      <c r="J20" s="377">
        <f>H20+F20+D20</f>
        <v>195</v>
      </c>
      <c r="K20" s="156"/>
      <c r="L20" s="156"/>
      <c r="M20" s="156"/>
      <c r="N20" s="156"/>
    </row>
    <row r="21" spans="1:14">
      <c r="A21" s="156"/>
      <c r="B21" s="156"/>
      <c r="C21" s="381" t="s">
        <v>213</v>
      </c>
      <c r="D21" s="377">
        <v>94</v>
      </c>
      <c r="E21" s="381" t="s">
        <v>214</v>
      </c>
      <c r="F21" s="377">
        <v>0</v>
      </c>
      <c r="G21" s="381" t="s">
        <v>1494</v>
      </c>
      <c r="H21" s="377">
        <v>99</v>
      </c>
      <c r="I21" s="381" t="s">
        <v>410</v>
      </c>
      <c r="J21" s="377">
        <f>H21+F21+D21</f>
        <v>193</v>
      </c>
      <c r="K21" s="156"/>
      <c r="L21" s="156"/>
      <c r="M21" s="156"/>
      <c r="N21" s="156"/>
    </row>
    <row r="22" spans="1:14">
      <c r="A22" s="156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</row>
    <row r="23" spans="1:14">
      <c r="A23" s="383" t="s">
        <v>216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</row>
    <row r="24" spans="1:14">
      <c r="A24" s="892" t="s">
        <v>217</v>
      </c>
      <c r="B24" s="892" t="s">
        <v>218</v>
      </c>
      <c r="C24" s="892" t="s">
        <v>219</v>
      </c>
      <c r="D24" s="892" t="s">
        <v>407</v>
      </c>
      <c r="E24" s="892" t="s">
        <v>864</v>
      </c>
      <c r="F24" s="893" t="s">
        <v>4368</v>
      </c>
      <c r="G24" s="893"/>
      <c r="H24" s="893"/>
      <c r="I24" s="893"/>
      <c r="J24" s="893"/>
      <c r="K24" s="893"/>
      <c r="L24" s="893"/>
      <c r="M24" s="893"/>
      <c r="N24" s="893"/>
    </row>
    <row r="25" spans="1:14">
      <c r="A25" s="892"/>
      <c r="B25" s="892"/>
      <c r="C25" s="892"/>
      <c r="D25" s="892"/>
      <c r="E25" s="892"/>
      <c r="F25" t="s">
        <v>227</v>
      </c>
      <c r="G25" s="384" t="s">
        <v>228</v>
      </c>
      <c r="H25" s="384" t="s">
        <v>229</v>
      </c>
      <c r="I25" s="384">
        <v>4</v>
      </c>
      <c r="J25" s="384">
        <v>5</v>
      </c>
      <c r="K25" s="384">
        <v>6</v>
      </c>
      <c r="L25" s="384">
        <v>7</v>
      </c>
      <c r="M25" s="384" t="s">
        <v>230</v>
      </c>
      <c r="N25" s="384" t="s">
        <v>231</v>
      </c>
    </row>
    <row r="26" spans="1:14">
      <c r="A26" s="379" t="s">
        <v>232</v>
      </c>
      <c r="B26" s="379">
        <v>8000</v>
      </c>
      <c r="C26" s="385" t="s">
        <v>4369</v>
      </c>
      <c r="D26" s="386">
        <f>B26*J4/100000</f>
        <v>35.061599999999999</v>
      </c>
      <c r="E26" s="379">
        <v>18</v>
      </c>
      <c r="F26" s="80"/>
      <c r="G26" s="387">
        <v>3.6971500000000002</v>
      </c>
      <c r="H26" s="387">
        <v>14.51816</v>
      </c>
      <c r="I26" s="379"/>
      <c r="J26" s="379"/>
      <c r="K26" s="379"/>
      <c r="L26" s="379"/>
      <c r="M26" s="387">
        <f t="shared" ref="M26:M33" si="0">SUM(G26:L26)</f>
        <v>18.215309999999999</v>
      </c>
      <c r="N26" s="387">
        <f>M26/E26*100</f>
        <v>101.19616666666667</v>
      </c>
    </row>
    <row r="27" spans="1:14" ht="25.5">
      <c r="A27" s="379" t="s">
        <v>234</v>
      </c>
      <c r="B27" s="379">
        <v>7000</v>
      </c>
      <c r="C27" s="385" t="s">
        <v>4369</v>
      </c>
      <c r="D27" s="386">
        <f>5.6-2.7</f>
        <v>2.8999999999999995</v>
      </c>
      <c r="E27" s="379">
        <v>2.56</v>
      </c>
      <c r="F27" s="80"/>
      <c r="G27" s="379">
        <v>0</v>
      </c>
      <c r="H27" s="387">
        <v>2.29915</v>
      </c>
      <c r="I27" s="379"/>
      <c r="J27" s="379"/>
      <c r="K27" s="379"/>
      <c r="L27" s="379"/>
      <c r="M27" s="387">
        <f t="shared" si="0"/>
        <v>2.29915</v>
      </c>
      <c r="N27" s="387">
        <f t="shared" ref="N27:N35" si="1">M27/E27*100</f>
        <v>89.810546875</v>
      </c>
    </row>
    <row r="28" spans="1:14" ht="25.5">
      <c r="A28" s="379" t="s">
        <v>235</v>
      </c>
      <c r="B28" s="379">
        <v>43000</v>
      </c>
      <c r="C28" s="385" t="s">
        <v>236</v>
      </c>
      <c r="D28" s="388">
        <f>0.43+2.7</f>
        <v>3.1300000000000003</v>
      </c>
      <c r="E28" s="379">
        <v>0.35</v>
      </c>
      <c r="F28" s="80"/>
      <c r="G28" s="379">
        <v>0.18</v>
      </c>
      <c r="H28" s="379">
        <v>0.12</v>
      </c>
      <c r="I28" s="379"/>
      <c r="J28" s="379"/>
      <c r="K28" s="379"/>
      <c r="L28" s="379"/>
      <c r="M28" s="379">
        <f t="shared" si="0"/>
        <v>0.3</v>
      </c>
      <c r="N28" s="387">
        <f t="shared" si="1"/>
        <v>85.714285714285722</v>
      </c>
    </row>
    <row r="29" spans="1:14" ht="25.5">
      <c r="A29" s="379" t="s">
        <v>237</v>
      </c>
      <c r="B29" s="379">
        <v>37000</v>
      </c>
      <c r="C29" s="385" t="s">
        <v>236</v>
      </c>
      <c r="D29" s="388">
        <v>0.37</v>
      </c>
      <c r="E29" s="379">
        <v>0.32</v>
      </c>
      <c r="F29" s="80"/>
      <c r="G29" s="379">
        <v>0.16</v>
      </c>
      <c r="H29" s="379">
        <v>0</v>
      </c>
      <c r="I29" s="379"/>
      <c r="J29" s="379"/>
      <c r="K29" s="379"/>
      <c r="L29" s="379"/>
      <c r="M29" s="379">
        <f t="shared" si="0"/>
        <v>0.16</v>
      </c>
      <c r="N29" s="379">
        <f t="shared" si="1"/>
        <v>50</v>
      </c>
    </row>
    <row r="30" spans="1:14">
      <c r="A30" s="379" t="s">
        <v>238</v>
      </c>
      <c r="B30" s="379">
        <v>1200</v>
      </c>
      <c r="C30" s="385" t="s">
        <v>4369</v>
      </c>
      <c r="D30" s="386">
        <f>B30*J4/100000</f>
        <v>5.2592400000000001</v>
      </c>
      <c r="E30" s="379">
        <v>2</v>
      </c>
      <c r="F30" s="80"/>
      <c r="G30" s="379">
        <v>0</v>
      </c>
      <c r="H30" s="379">
        <v>1.4129</v>
      </c>
      <c r="I30" s="379"/>
      <c r="J30" s="379"/>
      <c r="K30" s="379"/>
      <c r="L30" s="379"/>
      <c r="M30" s="387">
        <f t="shared" si="0"/>
        <v>1.4129</v>
      </c>
      <c r="N30" s="387">
        <f t="shared" si="1"/>
        <v>70.644999999999996</v>
      </c>
    </row>
    <row r="31" spans="1:14">
      <c r="A31" s="379" t="s">
        <v>667</v>
      </c>
      <c r="B31" s="379">
        <v>565</v>
      </c>
      <c r="C31" s="385" t="s">
        <v>1036</v>
      </c>
      <c r="D31" s="387">
        <v>2.4762255</v>
      </c>
      <c r="E31" s="379">
        <v>2.48</v>
      </c>
      <c r="F31" s="80"/>
      <c r="G31" s="387">
        <v>2.4762300000000002</v>
      </c>
      <c r="H31" s="379">
        <v>0</v>
      </c>
      <c r="I31" s="379"/>
      <c r="J31" s="379"/>
      <c r="K31" s="379"/>
      <c r="L31" s="379"/>
      <c r="M31" s="387">
        <f t="shared" si="0"/>
        <v>2.4762300000000002</v>
      </c>
      <c r="N31" s="387">
        <f t="shared" si="1"/>
        <v>99.847983870967752</v>
      </c>
    </row>
    <row r="32" spans="1:14">
      <c r="A32" s="379" t="s">
        <v>240</v>
      </c>
      <c r="B32" s="379">
        <v>1000</v>
      </c>
      <c r="C32" s="385" t="s">
        <v>1036</v>
      </c>
      <c r="D32" s="386">
        <f>B32*J4/100000</f>
        <v>4.3826999999999998</v>
      </c>
      <c r="E32" s="379">
        <v>0</v>
      </c>
      <c r="F32" s="80"/>
      <c r="G32" s="379">
        <v>0</v>
      </c>
      <c r="H32" s="379">
        <v>0</v>
      </c>
      <c r="I32" s="379"/>
      <c r="J32" s="379"/>
      <c r="K32" s="379"/>
      <c r="L32" s="379"/>
      <c r="M32" s="379">
        <f t="shared" si="0"/>
        <v>0</v>
      </c>
      <c r="N32" s="379" t="e">
        <f t="shared" si="1"/>
        <v>#DIV/0!</v>
      </c>
    </row>
    <row r="33" spans="1:14">
      <c r="A33" s="379" t="s">
        <v>241</v>
      </c>
      <c r="B33" s="379">
        <v>2750</v>
      </c>
      <c r="C33" s="385" t="s">
        <v>1036</v>
      </c>
      <c r="D33" s="388">
        <v>2.31</v>
      </c>
      <c r="E33" s="379">
        <v>0.6</v>
      </c>
      <c r="F33" s="80"/>
      <c r="G33" s="387">
        <v>0.20796000000000001</v>
      </c>
      <c r="H33" s="387">
        <v>0.37208000000000002</v>
      </c>
      <c r="I33" s="379"/>
      <c r="J33" s="379"/>
      <c r="K33" s="379"/>
      <c r="L33" s="379"/>
      <c r="M33" s="387">
        <f t="shared" si="0"/>
        <v>0.58004</v>
      </c>
      <c r="N33" s="387">
        <f t="shared" si="1"/>
        <v>96.673333333333332</v>
      </c>
    </row>
    <row r="34" spans="1:14">
      <c r="A34" s="379" t="s">
        <v>670</v>
      </c>
      <c r="B34" s="379">
        <v>10000</v>
      </c>
      <c r="C34" s="385" t="s">
        <v>244</v>
      </c>
      <c r="D34" s="388">
        <v>0.1</v>
      </c>
      <c r="E34" s="379">
        <v>0.1</v>
      </c>
      <c r="F34" s="379"/>
      <c r="G34" s="379"/>
      <c r="H34" s="379"/>
      <c r="I34" s="379"/>
      <c r="J34" s="379"/>
      <c r="K34" s="379"/>
      <c r="L34" s="379"/>
      <c r="M34" s="379">
        <f t="shared" ref="M34" si="2">SUM(F34:L34)</f>
        <v>0</v>
      </c>
      <c r="N34" s="379">
        <f t="shared" si="1"/>
        <v>0</v>
      </c>
    </row>
    <row r="35" spans="1:14">
      <c r="A35" s="389" t="s">
        <v>245</v>
      </c>
      <c r="B35" s="389"/>
      <c r="C35" s="384"/>
      <c r="D35" s="390">
        <f>SUM(D26:D34)</f>
        <v>55.989765499999997</v>
      </c>
      <c r="E35" s="391">
        <f t="shared" ref="E35:M35" si="3">SUM(E26:E34)</f>
        <v>26.410000000000004</v>
      </c>
      <c r="F35" s="390">
        <f t="shared" si="3"/>
        <v>0</v>
      </c>
      <c r="G35" s="390">
        <f t="shared" si="3"/>
        <v>6.7213400000000005</v>
      </c>
      <c r="H35" s="390">
        <f>SUM(H26:H34)</f>
        <v>18.722290000000001</v>
      </c>
      <c r="I35" s="391">
        <f t="shared" si="3"/>
        <v>0</v>
      </c>
      <c r="J35" s="391">
        <f t="shared" si="3"/>
        <v>0</v>
      </c>
      <c r="K35" s="391">
        <f t="shared" si="3"/>
        <v>0</v>
      </c>
      <c r="L35" s="391">
        <f t="shared" si="3"/>
        <v>0</v>
      </c>
      <c r="M35" s="390">
        <f t="shared" si="3"/>
        <v>25.443630000000002</v>
      </c>
      <c r="N35" s="387">
        <f t="shared" si="1"/>
        <v>96.340893600908743</v>
      </c>
    </row>
  </sheetData>
  <mergeCells count="32">
    <mergeCell ref="J11:L11"/>
    <mergeCell ref="A1:N1"/>
    <mergeCell ref="A2:N2"/>
    <mergeCell ref="B4:C4"/>
    <mergeCell ref="F4:G4"/>
    <mergeCell ref="H4:I4"/>
    <mergeCell ref="B6:C6"/>
    <mergeCell ref="F6:G6"/>
    <mergeCell ref="B8:C8"/>
    <mergeCell ref="F8:I9"/>
    <mergeCell ref="B11:C11"/>
    <mergeCell ref="D11:F11"/>
    <mergeCell ref="G11:I11"/>
    <mergeCell ref="A3:C3"/>
    <mergeCell ref="B12:C12"/>
    <mergeCell ref="D12:F12"/>
    <mergeCell ref="G12:I12"/>
    <mergeCell ref="J12:L12"/>
    <mergeCell ref="B13:C13"/>
    <mergeCell ref="D13:F13"/>
    <mergeCell ref="G13:I13"/>
    <mergeCell ref="J13:L13"/>
    <mergeCell ref="B14:C14"/>
    <mergeCell ref="D14:F14"/>
    <mergeCell ref="G14:I14"/>
    <mergeCell ref="J14:L14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156" t="s">
        <v>4347</v>
      </c>
      <c r="B1" s="896" t="s">
        <v>4983</v>
      </c>
      <c r="C1" s="897"/>
      <c r="D1" s="156" t="s">
        <v>4349</v>
      </c>
      <c r="E1" s="156"/>
      <c r="F1" s="910" t="s">
        <v>4984</v>
      </c>
      <c r="G1" s="897"/>
      <c r="H1" s="904" t="s">
        <v>5</v>
      </c>
      <c r="I1" s="905"/>
      <c r="J1" s="377">
        <v>663.04</v>
      </c>
      <c r="K1" s="156" t="s">
        <v>436</v>
      </c>
      <c r="L1" s="156"/>
      <c r="M1" s="377" t="s">
        <v>749</v>
      </c>
      <c r="N1" s="156"/>
    </row>
    <row r="2" spans="1:14">
      <c r="A2" s="808" t="s">
        <v>4176</v>
      </c>
      <c r="B2" s="808"/>
      <c r="C2" s="80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>
      <c r="A3" s="156" t="s">
        <v>832</v>
      </c>
      <c r="B3" s="896" t="s">
        <v>4985</v>
      </c>
      <c r="C3" s="897"/>
      <c r="D3" s="156" t="s">
        <v>1208</v>
      </c>
      <c r="E3" s="156"/>
      <c r="F3" s="896" t="s">
        <v>4986</v>
      </c>
      <c r="G3" s="897"/>
      <c r="H3" s="378"/>
      <c r="I3" s="378"/>
      <c r="J3" s="156"/>
      <c r="K3" s="156"/>
      <c r="L3" s="156"/>
      <c r="M3" s="156"/>
      <c r="N3" s="156"/>
    </row>
    <row r="4" spans="1:14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>
      <c r="A5" s="156" t="s">
        <v>4353</v>
      </c>
      <c r="B5" s="896" t="s">
        <v>4987</v>
      </c>
      <c r="C5" s="897"/>
      <c r="D5" s="156" t="s">
        <v>4355</v>
      </c>
      <c r="E5" s="156"/>
      <c r="F5" s="898" t="s">
        <v>4988</v>
      </c>
      <c r="G5" s="899"/>
      <c r="H5" s="899"/>
      <c r="I5" s="900"/>
      <c r="J5" s="156"/>
      <c r="K5" s="156"/>
      <c r="L5" s="156"/>
      <c r="M5" s="156"/>
      <c r="N5" s="156"/>
    </row>
    <row r="6" spans="1:14">
      <c r="A6" s="156"/>
      <c r="B6" s="156"/>
      <c r="C6" s="156"/>
      <c r="D6" s="156" t="s">
        <v>4357</v>
      </c>
      <c r="E6" s="156"/>
      <c r="F6" s="901"/>
      <c r="G6" s="902"/>
      <c r="H6" s="902"/>
      <c r="I6" s="903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379" t="s">
        <v>838</v>
      </c>
      <c r="B8" s="385" t="s">
        <v>4989</v>
      </c>
      <c r="C8" s="385" t="s">
        <v>4990</v>
      </c>
      <c r="D8" s="394" t="s">
        <v>4991</v>
      </c>
      <c r="E8" s="394" t="s">
        <v>4992</v>
      </c>
      <c r="F8" s="394" t="s">
        <v>4993</v>
      </c>
      <c r="G8" s="380"/>
      <c r="H8" s="395"/>
      <c r="I8" s="395"/>
      <c r="J8" s="380"/>
      <c r="K8" s="395"/>
      <c r="L8" s="395"/>
      <c r="M8" s="380"/>
      <c r="N8" s="156"/>
    </row>
    <row r="9" spans="1:14">
      <c r="A9" s="379" t="s">
        <v>840</v>
      </c>
      <c r="B9" s="385"/>
      <c r="C9" s="385"/>
      <c r="D9" s="385"/>
      <c r="E9" s="385" t="s">
        <v>4994</v>
      </c>
      <c r="F9" s="385" t="s">
        <v>4995</v>
      </c>
      <c r="G9" s="395"/>
      <c r="H9" s="395"/>
      <c r="I9" s="395"/>
      <c r="J9" s="395"/>
      <c r="K9" s="395"/>
      <c r="L9" s="395"/>
      <c r="M9" s="395"/>
      <c r="N9" s="156"/>
    </row>
    <row r="10" spans="1:14">
      <c r="A10" s="379" t="s">
        <v>4361</v>
      </c>
      <c r="B10" s="385" t="s">
        <v>4996</v>
      </c>
      <c r="C10" s="385"/>
      <c r="D10" s="385" t="s">
        <v>4997</v>
      </c>
      <c r="E10" s="385" t="s">
        <v>4998</v>
      </c>
      <c r="F10" s="385" t="s">
        <v>4999</v>
      </c>
      <c r="G10" s="395"/>
      <c r="H10" s="395"/>
      <c r="I10" s="395"/>
      <c r="J10" s="395"/>
      <c r="K10" s="395"/>
      <c r="L10" s="395"/>
      <c r="M10" s="395"/>
      <c r="N10" s="156"/>
    </row>
    <row r="11" spans="1:14" ht="25.5">
      <c r="A11" s="379" t="s">
        <v>420</v>
      </c>
      <c r="B11" s="385"/>
      <c r="C11" s="385"/>
      <c r="D11" s="385"/>
      <c r="E11" s="398" t="s">
        <v>5000</v>
      </c>
      <c r="F11" s="385" t="s">
        <v>4985</v>
      </c>
      <c r="G11" s="395"/>
      <c r="H11" s="395"/>
      <c r="I11" s="395"/>
      <c r="J11" s="395"/>
      <c r="K11" s="395"/>
      <c r="L11" s="395"/>
      <c r="M11" s="395"/>
      <c r="N11" s="156"/>
    </row>
    <row r="12" spans="1:14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</row>
    <row r="13" spans="1:14">
      <c r="A13" s="156" t="s">
        <v>4365</v>
      </c>
      <c r="B13" s="377">
        <v>5</v>
      </c>
      <c r="C13" s="156" t="s">
        <v>5001</v>
      </c>
      <c r="D13" s="156"/>
      <c r="E13" s="377">
        <v>2</v>
      </c>
      <c r="F13" s="380"/>
      <c r="G13" s="381" t="s">
        <v>1491</v>
      </c>
      <c r="H13" s="377">
        <v>10</v>
      </c>
      <c r="I13" s="381" t="s">
        <v>1492</v>
      </c>
      <c r="J13" s="377">
        <v>2</v>
      </c>
      <c r="K13" s="381" t="s">
        <v>1493</v>
      </c>
      <c r="L13" s="377">
        <v>27</v>
      </c>
      <c r="M13" s="156"/>
      <c r="N13" s="156"/>
    </row>
    <row r="14" spans="1:14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</row>
    <row r="15" spans="1:14" ht="24" customHeight="1">
      <c r="A15" s="156" t="s">
        <v>646</v>
      </c>
      <c r="B15" s="156"/>
      <c r="C15" s="381" t="s">
        <v>204</v>
      </c>
      <c r="D15" s="377">
        <v>106</v>
      </c>
      <c r="E15" s="381" t="s">
        <v>205</v>
      </c>
      <c r="F15" s="377">
        <v>0</v>
      </c>
      <c r="G15" s="156" t="s">
        <v>206</v>
      </c>
      <c r="H15" s="377">
        <v>0</v>
      </c>
      <c r="I15" s="156" t="s">
        <v>230</v>
      </c>
      <c r="J15" s="377">
        <v>106</v>
      </c>
      <c r="K15" s="156" t="s">
        <v>207</v>
      </c>
      <c r="L15" s="377">
        <v>47</v>
      </c>
      <c r="M15" s="382" t="s">
        <v>4367</v>
      </c>
      <c r="N15" s="377">
        <v>29</v>
      </c>
    </row>
    <row r="16" spans="1:14">
      <c r="A16" s="156" t="s">
        <v>209</v>
      </c>
      <c r="B16" s="156"/>
      <c r="C16" s="381" t="s">
        <v>210</v>
      </c>
      <c r="D16" s="377">
        <v>267</v>
      </c>
      <c r="E16" s="381" t="s">
        <v>211</v>
      </c>
      <c r="F16" s="377">
        <v>0</v>
      </c>
      <c r="G16" s="156" t="s">
        <v>212</v>
      </c>
      <c r="H16" s="377">
        <v>0</v>
      </c>
      <c r="I16" s="156" t="s">
        <v>411</v>
      </c>
      <c r="J16" s="377">
        <f>H16+F16+D16</f>
        <v>267</v>
      </c>
      <c r="K16" s="156"/>
      <c r="L16" s="156"/>
      <c r="M16" s="156"/>
      <c r="N16" s="156"/>
    </row>
    <row r="17" spans="1:14">
      <c r="A17" s="156"/>
      <c r="B17" s="156"/>
      <c r="C17" s="381" t="s">
        <v>213</v>
      </c>
      <c r="D17" s="377">
        <v>222</v>
      </c>
      <c r="E17" s="381" t="s">
        <v>214</v>
      </c>
      <c r="F17" s="377">
        <v>0</v>
      </c>
      <c r="G17" s="156" t="s">
        <v>1494</v>
      </c>
      <c r="H17" s="377">
        <v>0</v>
      </c>
      <c r="I17" s="156" t="s">
        <v>410</v>
      </c>
      <c r="J17" s="377">
        <f>H17+F17+D17</f>
        <v>222</v>
      </c>
      <c r="K17" s="156"/>
      <c r="L17" s="156"/>
      <c r="M17" s="156"/>
      <c r="N17" s="156"/>
    </row>
    <row r="18" spans="1:14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</row>
    <row r="19" spans="1:14">
      <c r="A19" s="383" t="s">
        <v>216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</row>
    <row r="20" spans="1:14">
      <c r="A20" s="892" t="s">
        <v>217</v>
      </c>
      <c r="B20" s="892" t="s">
        <v>218</v>
      </c>
      <c r="C20" s="892" t="s">
        <v>219</v>
      </c>
      <c r="D20" s="892" t="s">
        <v>407</v>
      </c>
      <c r="E20" s="892" t="s">
        <v>864</v>
      </c>
      <c r="F20" s="893" t="s">
        <v>4368</v>
      </c>
      <c r="G20" s="893"/>
      <c r="H20" s="893"/>
      <c r="I20" s="893"/>
      <c r="J20" s="893"/>
      <c r="K20" s="893"/>
      <c r="L20" s="893"/>
      <c r="M20" s="893"/>
      <c r="N20" s="893"/>
    </row>
    <row r="21" spans="1:14">
      <c r="A21" s="892"/>
      <c r="B21" s="892"/>
      <c r="C21" s="892"/>
      <c r="D21" s="892"/>
      <c r="E21" s="892"/>
      <c r="F21" s="80" t="s">
        <v>227</v>
      </c>
      <c r="G21" s="384" t="s">
        <v>228</v>
      </c>
      <c r="H21" s="384" t="s">
        <v>229</v>
      </c>
      <c r="I21" s="384">
        <v>4</v>
      </c>
      <c r="J21" s="384">
        <v>5</v>
      </c>
      <c r="K21" s="384">
        <v>6</v>
      </c>
      <c r="L21" s="384">
        <v>7</v>
      </c>
      <c r="M21" s="384" t="s">
        <v>230</v>
      </c>
      <c r="N21" s="384" t="s">
        <v>231</v>
      </c>
    </row>
    <row r="22" spans="1:14">
      <c r="A22" s="379" t="s">
        <v>232</v>
      </c>
      <c r="B22" s="379">
        <v>8000</v>
      </c>
      <c r="C22" s="385" t="s">
        <v>4369</v>
      </c>
      <c r="D22" s="386">
        <f>B22*J1/100000</f>
        <v>53.043199999999999</v>
      </c>
      <c r="E22" s="379">
        <v>20.7</v>
      </c>
      <c r="F22" s="80"/>
      <c r="G22" s="387">
        <v>5.9922000000000004</v>
      </c>
      <c r="H22" s="387">
        <v>14.861269999999999</v>
      </c>
      <c r="I22" s="379"/>
      <c r="J22" s="379"/>
      <c r="K22" s="379"/>
      <c r="L22" s="379"/>
      <c r="M22" s="387">
        <f>SUM(F22:L22)</f>
        <v>20.853470000000002</v>
      </c>
      <c r="N22" s="387">
        <f>M22/E22*100</f>
        <v>100.74140096618358</v>
      </c>
    </row>
    <row r="23" spans="1:14" ht="25.5">
      <c r="A23" s="379" t="s">
        <v>234</v>
      </c>
      <c r="B23" s="379">
        <v>7000</v>
      </c>
      <c r="C23" s="385" t="s">
        <v>4369</v>
      </c>
      <c r="D23" s="388">
        <f>5.6-2.7</f>
        <v>2.8999999999999995</v>
      </c>
      <c r="E23" s="379">
        <v>2.56</v>
      </c>
      <c r="F23" s="80"/>
      <c r="G23" s="379">
        <v>0</v>
      </c>
      <c r="H23" s="387">
        <v>2.5457000000000001</v>
      </c>
      <c r="I23" s="379"/>
      <c r="J23" s="379"/>
      <c r="K23" s="379"/>
      <c r="L23" s="379"/>
      <c r="M23" s="387">
        <f t="shared" ref="M23:M30" si="0">SUM(F23:L23)</f>
        <v>2.5457000000000001</v>
      </c>
      <c r="N23" s="387">
        <f t="shared" ref="N23:N31" si="1">M23/E23*100</f>
        <v>99.44140625</v>
      </c>
    </row>
    <row r="24" spans="1:14" ht="25.5">
      <c r="A24" s="379" t="s">
        <v>235</v>
      </c>
      <c r="B24" s="379">
        <v>43000</v>
      </c>
      <c r="C24" s="385" t="s">
        <v>236</v>
      </c>
      <c r="D24" s="388">
        <f>0.43+2.7</f>
        <v>3.1300000000000003</v>
      </c>
      <c r="E24" s="379">
        <v>0.35</v>
      </c>
      <c r="F24" s="80"/>
      <c r="G24" s="379">
        <v>0.18</v>
      </c>
      <c r="H24" s="379">
        <v>0.12</v>
      </c>
      <c r="I24" s="379"/>
      <c r="J24" s="379"/>
      <c r="K24" s="379"/>
      <c r="L24" s="379"/>
      <c r="M24" s="379">
        <f t="shared" si="0"/>
        <v>0.3</v>
      </c>
      <c r="N24" s="387">
        <f t="shared" si="1"/>
        <v>85.714285714285722</v>
      </c>
    </row>
    <row r="25" spans="1:14" ht="25.5">
      <c r="A25" s="379" t="s">
        <v>237</v>
      </c>
      <c r="B25" s="379">
        <v>37000</v>
      </c>
      <c r="C25" s="385" t="s">
        <v>236</v>
      </c>
      <c r="D25" s="388">
        <v>0.37</v>
      </c>
      <c r="E25" s="379">
        <v>0.28999999999999998</v>
      </c>
      <c r="F25" s="80"/>
      <c r="G25" s="379">
        <v>0.16</v>
      </c>
      <c r="H25" s="379">
        <v>0</v>
      </c>
      <c r="I25" s="379"/>
      <c r="J25" s="379"/>
      <c r="K25" s="379"/>
      <c r="L25" s="379"/>
      <c r="M25" s="379">
        <f t="shared" si="0"/>
        <v>0.16</v>
      </c>
      <c r="N25" s="387">
        <f t="shared" si="1"/>
        <v>55.172413793103459</v>
      </c>
    </row>
    <row r="26" spans="1:14">
      <c r="A26" s="379" t="s">
        <v>238</v>
      </c>
      <c r="B26" s="379">
        <v>1200</v>
      </c>
      <c r="C26" s="385" t="s">
        <v>4369</v>
      </c>
      <c r="D26" s="386">
        <f>B26*J1/100000</f>
        <v>7.95648</v>
      </c>
      <c r="E26" s="379">
        <v>2</v>
      </c>
      <c r="F26" s="80"/>
      <c r="G26" s="379">
        <v>0</v>
      </c>
      <c r="H26" s="387">
        <v>1.5676000000000001</v>
      </c>
      <c r="I26" s="379"/>
      <c r="J26" s="379"/>
      <c r="K26" s="379"/>
      <c r="L26" s="379"/>
      <c r="M26" s="387">
        <f t="shared" si="0"/>
        <v>1.5676000000000001</v>
      </c>
      <c r="N26" s="379">
        <f t="shared" si="1"/>
        <v>78.38000000000001</v>
      </c>
    </row>
    <row r="27" spans="1:14">
      <c r="A27" s="379" t="s">
        <v>667</v>
      </c>
      <c r="B27" s="379">
        <v>565</v>
      </c>
      <c r="C27" s="385" t="s">
        <v>1036</v>
      </c>
      <c r="D27" s="386">
        <f>B27*J1/100000</f>
        <v>3.7461759999999997</v>
      </c>
      <c r="E27" s="379">
        <v>3.75</v>
      </c>
      <c r="F27" s="80"/>
      <c r="G27" s="387">
        <v>3.7461799999999998</v>
      </c>
      <c r="H27" s="379">
        <v>0</v>
      </c>
      <c r="I27" s="379"/>
      <c r="J27" s="379"/>
      <c r="K27" s="379"/>
      <c r="L27" s="379"/>
      <c r="M27" s="387">
        <f t="shared" si="0"/>
        <v>3.7461799999999998</v>
      </c>
      <c r="N27" s="387">
        <f t="shared" si="1"/>
        <v>99.898133333333334</v>
      </c>
    </row>
    <row r="28" spans="1:14">
      <c r="A28" s="379" t="s">
        <v>240</v>
      </c>
      <c r="B28" s="379">
        <v>1000</v>
      </c>
      <c r="C28" s="385" t="s">
        <v>1036</v>
      </c>
      <c r="D28" s="386">
        <f>B28*J1/100000</f>
        <v>6.6303999999999998</v>
      </c>
      <c r="E28" s="379">
        <v>0</v>
      </c>
      <c r="F28" s="80"/>
      <c r="G28" s="379">
        <v>0</v>
      </c>
      <c r="H28" s="379">
        <v>0</v>
      </c>
      <c r="I28" s="379"/>
      <c r="J28" s="379"/>
      <c r="K28" s="379"/>
      <c r="L28" s="379"/>
      <c r="M28" s="379">
        <f t="shared" si="0"/>
        <v>0</v>
      </c>
      <c r="N28" s="379" t="e">
        <f t="shared" si="1"/>
        <v>#DIV/0!</v>
      </c>
    </row>
    <row r="29" spans="1:14">
      <c r="A29" s="379" t="s">
        <v>241</v>
      </c>
      <c r="B29" s="379">
        <v>2750</v>
      </c>
      <c r="C29" s="385" t="s">
        <v>1036</v>
      </c>
      <c r="D29" s="388">
        <v>2.31</v>
      </c>
      <c r="E29" s="387">
        <v>0.59499999999999997</v>
      </c>
      <c r="F29" s="80"/>
      <c r="G29" s="387">
        <v>0.23648</v>
      </c>
      <c r="H29" s="387">
        <v>0.34875</v>
      </c>
      <c r="I29" s="379"/>
      <c r="J29" s="379"/>
      <c r="K29" s="379"/>
      <c r="L29" s="379"/>
      <c r="M29" s="387">
        <f t="shared" si="0"/>
        <v>0.58523000000000003</v>
      </c>
      <c r="N29" s="387">
        <f t="shared" si="1"/>
        <v>98.35798319327732</v>
      </c>
    </row>
    <row r="30" spans="1:14">
      <c r="A30" s="379" t="s">
        <v>670</v>
      </c>
      <c r="B30" s="379">
        <v>10000</v>
      </c>
      <c r="C30" s="385" t="s">
        <v>244</v>
      </c>
      <c r="D30" s="388">
        <v>0.1</v>
      </c>
      <c r="E30" s="379">
        <v>0.1</v>
      </c>
      <c r="F30" s="379"/>
      <c r="G30" s="379"/>
      <c r="H30" s="379"/>
      <c r="I30" s="379"/>
      <c r="J30" s="379"/>
      <c r="K30" s="379"/>
      <c r="L30" s="379"/>
      <c r="M30" s="379">
        <f t="shared" si="0"/>
        <v>0</v>
      </c>
      <c r="N30" s="379">
        <f t="shared" si="1"/>
        <v>0</v>
      </c>
    </row>
    <row r="31" spans="1:14">
      <c r="A31" s="389" t="s">
        <v>245</v>
      </c>
      <c r="B31" s="389"/>
      <c r="C31" s="384"/>
      <c r="D31" s="390">
        <f>SUM(D22:D30)</f>
        <v>80.186256</v>
      </c>
      <c r="E31" s="390">
        <f t="shared" ref="E31:M31" si="2">SUM(E22:E30)</f>
        <v>30.344999999999999</v>
      </c>
      <c r="F31" s="391">
        <f t="shared" si="2"/>
        <v>0</v>
      </c>
      <c r="G31" s="390">
        <f t="shared" si="2"/>
        <v>10.314859999999999</v>
      </c>
      <c r="H31" s="390">
        <f t="shared" si="2"/>
        <v>19.44332</v>
      </c>
      <c r="I31" s="391">
        <f t="shared" si="2"/>
        <v>0</v>
      </c>
      <c r="J31" s="391">
        <f t="shared" si="2"/>
        <v>0</v>
      </c>
      <c r="K31" s="391">
        <f t="shared" si="2"/>
        <v>0</v>
      </c>
      <c r="L31" s="391">
        <f t="shared" si="2"/>
        <v>0</v>
      </c>
      <c r="M31" s="390">
        <f t="shared" si="2"/>
        <v>29.758179999999999</v>
      </c>
      <c r="N31" s="387">
        <f t="shared" si="1"/>
        <v>98.06617235129346</v>
      </c>
    </row>
  </sheetData>
  <mergeCells count="14">
    <mergeCell ref="F20:N20"/>
    <mergeCell ref="B1:C1"/>
    <mergeCell ref="F1:G1"/>
    <mergeCell ref="H1:I1"/>
    <mergeCell ref="B3:C3"/>
    <mergeCell ref="F3:G3"/>
    <mergeCell ref="B5:C5"/>
    <mergeCell ref="F5:I6"/>
    <mergeCell ref="A2:C2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2" sqref="A2:C2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156" t="s">
        <v>4347</v>
      </c>
      <c r="B1" s="896" t="s">
        <v>5002</v>
      </c>
      <c r="C1" s="897"/>
      <c r="D1" s="156" t="s">
        <v>4349</v>
      </c>
      <c r="E1" s="156"/>
      <c r="F1" s="910" t="s">
        <v>5003</v>
      </c>
      <c r="G1" s="897"/>
      <c r="H1" s="904" t="s">
        <v>5</v>
      </c>
      <c r="I1" s="905"/>
      <c r="J1" s="377">
        <v>511.63</v>
      </c>
      <c r="K1" s="393" t="s">
        <v>436</v>
      </c>
      <c r="L1" s="156"/>
      <c r="M1" s="377" t="s">
        <v>749</v>
      </c>
      <c r="N1" s="156"/>
    </row>
    <row r="2" spans="1:14">
      <c r="A2" s="808" t="s">
        <v>4176</v>
      </c>
      <c r="B2" s="808"/>
      <c r="C2" s="80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>
      <c r="A3" s="156" t="s">
        <v>832</v>
      </c>
      <c r="B3" s="896" t="s">
        <v>5004</v>
      </c>
      <c r="C3" s="897"/>
      <c r="D3" s="156" t="s">
        <v>1208</v>
      </c>
      <c r="E3" s="156"/>
      <c r="F3" s="896" t="s">
        <v>5005</v>
      </c>
      <c r="G3" s="897"/>
      <c r="H3" s="378"/>
      <c r="I3" s="378"/>
      <c r="J3" s="156"/>
      <c r="K3" s="156"/>
      <c r="L3" s="156"/>
      <c r="M3" s="156"/>
      <c r="N3" s="156"/>
    </row>
    <row r="4" spans="1:14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>
      <c r="A5" s="156" t="s">
        <v>4353</v>
      </c>
      <c r="B5" s="896" t="s">
        <v>5006</v>
      </c>
      <c r="C5" s="897"/>
      <c r="D5" s="156" t="s">
        <v>4355</v>
      </c>
      <c r="E5" s="156"/>
      <c r="F5" s="898" t="s">
        <v>5007</v>
      </c>
      <c r="G5" s="899"/>
      <c r="H5" s="899"/>
      <c r="I5" s="900"/>
      <c r="J5" s="156"/>
      <c r="K5" s="156"/>
      <c r="L5" s="156"/>
      <c r="M5" s="156"/>
      <c r="N5" s="156"/>
    </row>
    <row r="6" spans="1:14">
      <c r="A6" s="156"/>
      <c r="B6" s="156"/>
      <c r="C6" s="156"/>
      <c r="D6" s="156" t="s">
        <v>4357</v>
      </c>
      <c r="E6" s="156"/>
      <c r="F6" s="901"/>
      <c r="G6" s="902"/>
      <c r="H6" s="902"/>
      <c r="I6" s="903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379" t="s">
        <v>838</v>
      </c>
      <c r="B8" s="385" t="s">
        <v>5008</v>
      </c>
      <c r="C8" s="385" t="s">
        <v>3017</v>
      </c>
      <c r="D8" s="394" t="s">
        <v>5009</v>
      </c>
      <c r="E8" s="394" t="s">
        <v>5010</v>
      </c>
      <c r="F8" s="377" t="s">
        <v>5011</v>
      </c>
      <c r="G8" s="377" t="s">
        <v>5012</v>
      </c>
      <c r="H8" s="395"/>
      <c r="I8" s="395"/>
      <c r="J8" s="380"/>
      <c r="K8" s="395"/>
      <c r="L8" s="395"/>
      <c r="M8" s="380"/>
      <c r="N8" s="380"/>
    </row>
    <row r="9" spans="1:14">
      <c r="A9" s="379" t="s">
        <v>840</v>
      </c>
      <c r="B9" s="385" t="s">
        <v>2438</v>
      </c>
      <c r="C9" s="385"/>
      <c r="D9" s="385"/>
      <c r="E9" s="385"/>
      <c r="F9" s="385"/>
      <c r="G9" s="394"/>
      <c r="H9" s="395"/>
      <c r="I9" s="395"/>
      <c r="J9" s="395"/>
      <c r="K9" s="395"/>
      <c r="L9" s="395"/>
      <c r="M9" s="380"/>
      <c r="N9" s="380"/>
    </row>
    <row r="10" spans="1:14" ht="25.5">
      <c r="A10" s="379" t="s">
        <v>4361</v>
      </c>
      <c r="B10" s="385" t="s">
        <v>5013</v>
      </c>
      <c r="C10" s="385"/>
      <c r="D10" s="385"/>
      <c r="E10" s="385" t="s">
        <v>5014</v>
      </c>
      <c r="F10" s="385" t="s">
        <v>5015</v>
      </c>
      <c r="G10" s="394"/>
      <c r="H10" s="395"/>
      <c r="I10" s="395"/>
      <c r="J10" s="395"/>
      <c r="K10" s="395"/>
      <c r="L10" s="395"/>
      <c r="M10" s="380"/>
      <c r="N10" s="380"/>
    </row>
    <row r="11" spans="1:14" ht="25.5">
      <c r="A11" s="379" t="s">
        <v>420</v>
      </c>
      <c r="B11" s="385" t="s">
        <v>2438</v>
      </c>
      <c r="C11" s="385"/>
      <c r="D11" s="385"/>
      <c r="E11" s="385"/>
      <c r="F11" s="385" t="s">
        <v>5016</v>
      </c>
      <c r="G11" s="394"/>
      <c r="H11" s="395"/>
      <c r="I11" s="395"/>
      <c r="J11" s="395"/>
      <c r="K11" s="395"/>
      <c r="L11" s="395"/>
      <c r="M11" s="380"/>
      <c r="N11" s="380"/>
    </row>
    <row r="12" spans="1:14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</row>
    <row r="13" spans="1:14">
      <c r="A13" s="156" t="s">
        <v>4365</v>
      </c>
      <c r="B13" s="377">
        <v>6</v>
      </c>
      <c r="C13" s="156" t="s">
        <v>4937</v>
      </c>
      <c r="D13" s="156"/>
      <c r="E13" s="377"/>
      <c r="F13" s="380"/>
      <c r="G13" s="381" t="s">
        <v>1491</v>
      </c>
      <c r="H13" s="377">
        <v>16</v>
      </c>
      <c r="I13" s="381" t="s">
        <v>1492</v>
      </c>
      <c r="J13" s="377">
        <v>2</v>
      </c>
      <c r="K13" s="381" t="s">
        <v>1493</v>
      </c>
      <c r="L13" s="377">
        <v>37</v>
      </c>
      <c r="M13" s="156"/>
      <c r="N13" s="156"/>
    </row>
    <row r="14" spans="1:14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</row>
    <row r="15" spans="1:14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</row>
    <row r="16" spans="1:14" ht="24" customHeight="1">
      <c r="A16" s="156" t="s">
        <v>646</v>
      </c>
      <c r="B16" s="156"/>
      <c r="C16" s="381" t="s">
        <v>204</v>
      </c>
      <c r="D16" s="377">
        <v>126</v>
      </c>
      <c r="E16" s="381" t="s">
        <v>205</v>
      </c>
      <c r="F16" s="377">
        <v>1</v>
      </c>
      <c r="G16" s="381" t="s">
        <v>206</v>
      </c>
      <c r="H16" s="377">
        <v>46</v>
      </c>
      <c r="I16" s="381" t="s">
        <v>230</v>
      </c>
      <c r="J16" s="377">
        <v>173</v>
      </c>
      <c r="K16" s="381" t="s">
        <v>207</v>
      </c>
      <c r="L16" s="377">
        <v>35</v>
      </c>
      <c r="M16" s="397" t="s">
        <v>4367</v>
      </c>
      <c r="N16" s="377">
        <v>56</v>
      </c>
    </row>
    <row r="17" spans="1:14">
      <c r="A17" s="156" t="s">
        <v>209</v>
      </c>
      <c r="B17" s="156"/>
      <c r="C17" s="381" t="s">
        <v>210</v>
      </c>
      <c r="D17" s="377">
        <v>264</v>
      </c>
      <c r="E17" s="381" t="s">
        <v>211</v>
      </c>
      <c r="F17" s="377">
        <v>2</v>
      </c>
      <c r="G17" s="381" t="s">
        <v>212</v>
      </c>
      <c r="H17" s="377">
        <v>94</v>
      </c>
      <c r="I17" s="381" t="s">
        <v>411</v>
      </c>
      <c r="J17" s="377">
        <f>H17+F17+D17</f>
        <v>360</v>
      </c>
      <c r="K17" s="156"/>
      <c r="L17" s="156"/>
      <c r="M17" s="156"/>
      <c r="N17" s="156"/>
    </row>
    <row r="18" spans="1:14">
      <c r="A18" s="156"/>
      <c r="B18" s="156"/>
      <c r="C18" s="381" t="s">
        <v>213</v>
      </c>
      <c r="D18" s="377">
        <v>274</v>
      </c>
      <c r="E18" s="381" t="s">
        <v>214</v>
      </c>
      <c r="F18" s="377">
        <v>2</v>
      </c>
      <c r="G18" s="381" t="s">
        <v>1494</v>
      </c>
      <c r="H18" s="377">
        <v>90</v>
      </c>
      <c r="I18" s="381" t="s">
        <v>410</v>
      </c>
      <c r="J18" s="377">
        <f>H18+F18+D18</f>
        <v>366</v>
      </c>
      <c r="K18" s="156"/>
      <c r="L18" s="156"/>
      <c r="M18" s="156"/>
      <c r="N18" s="156"/>
    </row>
    <row r="19" spans="1:14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</row>
    <row r="20" spans="1:14">
      <c r="A20" s="156"/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</row>
    <row r="21" spans="1:14">
      <c r="A21" s="383" t="s">
        <v>216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</row>
    <row r="22" spans="1:14">
      <c r="A22" s="892" t="s">
        <v>217</v>
      </c>
      <c r="B22" s="892" t="s">
        <v>218</v>
      </c>
      <c r="C22" s="892" t="s">
        <v>219</v>
      </c>
      <c r="D22" s="892" t="s">
        <v>407</v>
      </c>
      <c r="E22" s="892" t="s">
        <v>864</v>
      </c>
      <c r="F22" s="893" t="s">
        <v>4368</v>
      </c>
      <c r="G22" s="893"/>
      <c r="H22" s="893"/>
      <c r="I22" s="893"/>
      <c r="J22" s="893"/>
      <c r="K22" s="893"/>
      <c r="L22" s="893"/>
      <c r="M22" s="893"/>
      <c r="N22" s="893"/>
    </row>
    <row r="23" spans="1:14">
      <c r="A23" s="892"/>
      <c r="B23" s="892"/>
      <c r="C23" s="892"/>
      <c r="D23" s="892"/>
      <c r="E23" s="892"/>
      <c r="F23" t="s">
        <v>227</v>
      </c>
      <c r="G23" s="384" t="s">
        <v>228</v>
      </c>
      <c r="H23" s="384" t="s">
        <v>229</v>
      </c>
      <c r="I23" s="384">
        <v>4</v>
      </c>
      <c r="J23" s="384">
        <v>5</v>
      </c>
      <c r="K23" s="384">
        <v>6</v>
      </c>
      <c r="L23" s="384">
        <v>7</v>
      </c>
      <c r="M23" s="384" t="s">
        <v>230</v>
      </c>
      <c r="N23" s="384" t="s">
        <v>231</v>
      </c>
    </row>
    <row r="24" spans="1:14">
      <c r="A24" s="379" t="s">
        <v>232</v>
      </c>
      <c r="B24" s="379">
        <v>8000</v>
      </c>
      <c r="C24" s="385" t="s">
        <v>4369</v>
      </c>
      <c r="D24" s="386">
        <f>B24*J1/100000</f>
        <v>40.930399999999999</v>
      </c>
      <c r="E24" s="379">
        <v>20.7</v>
      </c>
      <c r="F24" s="80"/>
      <c r="G24" s="387">
        <v>4.4921899999999999</v>
      </c>
      <c r="H24" s="387">
        <v>16.468540000000001</v>
      </c>
      <c r="I24" s="379"/>
      <c r="J24" s="379"/>
      <c r="K24" s="379"/>
      <c r="L24" s="379"/>
      <c r="M24" s="387">
        <f>SUM(F24:L24)</f>
        <v>20.960730000000002</v>
      </c>
      <c r="N24" s="387">
        <f>M24/E24*100</f>
        <v>101.25956521739133</v>
      </c>
    </row>
    <row r="25" spans="1:14" ht="25.5">
      <c r="A25" s="379" t="s">
        <v>234</v>
      </c>
      <c r="B25" s="379">
        <v>7000</v>
      </c>
      <c r="C25" s="385" t="s">
        <v>4369</v>
      </c>
      <c r="D25" s="388">
        <f>5.6-2.7</f>
        <v>2.8999999999999995</v>
      </c>
      <c r="E25" s="379">
        <v>2.56</v>
      </c>
      <c r="F25" s="80"/>
      <c r="G25" s="379">
        <v>0</v>
      </c>
      <c r="H25" s="387">
        <v>2.2280000000000002</v>
      </c>
      <c r="I25" s="379"/>
      <c r="J25" s="379"/>
      <c r="K25" s="379"/>
      <c r="L25" s="379"/>
      <c r="M25" s="387">
        <f t="shared" ref="M25:M32" si="0">SUM(F25:L25)</f>
        <v>2.2280000000000002</v>
      </c>
      <c r="N25" s="387">
        <f t="shared" ref="N25:N33" si="1">M25/E25*100</f>
        <v>87.03125</v>
      </c>
    </row>
    <row r="26" spans="1:14" ht="25.5">
      <c r="A26" s="379" t="s">
        <v>235</v>
      </c>
      <c r="B26" s="379">
        <v>43000</v>
      </c>
      <c r="C26" s="385" t="s">
        <v>236</v>
      </c>
      <c r="D26" s="388">
        <f>0.43+2.7</f>
        <v>3.1300000000000003</v>
      </c>
      <c r="E26" s="379">
        <v>0.35</v>
      </c>
      <c r="F26" s="80"/>
      <c r="G26" s="379">
        <v>0.18</v>
      </c>
      <c r="H26" s="379">
        <v>0.12</v>
      </c>
      <c r="I26" s="379"/>
      <c r="J26" s="379"/>
      <c r="K26" s="379"/>
      <c r="L26" s="379"/>
      <c r="M26" s="379">
        <f t="shared" si="0"/>
        <v>0.3</v>
      </c>
      <c r="N26" s="387">
        <f t="shared" si="1"/>
        <v>85.714285714285722</v>
      </c>
    </row>
    <row r="27" spans="1:14" ht="25.5">
      <c r="A27" s="379" t="s">
        <v>237</v>
      </c>
      <c r="B27" s="379">
        <v>37000</v>
      </c>
      <c r="C27" s="385" t="s">
        <v>236</v>
      </c>
      <c r="D27" s="388">
        <v>0.37</v>
      </c>
      <c r="E27" s="379">
        <v>0.28999999999999998</v>
      </c>
      <c r="F27" s="80"/>
      <c r="G27" s="379">
        <v>0.16</v>
      </c>
      <c r="H27" s="379">
        <v>0</v>
      </c>
      <c r="I27" s="379"/>
      <c r="J27" s="379"/>
      <c r="K27" s="379"/>
      <c r="L27" s="379"/>
      <c r="M27" s="379">
        <f t="shared" si="0"/>
        <v>0.16</v>
      </c>
      <c r="N27" s="387">
        <f t="shared" si="1"/>
        <v>55.172413793103459</v>
      </c>
    </row>
    <row r="28" spans="1:14">
      <c r="A28" s="379" t="s">
        <v>238</v>
      </c>
      <c r="B28" s="379">
        <v>1200</v>
      </c>
      <c r="C28" s="385" t="s">
        <v>4369</v>
      </c>
      <c r="D28" s="386">
        <f>B28*J1/100000</f>
        <v>6.1395600000000004</v>
      </c>
      <c r="E28" s="379">
        <v>2</v>
      </c>
      <c r="F28" s="80"/>
      <c r="G28" s="379">
        <v>0</v>
      </c>
      <c r="H28" s="387">
        <v>1.2214499999999999</v>
      </c>
      <c r="I28" s="379"/>
      <c r="J28" s="379"/>
      <c r="K28" s="379"/>
      <c r="L28" s="379"/>
      <c r="M28" s="387">
        <f t="shared" si="0"/>
        <v>1.2214499999999999</v>
      </c>
      <c r="N28" s="387">
        <f t="shared" si="1"/>
        <v>61.072499999999998</v>
      </c>
    </row>
    <row r="29" spans="1:14">
      <c r="A29" s="379" t="s">
        <v>667</v>
      </c>
      <c r="B29" s="379">
        <v>565</v>
      </c>
      <c r="C29" s="385" t="s">
        <v>1036</v>
      </c>
      <c r="D29" s="386">
        <f>B29*J1/100000</f>
        <v>2.8907095000000003</v>
      </c>
      <c r="E29" s="379">
        <v>2.89</v>
      </c>
      <c r="F29" s="80"/>
      <c r="G29" s="387">
        <v>2.8907099999999999</v>
      </c>
      <c r="H29" s="379">
        <v>0</v>
      </c>
      <c r="I29" s="379"/>
      <c r="J29" s="379"/>
      <c r="K29" s="379"/>
      <c r="L29" s="379"/>
      <c r="M29" s="387">
        <f t="shared" si="0"/>
        <v>2.8907099999999999</v>
      </c>
      <c r="N29" s="387">
        <f t="shared" si="1"/>
        <v>100.02456747404844</v>
      </c>
    </row>
    <row r="30" spans="1:14">
      <c r="A30" s="379" t="s">
        <v>240</v>
      </c>
      <c r="B30" s="379">
        <v>1000</v>
      </c>
      <c r="C30" s="385" t="s">
        <v>1036</v>
      </c>
      <c r="D30" s="386">
        <f>J1/100000</f>
        <v>5.1162999999999998E-3</v>
      </c>
      <c r="E30" s="379">
        <v>0</v>
      </c>
      <c r="F30" s="80"/>
      <c r="G30" s="379">
        <v>0</v>
      </c>
      <c r="H30" s="379">
        <v>0</v>
      </c>
      <c r="I30" s="379"/>
      <c r="J30" s="379"/>
      <c r="K30" s="379"/>
      <c r="L30" s="379"/>
      <c r="M30" s="379">
        <f t="shared" si="0"/>
        <v>0</v>
      </c>
      <c r="N30" s="379" t="e">
        <f t="shared" si="1"/>
        <v>#DIV/0!</v>
      </c>
    </row>
    <row r="31" spans="1:14">
      <c r="A31" s="379" t="s">
        <v>241</v>
      </c>
      <c r="B31" s="379">
        <v>2750</v>
      </c>
      <c r="C31" s="385" t="s">
        <v>1036</v>
      </c>
      <c r="D31" s="388">
        <v>2.31</v>
      </c>
      <c r="E31" s="387">
        <v>0.59499999999999997</v>
      </c>
      <c r="F31" s="80"/>
      <c r="G31" s="387">
        <v>0.20785999999999999</v>
      </c>
      <c r="H31" s="387">
        <v>0.38280999999999998</v>
      </c>
      <c r="I31" s="379"/>
      <c r="J31" s="379"/>
      <c r="K31" s="379"/>
      <c r="L31" s="379"/>
      <c r="M31" s="387">
        <f t="shared" si="0"/>
        <v>0.59067000000000003</v>
      </c>
      <c r="N31" s="387">
        <f t="shared" si="1"/>
        <v>99.272268907563031</v>
      </c>
    </row>
    <row r="32" spans="1:14">
      <c r="A32" s="379" t="s">
        <v>670</v>
      </c>
      <c r="B32" s="379">
        <v>10000</v>
      </c>
      <c r="C32" s="385" t="s">
        <v>244</v>
      </c>
      <c r="D32" s="388">
        <v>0.1</v>
      </c>
      <c r="E32" s="379">
        <v>0.1</v>
      </c>
      <c r="F32" s="379"/>
      <c r="G32" s="379"/>
      <c r="H32" s="379"/>
      <c r="I32" s="379"/>
      <c r="J32" s="379"/>
      <c r="K32" s="379"/>
      <c r="L32" s="379"/>
      <c r="M32" s="379">
        <f t="shared" si="0"/>
        <v>0</v>
      </c>
      <c r="N32" s="379">
        <f t="shared" si="1"/>
        <v>0</v>
      </c>
    </row>
    <row r="33" spans="1:14">
      <c r="A33" s="389" t="s">
        <v>245</v>
      </c>
      <c r="B33" s="389"/>
      <c r="C33" s="384"/>
      <c r="D33" s="390">
        <f>SUM(D24:D32)</f>
        <v>58.775785800000001</v>
      </c>
      <c r="E33" s="390">
        <f t="shared" ref="E33:M33" si="2">SUM(E24:E32)</f>
        <v>29.484999999999999</v>
      </c>
      <c r="F33" s="390">
        <f t="shared" si="2"/>
        <v>0</v>
      </c>
      <c r="G33" s="390">
        <f t="shared" si="2"/>
        <v>7.9307599999999994</v>
      </c>
      <c r="H33" s="390">
        <f>SUM(H24:H32)</f>
        <v>20.420800000000003</v>
      </c>
      <c r="I33" s="390">
        <f t="shared" si="2"/>
        <v>0</v>
      </c>
      <c r="J33" s="390">
        <f t="shared" si="2"/>
        <v>0</v>
      </c>
      <c r="K33" s="390">
        <f t="shared" si="2"/>
        <v>0</v>
      </c>
      <c r="L33" s="390">
        <f t="shared" si="2"/>
        <v>0</v>
      </c>
      <c r="M33" s="390">
        <f t="shared" si="2"/>
        <v>28.351560000000003</v>
      </c>
      <c r="N33" s="387">
        <f t="shared" si="1"/>
        <v>96.155875869085989</v>
      </c>
    </row>
  </sheetData>
  <mergeCells count="14">
    <mergeCell ref="F22:N22"/>
    <mergeCell ref="B1:C1"/>
    <mergeCell ref="F1:G1"/>
    <mergeCell ref="H1:I1"/>
    <mergeCell ref="B3:C3"/>
    <mergeCell ref="F3:G3"/>
    <mergeCell ref="B5:C5"/>
    <mergeCell ref="F5:I6"/>
    <mergeCell ref="A2:C2"/>
    <mergeCell ref="A22:A23"/>
    <mergeCell ref="B22:B23"/>
    <mergeCell ref="C22:C23"/>
    <mergeCell ref="D22:D23"/>
    <mergeCell ref="E22:E23"/>
  </mergeCells>
  <hyperlinks>
    <hyperlink ref="A2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156" t="s">
        <v>4347</v>
      </c>
      <c r="B1" s="896" t="s">
        <v>5017</v>
      </c>
      <c r="C1" s="897"/>
      <c r="D1" s="156" t="s">
        <v>4349</v>
      </c>
      <c r="E1" s="156"/>
      <c r="F1" s="896" t="s">
        <v>5018</v>
      </c>
      <c r="G1" s="897"/>
      <c r="H1" s="904" t="s">
        <v>5</v>
      </c>
      <c r="I1" s="905"/>
      <c r="J1" s="377">
        <v>516.62</v>
      </c>
      <c r="K1" s="156" t="s">
        <v>436</v>
      </c>
      <c r="L1" s="156"/>
      <c r="M1" s="377" t="s">
        <v>749</v>
      </c>
      <c r="N1" s="156"/>
    </row>
    <row r="2" spans="1:14">
      <c r="A2" s="808" t="s">
        <v>4176</v>
      </c>
      <c r="B2" s="808"/>
      <c r="C2" s="80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>
      <c r="A3" s="156" t="s">
        <v>832</v>
      </c>
      <c r="B3" s="896" t="s">
        <v>5019</v>
      </c>
      <c r="C3" s="897"/>
      <c r="D3" s="156" t="s">
        <v>1208</v>
      </c>
      <c r="E3" s="156"/>
      <c r="F3" s="896" t="s">
        <v>5020</v>
      </c>
      <c r="G3" s="897"/>
      <c r="H3" s="378"/>
      <c r="I3" s="378"/>
      <c r="J3" s="156"/>
      <c r="K3" s="156"/>
      <c r="L3" s="156"/>
      <c r="M3" s="156"/>
      <c r="N3" s="156"/>
    </row>
    <row r="4" spans="1:14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>
      <c r="A5" s="156" t="s">
        <v>4353</v>
      </c>
      <c r="B5" s="896" t="s">
        <v>5021</v>
      </c>
      <c r="C5" s="897"/>
      <c r="D5" s="156" t="s">
        <v>4355</v>
      </c>
      <c r="E5" s="156"/>
      <c r="F5" s="898" t="s">
        <v>5022</v>
      </c>
      <c r="G5" s="899"/>
      <c r="H5" s="899"/>
      <c r="I5" s="900"/>
      <c r="J5" s="156"/>
      <c r="K5" s="156"/>
      <c r="L5" s="156"/>
      <c r="M5" s="156"/>
      <c r="N5" s="156"/>
    </row>
    <row r="6" spans="1:14">
      <c r="A6" s="156"/>
      <c r="B6" s="156"/>
      <c r="C6" s="156"/>
      <c r="D6" s="156" t="s">
        <v>4357</v>
      </c>
      <c r="E6" s="156"/>
      <c r="F6" s="901"/>
      <c r="G6" s="902"/>
      <c r="H6" s="902"/>
      <c r="I6" s="903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379" t="s">
        <v>838</v>
      </c>
      <c r="B8" s="385" t="s">
        <v>5023</v>
      </c>
      <c r="C8" s="385" t="s">
        <v>3013</v>
      </c>
      <c r="D8" s="394" t="s">
        <v>5024</v>
      </c>
      <c r="E8" s="394" t="s">
        <v>5025</v>
      </c>
      <c r="F8" s="377" t="s">
        <v>5026</v>
      </c>
      <c r="G8" s="377" t="s">
        <v>5027</v>
      </c>
      <c r="H8" s="377" t="s">
        <v>4250</v>
      </c>
      <c r="I8" s="377" t="s">
        <v>5028</v>
      </c>
      <c r="J8" s="377" t="s">
        <v>5029</v>
      </c>
      <c r="K8" s="395"/>
      <c r="L8" s="395"/>
      <c r="M8" s="380"/>
      <c r="N8" s="380"/>
    </row>
    <row r="9" spans="1:14">
      <c r="A9" s="379" t="s">
        <v>840</v>
      </c>
      <c r="B9" s="385" t="s">
        <v>5030</v>
      </c>
      <c r="C9" s="385"/>
      <c r="D9" s="385"/>
      <c r="E9" s="385"/>
      <c r="F9" s="385"/>
      <c r="G9" s="394"/>
      <c r="H9" s="394"/>
      <c r="I9" s="394" t="s">
        <v>5021</v>
      </c>
      <c r="J9" s="394"/>
      <c r="K9" s="395"/>
      <c r="L9" s="395"/>
      <c r="M9" s="380"/>
      <c r="N9" s="380"/>
    </row>
    <row r="10" spans="1:14" ht="25.5">
      <c r="A10" s="379" t="s">
        <v>4361</v>
      </c>
      <c r="B10" s="385" t="s">
        <v>5031</v>
      </c>
      <c r="C10" s="385" t="s">
        <v>5020</v>
      </c>
      <c r="D10" s="385"/>
      <c r="E10" s="385" t="s">
        <v>5031</v>
      </c>
      <c r="F10" s="385" t="s">
        <v>5032</v>
      </c>
      <c r="G10" s="394"/>
      <c r="H10" s="394"/>
      <c r="I10" s="394" t="s">
        <v>5033</v>
      </c>
      <c r="J10" s="394" t="s">
        <v>5034</v>
      </c>
      <c r="K10" s="395"/>
      <c r="L10" s="395"/>
      <c r="M10" s="380"/>
      <c r="N10" s="380"/>
    </row>
    <row r="11" spans="1:14" ht="25.5">
      <c r="A11" s="379" t="s">
        <v>420</v>
      </c>
      <c r="B11" s="385" t="s">
        <v>5021</v>
      </c>
      <c r="C11" s="385"/>
      <c r="D11" s="385"/>
      <c r="E11" s="385"/>
      <c r="F11" s="385" t="s">
        <v>5035</v>
      </c>
      <c r="G11" s="394" t="s">
        <v>5036</v>
      </c>
      <c r="H11" s="394"/>
      <c r="I11" s="400" t="s">
        <v>5037</v>
      </c>
      <c r="J11" s="394"/>
      <c r="K11" s="395"/>
      <c r="L11" s="395"/>
      <c r="M11" s="380"/>
      <c r="N11" s="380"/>
    </row>
    <row r="12" spans="1:14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</row>
    <row r="13" spans="1:14">
      <c r="A13" s="156" t="s">
        <v>4365</v>
      </c>
      <c r="B13" s="377">
        <v>9</v>
      </c>
      <c r="C13" s="156" t="s">
        <v>5038</v>
      </c>
      <c r="D13" s="156"/>
      <c r="E13" s="377">
        <v>2</v>
      </c>
      <c r="F13" s="380"/>
      <c r="G13" s="381" t="s">
        <v>1491</v>
      </c>
      <c r="H13" s="377">
        <v>16</v>
      </c>
      <c r="I13" s="381" t="s">
        <v>1492</v>
      </c>
      <c r="J13" s="377">
        <v>2</v>
      </c>
      <c r="K13" s="381" t="s">
        <v>1493</v>
      </c>
      <c r="L13" s="377">
        <v>32</v>
      </c>
      <c r="M13" s="156"/>
      <c r="N13" s="156"/>
    </row>
    <row r="14" spans="1:14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</row>
    <row r="15" spans="1:14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</row>
    <row r="16" spans="1:14" ht="26.25" customHeight="1">
      <c r="A16" s="156" t="s">
        <v>646</v>
      </c>
      <c r="B16" s="156"/>
      <c r="C16" s="381" t="s">
        <v>204</v>
      </c>
      <c r="D16" s="377">
        <v>110</v>
      </c>
      <c r="E16" s="381" t="s">
        <v>205</v>
      </c>
      <c r="F16" s="377">
        <v>0</v>
      </c>
      <c r="G16" s="381" t="s">
        <v>206</v>
      </c>
      <c r="H16" s="377">
        <v>77</v>
      </c>
      <c r="I16" s="381" t="s">
        <v>230</v>
      </c>
      <c r="J16" s="377">
        <v>187</v>
      </c>
      <c r="K16" s="381" t="s">
        <v>207</v>
      </c>
      <c r="L16" s="377">
        <v>34</v>
      </c>
      <c r="M16" s="397" t="s">
        <v>4367</v>
      </c>
      <c r="N16" s="377">
        <v>11</v>
      </c>
    </row>
    <row r="17" spans="1:14">
      <c r="A17" s="156" t="s">
        <v>209</v>
      </c>
      <c r="B17" s="156"/>
      <c r="C17" s="381" t="s">
        <v>210</v>
      </c>
      <c r="D17" s="377">
        <v>160</v>
      </c>
      <c r="E17" s="381" t="s">
        <v>211</v>
      </c>
      <c r="F17" s="377">
        <v>0</v>
      </c>
      <c r="G17" s="381" t="s">
        <v>212</v>
      </c>
      <c r="H17" s="377">
        <v>251</v>
      </c>
      <c r="I17" s="381" t="s">
        <v>411</v>
      </c>
      <c r="J17" s="377">
        <f>H17+F17+D17</f>
        <v>411</v>
      </c>
      <c r="K17" s="156"/>
      <c r="L17" s="156"/>
      <c r="M17" s="156"/>
      <c r="N17" s="156"/>
    </row>
    <row r="18" spans="1:14">
      <c r="A18" s="156"/>
      <c r="B18" s="156"/>
      <c r="C18" s="381" t="s">
        <v>213</v>
      </c>
      <c r="D18" s="377">
        <v>149</v>
      </c>
      <c r="E18" s="381" t="s">
        <v>214</v>
      </c>
      <c r="F18" s="377">
        <v>0</v>
      </c>
      <c r="G18" s="381" t="s">
        <v>1494</v>
      </c>
      <c r="H18" s="377">
        <v>255</v>
      </c>
      <c r="I18" s="381" t="s">
        <v>410</v>
      </c>
      <c r="J18" s="377">
        <f>H18+F18+D18</f>
        <v>404</v>
      </c>
      <c r="K18" s="156"/>
      <c r="L18" s="156"/>
      <c r="M18" s="156"/>
      <c r="N18" s="156"/>
    </row>
    <row r="19" spans="1:14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</row>
    <row r="20" spans="1:14">
      <c r="A20" s="383" t="s">
        <v>216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</row>
    <row r="21" spans="1:14">
      <c r="A21" s="892" t="s">
        <v>217</v>
      </c>
      <c r="B21" s="892" t="s">
        <v>218</v>
      </c>
      <c r="C21" s="892" t="s">
        <v>219</v>
      </c>
      <c r="D21" s="892" t="s">
        <v>407</v>
      </c>
      <c r="E21" s="892" t="s">
        <v>864</v>
      </c>
      <c r="F21" s="893" t="s">
        <v>4368</v>
      </c>
      <c r="G21" s="893"/>
      <c r="H21" s="893"/>
      <c r="I21" s="893"/>
      <c r="J21" s="893"/>
      <c r="K21" s="893"/>
      <c r="L21" s="893"/>
      <c r="M21" s="893"/>
      <c r="N21" s="893"/>
    </row>
    <row r="22" spans="1:14">
      <c r="A22" s="892"/>
      <c r="B22" s="892"/>
      <c r="C22" s="892"/>
      <c r="D22" s="892"/>
      <c r="E22" s="892"/>
      <c r="F22" t="s">
        <v>227</v>
      </c>
      <c r="G22" s="384" t="s">
        <v>228</v>
      </c>
      <c r="H22" s="384" t="s">
        <v>229</v>
      </c>
      <c r="I22" s="384">
        <v>4</v>
      </c>
      <c r="J22" s="384">
        <v>5</v>
      </c>
      <c r="K22" s="384">
        <v>6</v>
      </c>
      <c r="L22" s="384">
        <v>7</v>
      </c>
      <c r="M22" s="384" t="s">
        <v>230</v>
      </c>
      <c r="N22" s="384" t="s">
        <v>231</v>
      </c>
    </row>
    <row r="23" spans="1:14">
      <c r="A23" s="379" t="s">
        <v>232</v>
      </c>
      <c r="B23" s="379">
        <v>8000</v>
      </c>
      <c r="C23" s="385" t="s">
        <v>4369</v>
      </c>
      <c r="D23" s="386">
        <f>B23*J1/100000</f>
        <v>41.329599999999999</v>
      </c>
      <c r="E23" s="379">
        <v>18</v>
      </c>
      <c r="F23" s="80"/>
      <c r="G23" s="387">
        <v>3.3553700000000002</v>
      </c>
      <c r="H23" s="387">
        <v>10.62252</v>
      </c>
      <c r="I23" s="379"/>
      <c r="J23" s="379"/>
      <c r="K23" s="379"/>
      <c r="L23" s="379"/>
      <c r="M23" s="387">
        <f t="shared" ref="M23:M30" si="0">SUM(G23:L23)</f>
        <v>13.97789</v>
      </c>
      <c r="N23" s="387">
        <f>M23/E23*100</f>
        <v>77.654944444444453</v>
      </c>
    </row>
    <row r="24" spans="1:14" ht="25.5">
      <c r="A24" s="379" t="s">
        <v>234</v>
      </c>
      <c r="B24" s="379">
        <v>7000</v>
      </c>
      <c r="C24" s="385" t="s">
        <v>4369</v>
      </c>
      <c r="D24" s="386">
        <f>5.6-2.7</f>
        <v>2.8999999999999995</v>
      </c>
      <c r="E24" s="379">
        <v>2.56</v>
      </c>
      <c r="F24" s="80"/>
      <c r="G24" s="379">
        <v>0</v>
      </c>
      <c r="H24" s="387">
        <v>2.3868999999999998</v>
      </c>
      <c r="I24" s="379"/>
      <c r="J24" s="379"/>
      <c r="K24" s="379"/>
      <c r="L24" s="379"/>
      <c r="M24" s="387">
        <f t="shared" si="0"/>
        <v>2.3868999999999998</v>
      </c>
      <c r="N24" s="387">
        <f t="shared" ref="N24:N32" si="1">M24/E24*100</f>
        <v>93.238281249999986</v>
      </c>
    </row>
    <row r="25" spans="1:14" ht="25.5">
      <c r="A25" s="379" t="s">
        <v>235</v>
      </c>
      <c r="B25" s="379">
        <v>43000</v>
      </c>
      <c r="C25" s="385" t="s">
        <v>236</v>
      </c>
      <c r="D25" s="388">
        <f>0.43+2.7</f>
        <v>3.1300000000000003</v>
      </c>
      <c r="E25" s="379">
        <v>0.35</v>
      </c>
      <c r="F25" s="80"/>
      <c r="G25" s="379">
        <v>0.18</v>
      </c>
      <c r="H25" s="379">
        <v>0.12</v>
      </c>
      <c r="I25" s="379"/>
      <c r="J25" s="379"/>
      <c r="K25" s="379"/>
      <c r="L25" s="379"/>
      <c r="M25" s="387">
        <f t="shared" si="0"/>
        <v>0.3</v>
      </c>
      <c r="N25" s="387">
        <f t="shared" si="1"/>
        <v>85.714285714285722</v>
      </c>
    </row>
    <row r="26" spans="1:14" ht="25.5">
      <c r="A26" s="379" t="s">
        <v>237</v>
      </c>
      <c r="B26" s="379">
        <v>37000</v>
      </c>
      <c r="C26" s="385" t="s">
        <v>236</v>
      </c>
      <c r="D26" s="388">
        <v>0.37</v>
      </c>
      <c r="E26" s="379">
        <v>0.28999999999999998</v>
      </c>
      <c r="F26" s="80"/>
      <c r="G26" s="379">
        <v>0.16</v>
      </c>
      <c r="H26" s="379">
        <v>0</v>
      </c>
      <c r="I26" s="379"/>
      <c r="J26" s="379"/>
      <c r="K26" s="379"/>
      <c r="L26" s="379"/>
      <c r="M26" s="387">
        <f t="shared" si="0"/>
        <v>0.16</v>
      </c>
      <c r="N26" s="387">
        <f t="shared" si="1"/>
        <v>55.172413793103459</v>
      </c>
    </row>
    <row r="27" spans="1:14">
      <c r="A27" s="379" t="s">
        <v>238</v>
      </c>
      <c r="B27" s="379">
        <v>1200</v>
      </c>
      <c r="C27" s="385" t="s">
        <v>4369</v>
      </c>
      <c r="D27" s="386">
        <f>B27*J1/100000</f>
        <v>6.1994400000000001</v>
      </c>
      <c r="E27" s="379">
        <v>2</v>
      </c>
      <c r="F27" s="80"/>
      <c r="G27" s="379">
        <v>0</v>
      </c>
      <c r="H27" s="387">
        <v>1.8051999999999999</v>
      </c>
      <c r="I27" s="379"/>
      <c r="J27" s="379"/>
      <c r="K27" s="379"/>
      <c r="L27" s="379"/>
      <c r="M27" s="387">
        <f t="shared" si="0"/>
        <v>1.8051999999999999</v>
      </c>
      <c r="N27" s="379">
        <f t="shared" si="1"/>
        <v>90.259999999999991</v>
      </c>
    </row>
    <row r="28" spans="1:14">
      <c r="A28" s="379" t="s">
        <v>667</v>
      </c>
      <c r="B28" s="379">
        <v>565</v>
      </c>
      <c r="C28" s="385" t="s">
        <v>1036</v>
      </c>
      <c r="D28" s="388">
        <v>2.83</v>
      </c>
      <c r="E28" s="379">
        <v>2.83</v>
      </c>
      <c r="F28" s="80"/>
      <c r="G28" s="387">
        <v>2.9188999999999998</v>
      </c>
      <c r="H28" s="379">
        <v>0</v>
      </c>
      <c r="I28" s="379"/>
      <c r="J28" s="379"/>
      <c r="K28" s="379"/>
      <c r="L28" s="379"/>
      <c r="M28" s="387">
        <f t="shared" si="0"/>
        <v>2.9188999999999998</v>
      </c>
      <c r="N28" s="387">
        <f t="shared" si="1"/>
        <v>103.14134275618375</v>
      </c>
    </row>
    <row r="29" spans="1:14">
      <c r="A29" s="379" t="s">
        <v>240</v>
      </c>
      <c r="B29" s="379">
        <v>1000</v>
      </c>
      <c r="C29" s="385" t="s">
        <v>1036</v>
      </c>
      <c r="D29" s="386">
        <f>B29*J1/100000</f>
        <v>5.1661999999999999</v>
      </c>
      <c r="E29" s="379">
        <v>0</v>
      </c>
      <c r="F29" s="80"/>
      <c r="G29" s="379">
        <v>0</v>
      </c>
      <c r="H29" s="379">
        <v>0</v>
      </c>
      <c r="I29" s="379"/>
      <c r="J29" s="379"/>
      <c r="K29" s="379"/>
      <c r="L29" s="379"/>
      <c r="M29" s="387">
        <f t="shared" si="0"/>
        <v>0</v>
      </c>
      <c r="N29" s="379" t="e">
        <f t="shared" si="1"/>
        <v>#DIV/0!</v>
      </c>
    </row>
    <row r="30" spans="1:14">
      <c r="A30" s="379" t="s">
        <v>241</v>
      </c>
      <c r="B30" s="379">
        <v>2750</v>
      </c>
      <c r="C30" s="385" t="s">
        <v>1036</v>
      </c>
      <c r="D30" s="388">
        <v>2.31</v>
      </c>
      <c r="E30" s="387">
        <v>0.59499999999999997</v>
      </c>
      <c r="F30" s="80"/>
      <c r="G30" s="387">
        <v>0.25897999999999999</v>
      </c>
      <c r="H30" s="387">
        <v>0.32562999999999998</v>
      </c>
      <c r="I30" s="379"/>
      <c r="J30" s="379"/>
      <c r="K30" s="379"/>
      <c r="L30" s="379"/>
      <c r="M30" s="387">
        <f t="shared" si="0"/>
        <v>0.58460999999999996</v>
      </c>
      <c r="N30" s="387">
        <f t="shared" si="1"/>
        <v>98.253781512605045</v>
      </c>
    </row>
    <row r="31" spans="1:14">
      <c r="A31" s="379" t="s">
        <v>670</v>
      </c>
      <c r="B31" s="379">
        <v>10000</v>
      </c>
      <c r="C31" s="385" t="s">
        <v>244</v>
      </c>
      <c r="D31" s="388">
        <v>0.1</v>
      </c>
      <c r="E31" s="379">
        <v>0.1</v>
      </c>
      <c r="F31" s="379"/>
      <c r="G31" s="379"/>
      <c r="H31" s="379"/>
      <c r="I31" s="379"/>
      <c r="J31" s="379"/>
      <c r="K31" s="379"/>
      <c r="L31" s="379"/>
      <c r="M31" s="387">
        <f t="shared" ref="M31" si="2">SUM(F31:L31)</f>
        <v>0</v>
      </c>
      <c r="N31" s="379">
        <f t="shared" si="1"/>
        <v>0</v>
      </c>
    </row>
    <row r="32" spans="1:14">
      <c r="A32" s="389" t="s">
        <v>245</v>
      </c>
      <c r="B32" s="389"/>
      <c r="C32" s="384"/>
      <c r="D32" s="390">
        <f>SUM(D23:D31)</f>
        <v>64.335239999999999</v>
      </c>
      <c r="E32" s="390">
        <f t="shared" ref="E32:M32" si="3">SUM(E23:E31)</f>
        <v>26.725000000000001</v>
      </c>
      <c r="F32" s="390">
        <f t="shared" si="3"/>
        <v>0</v>
      </c>
      <c r="G32" s="390">
        <f t="shared" si="3"/>
        <v>6.8732500000000005</v>
      </c>
      <c r="H32" s="390">
        <f>SUM(H23:H31)</f>
        <v>15.260249999999997</v>
      </c>
      <c r="I32" s="390">
        <f t="shared" si="3"/>
        <v>0</v>
      </c>
      <c r="J32" s="390">
        <f t="shared" si="3"/>
        <v>0</v>
      </c>
      <c r="K32" s="390">
        <f t="shared" si="3"/>
        <v>0</v>
      </c>
      <c r="L32" s="390">
        <f t="shared" si="3"/>
        <v>0</v>
      </c>
      <c r="M32" s="390">
        <f t="shared" si="3"/>
        <v>22.133500000000002</v>
      </c>
      <c r="N32" s="387">
        <f t="shared" si="1"/>
        <v>82.819457436856879</v>
      </c>
    </row>
  </sheetData>
  <mergeCells count="14">
    <mergeCell ref="F21:N21"/>
    <mergeCell ref="B1:C1"/>
    <mergeCell ref="F1:G1"/>
    <mergeCell ref="H1:I1"/>
    <mergeCell ref="B3:C3"/>
    <mergeCell ref="F3:G3"/>
    <mergeCell ref="B5:C5"/>
    <mergeCell ref="F5:I6"/>
    <mergeCell ref="A2:C2"/>
    <mergeCell ref="A21:A22"/>
    <mergeCell ref="B21:B22"/>
    <mergeCell ref="C21:C22"/>
    <mergeCell ref="D21:D22"/>
    <mergeCell ref="E21:E22"/>
  </mergeCells>
  <hyperlinks>
    <hyperlink ref="A2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2" sqref="A2:C2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156" t="s">
        <v>4347</v>
      </c>
      <c r="B1" s="896" t="s">
        <v>5039</v>
      </c>
      <c r="C1" s="897"/>
      <c r="D1" s="156" t="s">
        <v>4349</v>
      </c>
      <c r="E1" s="156"/>
      <c r="F1" s="910" t="s">
        <v>5040</v>
      </c>
      <c r="G1" s="897"/>
      <c r="H1" s="904" t="s">
        <v>5</v>
      </c>
      <c r="I1" s="905"/>
      <c r="J1" s="377">
        <v>394.09</v>
      </c>
      <c r="K1" s="393" t="s">
        <v>436</v>
      </c>
      <c r="L1" s="393"/>
      <c r="M1" s="377" t="s">
        <v>749</v>
      </c>
      <c r="N1" s="156"/>
    </row>
    <row r="2" spans="1:14">
      <c r="A2" s="808" t="s">
        <v>4176</v>
      </c>
      <c r="B2" s="808"/>
      <c r="C2" s="80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>
      <c r="A3" s="156" t="s">
        <v>832</v>
      </c>
      <c r="B3" s="896" t="s">
        <v>5041</v>
      </c>
      <c r="C3" s="897"/>
      <c r="D3" s="156" t="s">
        <v>1208</v>
      </c>
      <c r="E3" s="156"/>
      <c r="F3" s="896" t="s">
        <v>5042</v>
      </c>
      <c r="G3" s="897"/>
      <c r="H3" s="378"/>
      <c r="I3" s="378"/>
      <c r="J3" s="156"/>
      <c r="K3" s="156"/>
      <c r="L3" s="156"/>
      <c r="M3" s="156"/>
      <c r="N3" s="156"/>
    </row>
    <row r="4" spans="1:14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>
      <c r="A5" s="156" t="s">
        <v>4353</v>
      </c>
      <c r="B5" s="896" t="s">
        <v>5043</v>
      </c>
      <c r="C5" s="897"/>
      <c r="D5" s="156" t="s">
        <v>4355</v>
      </c>
      <c r="E5" s="156"/>
      <c r="F5" s="898" t="s">
        <v>5044</v>
      </c>
      <c r="G5" s="899"/>
      <c r="H5" s="899"/>
      <c r="I5" s="900"/>
      <c r="J5" s="156"/>
      <c r="K5" s="156"/>
      <c r="L5" s="156"/>
      <c r="M5" s="156"/>
      <c r="N5" s="156"/>
    </row>
    <row r="6" spans="1:14">
      <c r="A6" s="156"/>
      <c r="B6" s="156"/>
      <c r="C6" s="156"/>
      <c r="D6" s="156" t="s">
        <v>4357</v>
      </c>
      <c r="E6" s="156"/>
      <c r="F6" s="901"/>
      <c r="G6" s="902"/>
      <c r="H6" s="902"/>
      <c r="I6" s="903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379" t="s">
        <v>838</v>
      </c>
      <c r="B8" s="894" t="s">
        <v>5045</v>
      </c>
      <c r="C8" s="894"/>
      <c r="D8" s="894" t="s">
        <v>5046</v>
      </c>
      <c r="E8" s="894"/>
      <c r="F8" s="894"/>
      <c r="G8" s="895" t="s">
        <v>5047</v>
      </c>
      <c r="H8" s="895"/>
      <c r="I8" s="895"/>
      <c r="J8" s="895"/>
      <c r="K8" s="895"/>
      <c r="L8" s="895"/>
      <c r="M8" s="156"/>
      <c r="N8" s="156"/>
    </row>
    <row r="9" spans="1:14">
      <c r="A9" s="379" t="s">
        <v>840</v>
      </c>
      <c r="B9" s="894" t="s">
        <v>2438</v>
      </c>
      <c r="C9" s="894"/>
      <c r="D9" s="894"/>
      <c r="E9" s="894"/>
      <c r="F9" s="894"/>
      <c r="G9" s="895"/>
      <c r="H9" s="895"/>
      <c r="I9" s="895"/>
      <c r="J9" s="895"/>
      <c r="K9" s="895"/>
      <c r="L9" s="895"/>
      <c r="M9" s="156"/>
      <c r="N9" s="156"/>
    </row>
    <row r="10" spans="1:14" ht="27" customHeight="1">
      <c r="A10" s="379" t="s">
        <v>4361</v>
      </c>
      <c r="B10" s="911" t="s">
        <v>5048</v>
      </c>
      <c r="C10" s="912"/>
      <c r="D10" s="894"/>
      <c r="E10" s="894"/>
      <c r="F10" s="894"/>
      <c r="G10" s="895" t="s">
        <v>5049</v>
      </c>
      <c r="H10" s="895"/>
      <c r="I10" s="895"/>
      <c r="J10" s="895"/>
      <c r="K10" s="895"/>
      <c r="L10" s="895"/>
      <c r="M10" s="156"/>
      <c r="N10" s="156"/>
    </row>
    <row r="11" spans="1:14" ht="25.5">
      <c r="A11" s="379" t="s">
        <v>420</v>
      </c>
      <c r="B11" s="894" t="s">
        <v>2438</v>
      </c>
      <c r="C11" s="894"/>
      <c r="D11" s="894"/>
      <c r="E11" s="894"/>
      <c r="F11" s="894"/>
      <c r="G11" s="895"/>
      <c r="H11" s="895"/>
      <c r="I11" s="895"/>
      <c r="J11" s="895"/>
      <c r="K11" s="895"/>
      <c r="L11" s="895"/>
      <c r="M11" s="156"/>
      <c r="N11" s="156"/>
    </row>
    <row r="12" spans="1:14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</row>
    <row r="13" spans="1:14">
      <c r="A13" s="156" t="s">
        <v>4365</v>
      </c>
      <c r="B13" s="377">
        <v>3</v>
      </c>
      <c r="C13" s="156" t="s">
        <v>4366</v>
      </c>
      <c r="D13" s="156"/>
      <c r="E13" s="377"/>
      <c r="F13" s="380"/>
      <c r="G13" s="381" t="s">
        <v>1491</v>
      </c>
      <c r="H13" s="377">
        <v>27</v>
      </c>
      <c r="I13" s="381" t="s">
        <v>1492</v>
      </c>
      <c r="J13" s="377">
        <v>1</v>
      </c>
      <c r="K13" s="381" t="s">
        <v>1493</v>
      </c>
      <c r="L13" s="377">
        <v>29</v>
      </c>
      <c r="M13" s="156"/>
      <c r="N13" s="156"/>
    </row>
    <row r="14" spans="1:14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</row>
    <row r="15" spans="1:14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</row>
    <row r="16" spans="1:14" ht="24" customHeight="1">
      <c r="A16" s="156" t="s">
        <v>646</v>
      </c>
      <c r="B16" s="156"/>
      <c r="C16" s="381" t="s">
        <v>204</v>
      </c>
      <c r="D16" s="377">
        <v>129</v>
      </c>
      <c r="E16" s="381" t="s">
        <v>205</v>
      </c>
      <c r="F16" s="377">
        <v>63</v>
      </c>
      <c r="G16" s="381" t="s">
        <v>206</v>
      </c>
      <c r="H16" s="377">
        <v>110</v>
      </c>
      <c r="I16" s="381" t="s">
        <v>230</v>
      </c>
      <c r="J16" s="377">
        <v>302</v>
      </c>
      <c r="K16" s="381" t="s">
        <v>207</v>
      </c>
      <c r="L16" s="377">
        <v>54</v>
      </c>
      <c r="M16" s="382" t="s">
        <v>4367</v>
      </c>
      <c r="N16" s="377">
        <v>18</v>
      </c>
    </row>
    <row r="17" spans="1:14">
      <c r="A17" s="156" t="s">
        <v>209</v>
      </c>
      <c r="B17" s="156"/>
      <c r="C17" s="381" t="s">
        <v>210</v>
      </c>
      <c r="D17" s="377">
        <v>190</v>
      </c>
      <c r="E17" s="381" t="s">
        <v>211</v>
      </c>
      <c r="F17" s="377">
        <v>107</v>
      </c>
      <c r="G17" s="381" t="s">
        <v>212</v>
      </c>
      <c r="H17" s="377">
        <v>383</v>
      </c>
      <c r="I17" s="381" t="s">
        <v>411</v>
      </c>
      <c r="J17" s="377">
        <f>H17+F17+D17</f>
        <v>680</v>
      </c>
      <c r="K17" s="156"/>
      <c r="L17" s="156"/>
      <c r="M17" s="156"/>
      <c r="N17" s="156"/>
    </row>
    <row r="18" spans="1:14">
      <c r="A18" s="156"/>
      <c r="B18" s="156"/>
      <c r="C18" s="381" t="s">
        <v>213</v>
      </c>
      <c r="D18" s="377">
        <v>195</v>
      </c>
      <c r="E18" s="381" t="s">
        <v>214</v>
      </c>
      <c r="F18" s="377">
        <v>77</v>
      </c>
      <c r="G18" s="381" t="s">
        <v>1494</v>
      </c>
      <c r="H18" s="377">
        <v>351</v>
      </c>
      <c r="I18" s="381" t="s">
        <v>410</v>
      </c>
      <c r="J18" s="377">
        <f>H18+F18+D18</f>
        <v>623</v>
      </c>
      <c r="K18" s="156"/>
      <c r="L18" s="156"/>
      <c r="M18" s="156"/>
      <c r="N18" s="156"/>
    </row>
    <row r="19" spans="1:14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</row>
    <row r="20" spans="1:14">
      <c r="A20" s="156"/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</row>
    <row r="21" spans="1:14">
      <c r="A21" s="383" t="s">
        <v>216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</row>
    <row r="22" spans="1:14">
      <c r="A22" s="892" t="s">
        <v>217</v>
      </c>
      <c r="B22" s="892" t="s">
        <v>218</v>
      </c>
      <c r="C22" s="892" t="s">
        <v>219</v>
      </c>
      <c r="D22" s="892" t="s">
        <v>407</v>
      </c>
      <c r="E22" s="892" t="s">
        <v>864</v>
      </c>
      <c r="F22" s="893" t="s">
        <v>4368</v>
      </c>
      <c r="G22" s="893"/>
      <c r="H22" s="893"/>
      <c r="I22" s="893"/>
      <c r="J22" s="893"/>
      <c r="K22" s="893"/>
      <c r="L22" s="893"/>
      <c r="M22" s="893"/>
      <c r="N22" s="893"/>
    </row>
    <row r="23" spans="1:14">
      <c r="A23" s="892"/>
      <c r="B23" s="892"/>
      <c r="C23" s="892"/>
      <c r="D23" s="892"/>
      <c r="E23" s="892"/>
      <c r="F23" t="s">
        <v>227</v>
      </c>
      <c r="G23" s="384" t="s">
        <v>228</v>
      </c>
      <c r="H23" s="384" t="s">
        <v>229</v>
      </c>
      <c r="I23" s="384">
        <v>4</v>
      </c>
      <c r="J23" s="384">
        <v>5</v>
      </c>
      <c r="K23" s="384">
        <v>6</v>
      </c>
      <c r="L23" s="384">
        <v>7</v>
      </c>
      <c r="M23" s="384" t="s">
        <v>230</v>
      </c>
      <c r="N23" s="384" t="s">
        <v>231</v>
      </c>
    </row>
    <row r="24" spans="1:14">
      <c r="A24" s="379" t="s">
        <v>232</v>
      </c>
      <c r="B24" s="379">
        <v>8000</v>
      </c>
      <c r="C24" s="385" t="s">
        <v>4369</v>
      </c>
      <c r="D24" s="386">
        <f>B24*J1/100000</f>
        <v>31.527200000000001</v>
      </c>
      <c r="E24" s="379">
        <v>18</v>
      </c>
      <c r="F24" s="80"/>
      <c r="G24" s="387">
        <v>4.2474600000000002</v>
      </c>
      <c r="H24" s="387">
        <v>13.631930000000001</v>
      </c>
      <c r="I24" s="379"/>
      <c r="J24" s="379"/>
      <c r="K24" s="379"/>
      <c r="L24" s="379"/>
      <c r="M24" s="387">
        <f>SUM(F24:L24)</f>
        <v>17.879390000000001</v>
      </c>
      <c r="N24" s="387">
        <f>M24/E24*100</f>
        <v>99.32994444444445</v>
      </c>
    </row>
    <row r="25" spans="1:14" ht="25.5">
      <c r="A25" s="379" t="s">
        <v>234</v>
      </c>
      <c r="B25" s="379">
        <v>7000</v>
      </c>
      <c r="C25" s="385" t="s">
        <v>4369</v>
      </c>
      <c r="D25" s="388">
        <f>5.6-2.7</f>
        <v>2.8999999999999995</v>
      </c>
      <c r="E25" s="379">
        <v>2.56</v>
      </c>
      <c r="F25" s="80"/>
      <c r="G25" s="379">
        <v>0</v>
      </c>
      <c r="H25" s="387">
        <v>2.2633000000000001</v>
      </c>
      <c r="I25" s="379"/>
      <c r="J25" s="379"/>
      <c r="K25" s="379"/>
      <c r="L25" s="379"/>
      <c r="M25" s="387">
        <f t="shared" ref="M25:M32" si="0">SUM(F25:L25)</f>
        <v>2.2633000000000001</v>
      </c>
      <c r="N25" s="387">
        <f t="shared" ref="N25:N33" si="1">M25/E25*100</f>
        <v>88.41015625</v>
      </c>
    </row>
    <row r="26" spans="1:14" ht="25.5">
      <c r="A26" s="379" t="s">
        <v>235</v>
      </c>
      <c r="B26" s="379">
        <v>43000</v>
      </c>
      <c r="C26" s="385" t="s">
        <v>236</v>
      </c>
      <c r="D26" s="388">
        <f>0.43+2.7</f>
        <v>3.1300000000000003</v>
      </c>
      <c r="E26" s="379">
        <v>0.35</v>
      </c>
      <c r="F26" s="80"/>
      <c r="G26" s="379">
        <v>0.18</v>
      </c>
      <c r="H26" s="379">
        <v>0.12</v>
      </c>
      <c r="I26" s="379"/>
      <c r="J26" s="379"/>
      <c r="K26" s="379"/>
      <c r="L26" s="379"/>
      <c r="M26" s="379">
        <f t="shared" si="0"/>
        <v>0.3</v>
      </c>
      <c r="N26" s="387">
        <f t="shared" si="1"/>
        <v>85.714285714285722</v>
      </c>
    </row>
    <row r="27" spans="1:14" ht="25.5">
      <c r="A27" s="379" t="s">
        <v>237</v>
      </c>
      <c r="B27" s="379">
        <v>37000</v>
      </c>
      <c r="C27" s="385" t="s">
        <v>236</v>
      </c>
      <c r="D27" s="388">
        <v>0.37</v>
      </c>
      <c r="E27" s="379">
        <v>0.28999999999999998</v>
      </c>
      <c r="F27" s="80"/>
      <c r="G27" s="379">
        <v>0.16</v>
      </c>
      <c r="H27" s="379">
        <v>0</v>
      </c>
      <c r="I27" s="379"/>
      <c r="J27" s="379"/>
      <c r="K27" s="379"/>
      <c r="L27" s="379"/>
      <c r="M27" s="379">
        <f t="shared" si="0"/>
        <v>0.16</v>
      </c>
      <c r="N27" s="387">
        <f t="shared" si="1"/>
        <v>55.172413793103459</v>
      </c>
    </row>
    <row r="28" spans="1:14">
      <c r="A28" s="379" t="s">
        <v>238</v>
      </c>
      <c r="B28" s="379">
        <v>1200</v>
      </c>
      <c r="C28" s="385" t="s">
        <v>4369</v>
      </c>
      <c r="D28" s="386">
        <f>B28*J1/100000</f>
        <v>4.7290799999999997</v>
      </c>
      <c r="E28" s="379">
        <v>2</v>
      </c>
      <c r="F28" s="80"/>
      <c r="G28" s="379">
        <v>0</v>
      </c>
      <c r="H28" s="387">
        <v>1.9234500000000001</v>
      </c>
      <c r="I28" s="379"/>
      <c r="J28" s="379"/>
      <c r="K28" s="379"/>
      <c r="L28" s="379"/>
      <c r="M28" s="387">
        <f t="shared" si="0"/>
        <v>1.9234500000000001</v>
      </c>
      <c r="N28" s="387">
        <f t="shared" si="1"/>
        <v>96.172499999999999</v>
      </c>
    </row>
    <row r="29" spans="1:14">
      <c r="A29" s="379" t="s">
        <v>667</v>
      </c>
      <c r="B29" s="379">
        <v>565</v>
      </c>
      <c r="C29" s="385" t="s">
        <v>1036</v>
      </c>
      <c r="D29" s="386">
        <f>B29*J1/100000</f>
        <v>2.2266084999999998</v>
      </c>
      <c r="E29" s="379">
        <v>2.23</v>
      </c>
      <c r="F29" s="80"/>
      <c r="G29" s="387">
        <v>2.22661</v>
      </c>
      <c r="H29" s="379">
        <v>0</v>
      </c>
      <c r="I29" s="379"/>
      <c r="J29" s="379"/>
      <c r="K29" s="379"/>
      <c r="L29" s="379"/>
      <c r="M29" s="387">
        <f t="shared" si="0"/>
        <v>2.22661</v>
      </c>
      <c r="N29" s="387">
        <f t="shared" si="1"/>
        <v>99.847982062780275</v>
      </c>
    </row>
    <row r="30" spans="1:14">
      <c r="A30" s="379" t="s">
        <v>240</v>
      </c>
      <c r="B30" s="379">
        <v>1000</v>
      </c>
      <c r="C30" s="385" t="s">
        <v>1036</v>
      </c>
      <c r="D30" s="386">
        <f>B30*J1/100000</f>
        <v>3.9409000000000001</v>
      </c>
      <c r="E30" s="379">
        <v>0</v>
      </c>
      <c r="F30" s="80"/>
      <c r="G30" s="379">
        <v>0</v>
      </c>
      <c r="H30" s="379">
        <v>0</v>
      </c>
      <c r="I30" s="379"/>
      <c r="J30" s="379"/>
      <c r="K30" s="379"/>
      <c r="L30" s="379"/>
      <c r="M30" s="379">
        <f t="shared" si="0"/>
        <v>0</v>
      </c>
      <c r="N30" s="379" t="e">
        <f t="shared" si="1"/>
        <v>#DIV/0!</v>
      </c>
    </row>
    <row r="31" spans="1:14">
      <c r="A31" s="379" t="s">
        <v>241</v>
      </c>
      <c r="B31" s="379">
        <v>2750</v>
      </c>
      <c r="C31" s="385" t="s">
        <v>1036</v>
      </c>
      <c r="D31" s="388">
        <v>2.31</v>
      </c>
      <c r="E31" s="387">
        <v>0.59499999999999997</v>
      </c>
      <c r="F31" s="80"/>
      <c r="G31" s="387">
        <v>0.23075999999999999</v>
      </c>
      <c r="H31" s="387">
        <v>0.35829</v>
      </c>
      <c r="I31" s="379"/>
      <c r="J31" s="379"/>
      <c r="K31" s="379"/>
      <c r="L31" s="379"/>
      <c r="M31" s="387">
        <f t="shared" si="0"/>
        <v>0.58904999999999996</v>
      </c>
      <c r="N31" s="379">
        <f t="shared" si="1"/>
        <v>99</v>
      </c>
    </row>
    <row r="32" spans="1:14">
      <c r="A32" s="379" t="s">
        <v>670</v>
      </c>
      <c r="B32" s="379">
        <v>10000</v>
      </c>
      <c r="C32" s="385" t="s">
        <v>244</v>
      </c>
      <c r="D32" s="388">
        <v>0.1</v>
      </c>
      <c r="E32" s="379">
        <v>0.1</v>
      </c>
      <c r="F32" s="379"/>
      <c r="G32" s="379"/>
      <c r="H32" s="379"/>
      <c r="I32" s="379"/>
      <c r="J32" s="379"/>
      <c r="K32" s="379"/>
      <c r="L32" s="379"/>
      <c r="M32" s="379">
        <f t="shared" si="0"/>
        <v>0</v>
      </c>
      <c r="N32" s="379">
        <f t="shared" si="1"/>
        <v>0</v>
      </c>
    </row>
    <row r="33" spans="1:14">
      <c r="A33" s="389" t="s">
        <v>245</v>
      </c>
      <c r="B33" s="389"/>
      <c r="C33" s="384"/>
      <c r="D33" s="390">
        <f>SUM(D24:D32)</f>
        <v>51.233788499999996</v>
      </c>
      <c r="E33" s="390">
        <f t="shared" ref="E33:M33" si="2">SUM(E24:E32)</f>
        <v>26.125</v>
      </c>
      <c r="F33" s="390">
        <f t="shared" si="2"/>
        <v>0</v>
      </c>
      <c r="G33" s="390">
        <f t="shared" si="2"/>
        <v>7.0448300000000001</v>
      </c>
      <c r="H33" s="390">
        <f t="shared" si="2"/>
        <v>18.296970000000002</v>
      </c>
      <c r="I33" s="390">
        <f t="shared" si="2"/>
        <v>0</v>
      </c>
      <c r="J33" s="390">
        <f t="shared" si="2"/>
        <v>0</v>
      </c>
      <c r="K33" s="390">
        <f t="shared" si="2"/>
        <v>0</v>
      </c>
      <c r="L33" s="390">
        <f t="shared" si="2"/>
        <v>0</v>
      </c>
      <c r="M33" s="390">
        <f t="shared" si="2"/>
        <v>25.341800000000003</v>
      </c>
      <c r="N33" s="387">
        <f t="shared" si="1"/>
        <v>97.002105263157901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2:N22"/>
    <mergeCell ref="B10:C10"/>
    <mergeCell ref="D10:F10"/>
    <mergeCell ref="G10:I10"/>
    <mergeCell ref="J10:L10"/>
    <mergeCell ref="B11:C11"/>
    <mergeCell ref="D11:F11"/>
    <mergeCell ref="G11:I11"/>
    <mergeCell ref="J11:L11"/>
    <mergeCell ref="A22:A23"/>
    <mergeCell ref="B22:B23"/>
    <mergeCell ref="C22:C23"/>
    <mergeCell ref="D22:D23"/>
    <mergeCell ref="E22:E23"/>
  </mergeCells>
  <hyperlinks>
    <hyperlink ref="A2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6.7109375" bestFit="1" customWidth="1"/>
    <col min="2" max="2" width="13.85546875" bestFit="1" customWidth="1"/>
    <col min="3" max="3" width="11.42578125" customWidth="1"/>
    <col min="4" max="4" width="22.85546875" bestFit="1" customWidth="1"/>
    <col min="5" max="5" width="13.7109375" customWidth="1"/>
    <col min="6" max="6" width="12" customWidth="1"/>
    <col min="7" max="7" width="12.7109375" bestFit="1" customWidth="1"/>
    <col min="8" max="8" width="10.7109375" bestFit="1" customWidth="1"/>
    <col min="9" max="9" width="12.7109375" bestFit="1" customWidth="1"/>
    <col min="10" max="10" width="10.85546875" bestFit="1" customWidth="1"/>
    <col min="13" max="13" width="12.85546875" customWidth="1"/>
    <col min="14" max="14" width="11.42578125" bestFit="1" customWidth="1"/>
  </cols>
  <sheetData>
    <row r="1" spans="1:14">
      <c r="A1" s="156" t="s">
        <v>4347</v>
      </c>
      <c r="B1" s="896" t="s">
        <v>5050</v>
      </c>
      <c r="C1" s="897"/>
      <c r="D1" s="156" t="s">
        <v>4349</v>
      </c>
      <c r="E1" s="156"/>
      <c r="F1" s="910" t="s">
        <v>5051</v>
      </c>
      <c r="G1" s="897"/>
      <c r="H1" s="904" t="s">
        <v>5</v>
      </c>
      <c r="I1" s="905"/>
      <c r="J1" s="377">
        <v>623.26</v>
      </c>
      <c r="K1" s="156" t="s">
        <v>436</v>
      </c>
      <c r="L1" s="156"/>
      <c r="M1" s="377" t="s">
        <v>5052</v>
      </c>
      <c r="N1" s="156"/>
    </row>
    <row r="2" spans="1:14">
      <c r="A2" s="808" t="s">
        <v>4176</v>
      </c>
      <c r="B2" s="808"/>
      <c r="C2" s="808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>
      <c r="A3" s="156" t="s">
        <v>832</v>
      </c>
      <c r="B3" s="896" t="s">
        <v>5053</v>
      </c>
      <c r="C3" s="897"/>
      <c r="D3" s="156" t="s">
        <v>1208</v>
      </c>
      <c r="E3" s="156"/>
      <c r="F3" s="896" t="s">
        <v>5054</v>
      </c>
      <c r="G3" s="897"/>
      <c r="H3" s="378"/>
      <c r="I3" s="378"/>
      <c r="J3" s="156"/>
      <c r="K3" s="156"/>
      <c r="L3" s="156"/>
      <c r="M3" s="156"/>
      <c r="N3" s="156"/>
    </row>
    <row r="4" spans="1:14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>
      <c r="A5" s="156" t="s">
        <v>4353</v>
      </c>
      <c r="B5" s="896" t="s">
        <v>5055</v>
      </c>
      <c r="C5" s="897"/>
      <c r="D5" s="156" t="s">
        <v>4355</v>
      </c>
      <c r="E5" s="156"/>
      <c r="F5" s="898" t="s">
        <v>5056</v>
      </c>
      <c r="G5" s="899"/>
      <c r="H5" s="899"/>
      <c r="I5" s="900"/>
      <c r="J5" s="156"/>
      <c r="K5" s="156"/>
      <c r="L5" s="156"/>
      <c r="M5" s="156"/>
      <c r="N5" s="156"/>
    </row>
    <row r="6" spans="1:14">
      <c r="A6" s="156"/>
      <c r="B6" s="156"/>
      <c r="C6" s="156"/>
      <c r="D6" s="156" t="s">
        <v>4357</v>
      </c>
      <c r="E6" s="156"/>
      <c r="F6" s="901"/>
      <c r="G6" s="902"/>
      <c r="H6" s="902"/>
      <c r="I6" s="903"/>
      <c r="J6" s="156"/>
      <c r="K6" s="156"/>
      <c r="L6" s="156"/>
      <c r="M6" s="156"/>
      <c r="N6" s="156"/>
    </row>
    <row r="7" spans="1:14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</row>
    <row r="8" spans="1:14">
      <c r="A8" s="379" t="s">
        <v>838</v>
      </c>
      <c r="B8" s="894" t="s">
        <v>5057</v>
      </c>
      <c r="C8" s="894"/>
      <c r="D8" s="894" t="s">
        <v>5058</v>
      </c>
      <c r="E8" s="894"/>
      <c r="F8" s="894"/>
      <c r="G8" s="895" t="s">
        <v>5059</v>
      </c>
      <c r="H8" s="895"/>
      <c r="I8" s="895"/>
      <c r="J8" s="895" t="s">
        <v>5060</v>
      </c>
      <c r="K8" s="895"/>
      <c r="L8" s="895"/>
      <c r="M8" s="377" t="s">
        <v>5061</v>
      </c>
      <c r="N8" s="156"/>
    </row>
    <row r="9" spans="1:14">
      <c r="A9" s="379" t="s">
        <v>840</v>
      </c>
      <c r="B9" s="894" t="s">
        <v>5062</v>
      </c>
      <c r="C9" s="894"/>
      <c r="D9" s="894"/>
      <c r="E9" s="894"/>
      <c r="F9" s="894"/>
      <c r="G9" s="895" t="s">
        <v>5063</v>
      </c>
      <c r="H9" s="895"/>
      <c r="I9" s="895"/>
      <c r="J9" s="895"/>
      <c r="K9" s="895"/>
      <c r="L9" s="895"/>
      <c r="M9" s="377"/>
      <c r="N9" s="156"/>
    </row>
    <row r="10" spans="1:14">
      <c r="A10" s="379" t="s">
        <v>4361</v>
      </c>
      <c r="B10" s="894" t="s">
        <v>5064</v>
      </c>
      <c r="C10" s="894"/>
      <c r="D10" s="894"/>
      <c r="E10" s="894"/>
      <c r="F10" s="894"/>
      <c r="G10" s="895" t="s">
        <v>5065</v>
      </c>
      <c r="H10" s="895"/>
      <c r="I10" s="895"/>
      <c r="J10" s="895"/>
      <c r="K10" s="895"/>
      <c r="L10" s="895"/>
      <c r="M10" s="377" t="s">
        <v>5066</v>
      </c>
      <c r="N10" s="156"/>
    </row>
    <row r="11" spans="1:14" ht="25.5">
      <c r="A11" s="379" t="s">
        <v>420</v>
      </c>
      <c r="B11" s="894" t="s">
        <v>5067</v>
      </c>
      <c r="C11" s="894"/>
      <c r="D11" s="894"/>
      <c r="E11" s="894"/>
      <c r="F11" s="894"/>
      <c r="G11" s="913" t="s">
        <v>5068</v>
      </c>
      <c r="H11" s="913"/>
      <c r="I11" s="913"/>
      <c r="J11" s="895"/>
      <c r="K11" s="895"/>
      <c r="L11" s="895"/>
      <c r="M11" s="377"/>
      <c r="N11" s="156"/>
    </row>
    <row r="12" spans="1:14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</row>
    <row r="13" spans="1:14">
      <c r="A13" s="156" t="s">
        <v>4365</v>
      </c>
      <c r="B13" s="377">
        <v>5</v>
      </c>
      <c r="C13" s="156" t="s">
        <v>5069</v>
      </c>
      <c r="D13" s="156"/>
      <c r="E13" s="377">
        <v>2</v>
      </c>
      <c r="F13" s="380"/>
      <c r="G13" s="381" t="s">
        <v>1491</v>
      </c>
      <c r="H13" s="377">
        <v>5</v>
      </c>
      <c r="I13" s="381" t="s">
        <v>1492</v>
      </c>
      <c r="J13" s="377">
        <v>2</v>
      </c>
      <c r="K13" s="381" t="s">
        <v>1493</v>
      </c>
      <c r="L13" s="377">
        <v>21</v>
      </c>
      <c r="M13" s="156"/>
      <c r="N13" s="156"/>
    </row>
    <row r="14" spans="1:14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</row>
    <row r="15" spans="1:14" ht="25.5" customHeight="1">
      <c r="A15" s="156" t="s">
        <v>646</v>
      </c>
      <c r="B15" s="156"/>
      <c r="C15" s="156" t="s">
        <v>204</v>
      </c>
      <c r="D15" s="377">
        <v>86</v>
      </c>
      <c r="E15" s="156" t="s">
        <v>205</v>
      </c>
      <c r="F15" s="377">
        <v>0</v>
      </c>
      <c r="G15" s="156" t="s">
        <v>206</v>
      </c>
      <c r="H15" s="377">
        <v>0</v>
      </c>
      <c r="I15" s="156" t="s">
        <v>230</v>
      </c>
      <c r="J15" s="377">
        <v>86</v>
      </c>
      <c r="K15" s="156" t="s">
        <v>207</v>
      </c>
      <c r="L15" s="377">
        <v>47</v>
      </c>
      <c r="M15" s="382" t="s">
        <v>4367</v>
      </c>
      <c r="N15" s="377">
        <v>43</v>
      </c>
    </row>
    <row r="16" spans="1:14">
      <c r="A16" s="156" t="s">
        <v>209</v>
      </c>
      <c r="B16" s="156"/>
      <c r="C16" s="156" t="s">
        <v>210</v>
      </c>
      <c r="D16" s="377">
        <v>218</v>
      </c>
      <c r="E16" s="156" t="s">
        <v>211</v>
      </c>
      <c r="F16" s="377">
        <v>0</v>
      </c>
      <c r="G16" s="156" t="s">
        <v>212</v>
      </c>
      <c r="H16" s="377">
        <v>0</v>
      </c>
      <c r="I16" s="156" t="s">
        <v>411</v>
      </c>
      <c r="J16" s="377">
        <f>H16+F16+D16</f>
        <v>218</v>
      </c>
      <c r="K16" s="156"/>
      <c r="L16" s="156"/>
      <c r="M16" s="156"/>
      <c r="N16" s="156"/>
    </row>
    <row r="17" spans="1:14">
      <c r="A17" s="156"/>
      <c r="B17" s="156"/>
      <c r="C17" s="156" t="s">
        <v>213</v>
      </c>
      <c r="D17" s="377">
        <v>188</v>
      </c>
      <c r="E17" s="156" t="s">
        <v>214</v>
      </c>
      <c r="F17" s="377">
        <v>0</v>
      </c>
      <c r="G17" s="156" t="s">
        <v>1494</v>
      </c>
      <c r="H17" s="377">
        <v>0</v>
      </c>
      <c r="I17" s="156" t="s">
        <v>410</v>
      </c>
      <c r="J17" s="377">
        <f>H17+F17+D17</f>
        <v>188</v>
      </c>
      <c r="K17" s="156"/>
      <c r="L17" s="156"/>
      <c r="M17" s="156"/>
      <c r="N17" s="156"/>
    </row>
    <row r="18" spans="1:14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</row>
    <row r="19" spans="1:14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</row>
    <row r="20" spans="1:14">
      <c r="A20" s="383" t="s">
        <v>216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</row>
    <row r="21" spans="1:14">
      <c r="A21" s="892" t="s">
        <v>217</v>
      </c>
      <c r="B21" s="892" t="s">
        <v>218</v>
      </c>
      <c r="C21" s="892" t="s">
        <v>219</v>
      </c>
      <c r="D21" s="892" t="s">
        <v>407</v>
      </c>
      <c r="E21" s="892" t="s">
        <v>864</v>
      </c>
      <c r="F21" s="893" t="s">
        <v>4368</v>
      </c>
      <c r="G21" s="893"/>
      <c r="H21" s="893"/>
      <c r="I21" s="893"/>
      <c r="J21" s="893"/>
      <c r="K21" s="893"/>
      <c r="L21" s="893"/>
      <c r="M21" s="893"/>
      <c r="N21" s="893"/>
    </row>
    <row r="22" spans="1:14">
      <c r="A22" s="892"/>
      <c r="B22" s="892"/>
      <c r="C22" s="892"/>
      <c r="D22" s="892"/>
      <c r="E22" s="892"/>
      <c r="F22" s="80" t="s">
        <v>227</v>
      </c>
      <c r="G22" s="384" t="s">
        <v>228</v>
      </c>
      <c r="H22" s="384" t="s">
        <v>229</v>
      </c>
      <c r="I22" s="384">
        <v>4</v>
      </c>
      <c r="J22" s="384">
        <v>5</v>
      </c>
      <c r="K22" s="384">
        <v>6</v>
      </c>
      <c r="L22" s="384">
        <v>7</v>
      </c>
      <c r="M22" s="384" t="s">
        <v>230</v>
      </c>
      <c r="N22" s="384" t="s">
        <v>231</v>
      </c>
    </row>
    <row r="23" spans="1:14">
      <c r="A23" s="379" t="s">
        <v>232</v>
      </c>
      <c r="B23" s="379">
        <v>8000</v>
      </c>
      <c r="C23" s="385" t="s">
        <v>4369</v>
      </c>
      <c r="D23" s="386">
        <f>B23*J1/100000</f>
        <v>49.860799999999998</v>
      </c>
      <c r="E23" s="379">
        <v>21.5</v>
      </c>
      <c r="F23" s="80"/>
      <c r="G23" s="387">
        <v>4.1902900000000001</v>
      </c>
      <c r="H23" s="387">
        <v>17.117940000000001</v>
      </c>
      <c r="I23" s="379"/>
      <c r="J23" s="379"/>
      <c r="K23" s="379"/>
      <c r="L23" s="379"/>
      <c r="M23" s="387">
        <f>SUM(F23:L23)</f>
        <v>21.308230000000002</v>
      </c>
      <c r="N23" s="387">
        <f>M23/E23*100</f>
        <v>99.108046511627919</v>
      </c>
    </row>
    <row r="24" spans="1:14" ht="25.5">
      <c r="A24" s="379" t="s">
        <v>234</v>
      </c>
      <c r="B24" s="379">
        <v>7000</v>
      </c>
      <c r="C24" s="385" t="s">
        <v>4369</v>
      </c>
      <c r="D24" s="388">
        <f>5.6-2.7</f>
        <v>2.8999999999999995</v>
      </c>
      <c r="E24" s="379">
        <v>2.56</v>
      </c>
      <c r="F24" s="80"/>
      <c r="G24" s="379">
        <v>0</v>
      </c>
      <c r="H24" s="387">
        <v>2.4418000000000002</v>
      </c>
      <c r="I24" s="379"/>
      <c r="J24" s="379"/>
      <c r="K24" s="379"/>
      <c r="L24" s="379"/>
      <c r="M24" s="387">
        <f t="shared" ref="M24:M31" si="0">SUM(F24:L24)</f>
        <v>2.4418000000000002</v>
      </c>
      <c r="N24" s="387">
        <f t="shared" ref="N24:N32" si="1">M24/E24*100</f>
        <v>95.3828125</v>
      </c>
    </row>
    <row r="25" spans="1:14" ht="25.5">
      <c r="A25" s="379" t="s">
        <v>235</v>
      </c>
      <c r="B25" s="379">
        <v>43000</v>
      </c>
      <c r="C25" s="385" t="s">
        <v>236</v>
      </c>
      <c r="D25" s="388">
        <f>0.43+2.7</f>
        <v>3.1300000000000003</v>
      </c>
      <c r="E25" s="379">
        <v>0.35</v>
      </c>
      <c r="F25" s="80"/>
      <c r="G25" s="379">
        <v>0.18</v>
      </c>
      <c r="H25" s="379">
        <v>0.12</v>
      </c>
      <c r="I25" s="379"/>
      <c r="J25" s="379"/>
      <c r="K25" s="379"/>
      <c r="L25" s="379"/>
      <c r="M25" s="379">
        <f t="shared" si="0"/>
        <v>0.3</v>
      </c>
      <c r="N25" s="387">
        <f t="shared" si="1"/>
        <v>85.714285714285722</v>
      </c>
    </row>
    <row r="26" spans="1:14" ht="25.5">
      <c r="A26" s="379" t="s">
        <v>237</v>
      </c>
      <c r="B26" s="379">
        <v>37000</v>
      </c>
      <c r="C26" s="385" t="s">
        <v>236</v>
      </c>
      <c r="D26" s="388">
        <v>0.37</v>
      </c>
      <c r="E26" s="379">
        <v>0.28999999999999998</v>
      </c>
      <c r="F26" s="80"/>
      <c r="G26" s="379">
        <v>0.16</v>
      </c>
      <c r="H26" s="379">
        <v>0</v>
      </c>
      <c r="I26" s="379"/>
      <c r="J26" s="379"/>
      <c r="K26" s="379"/>
      <c r="L26" s="379"/>
      <c r="M26" s="379">
        <f t="shared" si="0"/>
        <v>0.16</v>
      </c>
      <c r="N26" s="387">
        <f t="shared" si="1"/>
        <v>55.172413793103459</v>
      </c>
    </row>
    <row r="27" spans="1:14">
      <c r="A27" s="379" t="s">
        <v>238</v>
      </c>
      <c r="B27" s="379">
        <v>1200</v>
      </c>
      <c r="C27" s="385" t="s">
        <v>4369</v>
      </c>
      <c r="D27" s="386">
        <f>B27*J1/100000</f>
        <v>7.47912</v>
      </c>
      <c r="E27" s="379">
        <v>2</v>
      </c>
      <c r="F27" s="80"/>
      <c r="G27" s="379">
        <v>0</v>
      </c>
      <c r="H27" s="387">
        <v>1.1229</v>
      </c>
      <c r="I27" s="379"/>
      <c r="J27" s="379"/>
      <c r="K27" s="379"/>
      <c r="L27" s="379"/>
      <c r="M27" s="387">
        <f t="shared" si="0"/>
        <v>1.1229</v>
      </c>
      <c r="N27" s="387">
        <f t="shared" si="1"/>
        <v>56.145000000000003</v>
      </c>
    </row>
    <row r="28" spans="1:14">
      <c r="A28" s="379" t="s">
        <v>667</v>
      </c>
      <c r="B28" s="379">
        <v>565</v>
      </c>
      <c r="C28" s="385" t="s">
        <v>1036</v>
      </c>
      <c r="D28" s="386">
        <f>B28*J1/100000</f>
        <v>3.5214190000000003</v>
      </c>
      <c r="E28" s="379">
        <v>3.52</v>
      </c>
      <c r="F28" s="80"/>
      <c r="G28" s="387">
        <v>3.52142</v>
      </c>
      <c r="H28" s="379">
        <v>0</v>
      </c>
      <c r="I28" s="379"/>
      <c r="J28" s="379"/>
      <c r="K28" s="379"/>
      <c r="L28" s="379"/>
      <c r="M28" s="387">
        <f t="shared" si="0"/>
        <v>3.52142</v>
      </c>
      <c r="N28" s="387">
        <f t="shared" si="1"/>
        <v>100.0403409090909</v>
      </c>
    </row>
    <row r="29" spans="1:14">
      <c r="A29" s="379" t="s">
        <v>240</v>
      </c>
      <c r="B29" s="379">
        <v>1000</v>
      </c>
      <c r="C29" s="385" t="s">
        <v>1036</v>
      </c>
      <c r="D29" s="386">
        <f>B29*J1/100000</f>
        <v>6.2325999999999997</v>
      </c>
      <c r="E29" s="379">
        <v>0</v>
      </c>
      <c r="F29" s="80"/>
      <c r="G29" s="379">
        <v>0</v>
      </c>
      <c r="H29" s="379">
        <v>0</v>
      </c>
      <c r="I29" s="379"/>
      <c r="J29" s="379"/>
      <c r="K29" s="379"/>
      <c r="L29" s="379"/>
      <c r="M29" s="379">
        <f t="shared" si="0"/>
        <v>0</v>
      </c>
      <c r="N29" s="379" t="e">
        <f t="shared" si="1"/>
        <v>#DIV/0!</v>
      </c>
    </row>
    <row r="30" spans="1:14">
      <c r="A30" s="379" t="s">
        <v>241</v>
      </c>
      <c r="B30" s="379">
        <v>2750</v>
      </c>
      <c r="C30" s="385" t="s">
        <v>1036</v>
      </c>
      <c r="D30" s="388">
        <v>2.31</v>
      </c>
      <c r="E30" s="387">
        <v>0.59499999999999997</v>
      </c>
      <c r="F30" s="80"/>
      <c r="G30" s="387">
        <v>0.25897999999999999</v>
      </c>
      <c r="H30" s="387">
        <v>0.25874999999999998</v>
      </c>
      <c r="I30" s="379"/>
      <c r="J30" s="379"/>
      <c r="K30" s="379"/>
      <c r="L30" s="379"/>
      <c r="M30" s="387">
        <f t="shared" si="0"/>
        <v>0.51773000000000002</v>
      </c>
      <c r="N30" s="387">
        <f t="shared" si="1"/>
        <v>87.01344537815126</v>
      </c>
    </row>
    <row r="31" spans="1:14">
      <c r="A31" s="379" t="s">
        <v>670</v>
      </c>
      <c r="B31" s="379">
        <v>10000</v>
      </c>
      <c r="C31" s="385" t="s">
        <v>244</v>
      </c>
      <c r="D31" s="388">
        <v>0.1</v>
      </c>
      <c r="E31" s="379">
        <v>0.1</v>
      </c>
      <c r="F31" s="379"/>
      <c r="G31" s="379"/>
      <c r="H31" s="379"/>
      <c r="I31" s="379"/>
      <c r="J31" s="379"/>
      <c r="K31" s="379"/>
      <c r="L31" s="379"/>
      <c r="M31" s="379">
        <f t="shared" si="0"/>
        <v>0</v>
      </c>
      <c r="N31" s="379">
        <f t="shared" si="1"/>
        <v>0</v>
      </c>
    </row>
    <row r="32" spans="1:14">
      <c r="A32" s="389" t="s">
        <v>245</v>
      </c>
      <c r="B32" s="389"/>
      <c r="C32" s="384"/>
      <c r="D32" s="390">
        <f>SUM(D23:D31)</f>
        <v>75.903938999999994</v>
      </c>
      <c r="E32" s="390">
        <f t="shared" ref="E32:M32" si="2">SUM(E23:E31)</f>
        <v>30.914999999999999</v>
      </c>
      <c r="F32" s="391">
        <f t="shared" si="2"/>
        <v>0</v>
      </c>
      <c r="G32" s="390">
        <f t="shared" si="2"/>
        <v>8.3106899999999992</v>
      </c>
      <c r="H32" s="390">
        <f t="shared" si="2"/>
        <v>21.061390000000003</v>
      </c>
      <c r="I32" s="391">
        <f t="shared" si="2"/>
        <v>0</v>
      </c>
      <c r="J32" s="391">
        <f t="shared" si="2"/>
        <v>0</v>
      </c>
      <c r="K32" s="391">
        <f t="shared" si="2"/>
        <v>0</v>
      </c>
      <c r="L32" s="391">
        <f t="shared" si="2"/>
        <v>0</v>
      </c>
      <c r="M32" s="390">
        <f t="shared" si="2"/>
        <v>29.372080000000004</v>
      </c>
      <c r="N32" s="387">
        <f t="shared" si="1"/>
        <v>95.009154132298264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A21:A22"/>
    <mergeCell ref="B21:B22"/>
    <mergeCell ref="C21:C22"/>
    <mergeCell ref="D21:D22"/>
    <mergeCell ref="E21:E22"/>
  </mergeCells>
  <hyperlinks>
    <hyperlink ref="A2" location="'Fact Sheet of VDC'!A1" display="&lt;&lt;Back"/>
  </hyperlinks>
  <pageMargins left="0.34" right="0.24" top="0.34" bottom="0.4" header="0.3" footer="0.3"/>
  <pageSetup scale="9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269</v>
      </c>
      <c r="F4" t="s">
        <v>171</v>
      </c>
      <c r="H4" t="s">
        <v>5707</v>
      </c>
      <c r="J4" t="s">
        <v>172</v>
      </c>
      <c r="K4">
        <v>478</v>
      </c>
      <c r="L4" t="s">
        <v>173</v>
      </c>
      <c r="N4">
        <v>80</v>
      </c>
    </row>
    <row r="6" spans="1:14">
      <c r="A6" t="s">
        <v>174</v>
      </c>
      <c r="B6" t="s">
        <v>270</v>
      </c>
      <c r="F6" t="s">
        <v>176</v>
      </c>
      <c r="H6" t="s">
        <v>271</v>
      </c>
    </row>
    <row r="8" spans="1:14">
      <c r="A8" t="s">
        <v>178</v>
      </c>
      <c r="B8" t="s">
        <v>272</v>
      </c>
      <c r="F8" t="s">
        <v>180</v>
      </c>
      <c r="H8" t="s">
        <v>273</v>
      </c>
    </row>
    <row r="11" spans="1:14">
      <c r="A11" t="s">
        <v>182</v>
      </c>
      <c r="B11" t="s">
        <v>274</v>
      </c>
      <c r="E11" t="s">
        <v>275</v>
      </c>
      <c r="H11" t="s">
        <v>276</v>
      </c>
      <c r="K11" t="s">
        <v>277</v>
      </c>
    </row>
    <row r="12" spans="1:14">
      <c r="A12" t="s">
        <v>187</v>
      </c>
      <c r="B12" t="s">
        <v>278</v>
      </c>
      <c r="E12" t="s">
        <v>279</v>
      </c>
      <c r="H12" t="s">
        <v>280</v>
      </c>
      <c r="K12" t="s">
        <v>281</v>
      </c>
    </row>
    <row r="13" spans="1:14">
      <c r="A13" t="s">
        <v>192</v>
      </c>
      <c r="B13" t="s">
        <v>282</v>
      </c>
      <c r="E13" t="s">
        <v>283</v>
      </c>
      <c r="H13" t="s">
        <v>284</v>
      </c>
      <c r="K13" t="s">
        <v>285</v>
      </c>
    </row>
    <row r="14" spans="1:14">
      <c r="A14" t="s">
        <v>197</v>
      </c>
    </row>
    <row r="16" spans="1:14">
      <c r="A16" t="s">
        <v>198</v>
      </c>
      <c r="B16">
        <v>4</v>
      </c>
      <c r="C16" t="s">
        <v>199</v>
      </c>
      <c r="F16">
        <v>4</v>
      </c>
      <c r="G16" t="s">
        <v>200</v>
      </c>
      <c r="H16">
        <v>19</v>
      </c>
      <c r="I16" t="s">
        <v>201</v>
      </c>
      <c r="J16">
        <v>2</v>
      </c>
      <c r="K16" t="s">
        <v>202</v>
      </c>
      <c r="L16">
        <v>40</v>
      </c>
    </row>
    <row r="18" spans="1:14">
      <c r="A18" t="s">
        <v>203</v>
      </c>
      <c r="B18" t="s">
        <v>204</v>
      </c>
      <c r="C18">
        <f>46+46+13+18</f>
        <v>123</v>
      </c>
      <c r="D18" t="s">
        <v>205</v>
      </c>
      <c r="E18">
        <f>2+9+6</f>
        <v>17</v>
      </c>
      <c r="F18" t="s">
        <v>206</v>
      </c>
      <c r="G18">
        <v>66</v>
      </c>
      <c r="H18" t="s">
        <v>207</v>
      </c>
      <c r="I18">
        <v>11</v>
      </c>
      <c r="J18" t="s">
        <v>208</v>
      </c>
    </row>
    <row r="19" spans="1:14">
      <c r="A19" t="s">
        <v>209</v>
      </c>
      <c r="B19" t="s">
        <v>210</v>
      </c>
      <c r="C19">
        <f>26+55+109+103</f>
        <v>293</v>
      </c>
      <c r="D19" t="s">
        <v>211</v>
      </c>
      <c r="E19">
        <f>5+25+8</f>
        <v>38</v>
      </c>
      <c r="F19" t="s">
        <v>212</v>
      </c>
      <c r="G19">
        <f>142+3</f>
        <v>145</v>
      </c>
    </row>
    <row r="20" spans="1:14">
      <c r="B20" t="s">
        <v>213</v>
      </c>
      <c r="C20">
        <f>27+50+106+97</f>
        <v>280</v>
      </c>
      <c r="D20" t="s">
        <v>214</v>
      </c>
      <c r="E20">
        <f>4+30+11</f>
        <v>45</v>
      </c>
      <c r="F20" t="s">
        <v>215</v>
      </c>
      <c r="G20">
        <f>140+5</f>
        <v>145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38.24</v>
      </c>
      <c r="E26">
        <f>3824000/100000</f>
        <v>38.24</v>
      </c>
      <c r="F26">
        <v>0</v>
      </c>
      <c r="G26">
        <v>0</v>
      </c>
      <c r="H26">
        <v>10.87049</v>
      </c>
      <c r="I26">
        <v>10.80551</v>
      </c>
      <c r="J26">
        <v>10.11051</v>
      </c>
      <c r="K26">
        <v>2.4165100000000002</v>
      </c>
      <c r="L26">
        <v>2.4694699999999998</v>
      </c>
      <c r="M26">
        <f>+F26+G26+H26+I26+J26+K26+L26</f>
        <v>36.672490000000003</v>
      </c>
      <c r="N26">
        <f>+M26/E26*100</f>
        <v>95.900862970711302</v>
      </c>
    </row>
    <row r="27" spans="1:14">
      <c r="A27" t="s">
        <v>234</v>
      </c>
      <c r="B27">
        <v>7000</v>
      </c>
      <c r="C27" t="s">
        <v>233</v>
      </c>
      <c r="D27">
        <f>+N4*B27/100000</f>
        <v>5.6</v>
      </c>
      <c r="E27">
        <v>5</v>
      </c>
      <c r="F27">
        <v>0</v>
      </c>
      <c r="G27">
        <v>0</v>
      </c>
      <c r="H27">
        <v>0</v>
      </c>
      <c r="I27">
        <v>0.54015999999999997</v>
      </c>
      <c r="J27">
        <v>0.75524000000000002</v>
      </c>
      <c r="K27">
        <v>2.2775699999999999</v>
      </c>
      <c r="L27">
        <v>1.6841299999999999</v>
      </c>
      <c r="M27">
        <f t="shared" ref="M27:M34" si="0">+F27+G27+H27+I27+J27+K27+L27</f>
        <v>5.2570999999999994</v>
      </c>
      <c r="N27">
        <f t="shared" ref="N27:N35" si="1">+M27/E27*100</f>
        <v>105.14199999999998</v>
      </c>
    </row>
    <row r="28" spans="1:14">
      <c r="A28" t="s">
        <v>235</v>
      </c>
      <c r="B28">
        <v>86</v>
      </c>
      <c r="C28" t="s">
        <v>233</v>
      </c>
      <c r="D28">
        <v>0.41</v>
      </c>
      <c r="E28">
        <v>0.43</v>
      </c>
      <c r="F28">
        <v>0</v>
      </c>
      <c r="G28">
        <v>0</v>
      </c>
      <c r="H28">
        <v>0</v>
      </c>
      <c r="J28">
        <v>0.18</v>
      </c>
      <c r="K28">
        <v>0.24471999999999999</v>
      </c>
      <c r="L28">
        <v>0.16719999999999999</v>
      </c>
      <c r="M28">
        <f t="shared" si="0"/>
        <v>0.59192</v>
      </c>
      <c r="N28">
        <f t="shared" si="1"/>
        <v>137.65581395348838</v>
      </c>
    </row>
    <row r="29" spans="1:14">
      <c r="A29" t="s">
        <v>237</v>
      </c>
      <c r="B29">
        <v>68</v>
      </c>
      <c r="C29" t="s">
        <v>233</v>
      </c>
      <c r="D29">
        <v>0.33</v>
      </c>
      <c r="E29">
        <f>34000/100000</f>
        <v>0.34</v>
      </c>
      <c r="F29">
        <v>0</v>
      </c>
      <c r="G29">
        <v>0</v>
      </c>
      <c r="H29">
        <v>0</v>
      </c>
      <c r="I29">
        <f>0.12784</f>
        <v>0.12784000000000001</v>
      </c>
      <c r="J29">
        <v>3.5000000000000003E-2</v>
      </c>
      <c r="K29">
        <v>0.12937000000000001</v>
      </c>
      <c r="M29">
        <f t="shared" si="0"/>
        <v>0.29221000000000003</v>
      </c>
      <c r="N29">
        <f t="shared" si="1"/>
        <v>85.944117647058832</v>
      </c>
    </row>
    <row r="30" spans="1:14">
      <c r="A30" t="s">
        <v>238</v>
      </c>
      <c r="B30">
        <v>1200</v>
      </c>
      <c r="C30" t="s">
        <v>233</v>
      </c>
      <c r="D30">
        <f>+K4*B30/100000</f>
        <v>5.7359999999999998</v>
      </c>
      <c r="E30">
        <f>573600/100000</f>
        <v>5.7359999999999998</v>
      </c>
      <c r="F30">
        <v>0</v>
      </c>
      <c r="G30">
        <v>0</v>
      </c>
      <c r="H30">
        <v>0</v>
      </c>
      <c r="I30">
        <f>0.244+2.23516</f>
        <v>2.4791600000000003</v>
      </c>
      <c r="J30">
        <f>0.65475+2.31173</f>
        <v>2.9664799999999998</v>
      </c>
      <c r="K30">
        <f>0.02621+0.51274</f>
        <v>0.53894999999999993</v>
      </c>
      <c r="L30">
        <f>0.00957-1.67382</f>
        <v>-1.66425</v>
      </c>
      <c r="M30">
        <f t="shared" si="0"/>
        <v>4.3203399999999998</v>
      </c>
      <c r="N30">
        <f t="shared" si="1"/>
        <v>75.319735006973502</v>
      </c>
    </row>
    <row r="31" spans="1:14">
      <c r="A31" t="s">
        <v>239</v>
      </c>
      <c r="B31">
        <v>565</v>
      </c>
      <c r="C31" t="s">
        <v>233</v>
      </c>
      <c r="D31">
        <f>+K4*B31/100000</f>
        <v>2.7006999999999999</v>
      </c>
      <c r="E31">
        <f>217500/100000</f>
        <v>2.1749999999999998</v>
      </c>
      <c r="F31">
        <v>0</v>
      </c>
      <c r="G31">
        <v>0</v>
      </c>
      <c r="H31">
        <v>0</v>
      </c>
      <c r="I31">
        <v>1.0640000000000001</v>
      </c>
      <c r="K31">
        <v>1.155</v>
      </c>
      <c r="L31">
        <v>-4.3999999999999997E-2</v>
      </c>
      <c r="M31">
        <f t="shared" si="0"/>
        <v>2.1750000000000003</v>
      </c>
      <c r="N31">
        <f t="shared" si="1"/>
        <v>100.00000000000003</v>
      </c>
    </row>
    <row r="32" spans="1:14">
      <c r="A32" t="s">
        <v>240</v>
      </c>
      <c r="B32">
        <v>1000</v>
      </c>
      <c r="C32" t="s">
        <v>233</v>
      </c>
      <c r="D32">
        <f>+K4*B32/100000</f>
        <v>4.78</v>
      </c>
      <c r="E32">
        <f>478000/100000</f>
        <v>4.78</v>
      </c>
      <c r="F32">
        <v>0</v>
      </c>
      <c r="G32">
        <v>0</v>
      </c>
      <c r="H32">
        <v>0.159</v>
      </c>
      <c r="I32">
        <f>0.95818+0.11764</f>
        <v>1.07582</v>
      </c>
      <c r="J32">
        <f>1.12456+0.12166</f>
        <v>1.2462200000000001</v>
      </c>
      <c r="K32">
        <f>0.024+0.02699</f>
        <v>5.0990000000000001E-2</v>
      </c>
      <c r="L32">
        <v>-8.8099999999999998E-2</v>
      </c>
      <c r="M32">
        <f t="shared" si="0"/>
        <v>2.4439300000000004</v>
      </c>
      <c r="N32">
        <f t="shared" si="1"/>
        <v>51.128242677824275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f>132000/100000</f>
        <v>1.32</v>
      </c>
      <c r="F33">
        <v>0</v>
      </c>
      <c r="G33">
        <v>0</v>
      </c>
      <c r="H33">
        <v>0.23674999999999999</v>
      </c>
      <c r="I33">
        <v>0.2888</v>
      </c>
      <c r="J33">
        <v>0.35244999999999999</v>
      </c>
      <c r="K33">
        <v>0.18966</v>
      </c>
      <c r="L33">
        <v>0.12698000000000001</v>
      </c>
      <c r="M33">
        <f t="shared" si="0"/>
        <v>1.1946399999999999</v>
      </c>
      <c r="N33">
        <f t="shared" si="1"/>
        <v>90.5030303030303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4">
      <c r="A35" t="s">
        <v>245</v>
      </c>
      <c r="D35">
        <f>SUM(D26:D34)</f>
        <v>60.206699999999998</v>
      </c>
      <c r="E35">
        <f t="shared" ref="E35:M35" si="2">SUM(E26:E34)</f>
        <v>58.021000000000001</v>
      </c>
      <c r="F35">
        <f t="shared" si="2"/>
        <v>0</v>
      </c>
      <c r="G35">
        <f t="shared" si="2"/>
        <v>0</v>
      </c>
      <c r="H35">
        <f t="shared" si="2"/>
        <v>11.266240000000002</v>
      </c>
      <c r="I35">
        <f t="shared" si="2"/>
        <v>16.38129</v>
      </c>
      <c r="J35">
        <f t="shared" si="2"/>
        <v>15.645899999999999</v>
      </c>
      <c r="K35">
        <f t="shared" si="2"/>
        <v>7.0027699999999991</v>
      </c>
      <c r="L35">
        <f t="shared" si="2"/>
        <v>2.6514300000000004</v>
      </c>
      <c r="M35">
        <f t="shared" si="2"/>
        <v>52.947630000000004</v>
      </c>
      <c r="N35">
        <f t="shared" si="1"/>
        <v>91.255976284448735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N30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>
      <c r="A1" s="46" t="s">
        <v>4347</v>
      </c>
      <c r="B1" s="843" t="s">
        <v>147</v>
      </c>
      <c r="C1" s="844"/>
      <c r="D1" s="46" t="s">
        <v>4349</v>
      </c>
      <c r="E1" s="46"/>
      <c r="F1" s="865" t="s">
        <v>5070</v>
      </c>
      <c r="G1" s="844"/>
      <c r="H1" s="851" t="s">
        <v>5</v>
      </c>
      <c r="I1" s="852"/>
      <c r="J1" s="47">
        <v>359.47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5071</v>
      </c>
      <c r="C3" s="844"/>
      <c r="D3" s="46" t="s">
        <v>1208</v>
      </c>
      <c r="E3" s="46"/>
      <c r="F3" s="843" t="s">
        <v>5072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5073</v>
      </c>
      <c r="C5" s="844"/>
      <c r="D5" s="46" t="s">
        <v>4355</v>
      </c>
      <c r="E5" s="46"/>
      <c r="F5" s="845" t="s">
        <v>5074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367" t="s">
        <v>5075</v>
      </c>
      <c r="C8" s="367" t="s">
        <v>5076</v>
      </c>
      <c r="D8" s="349" t="s">
        <v>5077</v>
      </c>
      <c r="E8" s="47" t="s">
        <v>5078</v>
      </c>
      <c r="F8" s="47" t="s">
        <v>5079</v>
      </c>
      <c r="G8" s="47"/>
      <c r="H8" s="349"/>
      <c r="I8" s="349"/>
      <c r="J8" s="349"/>
      <c r="K8" s="349"/>
      <c r="L8" s="349"/>
      <c r="M8" s="46"/>
      <c r="N8" s="46"/>
    </row>
    <row r="9" spans="1:14">
      <c r="A9" s="364" t="s">
        <v>840</v>
      </c>
      <c r="B9" s="367" t="s">
        <v>2438</v>
      </c>
      <c r="C9" s="367" t="s">
        <v>2438</v>
      </c>
      <c r="D9" s="367" t="s">
        <v>2438</v>
      </c>
      <c r="E9" s="367"/>
      <c r="F9" s="367"/>
      <c r="G9" s="349"/>
      <c r="H9" s="349"/>
      <c r="I9" s="349"/>
      <c r="J9" s="349"/>
      <c r="K9" s="349"/>
      <c r="L9" s="349"/>
      <c r="M9" s="46"/>
      <c r="N9" s="46"/>
    </row>
    <row r="10" spans="1:14">
      <c r="A10" s="364" t="s">
        <v>4361</v>
      </c>
      <c r="B10" s="367" t="s">
        <v>2438</v>
      </c>
      <c r="C10" s="367" t="s">
        <v>2438</v>
      </c>
      <c r="D10" s="367" t="s">
        <v>2438</v>
      </c>
      <c r="E10" s="367"/>
      <c r="F10" s="367"/>
      <c r="G10" s="349"/>
      <c r="H10" s="349"/>
      <c r="I10" s="349"/>
      <c r="J10" s="349"/>
      <c r="K10" s="349"/>
      <c r="L10" s="349"/>
      <c r="M10" s="46"/>
      <c r="N10" s="46"/>
    </row>
    <row r="11" spans="1:14" ht="22.5">
      <c r="A11" s="364" t="s">
        <v>420</v>
      </c>
      <c r="B11" s="367" t="s">
        <v>2438</v>
      </c>
      <c r="C11" s="367" t="s">
        <v>2438</v>
      </c>
      <c r="D11" s="367" t="s">
        <v>2438</v>
      </c>
      <c r="E11" s="367"/>
      <c r="F11" s="367"/>
      <c r="G11" s="349"/>
      <c r="H11" s="349"/>
      <c r="I11" s="349"/>
      <c r="J11" s="349"/>
      <c r="K11" s="349"/>
      <c r="L11" s="349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5</v>
      </c>
      <c r="C13" s="46" t="s">
        <v>4366</v>
      </c>
      <c r="D13" s="46"/>
      <c r="E13" s="46"/>
      <c r="F13" s="47">
        <v>0</v>
      </c>
      <c r="G13" s="46" t="s">
        <v>1491</v>
      </c>
      <c r="H13" s="47">
        <v>18</v>
      </c>
      <c r="I13" s="46" t="s">
        <v>1492</v>
      </c>
      <c r="J13" s="47">
        <v>2</v>
      </c>
      <c r="K13" s="46" t="s">
        <v>1493</v>
      </c>
      <c r="L13" s="47"/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>
      <c r="A15" s="46" t="s">
        <v>646</v>
      </c>
      <c r="B15" s="46"/>
      <c r="C15" s="46" t="s">
        <v>204</v>
      </c>
      <c r="D15" s="47">
        <v>193</v>
      </c>
      <c r="E15" s="46" t="s">
        <v>205</v>
      </c>
      <c r="F15" s="47">
        <v>87</v>
      </c>
      <c r="G15" s="46" t="s">
        <v>206</v>
      </c>
      <c r="H15" s="47">
        <v>137</v>
      </c>
      <c r="I15" s="46" t="s">
        <v>230</v>
      </c>
      <c r="J15" s="47">
        <v>417</v>
      </c>
      <c r="K15" s="46" t="s">
        <v>207</v>
      </c>
      <c r="L15" s="47">
        <v>51</v>
      </c>
      <c r="M15" s="72" t="s">
        <v>4367</v>
      </c>
      <c r="N15" s="47">
        <v>60</v>
      </c>
    </row>
    <row r="16" spans="1:14">
      <c r="A16" s="46" t="s">
        <v>209</v>
      </c>
      <c r="B16" s="46"/>
      <c r="C16" s="46" t="s">
        <v>210</v>
      </c>
      <c r="D16" s="47">
        <v>442</v>
      </c>
      <c r="E16" s="46" t="s">
        <v>211</v>
      </c>
      <c r="F16" s="47">
        <v>66</v>
      </c>
      <c r="G16" s="46" t="s">
        <v>212</v>
      </c>
      <c r="H16" s="47">
        <v>289</v>
      </c>
      <c r="I16" s="46" t="s">
        <v>411</v>
      </c>
      <c r="J16" s="47">
        <f>H16+F16+D16</f>
        <v>797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470</v>
      </c>
      <c r="E17" s="46" t="s">
        <v>214</v>
      </c>
      <c r="F17" s="47">
        <v>63</v>
      </c>
      <c r="G17" s="46" t="s">
        <v>1494</v>
      </c>
      <c r="H17" s="47">
        <v>349</v>
      </c>
      <c r="I17" s="46" t="s">
        <v>410</v>
      </c>
      <c r="J17" s="47">
        <f>H17+F17+D17</f>
        <v>882</v>
      </c>
      <c r="K17" s="46"/>
      <c r="L17" s="46"/>
      <c r="M17" s="46"/>
      <c r="N17" s="46"/>
    </row>
    <row r="18" spans="1:14">
      <c r="A18" s="365" t="s">
        <v>216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856" t="s">
        <v>217</v>
      </c>
      <c r="B19" s="856" t="s">
        <v>218</v>
      </c>
      <c r="C19" s="856" t="s">
        <v>219</v>
      </c>
      <c r="D19" s="856" t="s">
        <v>407</v>
      </c>
      <c r="E19" s="856" t="s">
        <v>864</v>
      </c>
      <c r="F19" s="855" t="s">
        <v>4368</v>
      </c>
      <c r="G19" s="855"/>
      <c r="H19" s="855"/>
      <c r="I19" s="855"/>
      <c r="J19" s="855"/>
      <c r="K19" s="855"/>
      <c r="L19" s="855"/>
      <c r="M19" s="855"/>
      <c r="N19" s="855"/>
    </row>
    <row r="20" spans="1:14">
      <c r="A20" s="856"/>
      <c r="B20" s="856"/>
      <c r="C20" s="856"/>
      <c r="D20" s="856"/>
      <c r="E20" s="856"/>
      <c r="F20" s="80" t="s">
        <v>227</v>
      </c>
      <c r="G20" s="366" t="s">
        <v>228</v>
      </c>
      <c r="H20" s="366" t="s">
        <v>229</v>
      </c>
      <c r="I20" s="366">
        <v>4</v>
      </c>
      <c r="J20" s="366">
        <v>5</v>
      </c>
      <c r="K20" s="366">
        <v>6</v>
      </c>
      <c r="L20" s="366">
        <v>7</v>
      </c>
      <c r="M20" s="366" t="s">
        <v>230</v>
      </c>
      <c r="N20" s="366" t="s">
        <v>231</v>
      </c>
    </row>
    <row r="21" spans="1:14">
      <c r="A21" s="364" t="s">
        <v>232</v>
      </c>
      <c r="B21" s="364">
        <v>8000</v>
      </c>
      <c r="C21" s="367" t="s">
        <v>4369</v>
      </c>
      <c r="D21" s="368">
        <f>B21*J1/100000</f>
        <v>28.7576</v>
      </c>
      <c r="E21" s="364">
        <v>18</v>
      </c>
      <c r="F21" s="80"/>
      <c r="G21" s="369">
        <v>0.62943000000000005</v>
      </c>
      <c r="H21" s="369">
        <v>7.1574400000000002</v>
      </c>
      <c r="I21" s="364"/>
      <c r="J21" s="364"/>
      <c r="K21" s="364"/>
      <c r="L21" s="364"/>
      <c r="M21" s="369">
        <f>SUM(F21:L21)</f>
        <v>7.7868700000000004</v>
      </c>
      <c r="N21" s="369">
        <f>M21/E21*100</f>
        <v>43.26038888888889</v>
      </c>
    </row>
    <row r="22" spans="1:14" ht="22.5">
      <c r="A22" s="364" t="s">
        <v>234</v>
      </c>
      <c r="B22" s="364">
        <v>7000</v>
      </c>
      <c r="C22" s="367" t="s">
        <v>4369</v>
      </c>
      <c r="D22" s="375">
        <f>5.6-2.7</f>
        <v>2.8999999999999995</v>
      </c>
      <c r="E22" s="364">
        <v>2.56</v>
      </c>
      <c r="F22" s="80"/>
      <c r="G22" s="364">
        <v>0</v>
      </c>
      <c r="H22" s="369">
        <v>2.1037499999999998</v>
      </c>
      <c r="I22" s="364"/>
      <c r="J22" s="364"/>
      <c r="K22" s="364"/>
      <c r="L22" s="364"/>
      <c r="M22" s="369">
        <f t="shared" ref="M22:M29" si="0">SUM(F22:L22)</f>
        <v>2.1037499999999998</v>
      </c>
      <c r="N22" s="369">
        <f t="shared" ref="N22:N30" si="1">M22/E22*100</f>
        <v>82.177734374999986</v>
      </c>
    </row>
    <row r="23" spans="1:14" ht="22.5">
      <c r="A23" s="364" t="s">
        <v>235</v>
      </c>
      <c r="B23" s="364">
        <v>43000</v>
      </c>
      <c r="C23" s="367" t="s">
        <v>236</v>
      </c>
      <c r="D23" s="375">
        <f>0.43+2.7</f>
        <v>3.1300000000000003</v>
      </c>
      <c r="E23" s="364">
        <v>0.35</v>
      </c>
      <c r="F23" s="80"/>
      <c r="G23" s="364">
        <v>0.18</v>
      </c>
      <c r="H23" s="364">
        <v>0</v>
      </c>
      <c r="I23" s="364"/>
      <c r="J23" s="364"/>
      <c r="K23" s="364"/>
      <c r="L23" s="364"/>
      <c r="M23" s="364">
        <f t="shared" si="0"/>
        <v>0.18</v>
      </c>
      <c r="N23" s="369">
        <f t="shared" si="1"/>
        <v>51.428571428571438</v>
      </c>
    </row>
    <row r="24" spans="1:14" ht="22.5">
      <c r="A24" s="364" t="s">
        <v>237</v>
      </c>
      <c r="B24" s="364">
        <v>37000</v>
      </c>
      <c r="C24" s="367" t="s">
        <v>236</v>
      </c>
      <c r="D24" s="375">
        <v>0.37</v>
      </c>
      <c r="E24" s="364">
        <v>0.28999999999999998</v>
      </c>
      <c r="F24" s="80"/>
      <c r="G24" s="369">
        <v>0.1598</v>
      </c>
      <c r="H24" s="364">
        <v>0</v>
      </c>
      <c r="I24" s="364"/>
      <c r="J24" s="364"/>
      <c r="K24" s="364"/>
      <c r="L24" s="364"/>
      <c r="M24" s="369">
        <f t="shared" si="0"/>
        <v>0.1598</v>
      </c>
      <c r="N24" s="369">
        <f t="shared" si="1"/>
        <v>55.103448275862078</v>
      </c>
    </row>
    <row r="25" spans="1:14">
      <c r="A25" s="364" t="s">
        <v>238</v>
      </c>
      <c r="B25" s="364">
        <v>1200</v>
      </c>
      <c r="C25" s="367" t="s">
        <v>4369</v>
      </c>
      <c r="D25" s="368">
        <f>B25*J1/100000</f>
        <v>4.3136400000000004</v>
      </c>
      <c r="E25" s="364">
        <v>2</v>
      </c>
      <c r="F25" s="80"/>
      <c r="G25" s="364">
        <v>0</v>
      </c>
      <c r="H25" s="369">
        <v>0.97013000000000005</v>
      </c>
      <c r="I25" s="364"/>
      <c r="J25" s="364"/>
      <c r="K25" s="364"/>
      <c r="L25" s="364"/>
      <c r="M25" s="369">
        <f t="shared" si="0"/>
        <v>0.97013000000000005</v>
      </c>
      <c r="N25" s="369">
        <f t="shared" si="1"/>
        <v>48.506500000000003</v>
      </c>
    </row>
    <row r="26" spans="1:14">
      <c r="A26" s="364" t="s">
        <v>667</v>
      </c>
      <c r="B26" s="364">
        <v>565</v>
      </c>
      <c r="C26" s="367" t="s">
        <v>1036</v>
      </c>
      <c r="D26" s="368">
        <f>B26*J1/100000</f>
        <v>2.0310055</v>
      </c>
      <c r="E26" s="364">
        <v>2.0299999999999998</v>
      </c>
      <c r="F26" s="80"/>
      <c r="G26" s="369">
        <v>2.76206</v>
      </c>
      <c r="H26" s="364">
        <v>0</v>
      </c>
      <c r="I26" s="364"/>
      <c r="J26" s="364"/>
      <c r="K26" s="364"/>
      <c r="L26" s="364"/>
      <c r="M26" s="369">
        <f t="shared" si="0"/>
        <v>2.76206</v>
      </c>
      <c r="N26" s="369">
        <f t="shared" si="1"/>
        <v>136.06206896551726</v>
      </c>
    </row>
    <row r="27" spans="1:14">
      <c r="A27" s="364" t="s">
        <v>240</v>
      </c>
      <c r="B27" s="364">
        <v>1000</v>
      </c>
      <c r="C27" s="367" t="s">
        <v>1036</v>
      </c>
      <c r="D27" s="368">
        <f>B27*J1/100000</f>
        <v>3.5947</v>
      </c>
      <c r="E27" s="364">
        <v>0</v>
      </c>
      <c r="F27" s="80"/>
      <c r="G27" s="364">
        <v>0</v>
      </c>
      <c r="H27" s="364">
        <v>0</v>
      </c>
      <c r="I27" s="364"/>
      <c r="J27" s="364"/>
      <c r="K27" s="364"/>
      <c r="L27" s="364"/>
      <c r="M27" s="364">
        <f t="shared" si="0"/>
        <v>0</v>
      </c>
      <c r="N27" s="364" t="e">
        <f t="shared" si="1"/>
        <v>#DIV/0!</v>
      </c>
    </row>
    <row r="28" spans="1:14">
      <c r="A28" s="364" t="s">
        <v>241</v>
      </c>
      <c r="B28" s="364">
        <v>2750</v>
      </c>
      <c r="C28" s="367" t="s">
        <v>1036</v>
      </c>
      <c r="D28" s="375">
        <v>2.31</v>
      </c>
      <c r="E28" s="364">
        <v>0.59499999999999997</v>
      </c>
      <c r="F28" s="80"/>
      <c r="G28" s="369">
        <v>0.27805999999999997</v>
      </c>
      <c r="H28" s="369">
        <v>1.8799999999999999E-3</v>
      </c>
      <c r="I28" s="364"/>
      <c r="J28" s="364"/>
      <c r="K28" s="364"/>
      <c r="L28" s="364"/>
      <c r="M28" s="369">
        <f t="shared" si="0"/>
        <v>0.27993999999999997</v>
      </c>
      <c r="N28" s="369">
        <f t="shared" si="1"/>
        <v>47.048739495798316</v>
      </c>
    </row>
    <row r="29" spans="1:14">
      <c r="A29" s="364" t="s">
        <v>670</v>
      </c>
      <c r="B29" s="364">
        <v>10000</v>
      </c>
      <c r="C29" s="367" t="s">
        <v>244</v>
      </c>
      <c r="D29" s="375">
        <v>0.1</v>
      </c>
      <c r="E29" s="364">
        <v>0.1</v>
      </c>
      <c r="F29" s="364"/>
      <c r="G29" s="364"/>
      <c r="H29" s="364"/>
      <c r="I29" s="364"/>
      <c r="J29" s="364"/>
      <c r="K29" s="364"/>
      <c r="L29" s="364"/>
      <c r="M29" s="364">
        <f t="shared" si="0"/>
        <v>0</v>
      </c>
      <c r="N29" s="364">
        <f t="shared" si="1"/>
        <v>0</v>
      </c>
    </row>
    <row r="30" spans="1:14">
      <c r="A30" s="370" t="s">
        <v>245</v>
      </c>
      <c r="B30" s="370"/>
      <c r="C30" s="366"/>
      <c r="D30" s="371">
        <f>SUM(D21:D29)</f>
        <v>47.5069455</v>
      </c>
      <c r="E30" s="371">
        <f t="shared" ref="E30:M30" si="2">SUM(E21:E29)</f>
        <v>25.925000000000001</v>
      </c>
      <c r="F30" s="371">
        <f t="shared" si="2"/>
        <v>0</v>
      </c>
      <c r="G30" s="371">
        <f t="shared" si="2"/>
        <v>4.0093499999999995</v>
      </c>
      <c r="H30" s="371">
        <f t="shared" si="2"/>
        <v>10.233199999999998</v>
      </c>
      <c r="I30" s="371">
        <f t="shared" si="2"/>
        <v>0</v>
      </c>
      <c r="J30" s="371">
        <f t="shared" si="2"/>
        <v>0</v>
      </c>
      <c r="K30" s="371">
        <f t="shared" si="2"/>
        <v>0</v>
      </c>
      <c r="L30" s="371">
        <f t="shared" si="2"/>
        <v>0</v>
      </c>
      <c r="M30" s="371">
        <f t="shared" si="2"/>
        <v>14.24255</v>
      </c>
      <c r="N30" s="369">
        <f t="shared" si="1"/>
        <v>54.937512054001928</v>
      </c>
    </row>
  </sheetData>
  <mergeCells count="14">
    <mergeCell ref="F19:N19"/>
    <mergeCell ref="B1:C1"/>
    <mergeCell ref="F1:G1"/>
    <mergeCell ref="H1:I1"/>
    <mergeCell ref="B3:C3"/>
    <mergeCell ref="F3:G3"/>
    <mergeCell ref="B5:C5"/>
    <mergeCell ref="F5:I6"/>
    <mergeCell ref="A2:C2"/>
    <mergeCell ref="A19:A20"/>
    <mergeCell ref="B19:B20"/>
    <mergeCell ref="C19:C20"/>
    <mergeCell ref="D19:D20"/>
    <mergeCell ref="E19:E20"/>
  </mergeCells>
  <hyperlinks>
    <hyperlink ref="A2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>
      <c r="A1" s="46" t="s">
        <v>4347</v>
      </c>
      <c r="B1" s="914" t="s">
        <v>5080</v>
      </c>
      <c r="C1" s="915"/>
      <c r="D1" s="46" t="s">
        <v>4349</v>
      </c>
      <c r="E1" s="46"/>
      <c r="F1" s="916" t="s">
        <v>5081</v>
      </c>
      <c r="G1" s="917"/>
      <c r="H1" s="851" t="s">
        <v>5</v>
      </c>
      <c r="I1" s="852"/>
      <c r="J1" s="47">
        <v>657.68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5082</v>
      </c>
      <c r="C3" s="844"/>
      <c r="D3" s="46" t="s">
        <v>1208</v>
      </c>
      <c r="E3" s="46"/>
      <c r="F3" s="843" t="s">
        <v>5083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5084</v>
      </c>
      <c r="C5" s="844"/>
      <c r="D5" s="46" t="s">
        <v>4355</v>
      </c>
      <c r="E5" s="46"/>
      <c r="F5" s="845" t="s">
        <v>5085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5086</v>
      </c>
      <c r="C8" s="853"/>
      <c r="D8" s="853" t="s">
        <v>5087</v>
      </c>
      <c r="E8" s="853"/>
      <c r="F8" s="853"/>
      <c r="G8" s="854"/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2438</v>
      </c>
      <c r="C9" s="853"/>
      <c r="D9" s="853" t="s">
        <v>2438</v>
      </c>
      <c r="E9" s="853"/>
      <c r="F9" s="853"/>
      <c r="G9" s="854"/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2438</v>
      </c>
      <c r="C10" s="853"/>
      <c r="D10" s="853" t="s">
        <v>2438</v>
      </c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2438</v>
      </c>
      <c r="C11" s="853"/>
      <c r="D11" s="853" t="s">
        <v>2438</v>
      </c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2</v>
      </c>
      <c r="C13" s="46" t="s">
        <v>4366</v>
      </c>
      <c r="D13" s="46"/>
      <c r="E13" s="46"/>
      <c r="F13" s="47">
        <v>0</v>
      </c>
      <c r="G13" s="46" t="s">
        <v>1491</v>
      </c>
      <c r="H13" s="47">
        <v>12</v>
      </c>
      <c r="I13" s="46" t="s">
        <v>1492</v>
      </c>
      <c r="J13" s="47">
        <v>2</v>
      </c>
      <c r="K13" s="46" t="s">
        <v>1493</v>
      </c>
      <c r="L13" s="47"/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>
      <c r="A15" s="46" t="s">
        <v>646</v>
      </c>
      <c r="B15" s="46"/>
      <c r="C15" s="46" t="s">
        <v>204</v>
      </c>
      <c r="D15" s="47">
        <v>169</v>
      </c>
      <c r="E15" s="46" t="s">
        <v>205</v>
      </c>
      <c r="F15" s="47">
        <v>1</v>
      </c>
      <c r="G15" s="46" t="s">
        <v>206</v>
      </c>
      <c r="H15" s="47">
        <v>1</v>
      </c>
      <c r="I15" s="46" t="s">
        <v>230</v>
      </c>
      <c r="J15" s="47">
        <v>171</v>
      </c>
      <c r="K15" s="46" t="s">
        <v>207</v>
      </c>
      <c r="L15" s="47">
        <v>23</v>
      </c>
      <c r="M15" s="72" t="s">
        <v>4367</v>
      </c>
      <c r="N15" s="47">
        <v>26</v>
      </c>
    </row>
    <row r="16" spans="1:14">
      <c r="A16" s="46" t="s">
        <v>209</v>
      </c>
      <c r="B16" s="46"/>
      <c r="C16" s="46" t="s">
        <v>210</v>
      </c>
      <c r="D16" s="47">
        <v>465</v>
      </c>
      <c r="E16" s="46" t="s">
        <v>211</v>
      </c>
      <c r="F16" s="47">
        <v>5</v>
      </c>
      <c r="G16" s="46" t="s">
        <v>212</v>
      </c>
      <c r="H16" s="47">
        <v>2</v>
      </c>
      <c r="I16" s="46" t="s">
        <v>411</v>
      </c>
      <c r="J16" s="47">
        <f>H16+F16+D16</f>
        <v>472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445</v>
      </c>
      <c r="E17" s="46" t="s">
        <v>214</v>
      </c>
      <c r="F17" s="47">
        <v>7</v>
      </c>
      <c r="G17" s="46" t="s">
        <v>1494</v>
      </c>
      <c r="H17" s="47">
        <v>1</v>
      </c>
      <c r="I17" s="46" t="s">
        <v>410</v>
      </c>
      <c r="J17" s="47">
        <f>H17+F17+D17</f>
        <v>453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>
      <c r="A21" s="856"/>
      <c r="B21" s="856"/>
      <c r="C21" s="856"/>
      <c r="D21" s="856"/>
      <c r="E21" s="856"/>
      <c r="F21" s="80" t="s">
        <v>227</v>
      </c>
      <c r="G21" s="366" t="s">
        <v>228</v>
      </c>
      <c r="H21" s="366" t="s">
        <v>229</v>
      </c>
      <c r="I21" s="366">
        <v>4</v>
      </c>
      <c r="J21" s="366">
        <v>5</v>
      </c>
      <c r="K21" s="366">
        <v>6</v>
      </c>
      <c r="L21" s="366">
        <v>7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52.614400000000003</v>
      </c>
      <c r="E22" s="364">
        <v>18</v>
      </c>
      <c r="F22" s="80"/>
      <c r="G22" s="369">
        <v>0.63166</v>
      </c>
      <c r="H22" s="369">
        <v>6.7215699999999998</v>
      </c>
      <c r="I22" s="364"/>
      <c r="J22" s="364"/>
      <c r="K22" s="364"/>
      <c r="L22" s="364"/>
      <c r="M22" s="369">
        <f>SUM(F22:L22)</f>
        <v>7.3532299999999999</v>
      </c>
      <c r="N22" s="369">
        <f>M22/E22*100</f>
        <v>40.851277777777781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80"/>
      <c r="G23" s="364">
        <v>0</v>
      </c>
      <c r="H23" s="369">
        <v>2.1430099999999999</v>
      </c>
      <c r="I23" s="364"/>
      <c r="J23" s="364"/>
      <c r="K23" s="364"/>
      <c r="L23" s="364"/>
      <c r="M23" s="369">
        <f t="shared" ref="M23:M30" si="0">SUM(F23:L23)</f>
        <v>2.1430099999999999</v>
      </c>
      <c r="N23" s="369">
        <f t="shared" ref="N23:N31" si="1">M23/E23*100</f>
        <v>83.711328124999994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80"/>
      <c r="G24" s="364">
        <v>0.18</v>
      </c>
      <c r="H24" s="364">
        <v>0</v>
      </c>
      <c r="I24" s="364"/>
      <c r="J24" s="364"/>
      <c r="K24" s="364"/>
      <c r="L24" s="364"/>
      <c r="M24" s="364">
        <f t="shared" si="0"/>
        <v>0.18</v>
      </c>
      <c r="N24" s="369">
        <f t="shared" si="1"/>
        <v>51.428571428571438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80"/>
      <c r="G25" s="369">
        <v>0.1598</v>
      </c>
      <c r="H25" s="364">
        <v>0</v>
      </c>
      <c r="I25" s="364"/>
      <c r="J25" s="364"/>
      <c r="K25" s="364"/>
      <c r="L25" s="364"/>
      <c r="M25" s="369">
        <f t="shared" si="0"/>
        <v>0.1598</v>
      </c>
      <c r="N25" s="369">
        <f t="shared" si="1"/>
        <v>55.103448275862078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7.8921599999999987</v>
      </c>
      <c r="E26" s="364">
        <v>2</v>
      </c>
      <c r="F26" s="80"/>
      <c r="G26" s="364">
        <v>0</v>
      </c>
      <c r="H26" s="369">
        <v>1.3491599999999999</v>
      </c>
      <c r="I26" s="364"/>
      <c r="J26" s="364"/>
      <c r="K26" s="364"/>
      <c r="L26" s="364"/>
      <c r="M26" s="369">
        <f t="shared" si="0"/>
        <v>1.3491599999999999</v>
      </c>
      <c r="N26" s="369">
        <f t="shared" si="1"/>
        <v>67.457999999999998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3.7158919999999998</v>
      </c>
      <c r="E27" s="364">
        <v>3.72</v>
      </c>
      <c r="F27" s="80"/>
      <c r="G27" s="369">
        <v>2.8835299999999999</v>
      </c>
      <c r="H27" s="364">
        <v>0</v>
      </c>
      <c r="I27" s="364"/>
      <c r="J27" s="364"/>
      <c r="K27" s="364"/>
      <c r="L27" s="364"/>
      <c r="M27" s="369">
        <f t="shared" si="0"/>
        <v>2.8835299999999999</v>
      </c>
      <c r="N27" s="369">
        <f t="shared" si="1"/>
        <v>77.514247311827958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6.5768000000000004</v>
      </c>
      <c r="E28" s="364">
        <v>0</v>
      </c>
      <c r="F28" s="80"/>
      <c r="G28" s="364">
        <v>0</v>
      </c>
      <c r="H28" s="364">
        <v>0</v>
      </c>
      <c r="I28" s="364"/>
      <c r="J28" s="364"/>
      <c r="K28" s="364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4">
        <v>0.59499999999999997</v>
      </c>
      <c r="F29" s="80"/>
      <c r="G29" s="369">
        <v>0.24656</v>
      </c>
      <c r="H29" s="369">
        <v>0.20197999999999999</v>
      </c>
      <c r="I29" s="364"/>
      <c r="J29" s="364"/>
      <c r="K29" s="364"/>
      <c r="L29" s="364"/>
      <c r="M29" s="369">
        <f t="shared" si="0"/>
        <v>0.44853999999999999</v>
      </c>
      <c r="N29" s="369">
        <f t="shared" si="1"/>
        <v>75.384873949579827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79.609251999999998</v>
      </c>
      <c r="E31" s="371">
        <f t="shared" ref="E31:M31" si="2">SUM(E22:E30)</f>
        <v>27.614999999999998</v>
      </c>
      <c r="F31" s="371">
        <f t="shared" si="2"/>
        <v>0</v>
      </c>
      <c r="G31" s="371">
        <f t="shared" si="2"/>
        <v>4.1015499999999996</v>
      </c>
      <c r="H31" s="371">
        <f t="shared" si="2"/>
        <v>10.41572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14.51727</v>
      </c>
      <c r="N31" s="369">
        <f t="shared" si="1"/>
        <v>52.570233568712652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 s="403" customFormat="1">
      <c r="A1" s="401" t="s">
        <v>4347</v>
      </c>
      <c r="B1" s="914" t="s">
        <v>5088</v>
      </c>
      <c r="C1" s="915"/>
      <c r="D1" s="401" t="s">
        <v>4349</v>
      </c>
      <c r="E1" s="401"/>
      <c r="F1" s="918" t="s">
        <v>5089</v>
      </c>
      <c r="G1" s="915"/>
      <c r="H1" s="919" t="s">
        <v>5</v>
      </c>
      <c r="I1" s="920"/>
      <c r="J1" s="402">
        <v>480.27</v>
      </c>
      <c r="K1" s="401" t="s">
        <v>436</v>
      </c>
      <c r="L1" s="401"/>
      <c r="M1" s="402"/>
      <c r="N1" s="401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5090</v>
      </c>
      <c r="C3" s="844"/>
      <c r="D3" s="46" t="s">
        <v>1208</v>
      </c>
      <c r="E3" s="46"/>
      <c r="F3" s="843" t="s">
        <v>5091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5092</v>
      </c>
      <c r="C5" s="844"/>
      <c r="D5" s="46" t="s">
        <v>4355</v>
      </c>
      <c r="E5" s="46"/>
      <c r="F5" s="845" t="s">
        <v>5093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5094</v>
      </c>
      <c r="C8" s="853"/>
      <c r="D8" s="853" t="s">
        <v>5095</v>
      </c>
      <c r="E8" s="853"/>
      <c r="F8" s="853"/>
      <c r="G8" s="854" t="s">
        <v>5096</v>
      </c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2438</v>
      </c>
      <c r="C9" s="853"/>
      <c r="D9" s="853" t="s">
        <v>2438</v>
      </c>
      <c r="E9" s="853"/>
      <c r="F9" s="853"/>
      <c r="G9" s="854" t="s">
        <v>2438</v>
      </c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2438</v>
      </c>
      <c r="C10" s="853"/>
      <c r="D10" s="853" t="s">
        <v>2438</v>
      </c>
      <c r="E10" s="853"/>
      <c r="F10" s="853"/>
      <c r="G10" s="854" t="s">
        <v>2438</v>
      </c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2438</v>
      </c>
      <c r="C11" s="853"/>
      <c r="D11" s="853" t="s">
        <v>2438</v>
      </c>
      <c r="E11" s="853"/>
      <c r="F11" s="853"/>
      <c r="G11" s="854" t="s">
        <v>2438</v>
      </c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3</v>
      </c>
      <c r="C13" s="46" t="s">
        <v>4366</v>
      </c>
      <c r="D13" s="46"/>
      <c r="E13" s="46"/>
      <c r="F13" s="47">
        <v>0</v>
      </c>
      <c r="G13" s="46" t="s">
        <v>1491</v>
      </c>
      <c r="H13" s="47">
        <v>9</v>
      </c>
      <c r="I13" s="46" t="s">
        <v>1492</v>
      </c>
      <c r="J13" s="47">
        <v>3</v>
      </c>
      <c r="K13" s="46" t="s">
        <v>1493</v>
      </c>
      <c r="L13" s="47"/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>
      <c r="A15" s="46" t="s">
        <v>646</v>
      </c>
      <c r="B15" s="46"/>
      <c r="C15" s="46" t="s">
        <v>204</v>
      </c>
      <c r="D15" s="47">
        <v>123</v>
      </c>
      <c r="E15" s="46" t="s">
        <v>205</v>
      </c>
      <c r="F15" s="47">
        <v>0</v>
      </c>
      <c r="G15" s="46" t="s">
        <v>206</v>
      </c>
      <c r="H15" s="47">
        <v>38</v>
      </c>
      <c r="I15" s="46" t="s">
        <v>230</v>
      </c>
      <c r="J15" s="47">
        <v>161</v>
      </c>
      <c r="K15" s="46" t="s">
        <v>207</v>
      </c>
      <c r="L15" s="47">
        <v>38</v>
      </c>
      <c r="M15" s="72" t="s">
        <v>4367</v>
      </c>
      <c r="N15" s="47">
        <v>25</v>
      </c>
    </row>
    <row r="16" spans="1:14">
      <c r="A16" s="46" t="s">
        <v>209</v>
      </c>
      <c r="B16" s="46"/>
      <c r="C16" s="46" t="s">
        <v>210</v>
      </c>
      <c r="D16" s="47">
        <v>399</v>
      </c>
      <c r="E16" s="46" t="s">
        <v>211</v>
      </c>
      <c r="F16" s="47">
        <v>0</v>
      </c>
      <c r="G16" s="46" t="s">
        <v>212</v>
      </c>
      <c r="H16" s="47">
        <v>75</v>
      </c>
      <c r="I16" s="46" t="s">
        <v>411</v>
      </c>
      <c r="J16" s="47">
        <f>H16+F16+D16</f>
        <v>474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331</v>
      </c>
      <c r="E17" s="46" t="s">
        <v>214</v>
      </c>
      <c r="F17" s="47">
        <v>0</v>
      </c>
      <c r="G17" s="46" t="s">
        <v>1494</v>
      </c>
      <c r="H17" s="47">
        <v>79</v>
      </c>
      <c r="I17" s="46" t="s">
        <v>410</v>
      </c>
      <c r="J17" s="47">
        <f>H17+F17+D17</f>
        <v>410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>
      <c r="A21" s="856"/>
      <c r="B21" s="856"/>
      <c r="C21" s="856"/>
      <c r="D21" s="856"/>
      <c r="E21" s="856"/>
      <c r="F21" s="80" t="s">
        <v>227</v>
      </c>
      <c r="G21" s="366" t="s">
        <v>228</v>
      </c>
      <c r="H21" s="366" t="s">
        <v>229</v>
      </c>
      <c r="I21" s="366">
        <v>4</v>
      </c>
      <c r="J21" s="366">
        <v>5</v>
      </c>
      <c r="K21" s="366">
        <v>6</v>
      </c>
      <c r="L21" s="366">
        <v>7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38.421599999999998</v>
      </c>
      <c r="E22" s="364">
        <v>18</v>
      </c>
      <c r="F22" s="80"/>
      <c r="G22" s="369">
        <v>0.39765</v>
      </c>
      <c r="H22" s="364">
        <v>7.95</v>
      </c>
      <c r="I22" s="364"/>
      <c r="J22" s="364"/>
      <c r="K22" s="364"/>
      <c r="L22" s="364"/>
      <c r="M22" s="369">
        <f>SUM(F22:L22)</f>
        <v>8.3476499999999998</v>
      </c>
      <c r="N22" s="369">
        <f>M22/E22*100</f>
        <v>46.375833333333333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80"/>
      <c r="G23" s="364">
        <v>0</v>
      </c>
      <c r="H23" s="369">
        <v>2.04061</v>
      </c>
      <c r="I23" s="364"/>
      <c r="J23" s="364"/>
      <c r="K23" s="364"/>
      <c r="L23" s="364"/>
      <c r="M23" s="369">
        <f t="shared" ref="M23:M30" si="0">SUM(F23:L23)</f>
        <v>2.04061</v>
      </c>
      <c r="N23" s="369">
        <f t="shared" ref="N23:N31" si="1">M23/E23*100</f>
        <v>79.711328125000009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80"/>
      <c r="G24" s="364">
        <v>0.18</v>
      </c>
      <c r="H24" s="364">
        <v>0</v>
      </c>
      <c r="I24" s="364"/>
      <c r="J24" s="364"/>
      <c r="K24" s="364"/>
      <c r="L24" s="364"/>
      <c r="M24" s="364">
        <f t="shared" si="0"/>
        <v>0.18</v>
      </c>
      <c r="N24" s="369">
        <f t="shared" si="1"/>
        <v>51.428571428571438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80"/>
      <c r="G25" s="369">
        <v>0.1598</v>
      </c>
      <c r="H25" s="364">
        <v>0</v>
      </c>
      <c r="I25" s="364"/>
      <c r="J25" s="364"/>
      <c r="K25" s="364"/>
      <c r="L25" s="364"/>
      <c r="M25" s="369">
        <f t="shared" si="0"/>
        <v>0.1598</v>
      </c>
      <c r="N25" s="369">
        <f t="shared" si="1"/>
        <v>55.103448275862078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5.7632399999999997</v>
      </c>
      <c r="E26" s="364">
        <v>2</v>
      </c>
      <c r="F26" s="80"/>
      <c r="G26" s="364">
        <v>0</v>
      </c>
      <c r="H26" s="369">
        <v>1.31647</v>
      </c>
      <c r="I26" s="364"/>
      <c r="J26" s="364"/>
      <c r="K26" s="364"/>
      <c r="L26" s="364"/>
      <c r="M26" s="369">
        <f t="shared" si="0"/>
        <v>1.31647</v>
      </c>
      <c r="N26" s="369">
        <f t="shared" si="1"/>
        <v>65.823499999999996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2.7135254999999998</v>
      </c>
      <c r="E27" s="364">
        <v>2.71</v>
      </c>
      <c r="F27" s="80"/>
      <c r="G27" s="369">
        <v>2.6038000000000001</v>
      </c>
      <c r="H27" s="364">
        <v>0</v>
      </c>
      <c r="I27" s="364"/>
      <c r="J27" s="364"/>
      <c r="K27" s="364"/>
      <c r="L27" s="364"/>
      <c r="M27" s="369">
        <f t="shared" si="0"/>
        <v>2.6038000000000001</v>
      </c>
      <c r="N27" s="369">
        <f t="shared" si="1"/>
        <v>96.081180811808125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4.8026999999999997</v>
      </c>
      <c r="E28" s="364">
        <v>0</v>
      </c>
      <c r="F28" s="80"/>
      <c r="G28" s="364">
        <v>0</v>
      </c>
      <c r="H28" s="364">
        <v>0</v>
      </c>
      <c r="I28" s="364"/>
      <c r="J28" s="364"/>
      <c r="K28" s="364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80"/>
      <c r="G29" s="369">
        <v>0.14305999999999999</v>
      </c>
      <c r="H29" s="369">
        <v>0.28300999999999998</v>
      </c>
      <c r="I29" s="364"/>
      <c r="J29" s="364"/>
      <c r="K29" s="364"/>
      <c r="L29" s="364"/>
      <c r="M29" s="369">
        <f t="shared" si="0"/>
        <v>0.42606999999999995</v>
      </c>
      <c r="N29" s="369">
        <f t="shared" si="1"/>
        <v>71.608403361344529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60.511065500000008</v>
      </c>
      <c r="E31" s="371">
        <f t="shared" ref="E31:M31" si="2">SUM(E22:E30)</f>
        <v>26.605</v>
      </c>
      <c r="F31" s="371">
        <f t="shared" si="2"/>
        <v>0</v>
      </c>
      <c r="G31" s="371">
        <f t="shared" si="2"/>
        <v>3.4843100000000002</v>
      </c>
      <c r="H31" s="371">
        <f t="shared" si="2"/>
        <v>11.59009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15.074399999999999</v>
      </c>
      <c r="N31" s="369">
        <f t="shared" si="1"/>
        <v>56.660026310843826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 s="403" customFormat="1">
      <c r="A1" s="401" t="s">
        <v>4347</v>
      </c>
      <c r="B1" s="914" t="s">
        <v>5097</v>
      </c>
      <c r="C1" s="915"/>
      <c r="D1" s="401" t="s">
        <v>4349</v>
      </c>
      <c r="E1" s="401"/>
      <c r="F1" s="921" t="s">
        <v>5098</v>
      </c>
      <c r="G1" s="922"/>
      <c r="H1" s="919" t="s">
        <v>5</v>
      </c>
      <c r="I1" s="920"/>
      <c r="J1" s="402">
        <v>566.1</v>
      </c>
      <c r="K1" s="401" t="s">
        <v>436</v>
      </c>
      <c r="L1" s="401"/>
      <c r="M1" s="402"/>
      <c r="N1" s="401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5099</v>
      </c>
      <c r="C3" s="844"/>
      <c r="D3" s="46" t="s">
        <v>1208</v>
      </c>
      <c r="E3" s="46"/>
      <c r="F3" s="843" t="s">
        <v>5100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5101</v>
      </c>
      <c r="C5" s="844"/>
      <c r="D5" s="46" t="s">
        <v>4355</v>
      </c>
      <c r="E5" s="46"/>
      <c r="F5" s="845" t="s">
        <v>5102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5103</v>
      </c>
      <c r="C8" s="853"/>
      <c r="D8" s="853" t="s">
        <v>5104</v>
      </c>
      <c r="E8" s="853"/>
      <c r="F8" s="853"/>
      <c r="G8" s="854" t="s">
        <v>5105</v>
      </c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5106</v>
      </c>
      <c r="C9" s="853"/>
      <c r="D9" s="853" t="s">
        <v>5107</v>
      </c>
      <c r="E9" s="853"/>
      <c r="F9" s="853"/>
      <c r="G9" s="854" t="s">
        <v>5108</v>
      </c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5109</v>
      </c>
      <c r="C10" s="853"/>
      <c r="D10" s="853" t="s">
        <v>5110</v>
      </c>
      <c r="E10" s="853"/>
      <c r="F10" s="853"/>
      <c r="G10" s="854" t="s">
        <v>5111</v>
      </c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5101</v>
      </c>
      <c r="C11" s="853"/>
      <c r="D11" s="853" t="s">
        <v>5112</v>
      </c>
      <c r="E11" s="853"/>
      <c r="F11" s="853"/>
      <c r="G11" s="854" t="s">
        <v>5113</v>
      </c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3</v>
      </c>
      <c r="C13" s="46" t="s">
        <v>4366</v>
      </c>
      <c r="D13" s="46"/>
      <c r="E13" s="46"/>
      <c r="F13" s="47">
        <v>3</v>
      </c>
      <c r="G13" s="46" t="s">
        <v>1491</v>
      </c>
      <c r="H13" s="47">
        <v>12</v>
      </c>
      <c r="I13" s="46" t="s">
        <v>1492</v>
      </c>
      <c r="J13" s="47">
        <v>3</v>
      </c>
      <c r="K13" s="46" t="s">
        <v>1493</v>
      </c>
      <c r="L13" s="47"/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>
      <c r="A15" s="46" t="s">
        <v>646</v>
      </c>
      <c r="B15" s="46"/>
      <c r="C15" s="46" t="s">
        <v>204</v>
      </c>
      <c r="D15" s="47">
        <v>138</v>
      </c>
      <c r="E15" s="46" t="s">
        <v>205</v>
      </c>
      <c r="F15" s="47">
        <v>11</v>
      </c>
      <c r="G15" s="46" t="s">
        <v>206</v>
      </c>
      <c r="H15" s="47">
        <v>59</v>
      </c>
      <c r="I15" s="46" t="s">
        <v>230</v>
      </c>
      <c r="J15" s="47">
        <v>208</v>
      </c>
      <c r="K15" s="46" t="s">
        <v>207</v>
      </c>
      <c r="L15" s="47">
        <v>18</v>
      </c>
      <c r="M15" s="72" t="s">
        <v>4367</v>
      </c>
      <c r="N15" s="47">
        <v>63</v>
      </c>
    </row>
    <row r="16" spans="1:14">
      <c r="A16" s="46" t="s">
        <v>209</v>
      </c>
      <c r="B16" s="46"/>
      <c r="C16" s="46" t="s">
        <v>210</v>
      </c>
      <c r="D16" s="47">
        <v>392</v>
      </c>
      <c r="E16" s="46" t="s">
        <v>211</v>
      </c>
      <c r="F16" s="47">
        <v>30</v>
      </c>
      <c r="G16" s="46" t="s">
        <v>212</v>
      </c>
      <c r="H16" s="47">
        <v>182</v>
      </c>
      <c r="I16" s="46" t="s">
        <v>411</v>
      </c>
      <c r="J16" s="47">
        <f>H16+F16+D16</f>
        <v>604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368</v>
      </c>
      <c r="E17" s="46" t="s">
        <v>214</v>
      </c>
      <c r="F17" s="47">
        <v>32</v>
      </c>
      <c r="G17" s="46" t="s">
        <v>1494</v>
      </c>
      <c r="H17" s="47">
        <v>153</v>
      </c>
      <c r="I17" s="46" t="s">
        <v>410</v>
      </c>
      <c r="J17" s="47">
        <f>H17+F17+D17</f>
        <v>553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80" t="s">
        <v>227</v>
      </c>
      <c r="G22" s="366" t="s">
        <v>228</v>
      </c>
      <c r="H22" s="366" t="s">
        <v>229</v>
      </c>
      <c r="I22" s="366">
        <v>4</v>
      </c>
      <c r="J22" s="366">
        <v>5</v>
      </c>
      <c r="K22" s="366">
        <v>6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45.287999999999997</v>
      </c>
      <c r="E23" s="364">
        <v>18</v>
      </c>
      <c r="F23" s="80"/>
      <c r="G23" s="369">
        <v>1.18388</v>
      </c>
      <c r="H23" s="369">
        <v>12.503069999999999</v>
      </c>
      <c r="I23" s="364"/>
      <c r="J23" s="364"/>
      <c r="K23" s="364"/>
      <c r="L23" s="364"/>
      <c r="M23" s="369">
        <f>SUM(F23:L23)</f>
        <v>13.68695</v>
      </c>
      <c r="N23" s="369">
        <f>M23/E23*100</f>
        <v>76.038611111111109</v>
      </c>
    </row>
    <row r="24" spans="1:14" ht="22.5">
      <c r="A24" s="364" t="s">
        <v>234</v>
      </c>
      <c r="B24" s="364">
        <v>7000</v>
      </c>
      <c r="C24" s="367" t="s">
        <v>4369</v>
      </c>
      <c r="D24" s="375">
        <f>5.6-2.7</f>
        <v>2.8999999999999995</v>
      </c>
      <c r="E24" s="364">
        <v>2.56</v>
      </c>
      <c r="F24" s="80"/>
      <c r="G24" s="369">
        <v>0</v>
      </c>
      <c r="H24" s="369">
        <v>1.9805200000000001</v>
      </c>
      <c r="I24" s="364"/>
      <c r="J24" s="364"/>
      <c r="K24" s="364"/>
      <c r="L24" s="364"/>
      <c r="M24" s="369">
        <f t="shared" ref="M24:M31" si="0">SUM(F24:L24)</f>
        <v>1.9805200000000001</v>
      </c>
      <c r="N24" s="369">
        <f t="shared" ref="N24:N32" si="1">M24/E24*100</f>
        <v>77.364062500000003</v>
      </c>
    </row>
    <row r="25" spans="1:14" ht="22.5">
      <c r="A25" s="364" t="s">
        <v>235</v>
      </c>
      <c r="B25" s="364">
        <v>43000</v>
      </c>
      <c r="C25" s="367" t="s">
        <v>236</v>
      </c>
      <c r="D25" s="375">
        <f>0.43+2.7</f>
        <v>3.1300000000000003</v>
      </c>
      <c r="E25" s="364">
        <v>0.35</v>
      </c>
      <c r="F25" s="80"/>
      <c r="G25" s="364">
        <v>0.18</v>
      </c>
      <c r="H25" s="364">
        <v>0</v>
      </c>
      <c r="I25" s="364"/>
      <c r="J25" s="364"/>
      <c r="K25" s="364"/>
      <c r="L25" s="364"/>
      <c r="M25" s="364">
        <f t="shared" si="0"/>
        <v>0.18</v>
      </c>
      <c r="N25" s="369">
        <f t="shared" si="1"/>
        <v>51.428571428571438</v>
      </c>
    </row>
    <row r="26" spans="1:14" ht="22.5">
      <c r="A26" s="364" t="s">
        <v>237</v>
      </c>
      <c r="B26" s="364">
        <v>37000</v>
      </c>
      <c r="C26" s="367" t="s">
        <v>236</v>
      </c>
      <c r="D26" s="375">
        <v>0.37</v>
      </c>
      <c r="E26" s="364">
        <v>0.28999999999999998</v>
      </c>
      <c r="F26" s="80"/>
      <c r="G26" s="369">
        <v>0.1598</v>
      </c>
      <c r="H26" s="369">
        <v>0</v>
      </c>
      <c r="I26" s="364"/>
      <c r="J26" s="364"/>
      <c r="K26" s="364"/>
      <c r="L26" s="364"/>
      <c r="M26" s="369">
        <f t="shared" si="0"/>
        <v>0.1598</v>
      </c>
      <c r="N26" s="369">
        <f t="shared" si="1"/>
        <v>55.103448275862078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6.7931999999999997</v>
      </c>
      <c r="E27" s="364">
        <v>2</v>
      </c>
      <c r="F27" s="80"/>
      <c r="G27" s="369">
        <v>0</v>
      </c>
      <c r="H27" s="369">
        <v>0.93722000000000005</v>
      </c>
      <c r="I27" s="364"/>
      <c r="J27" s="364"/>
      <c r="K27" s="364"/>
      <c r="L27" s="364"/>
      <c r="M27" s="369">
        <f t="shared" si="0"/>
        <v>0.93722000000000005</v>
      </c>
      <c r="N27" s="369">
        <f t="shared" si="1"/>
        <v>46.861000000000004</v>
      </c>
    </row>
    <row r="28" spans="1:14">
      <c r="A28" s="364" t="s">
        <v>667</v>
      </c>
      <c r="B28" s="364">
        <v>565</v>
      </c>
      <c r="C28" s="367" t="s">
        <v>1036</v>
      </c>
      <c r="D28" s="368">
        <f>B28*J1/100000</f>
        <v>3.1984650000000001</v>
      </c>
      <c r="E28" s="364">
        <v>3.2</v>
      </c>
      <c r="F28" s="80"/>
      <c r="G28" s="369">
        <v>3.2614100000000001</v>
      </c>
      <c r="H28" s="364">
        <v>0</v>
      </c>
      <c r="I28" s="364"/>
      <c r="J28" s="364"/>
      <c r="K28" s="364"/>
      <c r="L28" s="364"/>
      <c r="M28" s="369">
        <f t="shared" si="0"/>
        <v>3.2614100000000001</v>
      </c>
      <c r="N28" s="369">
        <f t="shared" si="1"/>
        <v>101.9190625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5.6609999999999996</v>
      </c>
      <c r="E29" s="364">
        <v>0</v>
      </c>
      <c r="F29" s="80"/>
      <c r="G29" s="364">
        <v>0</v>
      </c>
      <c r="H29" s="364">
        <v>0</v>
      </c>
      <c r="I29" s="364"/>
      <c r="J29" s="364"/>
      <c r="K29" s="364"/>
      <c r="L29" s="364"/>
      <c r="M29" s="364">
        <f t="shared" si="0"/>
        <v>0</v>
      </c>
      <c r="N29" s="364" t="e">
        <f t="shared" si="1"/>
        <v>#DIV/0!</v>
      </c>
    </row>
    <row r="30" spans="1:14">
      <c r="A30" s="364" t="s">
        <v>241</v>
      </c>
      <c r="B30" s="364">
        <v>2750</v>
      </c>
      <c r="C30" s="367" t="s">
        <v>1036</v>
      </c>
      <c r="D30" s="375">
        <v>2.31</v>
      </c>
      <c r="E30" s="369">
        <v>0.59499999999999997</v>
      </c>
      <c r="F30" s="80"/>
      <c r="G30" s="369">
        <v>0.17102000000000001</v>
      </c>
      <c r="H30" s="369">
        <v>0.27450000000000002</v>
      </c>
      <c r="I30" s="364"/>
      <c r="J30" s="364"/>
      <c r="K30" s="364"/>
      <c r="L30" s="364"/>
      <c r="M30" s="369">
        <f t="shared" si="0"/>
        <v>0.44552000000000003</v>
      </c>
      <c r="N30" s="369">
        <f t="shared" si="1"/>
        <v>74.877310924369752</v>
      </c>
    </row>
    <row r="31" spans="1:14">
      <c r="A31" s="364" t="s">
        <v>670</v>
      </c>
      <c r="B31" s="364">
        <v>10000</v>
      </c>
      <c r="C31" s="367" t="s">
        <v>244</v>
      </c>
      <c r="D31" s="375">
        <v>0.1</v>
      </c>
      <c r="E31" s="364">
        <v>0.1</v>
      </c>
      <c r="F31" s="364"/>
      <c r="G31" s="364"/>
      <c r="H31" s="364"/>
      <c r="I31" s="364"/>
      <c r="J31" s="364"/>
      <c r="K31" s="364"/>
      <c r="L31" s="364"/>
      <c r="M31" s="364">
        <f t="shared" si="0"/>
        <v>0</v>
      </c>
      <c r="N31" s="364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69.750664999999984</v>
      </c>
      <c r="E32" s="371">
        <f t="shared" ref="E32:M32" si="2">SUM(E23:E31)</f>
        <v>27.094999999999999</v>
      </c>
      <c r="F32" s="371">
        <f t="shared" si="2"/>
        <v>0</v>
      </c>
      <c r="G32" s="371">
        <f t="shared" si="2"/>
        <v>4.9561100000000007</v>
      </c>
      <c r="H32" s="371">
        <f t="shared" si="2"/>
        <v>15.695309999999999</v>
      </c>
      <c r="I32" s="371">
        <f t="shared" si="2"/>
        <v>0</v>
      </c>
      <c r="J32" s="371">
        <f t="shared" si="2"/>
        <v>0</v>
      </c>
      <c r="K32" s="371">
        <f t="shared" si="2"/>
        <v>0</v>
      </c>
      <c r="L32" s="371">
        <f t="shared" si="2"/>
        <v>0</v>
      </c>
      <c r="M32" s="371">
        <f t="shared" si="2"/>
        <v>20.651419999999998</v>
      </c>
      <c r="N32" s="369">
        <f t="shared" si="1"/>
        <v>76.218564310758438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A21:A22"/>
    <mergeCell ref="B21:B22"/>
    <mergeCell ref="C21:C22"/>
    <mergeCell ref="D21:D22"/>
    <mergeCell ref="E21:E22"/>
  </mergeCells>
  <hyperlinks>
    <hyperlink ref="A2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N34"/>
  <sheetViews>
    <sheetView workbookViewId="0">
      <selection activeCell="A3" sqref="A3:C3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>
      <c r="A1" s="857" t="s">
        <v>167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</row>
    <row r="2" spans="1:14">
      <c r="A2" s="857" t="s">
        <v>5114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</row>
    <row r="3" spans="1:14">
      <c r="A3" s="808" t="s">
        <v>4176</v>
      </c>
      <c r="B3" s="808"/>
      <c r="C3" s="808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>
      <c r="A4" s="46" t="s">
        <v>4347</v>
      </c>
      <c r="B4" s="843" t="s">
        <v>5115</v>
      </c>
      <c r="C4" s="844"/>
      <c r="D4" s="46" t="s">
        <v>4349</v>
      </c>
      <c r="E4" s="46"/>
      <c r="F4" s="916" t="s">
        <v>5116</v>
      </c>
      <c r="G4" s="917"/>
      <c r="H4" s="851" t="s">
        <v>5</v>
      </c>
      <c r="I4" s="852"/>
      <c r="J4" s="47">
        <v>716.98</v>
      </c>
      <c r="K4" s="46" t="s">
        <v>436</v>
      </c>
      <c r="L4" s="46"/>
      <c r="M4" s="47"/>
      <c r="N4" s="46"/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43" t="s">
        <v>5117</v>
      </c>
      <c r="C6" s="844"/>
      <c r="D6" s="46" t="s">
        <v>1208</v>
      </c>
      <c r="E6" s="46"/>
      <c r="F6" s="843" t="s">
        <v>5118</v>
      </c>
      <c r="G6" s="844"/>
      <c r="H6" s="48"/>
      <c r="I6" s="48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46" t="s">
        <v>4353</v>
      </c>
      <c r="B8" s="843" t="s">
        <v>5119</v>
      </c>
      <c r="C8" s="844"/>
      <c r="D8" s="46" t="s">
        <v>4355</v>
      </c>
      <c r="E8" s="46"/>
      <c r="F8" s="845" t="s">
        <v>5120</v>
      </c>
      <c r="G8" s="846"/>
      <c r="H8" s="846"/>
      <c r="I8" s="847"/>
      <c r="J8" s="46"/>
      <c r="K8" s="46"/>
      <c r="L8" s="46"/>
      <c r="M8" s="46"/>
      <c r="N8" s="46"/>
    </row>
    <row r="9" spans="1:14">
      <c r="A9" s="46"/>
      <c r="B9" s="46"/>
      <c r="C9" s="46"/>
      <c r="D9" s="46" t="s">
        <v>4357</v>
      </c>
      <c r="E9" s="46"/>
      <c r="F9" s="848"/>
      <c r="G9" s="849"/>
      <c r="H9" s="849"/>
      <c r="I9" s="850"/>
      <c r="J9" s="46"/>
      <c r="K9" s="46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364" t="s">
        <v>838</v>
      </c>
      <c r="B11" s="853" t="s">
        <v>5121</v>
      </c>
      <c r="C11" s="853"/>
      <c r="D11" s="853" t="s">
        <v>5122</v>
      </c>
      <c r="E11" s="853"/>
      <c r="F11" s="853"/>
      <c r="G11" s="854" t="s">
        <v>5123</v>
      </c>
      <c r="H11" s="854"/>
      <c r="I11" s="854"/>
      <c r="J11" s="854" t="s">
        <v>5124</v>
      </c>
      <c r="K11" s="854"/>
      <c r="L11" s="854"/>
      <c r="M11" s="349" t="s">
        <v>2527</v>
      </c>
      <c r="N11" s="46"/>
    </row>
    <row r="12" spans="1:14">
      <c r="A12" s="364" t="s">
        <v>840</v>
      </c>
      <c r="B12" s="853" t="s">
        <v>5119</v>
      </c>
      <c r="C12" s="853"/>
      <c r="D12" s="853"/>
      <c r="E12" s="853"/>
      <c r="F12" s="853"/>
      <c r="G12" s="853"/>
      <c r="H12" s="853"/>
      <c r="I12" s="853"/>
      <c r="J12" s="854" t="s">
        <v>5125</v>
      </c>
      <c r="K12" s="854"/>
      <c r="L12" s="854"/>
      <c r="M12" s="47" t="s">
        <v>5126</v>
      </c>
      <c r="N12" s="46"/>
    </row>
    <row r="13" spans="1:14">
      <c r="A13" s="364" t="s">
        <v>4361</v>
      </c>
      <c r="B13" s="853" t="s">
        <v>5127</v>
      </c>
      <c r="C13" s="853"/>
      <c r="D13" s="853"/>
      <c r="E13" s="853"/>
      <c r="F13" s="853"/>
      <c r="G13" s="853"/>
      <c r="H13" s="853"/>
      <c r="I13" s="853"/>
      <c r="J13" s="854" t="s">
        <v>5128</v>
      </c>
      <c r="K13" s="854"/>
      <c r="L13" s="854"/>
      <c r="M13" s="47" t="s">
        <v>5129</v>
      </c>
      <c r="N13" s="46"/>
    </row>
    <row r="14" spans="1:14" ht="22.5">
      <c r="A14" s="364" t="s">
        <v>420</v>
      </c>
      <c r="B14" s="853" t="s">
        <v>5119</v>
      </c>
      <c r="C14" s="853"/>
      <c r="D14" s="853"/>
      <c r="E14" s="853"/>
      <c r="F14" s="853"/>
      <c r="G14" s="853"/>
      <c r="H14" s="853"/>
      <c r="I14" s="853"/>
      <c r="J14" s="854" t="s">
        <v>5130</v>
      </c>
      <c r="K14" s="854"/>
      <c r="L14" s="854"/>
      <c r="M14" s="47" t="s">
        <v>5131</v>
      </c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 t="s">
        <v>4365</v>
      </c>
      <c r="B16" s="47">
        <v>5</v>
      </c>
      <c r="C16" s="46" t="s">
        <v>4366</v>
      </c>
      <c r="D16" s="46"/>
      <c r="E16" s="46"/>
      <c r="F16" s="47">
        <v>3</v>
      </c>
      <c r="G16" s="46" t="s">
        <v>1491</v>
      </c>
      <c r="H16" s="47">
        <v>13</v>
      </c>
      <c r="I16" s="46" t="s">
        <v>1492</v>
      </c>
      <c r="J16" s="47">
        <v>3</v>
      </c>
      <c r="K16" s="46" t="s">
        <v>1493</v>
      </c>
      <c r="L16" s="47"/>
      <c r="M16" s="46"/>
      <c r="N16" s="46"/>
    </row>
    <row r="17" spans="1:14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4" ht="22.5">
      <c r="A18" s="46" t="s">
        <v>646</v>
      </c>
      <c r="B18" s="46"/>
      <c r="C18" s="46" t="s">
        <v>204</v>
      </c>
      <c r="D18" s="47">
        <v>120</v>
      </c>
      <c r="E18" s="46" t="s">
        <v>205</v>
      </c>
      <c r="F18" s="47">
        <v>11</v>
      </c>
      <c r="G18" s="46" t="s">
        <v>206</v>
      </c>
      <c r="H18" s="47">
        <v>132</v>
      </c>
      <c r="I18" s="46" t="s">
        <v>230</v>
      </c>
      <c r="J18" s="47">
        <v>263</v>
      </c>
      <c r="K18" s="46" t="s">
        <v>207</v>
      </c>
      <c r="L18" s="47">
        <v>26</v>
      </c>
      <c r="M18" s="72" t="s">
        <v>4367</v>
      </c>
      <c r="N18" s="47">
        <v>31</v>
      </c>
    </row>
    <row r="19" spans="1:14">
      <c r="A19" s="46" t="s">
        <v>209</v>
      </c>
      <c r="B19" s="46"/>
      <c r="C19" s="46" t="s">
        <v>210</v>
      </c>
      <c r="D19" s="47">
        <v>296</v>
      </c>
      <c r="E19" s="46" t="s">
        <v>211</v>
      </c>
      <c r="F19" s="47">
        <v>21</v>
      </c>
      <c r="G19" s="46" t="s">
        <v>212</v>
      </c>
      <c r="H19" s="47">
        <v>253</v>
      </c>
      <c r="I19" s="46" t="s">
        <v>411</v>
      </c>
      <c r="J19" s="47">
        <f>H19+F19+D19</f>
        <v>570</v>
      </c>
      <c r="K19" s="46"/>
      <c r="L19" s="46"/>
      <c r="M19" s="46"/>
      <c r="N19" s="46"/>
    </row>
    <row r="20" spans="1:14">
      <c r="A20" s="46"/>
      <c r="B20" s="46"/>
      <c r="C20" s="46" t="s">
        <v>213</v>
      </c>
      <c r="D20" s="47">
        <v>300</v>
      </c>
      <c r="E20" s="46" t="s">
        <v>214</v>
      </c>
      <c r="F20" s="47">
        <v>18</v>
      </c>
      <c r="G20" s="46" t="s">
        <v>1494</v>
      </c>
      <c r="H20" s="47">
        <v>267</v>
      </c>
      <c r="I20" s="46" t="s">
        <v>410</v>
      </c>
      <c r="J20" s="47">
        <f>H20+F20+D20</f>
        <v>585</v>
      </c>
      <c r="K20" s="46"/>
      <c r="L20" s="46"/>
      <c r="M20" s="46"/>
      <c r="N20" s="46"/>
    </row>
    <row r="21" spans="1:14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4">
      <c r="A22" s="365" t="s">
        <v>216</v>
      </c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4">
      <c r="A23" s="856" t="s">
        <v>217</v>
      </c>
      <c r="B23" s="856" t="s">
        <v>218</v>
      </c>
      <c r="C23" s="856" t="s">
        <v>219</v>
      </c>
      <c r="D23" s="856" t="s">
        <v>407</v>
      </c>
      <c r="E23" s="856" t="s">
        <v>864</v>
      </c>
      <c r="F23" s="855" t="s">
        <v>4368</v>
      </c>
      <c r="G23" s="855"/>
      <c r="H23" s="855"/>
      <c r="I23" s="855"/>
      <c r="J23" s="855"/>
      <c r="K23" s="855"/>
      <c r="L23" s="855"/>
      <c r="M23" s="855"/>
      <c r="N23" s="855"/>
    </row>
    <row r="24" spans="1:14">
      <c r="A24" s="856"/>
      <c r="B24" s="856"/>
      <c r="C24" s="856"/>
      <c r="D24" s="856"/>
      <c r="E24" s="856"/>
      <c r="F24" s="80" t="s">
        <v>227</v>
      </c>
      <c r="G24" s="366" t="s">
        <v>228</v>
      </c>
      <c r="H24" s="366" t="s">
        <v>229</v>
      </c>
      <c r="I24" s="366">
        <v>4</v>
      </c>
      <c r="J24" s="366">
        <v>5</v>
      </c>
      <c r="K24" s="366">
        <v>6</v>
      </c>
      <c r="L24" s="366">
        <v>7</v>
      </c>
      <c r="M24" s="366" t="s">
        <v>230</v>
      </c>
      <c r="N24" s="366" t="s">
        <v>231</v>
      </c>
    </row>
    <row r="25" spans="1:14">
      <c r="A25" s="364" t="s">
        <v>232</v>
      </c>
      <c r="B25" s="364">
        <v>8000</v>
      </c>
      <c r="C25" s="367" t="s">
        <v>4369</v>
      </c>
      <c r="D25" s="368">
        <f>B25*J4/100000</f>
        <v>57.358400000000003</v>
      </c>
      <c r="E25" s="364">
        <v>18</v>
      </c>
      <c r="F25" s="80"/>
      <c r="G25" s="369">
        <v>0.50524000000000002</v>
      </c>
      <c r="H25" s="369">
        <v>9.8836099999999991</v>
      </c>
      <c r="I25" s="364"/>
      <c r="J25" s="364"/>
      <c r="K25" s="364"/>
      <c r="L25" s="364"/>
      <c r="M25" s="369">
        <f>SUM(F25:L25)</f>
        <v>10.38885</v>
      </c>
      <c r="N25" s="369">
        <f>M25/E25*100</f>
        <v>57.715833333333336</v>
      </c>
    </row>
    <row r="26" spans="1:14" ht="22.5">
      <c r="A26" s="364" t="s">
        <v>234</v>
      </c>
      <c r="B26" s="364">
        <v>7000</v>
      </c>
      <c r="C26" s="367" t="s">
        <v>4369</v>
      </c>
      <c r="D26" s="375">
        <f>5.6-2.7</f>
        <v>2.8999999999999995</v>
      </c>
      <c r="E26" s="364">
        <v>2.56</v>
      </c>
      <c r="F26" s="80"/>
      <c r="G26" s="364">
        <v>0</v>
      </c>
      <c r="H26" s="369">
        <v>1.31671</v>
      </c>
      <c r="I26" s="364"/>
      <c r="J26" s="364"/>
      <c r="K26" s="364"/>
      <c r="L26" s="364"/>
      <c r="M26" s="369">
        <f t="shared" ref="M26:M33" si="0">SUM(F26:L26)</f>
        <v>1.31671</v>
      </c>
      <c r="N26" s="369">
        <f t="shared" ref="N26:N34" si="1">M26/E26*100</f>
        <v>51.433984374999994</v>
      </c>
    </row>
    <row r="27" spans="1:14" ht="22.5">
      <c r="A27" s="364" t="s">
        <v>235</v>
      </c>
      <c r="B27" s="364">
        <v>43000</v>
      </c>
      <c r="C27" s="367" t="s">
        <v>236</v>
      </c>
      <c r="D27" s="375">
        <f>0.43+2.7</f>
        <v>3.1300000000000003</v>
      </c>
      <c r="E27" s="364">
        <v>0.35</v>
      </c>
      <c r="F27" s="80"/>
      <c r="G27" s="364">
        <v>0.18</v>
      </c>
      <c r="H27" s="364">
        <v>0</v>
      </c>
      <c r="I27" s="364"/>
      <c r="J27" s="364"/>
      <c r="K27" s="364"/>
      <c r="L27" s="364"/>
      <c r="M27" s="364">
        <f t="shared" si="0"/>
        <v>0.18</v>
      </c>
      <c r="N27" s="369">
        <f t="shared" si="1"/>
        <v>51.428571428571438</v>
      </c>
    </row>
    <row r="28" spans="1:14" ht="22.5">
      <c r="A28" s="364" t="s">
        <v>237</v>
      </c>
      <c r="B28" s="364">
        <v>37000</v>
      </c>
      <c r="C28" s="367" t="s">
        <v>236</v>
      </c>
      <c r="D28" s="375">
        <v>0.37</v>
      </c>
      <c r="E28" s="364">
        <v>0.28999999999999998</v>
      </c>
      <c r="F28" s="80"/>
      <c r="G28" s="369">
        <v>0.1598</v>
      </c>
      <c r="H28" s="364">
        <v>0</v>
      </c>
      <c r="I28" s="364"/>
      <c r="J28" s="364"/>
      <c r="K28" s="364"/>
      <c r="L28" s="364"/>
      <c r="M28" s="369">
        <f t="shared" si="0"/>
        <v>0.1598</v>
      </c>
      <c r="N28" s="369">
        <f t="shared" si="1"/>
        <v>55.103448275862078</v>
      </c>
    </row>
    <row r="29" spans="1:14">
      <c r="A29" s="364" t="s">
        <v>238</v>
      </c>
      <c r="B29" s="364">
        <v>1200</v>
      </c>
      <c r="C29" s="367" t="s">
        <v>4369</v>
      </c>
      <c r="D29" s="368">
        <f>B29*J4/100000</f>
        <v>8.6037599999999994</v>
      </c>
      <c r="E29" s="364">
        <v>2</v>
      </c>
      <c r="F29" s="80"/>
      <c r="G29" s="364">
        <v>0</v>
      </c>
      <c r="H29" s="369">
        <v>0.99543999999999999</v>
      </c>
      <c r="I29" s="364"/>
      <c r="J29" s="364"/>
      <c r="K29" s="364"/>
      <c r="L29" s="364"/>
      <c r="M29" s="369">
        <f t="shared" si="0"/>
        <v>0.99543999999999999</v>
      </c>
      <c r="N29" s="369">
        <f t="shared" si="1"/>
        <v>49.771999999999998</v>
      </c>
    </row>
    <row r="30" spans="1:14">
      <c r="A30" s="364" t="s">
        <v>667</v>
      </c>
      <c r="B30" s="364">
        <v>565</v>
      </c>
      <c r="C30" s="367" t="s">
        <v>1036</v>
      </c>
      <c r="D30" s="368">
        <f>B30*J4/100000</f>
        <v>4.0509370000000002</v>
      </c>
      <c r="E30" s="364">
        <v>4.05</v>
      </c>
      <c r="F30" s="80"/>
      <c r="G30" s="364">
        <v>0</v>
      </c>
      <c r="H30" s="364">
        <v>0</v>
      </c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64" t="s">
        <v>240</v>
      </c>
      <c r="B31" s="364">
        <v>1000</v>
      </c>
      <c r="C31" s="367" t="s">
        <v>1036</v>
      </c>
      <c r="D31" s="368">
        <f>B31*J4/100000</f>
        <v>7.1698000000000004</v>
      </c>
      <c r="E31" s="364">
        <v>0</v>
      </c>
      <c r="F31" s="80"/>
      <c r="G31" s="364">
        <v>0</v>
      </c>
      <c r="H31" s="364">
        <v>0</v>
      </c>
      <c r="I31" s="364"/>
      <c r="J31" s="364"/>
      <c r="K31" s="364"/>
      <c r="L31" s="364"/>
      <c r="M31" s="364">
        <f t="shared" si="0"/>
        <v>0</v>
      </c>
      <c r="N31" s="364" t="e">
        <f t="shared" si="1"/>
        <v>#DIV/0!</v>
      </c>
    </row>
    <row r="32" spans="1:14">
      <c r="A32" s="364" t="s">
        <v>241</v>
      </c>
      <c r="B32" s="364">
        <v>2750</v>
      </c>
      <c r="C32" s="367" t="s">
        <v>1036</v>
      </c>
      <c r="D32" s="375">
        <v>2.31</v>
      </c>
      <c r="E32" s="364">
        <v>0.59499999999999997</v>
      </c>
      <c r="F32" s="80"/>
      <c r="G32" s="369">
        <v>0.17102000000000001</v>
      </c>
      <c r="H32" s="369">
        <v>0.29549999999999998</v>
      </c>
      <c r="I32" s="364"/>
      <c r="J32" s="364"/>
      <c r="K32" s="364"/>
      <c r="L32" s="364"/>
      <c r="M32" s="369">
        <f t="shared" si="0"/>
        <v>0.46651999999999999</v>
      </c>
      <c r="N32" s="369">
        <f t="shared" si="1"/>
        <v>78.406722689075636</v>
      </c>
    </row>
    <row r="33" spans="1:14">
      <c r="A33" s="364" t="s">
        <v>670</v>
      </c>
      <c r="B33" s="364">
        <v>10000</v>
      </c>
      <c r="C33" s="367" t="s">
        <v>244</v>
      </c>
      <c r="D33" s="375">
        <v>0.1</v>
      </c>
      <c r="E33" s="364">
        <v>0.1</v>
      </c>
      <c r="F33" s="364"/>
      <c r="G33" s="364"/>
      <c r="H33" s="364"/>
      <c r="I33" s="364"/>
      <c r="J33" s="364"/>
      <c r="K33" s="364"/>
      <c r="L33" s="364"/>
      <c r="M33" s="364">
        <f t="shared" si="0"/>
        <v>0</v>
      </c>
      <c r="N33" s="364">
        <f t="shared" si="1"/>
        <v>0</v>
      </c>
    </row>
    <row r="34" spans="1:14">
      <c r="A34" s="370" t="s">
        <v>245</v>
      </c>
      <c r="B34" s="370"/>
      <c r="C34" s="366"/>
      <c r="D34" s="371">
        <f>SUM(D25:D33)</f>
        <v>85.992896999999999</v>
      </c>
      <c r="E34" s="371">
        <f t="shared" ref="E34:M34" si="2">SUM(E25:E33)</f>
        <v>27.945</v>
      </c>
      <c r="F34" s="371">
        <f t="shared" si="2"/>
        <v>0</v>
      </c>
      <c r="G34" s="371">
        <f t="shared" si="2"/>
        <v>1.01606</v>
      </c>
      <c r="H34" s="371">
        <f t="shared" si="2"/>
        <v>12.49126</v>
      </c>
      <c r="I34" s="371">
        <f t="shared" si="2"/>
        <v>0</v>
      </c>
      <c r="J34" s="371">
        <f t="shared" si="2"/>
        <v>0</v>
      </c>
      <c r="K34" s="371">
        <f t="shared" si="2"/>
        <v>0</v>
      </c>
      <c r="L34" s="371">
        <f t="shared" si="2"/>
        <v>0</v>
      </c>
      <c r="M34" s="371">
        <f t="shared" si="2"/>
        <v>13.50732</v>
      </c>
      <c r="N34" s="369">
        <f t="shared" si="1"/>
        <v>48.335373054213633</v>
      </c>
    </row>
  </sheetData>
  <mergeCells count="26">
    <mergeCell ref="J11:L11"/>
    <mergeCell ref="A1:N1"/>
    <mergeCell ref="A2:N2"/>
    <mergeCell ref="B4:C4"/>
    <mergeCell ref="F4:G4"/>
    <mergeCell ref="H4:I4"/>
    <mergeCell ref="B6:C6"/>
    <mergeCell ref="F6:G6"/>
    <mergeCell ref="B8:C8"/>
    <mergeCell ref="F8:I9"/>
    <mergeCell ref="B11:C11"/>
    <mergeCell ref="D11:F11"/>
    <mergeCell ref="G11:I11"/>
    <mergeCell ref="A3:C3"/>
    <mergeCell ref="F23:N23"/>
    <mergeCell ref="B12:I12"/>
    <mergeCell ref="J12:L12"/>
    <mergeCell ref="B13:I13"/>
    <mergeCell ref="J13:L13"/>
    <mergeCell ref="B14:I14"/>
    <mergeCell ref="J14:L14"/>
    <mergeCell ref="A23:A24"/>
    <mergeCell ref="B23:B24"/>
    <mergeCell ref="C23:C24"/>
    <mergeCell ref="D23:D24"/>
    <mergeCell ref="E23:E24"/>
  </mergeCells>
  <hyperlinks>
    <hyperlink ref="A3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>
      <c r="A1" s="46" t="s">
        <v>4347</v>
      </c>
      <c r="B1" s="843" t="s">
        <v>5132</v>
      </c>
      <c r="C1" s="844"/>
      <c r="D1" s="46" t="s">
        <v>4349</v>
      </c>
      <c r="E1" s="46"/>
      <c r="F1" s="865" t="s">
        <v>5133</v>
      </c>
      <c r="G1" s="844"/>
      <c r="H1" s="851" t="s">
        <v>5</v>
      </c>
      <c r="I1" s="852"/>
      <c r="J1" s="47">
        <v>359.01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5134</v>
      </c>
      <c r="C3" s="844"/>
      <c r="D3" s="46" t="s">
        <v>1208</v>
      </c>
      <c r="E3" s="46"/>
      <c r="F3" s="843" t="s">
        <v>5135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5136</v>
      </c>
      <c r="C5" s="844"/>
      <c r="D5" s="46" t="s">
        <v>4355</v>
      </c>
      <c r="E5" s="46"/>
      <c r="F5" s="845" t="s">
        <v>5137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5138</v>
      </c>
      <c r="C8" s="853"/>
      <c r="D8" s="853" t="s">
        <v>5139</v>
      </c>
      <c r="E8" s="853"/>
      <c r="F8" s="853"/>
      <c r="G8" s="349" t="s">
        <v>5140</v>
      </c>
      <c r="H8" s="349" t="s">
        <v>5141</v>
      </c>
      <c r="I8" s="349" t="s">
        <v>3017</v>
      </c>
      <c r="J8" s="349"/>
      <c r="K8" s="349"/>
      <c r="L8" s="349"/>
      <c r="M8" s="46"/>
      <c r="N8" s="46"/>
    </row>
    <row r="9" spans="1:14">
      <c r="A9" s="364" t="s">
        <v>840</v>
      </c>
      <c r="B9" s="853" t="s">
        <v>2438</v>
      </c>
      <c r="C9" s="853"/>
      <c r="D9" s="853" t="s">
        <v>2438</v>
      </c>
      <c r="E9" s="853"/>
      <c r="F9" s="853"/>
      <c r="G9" s="349"/>
      <c r="H9" s="349"/>
      <c r="I9" s="349"/>
      <c r="J9" s="349"/>
      <c r="K9" s="349"/>
      <c r="L9" s="349"/>
      <c r="M9" s="46"/>
      <c r="N9" s="46"/>
    </row>
    <row r="10" spans="1:14">
      <c r="A10" s="364" t="s">
        <v>4361</v>
      </c>
      <c r="B10" s="853" t="s">
        <v>2438</v>
      </c>
      <c r="C10" s="853"/>
      <c r="D10" s="853" t="s">
        <v>2438</v>
      </c>
      <c r="E10" s="853"/>
      <c r="F10" s="853"/>
      <c r="G10" s="349"/>
      <c r="H10" s="349"/>
      <c r="I10" s="349"/>
      <c r="J10" s="349"/>
      <c r="K10" s="349"/>
      <c r="L10" s="349"/>
      <c r="M10" s="46"/>
      <c r="N10" s="46"/>
    </row>
    <row r="11" spans="1:14" ht="22.5">
      <c r="A11" s="364" t="s">
        <v>420</v>
      </c>
      <c r="B11" s="853" t="s">
        <v>2438</v>
      </c>
      <c r="C11" s="853"/>
      <c r="D11" s="853" t="s">
        <v>2438</v>
      </c>
      <c r="E11" s="853"/>
      <c r="F11" s="853"/>
      <c r="G11" s="349"/>
      <c r="H11" s="349"/>
      <c r="I11" s="349"/>
      <c r="J11" s="349"/>
      <c r="K11" s="349"/>
      <c r="L11" s="349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5</v>
      </c>
      <c r="C13" s="46" t="s">
        <v>4366</v>
      </c>
      <c r="D13" s="46"/>
      <c r="E13" s="46"/>
      <c r="F13" s="47">
        <v>0</v>
      </c>
      <c r="G13" s="46" t="s">
        <v>1491</v>
      </c>
      <c r="H13" s="47">
        <v>10</v>
      </c>
      <c r="I13" s="46" t="s">
        <v>1492</v>
      </c>
      <c r="J13" s="47">
        <v>1</v>
      </c>
      <c r="K13" s="46" t="s">
        <v>1493</v>
      </c>
      <c r="L13" s="47"/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>
      <c r="A15" s="46" t="s">
        <v>646</v>
      </c>
      <c r="B15" s="46"/>
      <c r="C15" s="46" t="s">
        <v>204</v>
      </c>
      <c r="D15" s="47">
        <v>34</v>
      </c>
      <c r="E15" s="46" t="s">
        <v>205</v>
      </c>
      <c r="F15" s="47">
        <v>87</v>
      </c>
      <c r="G15" s="46" t="s">
        <v>206</v>
      </c>
      <c r="H15" s="47">
        <v>107</v>
      </c>
      <c r="I15" s="46" t="s">
        <v>230</v>
      </c>
      <c r="J15" s="47">
        <v>228</v>
      </c>
      <c r="K15" s="46" t="s">
        <v>207</v>
      </c>
      <c r="L15" s="47">
        <v>24</v>
      </c>
      <c r="M15" s="72" t="s">
        <v>4367</v>
      </c>
      <c r="N15" s="47">
        <v>28</v>
      </c>
    </row>
    <row r="16" spans="1:14">
      <c r="A16" s="46" t="s">
        <v>209</v>
      </c>
      <c r="B16" s="46"/>
      <c r="C16" s="46" t="s">
        <v>210</v>
      </c>
      <c r="D16" s="47">
        <v>198</v>
      </c>
      <c r="E16" s="46" t="s">
        <v>211</v>
      </c>
      <c r="F16" s="47">
        <v>49</v>
      </c>
      <c r="G16" s="46" t="s">
        <v>212</v>
      </c>
      <c r="H16" s="47">
        <v>251</v>
      </c>
      <c r="I16" s="46" t="s">
        <v>411</v>
      </c>
      <c r="J16" s="47">
        <f>H16+F16+D16</f>
        <v>498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185</v>
      </c>
      <c r="E17" s="46" t="s">
        <v>214</v>
      </c>
      <c r="F17" s="47">
        <v>35</v>
      </c>
      <c r="G17" s="46" t="s">
        <v>1494</v>
      </c>
      <c r="H17" s="47">
        <v>251</v>
      </c>
      <c r="I17" s="46" t="s">
        <v>410</v>
      </c>
      <c r="J17" s="47">
        <f>H17+F17+D17</f>
        <v>471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>
      <c r="A21" s="856"/>
      <c r="B21" s="856"/>
      <c r="C21" s="856"/>
      <c r="D21" s="856"/>
      <c r="E21" s="856"/>
      <c r="F21" s="80" t="s">
        <v>227</v>
      </c>
      <c r="G21" s="366" t="s">
        <v>228</v>
      </c>
      <c r="H21" s="366" t="s">
        <v>229</v>
      </c>
      <c r="I21" s="366">
        <v>4</v>
      </c>
      <c r="J21" s="366">
        <v>5</v>
      </c>
      <c r="K21" s="366">
        <v>6</v>
      </c>
      <c r="L21" s="366">
        <v>7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28.720800000000001</v>
      </c>
      <c r="E22" s="364">
        <v>18</v>
      </c>
      <c r="F22" s="80"/>
      <c r="G22" s="369">
        <v>1.01854</v>
      </c>
      <c r="H22" s="369">
        <v>8.72959</v>
      </c>
      <c r="I22" s="364"/>
      <c r="J22" s="364"/>
      <c r="K22" s="364"/>
      <c r="L22" s="364"/>
      <c r="M22" s="369">
        <f>SUM(F22:L22)</f>
        <v>9.7481299999999997</v>
      </c>
      <c r="N22" s="369">
        <f>M22/E22*100</f>
        <v>54.156277777777774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80"/>
      <c r="G23" s="364">
        <v>0</v>
      </c>
      <c r="H23" s="369">
        <v>1.9674100000000001</v>
      </c>
      <c r="I23" s="364"/>
      <c r="J23" s="364"/>
      <c r="K23" s="364"/>
      <c r="L23" s="364"/>
      <c r="M23" s="369">
        <f t="shared" ref="M23:M30" si="0">SUM(F23:L23)</f>
        <v>1.9674100000000001</v>
      </c>
      <c r="N23" s="369">
        <f t="shared" ref="N23:N31" si="1">M23/E23*100</f>
        <v>76.851953125000009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80"/>
      <c r="G24" s="364">
        <v>0.18</v>
      </c>
      <c r="H24" s="364">
        <v>0</v>
      </c>
      <c r="I24" s="364"/>
      <c r="J24" s="364"/>
      <c r="K24" s="364"/>
      <c r="L24" s="364"/>
      <c r="M24" s="364">
        <f t="shared" si="0"/>
        <v>0.18</v>
      </c>
      <c r="N24" s="369">
        <f t="shared" si="1"/>
        <v>51.428571428571438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80"/>
      <c r="G25" s="369">
        <v>0.1598</v>
      </c>
      <c r="H25" s="364">
        <v>0</v>
      </c>
      <c r="I25" s="364"/>
      <c r="J25" s="364"/>
      <c r="K25" s="364"/>
      <c r="L25" s="364"/>
      <c r="M25" s="369">
        <f t="shared" si="0"/>
        <v>0.1598</v>
      </c>
      <c r="N25" s="369">
        <f t="shared" si="1"/>
        <v>55.103448275862078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4.3081199999999997</v>
      </c>
      <c r="E26" s="364">
        <v>2</v>
      </c>
      <c r="F26" s="80"/>
      <c r="G26" s="364">
        <v>0</v>
      </c>
      <c r="H26" s="369">
        <v>1.3900999999999999</v>
      </c>
      <c r="I26" s="364"/>
      <c r="J26" s="364"/>
      <c r="K26" s="364"/>
      <c r="L26" s="364"/>
      <c r="M26" s="369">
        <f t="shared" si="0"/>
        <v>1.3900999999999999</v>
      </c>
      <c r="N26" s="369">
        <f t="shared" si="1"/>
        <v>69.504999999999995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2.0284065</v>
      </c>
      <c r="E27" s="364">
        <v>2.0299999999999998</v>
      </c>
      <c r="F27" s="80"/>
      <c r="G27" s="369">
        <v>1.87286</v>
      </c>
      <c r="H27" s="364">
        <v>0</v>
      </c>
      <c r="I27" s="364"/>
      <c r="J27" s="364"/>
      <c r="K27" s="364"/>
      <c r="L27" s="364"/>
      <c r="M27" s="369">
        <f t="shared" si="0"/>
        <v>1.87286</v>
      </c>
      <c r="N27" s="369">
        <f t="shared" si="1"/>
        <v>92.259113300492629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3.5901000000000001</v>
      </c>
      <c r="E28" s="364">
        <v>0</v>
      </c>
      <c r="F28" s="80"/>
      <c r="G28" s="364">
        <v>0</v>
      </c>
      <c r="H28" s="364">
        <v>0</v>
      </c>
      <c r="I28" s="364"/>
      <c r="J28" s="364"/>
      <c r="K28" s="364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80"/>
      <c r="G29" s="369">
        <v>0.27805999999999997</v>
      </c>
      <c r="H29" s="369">
        <v>0.11600000000000001</v>
      </c>
      <c r="I29" s="364"/>
      <c r="J29" s="364"/>
      <c r="K29" s="364"/>
      <c r="L29" s="364"/>
      <c r="M29" s="369">
        <f t="shared" si="0"/>
        <v>0.39405999999999997</v>
      </c>
      <c r="N29" s="369">
        <f t="shared" si="1"/>
        <v>66.228571428571428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47.457426500000004</v>
      </c>
      <c r="E31" s="371">
        <f t="shared" ref="E31:M31" si="2">SUM(E22:E30)</f>
        <v>25.925000000000001</v>
      </c>
      <c r="F31" s="371">
        <f t="shared" si="2"/>
        <v>0</v>
      </c>
      <c r="G31" s="371">
        <f t="shared" si="2"/>
        <v>3.5092599999999998</v>
      </c>
      <c r="H31" s="371">
        <f t="shared" si="2"/>
        <v>12.203099999999999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15.71236</v>
      </c>
      <c r="N31" s="369">
        <f t="shared" si="1"/>
        <v>60.606981677917069</v>
      </c>
    </row>
  </sheetData>
  <mergeCells count="22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B9:C9"/>
    <mergeCell ref="D9:F9"/>
    <mergeCell ref="B10:C10"/>
    <mergeCell ref="D10:F10"/>
    <mergeCell ref="B11:C11"/>
    <mergeCell ref="D11:F11"/>
    <mergeCell ref="A20:A21"/>
    <mergeCell ref="B20:B21"/>
    <mergeCell ref="C20:C21"/>
    <mergeCell ref="D20:D21"/>
    <mergeCell ref="E20:E21"/>
    <mergeCell ref="F20:N20"/>
  </mergeCells>
  <hyperlinks>
    <hyperlink ref="A2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>
      <c r="A1" s="46" t="s">
        <v>4347</v>
      </c>
      <c r="B1" s="843" t="s">
        <v>5142</v>
      </c>
      <c r="C1" s="844"/>
      <c r="D1" s="46" t="s">
        <v>4349</v>
      </c>
      <c r="E1" s="46"/>
      <c r="F1" s="916" t="s">
        <v>5143</v>
      </c>
      <c r="G1" s="917"/>
      <c r="H1" s="851" t="s">
        <v>5</v>
      </c>
      <c r="I1" s="852"/>
      <c r="J1" s="47">
        <v>744.81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5144</v>
      </c>
      <c r="C3" s="844"/>
      <c r="D3" s="46" t="s">
        <v>1208</v>
      </c>
      <c r="E3" s="46"/>
      <c r="F3" s="843" t="s">
        <v>5145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5146</v>
      </c>
      <c r="C5" s="844"/>
      <c r="D5" s="46" t="s">
        <v>4355</v>
      </c>
      <c r="E5" s="46"/>
      <c r="F5" s="845" t="s">
        <v>5147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5148</v>
      </c>
      <c r="C8" s="853"/>
      <c r="D8" s="853" t="s">
        <v>5149</v>
      </c>
      <c r="E8" s="853"/>
      <c r="F8" s="853"/>
      <c r="G8" s="854" t="s">
        <v>5150</v>
      </c>
      <c r="H8" s="854"/>
      <c r="I8" s="854"/>
      <c r="J8" s="854" t="s">
        <v>5151</v>
      </c>
      <c r="K8" s="854"/>
      <c r="L8" s="854"/>
      <c r="M8" s="46"/>
      <c r="N8" s="46"/>
    </row>
    <row r="9" spans="1:14">
      <c r="A9" s="364" t="s">
        <v>840</v>
      </c>
      <c r="B9" s="866" t="s">
        <v>5152</v>
      </c>
      <c r="C9" s="868"/>
      <c r="D9" s="868"/>
      <c r="E9" s="868"/>
      <c r="F9" s="868"/>
      <c r="G9" s="868"/>
      <c r="H9" s="868"/>
      <c r="I9" s="867"/>
      <c r="J9" s="854" t="s">
        <v>5153</v>
      </c>
      <c r="K9" s="854"/>
      <c r="L9" s="854"/>
      <c r="M9" s="46"/>
      <c r="N9" s="46"/>
    </row>
    <row r="10" spans="1:14">
      <c r="A10" s="364" t="s">
        <v>4361</v>
      </c>
      <c r="B10" s="866" t="s">
        <v>5154</v>
      </c>
      <c r="C10" s="868"/>
      <c r="D10" s="868"/>
      <c r="E10" s="868"/>
      <c r="F10" s="868"/>
      <c r="G10" s="868"/>
      <c r="H10" s="868"/>
      <c r="I10" s="867"/>
      <c r="J10" s="854" t="s">
        <v>5155</v>
      </c>
      <c r="K10" s="854"/>
      <c r="L10" s="854"/>
      <c r="M10" s="46"/>
      <c r="N10" s="46"/>
    </row>
    <row r="11" spans="1:14" ht="22.5">
      <c r="A11" s="364" t="s">
        <v>420</v>
      </c>
      <c r="B11" s="866" t="s">
        <v>5156</v>
      </c>
      <c r="C11" s="868"/>
      <c r="D11" s="868"/>
      <c r="E11" s="868"/>
      <c r="F11" s="868"/>
      <c r="G11" s="868"/>
      <c r="H11" s="868"/>
      <c r="I11" s="867"/>
      <c r="J11" s="854" t="s">
        <v>5157</v>
      </c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>
        <v>2</v>
      </c>
      <c r="G13" s="46" t="s">
        <v>1491</v>
      </c>
      <c r="H13" s="47">
        <v>19</v>
      </c>
      <c r="I13" s="46" t="s">
        <v>1492</v>
      </c>
      <c r="J13" s="47">
        <v>2</v>
      </c>
      <c r="K13" s="46" t="s">
        <v>1493</v>
      </c>
      <c r="L13" s="47"/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>
      <c r="A15" s="46" t="s">
        <v>646</v>
      </c>
      <c r="B15" s="46"/>
      <c r="C15" s="46" t="s">
        <v>204</v>
      </c>
      <c r="D15" s="47">
        <v>87</v>
      </c>
      <c r="E15" s="46" t="s">
        <v>205</v>
      </c>
      <c r="F15" s="47">
        <v>0</v>
      </c>
      <c r="G15" s="46" t="s">
        <v>206</v>
      </c>
      <c r="H15" s="47">
        <v>16</v>
      </c>
      <c r="I15" s="46" t="s">
        <v>230</v>
      </c>
      <c r="J15" s="47">
        <v>103</v>
      </c>
      <c r="K15" s="46" t="s">
        <v>207</v>
      </c>
      <c r="L15" s="47">
        <v>25</v>
      </c>
      <c r="M15" s="72" t="s">
        <v>4367</v>
      </c>
      <c r="N15" s="47">
        <v>62</v>
      </c>
    </row>
    <row r="16" spans="1:14">
      <c r="A16" s="46" t="s">
        <v>209</v>
      </c>
      <c r="B16" s="46"/>
      <c r="C16" s="46" t="s">
        <v>210</v>
      </c>
      <c r="D16" s="47">
        <v>224</v>
      </c>
      <c r="E16" s="46" t="s">
        <v>211</v>
      </c>
      <c r="F16" s="47">
        <v>0</v>
      </c>
      <c r="G16" s="46" t="s">
        <v>212</v>
      </c>
      <c r="H16" s="47">
        <v>7</v>
      </c>
      <c r="I16" s="46" t="s">
        <v>411</v>
      </c>
      <c r="J16" s="47">
        <f>H16+F16+D16</f>
        <v>231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177</v>
      </c>
      <c r="E17" s="46" t="s">
        <v>214</v>
      </c>
      <c r="F17" s="47">
        <v>0</v>
      </c>
      <c r="G17" s="46" t="s">
        <v>1494</v>
      </c>
      <c r="H17" s="47">
        <v>7</v>
      </c>
      <c r="I17" s="46" t="s">
        <v>410</v>
      </c>
      <c r="J17" s="47">
        <f>H17+F17+D17</f>
        <v>184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>
      <c r="A21" s="856"/>
      <c r="B21" s="856"/>
      <c r="C21" s="856"/>
      <c r="D21" s="856"/>
      <c r="E21" s="856"/>
      <c r="F21" s="80" t="s">
        <v>227</v>
      </c>
      <c r="G21" s="366" t="s">
        <v>228</v>
      </c>
      <c r="H21" s="366" t="s">
        <v>229</v>
      </c>
      <c r="I21" s="366">
        <v>4</v>
      </c>
      <c r="J21" s="366">
        <v>5</v>
      </c>
      <c r="K21" s="366">
        <v>6</v>
      </c>
      <c r="L21" s="366">
        <v>7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59.584800000000001</v>
      </c>
      <c r="E22" s="364">
        <v>18</v>
      </c>
      <c r="F22" s="80"/>
      <c r="G22" s="369">
        <v>1.113</v>
      </c>
      <c r="H22" s="369">
        <v>15.242599999999999</v>
      </c>
      <c r="I22" s="364"/>
      <c r="J22" s="364"/>
      <c r="K22" s="364"/>
      <c r="L22" s="364"/>
      <c r="M22" s="369">
        <f>SUM(F22:L22)</f>
        <v>16.355599999999999</v>
      </c>
      <c r="N22" s="369">
        <f>M22/E22*100</f>
        <v>90.86444444444443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80"/>
      <c r="G23" s="364">
        <v>0</v>
      </c>
      <c r="H23" s="369">
        <v>2.3400500000000002</v>
      </c>
      <c r="I23" s="364"/>
      <c r="J23" s="364"/>
      <c r="K23" s="364"/>
      <c r="L23" s="364"/>
      <c r="M23" s="369">
        <f t="shared" ref="M23:M30" si="0">SUM(F23:L23)</f>
        <v>2.3400500000000002</v>
      </c>
      <c r="N23" s="369">
        <f t="shared" ref="N23:N31" si="1">M23/E23*100</f>
        <v>91.408203125000014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80"/>
      <c r="G24" s="364">
        <v>0.18</v>
      </c>
      <c r="H24" s="364">
        <v>0</v>
      </c>
      <c r="I24" s="364"/>
      <c r="J24" s="364"/>
      <c r="K24" s="364"/>
      <c r="L24" s="364"/>
      <c r="M24" s="364">
        <f t="shared" si="0"/>
        <v>0.18</v>
      </c>
      <c r="N24" s="369">
        <f t="shared" si="1"/>
        <v>51.428571428571438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80"/>
      <c r="G25" s="369">
        <v>0.1598</v>
      </c>
      <c r="H25" s="364">
        <v>0</v>
      </c>
      <c r="I25" s="364"/>
      <c r="J25" s="364"/>
      <c r="K25" s="364"/>
      <c r="L25" s="364"/>
      <c r="M25" s="369">
        <f t="shared" si="0"/>
        <v>0.1598</v>
      </c>
      <c r="N25" s="369">
        <f t="shared" si="1"/>
        <v>55.103448275862078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8.9377199999999988</v>
      </c>
      <c r="E26" s="364">
        <v>2</v>
      </c>
      <c r="F26" s="80"/>
      <c r="G26" s="364">
        <v>0</v>
      </c>
      <c r="H26" s="369">
        <v>0.98931999999999998</v>
      </c>
      <c r="I26" s="364"/>
      <c r="J26" s="364"/>
      <c r="K26" s="364"/>
      <c r="L26" s="364"/>
      <c r="M26" s="369">
        <f t="shared" si="0"/>
        <v>0.98931999999999998</v>
      </c>
      <c r="N26" s="369">
        <f t="shared" si="1"/>
        <v>49.466000000000001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4.2081764999999995</v>
      </c>
      <c r="E27" s="364">
        <v>4.21</v>
      </c>
      <c r="F27" s="80"/>
      <c r="G27" s="369">
        <v>2.6820599999999999</v>
      </c>
      <c r="H27" s="364">
        <v>0</v>
      </c>
      <c r="I27" s="364"/>
      <c r="J27" s="364"/>
      <c r="K27" s="364"/>
      <c r="L27" s="364"/>
      <c r="M27" s="369">
        <f t="shared" si="0"/>
        <v>2.6820599999999999</v>
      </c>
      <c r="N27" s="369">
        <f t="shared" si="1"/>
        <v>63.706888361045131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7.4481000000000002</v>
      </c>
      <c r="E28" s="364">
        <v>0</v>
      </c>
      <c r="F28" s="80"/>
      <c r="G28" s="364">
        <v>0</v>
      </c>
      <c r="H28" s="364">
        <v>0</v>
      </c>
      <c r="I28" s="364"/>
      <c r="J28" s="364"/>
      <c r="K28" s="364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80"/>
      <c r="G29" s="369">
        <v>0.16785</v>
      </c>
      <c r="H29" s="369">
        <v>0.36125000000000002</v>
      </c>
      <c r="I29" s="364"/>
      <c r="J29" s="364"/>
      <c r="K29" s="364"/>
      <c r="L29" s="364"/>
      <c r="M29" s="369">
        <f t="shared" si="0"/>
        <v>0.52910000000000001</v>
      </c>
      <c r="N29" s="369">
        <f t="shared" si="1"/>
        <v>88.924369747899163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88.988796499999992</v>
      </c>
      <c r="E31" s="371">
        <f t="shared" ref="E31:M31" si="2">SUM(E22:E30)</f>
        <v>28.105</v>
      </c>
      <c r="F31" s="371">
        <f t="shared" si="2"/>
        <v>0</v>
      </c>
      <c r="G31" s="371">
        <f t="shared" si="2"/>
        <v>4.3027099999999994</v>
      </c>
      <c r="H31" s="371">
        <f t="shared" si="2"/>
        <v>18.933219999999999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23.23593</v>
      </c>
      <c r="N31" s="369">
        <f t="shared" si="1"/>
        <v>82.675431417897173</v>
      </c>
    </row>
  </sheetData>
  <mergeCells count="24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I9"/>
    <mergeCell ref="J9:L9"/>
    <mergeCell ref="B10:I10"/>
    <mergeCell ref="J10:L10"/>
    <mergeCell ref="B11:I11"/>
    <mergeCell ref="J11:L11"/>
    <mergeCell ref="A20:A21"/>
    <mergeCell ref="B20:B21"/>
    <mergeCell ref="C20:C21"/>
    <mergeCell ref="D20:D21"/>
    <mergeCell ref="E20:E21"/>
    <mergeCell ref="F20:N20"/>
  </mergeCells>
  <hyperlinks>
    <hyperlink ref="A2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>
      <c r="A1" s="46" t="s">
        <v>4347</v>
      </c>
      <c r="B1" s="843" t="s">
        <v>5158</v>
      </c>
      <c r="C1" s="844"/>
      <c r="D1" s="46" t="s">
        <v>4349</v>
      </c>
      <c r="E1" s="46"/>
      <c r="F1" s="916" t="s">
        <v>5159</v>
      </c>
      <c r="G1" s="917"/>
      <c r="H1" s="851" t="s">
        <v>5</v>
      </c>
      <c r="I1" s="852"/>
      <c r="J1" s="47">
        <v>425.02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5160</v>
      </c>
      <c r="C3" s="844"/>
      <c r="D3" s="46" t="s">
        <v>1208</v>
      </c>
      <c r="E3" s="46"/>
      <c r="F3" s="843" t="s">
        <v>5161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5162</v>
      </c>
      <c r="C5" s="844"/>
      <c r="D5" s="46" t="s">
        <v>4355</v>
      </c>
      <c r="E5" s="46"/>
      <c r="F5" s="845" t="s">
        <v>5163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5164</v>
      </c>
      <c r="C8" s="853"/>
      <c r="D8" s="853" t="s">
        <v>5165</v>
      </c>
      <c r="E8" s="853"/>
      <c r="F8" s="853"/>
      <c r="G8" s="854" t="s">
        <v>5166</v>
      </c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2438</v>
      </c>
      <c r="C9" s="853"/>
      <c r="D9" s="853" t="s">
        <v>2438</v>
      </c>
      <c r="E9" s="853"/>
      <c r="F9" s="853"/>
      <c r="G9" s="854" t="s">
        <v>2438</v>
      </c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2438</v>
      </c>
      <c r="C10" s="853"/>
      <c r="D10" s="853" t="s">
        <v>2438</v>
      </c>
      <c r="E10" s="853"/>
      <c r="F10" s="853"/>
      <c r="G10" s="854" t="s">
        <v>2438</v>
      </c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2438</v>
      </c>
      <c r="C11" s="853"/>
      <c r="D11" s="853" t="s">
        <v>2438</v>
      </c>
      <c r="E11" s="853"/>
      <c r="F11" s="853"/>
      <c r="G11" s="854" t="s">
        <v>2438</v>
      </c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3</v>
      </c>
      <c r="C13" s="46" t="s">
        <v>4366</v>
      </c>
      <c r="D13" s="46"/>
      <c r="E13" s="46"/>
      <c r="F13" s="47">
        <v>0</v>
      </c>
      <c r="G13" s="46" t="s">
        <v>1491</v>
      </c>
      <c r="H13" s="47">
        <v>10</v>
      </c>
      <c r="I13" s="46" t="s">
        <v>1492</v>
      </c>
      <c r="J13" s="47">
        <v>1</v>
      </c>
      <c r="K13" s="46" t="s">
        <v>1493</v>
      </c>
      <c r="L13" s="47"/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>
      <c r="A15" s="46" t="s">
        <v>646</v>
      </c>
      <c r="B15" s="46"/>
      <c r="C15" s="46" t="s">
        <v>204</v>
      </c>
      <c r="D15" s="47">
        <v>141</v>
      </c>
      <c r="E15" s="46" t="s">
        <v>205</v>
      </c>
      <c r="F15" s="47">
        <v>15</v>
      </c>
      <c r="G15" s="46" t="s">
        <v>206</v>
      </c>
      <c r="H15" s="47">
        <v>1</v>
      </c>
      <c r="I15" s="46" t="s">
        <v>230</v>
      </c>
      <c r="J15" s="47">
        <v>157</v>
      </c>
      <c r="K15" s="46" t="s">
        <v>207</v>
      </c>
      <c r="L15" s="47">
        <v>52</v>
      </c>
      <c r="M15" s="72" t="s">
        <v>4367</v>
      </c>
      <c r="N15" s="47">
        <v>18</v>
      </c>
    </row>
    <row r="16" spans="1:14">
      <c r="A16" s="46" t="s">
        <v>209</v>
      </c>
      <c r="B16" s="46"/>
      <c r="C16" s="46" t="s">
        <v>210</v>
      </c>
      <c r="D16" s="47">
        <v>250</v>
      </c>
      <c r="E16" s="46" t="s">
        <v>211</v>
      </c>
      <c r="F16" s="47">
        <v>31</v>
      </c>
      <c r="G16" s="46" t="s">
        <v>212</v>
      </c>
      <c r="H16" s="47">
        <v>1</v>
      </c>
      <c r="I16" s="46" t="s">
        <v>411</v>
      </c>
      <c r="J16" s="47">
        <f>H16+F16+D16</f>
        <v>282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278</v>
      </c>
      <c r="E17" s="46" t="s">
        <v>214</v>
      </c>
      <c r="F17" s="47">
        <v>31</v>
      </c>
      <c r="G17" s="46" t="s">
        <v>1494</v>
      </c>
      <c r="H17" s="47">
        <v>2</v>
      </c>
      <c r="I17" s="46" t="s">
        <v>410</v>
      </c>
      <c r="J17" s="47">
        <f>H17+F17+D17</f>
        <v>311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>
      <c r="A21" s="856"/>
      <c r="B21" s="856"/>
      <c r="C21" s="856"/>
      <c r="D21" s="856"/>
      <c r="E21" s="856"/>
      <c r="F21" s="80" t="s">
        <v>227</v>
      </c>
      <c r="G21" s="366" t="s">
        <v>228</v>
      </c>
      <c r="H21" s="366" t="s">
        <v>229</v>
      </c>
      <c r="I21" s="366">
        <v>4</v>
      </c>
      <c r="J21" s="366">
        <v>5</v>
      </c>
      <c r="K21" s="366">
        <v>6</v>
      </c>
      <c r="L21" s="366">
        <v>7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34.001600000000003</v>
      </c>
      <c r="E22" s="364">
        <v>18</v>
      </c>
      <c r="F22" s="80"/>
      <c r="G22" s="369">
        <v>1.0157499999999999</v>
      </c>
      <c r="H22" s="369">
        <v>5.2375800000000003</v>
      </c>
      <c r="I22" s="364"/>
      <c r="J22" s="364"/>
      <c r="K22" s="364"/>
      <c r="L22" s="364"/>
      <c r="M22" s="369">
        <f>SUM(F22:L22)</f>
        <v>6.2533300000000001</v>
      </c>
      <c r="N22" s="369">
        <f>M22/E22*100</f>
        <v>34.740722222222217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80"/>
      <c r="G23" s="364">
        <v>0</v>
      </c>
      <c r="H23" s="369">
        <v>3.7078500000000001</v>
      </c>
      <c r="I23" s="364"/>
      <c r="J23" s="364"/>
      <c r="K23" s="364"/>
      <c r="L23" s="364"/>
      <c r="M23" s="369">
        <f t="shared" ref="M23:M30" si="0">SUM(F23:L23)</f>
        <v>3.7078500000000001</v>
      </c>
      <c r="N23" s="369">
        <f t="shared" ref="N23:N31" si="1">M23/E23*100</f>
        <v>144.837890625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80"/>
      <c r="G24" s="364">
        <v>0.18</v>
      </c>
      <c r="H24" s="364">
        <v>0</v>
      </c>
      <c r="I24" s="364"/>
      <c r="J24" s="364"/>
      <c r="K24" s="364"/>
      <c r="L24" s="364"/>
      <c r="M24" s="364">
        <f t="shared" si="0"/>
        <v>0.18</v>
      </c>
      <c r="N24" s="369">
        <f t="shared" si="1"/>
        <v>51.428571428571438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80"/>
      <c r="G25" s="369">
        <v>0.1598</v>
      </c>
      <c r="H25" s="364">
        <v>0</v>
      </c>
      <c r="I25" s="364"/>
      <c r="J25" s="364"/>
      <c r="K25" s="364"/>
      <c r="L25" s="364"/>
      <c r="M25" s="369">
        <f t="shared" si="0"/>
        <v>0.1598</v>
      </c>
      <c r="N25" s="369">
        <f t="shared" si="1"/>
        <v>55.103448275862078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5.1002400000000003</v>
      </c>
      <c r="E26" s="364">
        <v>2</v>
      </c>
      <c r="F26" s="80"/>
      <c r="G26" s="364">
        <v>0</v>
      </c>
      <c r="H26" s="369">
        <v>1.41215</v>
      </c>
      <c r="I26" s="364"/>
      <c r="J26" s="364"/>
      <c r="K26" s="364"/>
      <c r="L26" s="364"/>
      <c r="M26" s="369">
        <f t="shared" si="0"/>
        <v>1.41215</v>
      </c>
      <c r="N26" s="369">
        <f t="shared" si="1"/>
        <v>70.607500000000002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2.4013629999999999</v>
      </c>
      <c r="E27" s="364">
        <v>2.4</v>
      </c>
      <c r="F27" s="80"/>
      <c r="G27" s="369">
        <v>3.3059799999999999</v>
      </c>
      <c r="H27" s="364">
        <v>0</v>
      </c>
      <c r="I27" s="364"/>
      <c r="J27" s="364"/>
      <c r="K27" s="364"/>
      <c r="L27" s="364"/>
      <c r="M27" s="369">
        <f t="shared" si="0"/>
        <v>3.3059799999999999</v>
      </c>
      <c r="N27" s="369">
        <f t="shared" si="1"/>
        <v>137.74916666666667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4.2502000000000004</v>
      </c>
      <c r="E28" s="364">
        <v>0</v>
      </c>
      <c r="F28" s="80"/>
      <c r="G28" s="364">
        <v>0</v>
      </c>
      <c r="H28" s="364">
        <v>0</v>
      </c>
      <c r="I28" s="364"/>
      <c r="J28" s="364"/>
      <c r="K28" s="364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80"/>
      <c r="G29" s="369">
        <v>0.17102000000000001</v>
      </c>
      <c r="H29" s="369">
        <v>0.11433</v>
      </c>
      <c r="I29" s="364"/>
      <c r="J29" s="364"/>
      <c r="K29" s="364"/>
      <c r="L29" s="364"/>
      <c r="M29" s="369">
        <f t="shared" si="0"/>
        <v>0.28534999999999999</v>
      </c>
      <c r="N29" s="369">
        <f t="shared" si="1"/>
        <v>47.957983193277308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54.563403000000008</v>
      </c>
      <c r="E31" s="371">
        <f t="shared" ref="E31:M31" si="2">SUM(E22:E30)</f>
        <v>26.294999999999998</v>
      </c>
      <c r="F31" s="371">
        <f t="shared" si="2"/>
        <v>0</v>
      </c>
      <c r="G31" s="371">
        <f t="shared" si="2"/>
        <v>4.8325500000000003</v>
      </c>
      <c r="H31" s="371">
        <f t="shared" si="2"/>
        <v>10.471910000000001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15.304460000000001</v>
      </c>
      <c r="N31" s="369">
        <f t="shared" si="1"/>
        <v>58.202928313367565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>
      <c r="A1" s="46" t="s">
        <v>4347</v>
      </c>
      <c r="B1" s="923" t="s">
        <v>5167</v>
      </c>
      <c r="C1" s="924"/>
      <c r="D1" s="46" t="s">
        <v>4349</v>
      </c>
      <c r="E1" s="46"/>
      <c r="F1" s="925" t="s">
        <v>5168</v>
      </c>
      <c r="G1" s="926"/>
      <c r="H1" s="851" t="s">
        <v>5</v>
      </c>
      <c r="I1" s="852"/>
      <c r="J1" s="404">
        <v>617.02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5169</v>
      </c>
      <c r="C3" s="844"/>
      <c r="D3" s="46" t="s">
        <v>1208</v>
      </c>
      <c r="E3" s="46"/>
      <c r="F3" s="843" t="s">
        <v>5170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5171</v>
      </c>
      <c r="C5" s="844"/>
      <c r="D5" s="46" t="s">
        <v>4355</v>
      </c>
      <c r="E5" s="46"/>
      <c r="F5" s="845" t="s">
        <v>5172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5173</v>
      </c>
      <c r="C8" s="853"/>
      <c r="D8" s="853" t="s">
        <v>5076</v>
      </c>
      <c r="E8" s="853"/>
      <c r="F8" s="853"/>
      <c r="G8" s="854" t="s">
        <v>5174</v>
      </c>
      <c r="H8" s="854"/>
      <c r="I8" s="854"/>
      <c r="J8" s="854" t="s">
        <v>5175</v>
      </c>
      <c r="K8" s="854"/>
      <c r="L8" s="854"/>
      <c r="M8" s="46"/>
      <c r="N8" s="46"/>
    </row>
    <row r="9" spans="1:14">
      <c r="A9" s="364" t="s">
        <v>840</v>
      </c>
      <c r="B9" s="866" t="s">
        <v>5176</v>
      </c>
      <c r="C9" s="867"/>
      <c r="D9" s="843" t="s">
        <v>5177</v>
      </c>
      <c r="E9" s="870"/>
      <c r="F9" s="870"/>
      <c r="G9" s="870"/>
      <c r="H9" s="870"/>
      <c r="I9" s="844"/>
      <c r="J9" s="854" t="s">
        <v>5176</v>
      </c>
      <c r="K9" s="854"/>
      <c r="L9" s="854"/>
      <c r="M9" s="46"/>
      <c r="N9" s="46"/>
    </row>
    <row r="10" spans="1:14">
      <c r="A10" s="364" t="s">
        <v>4361</v>
      </c>
      <c r="B10" s="866" t="s">
        <v>5178</v>
      </c>
      <c r="C10" s="867"/>
      <c r="D10" s="843" t="s">
        <v>5179</v>
      </c>
      <c r="E10" s="870"/>
      <c r="F10" s="870"/>
      <c r="G10" s="870"/>
      <c r="H10" s="870"/>
      <c r="I10" s="844"/>
      <c r="J10" s="854" t="s">
        <v>5178</v>
      </c>
      <c r="K10" s="854"/>
      <c r="L10" s="854"/>
      <c r="M10" s="46"/>
      <c r="N10" s="46"/>
    </row>
    <row r="11" spans="1:14" ht="22.5">
      <c r="A11" s="364" t="s">
        <v>420</v>
      </c>
      <c r="B11" s="866" t="s">
        <v>5180</v>
      </c>
      <c r="C11" s="867"/>
      <c r="D11" s="843" t="s">
        <v>5177</v>
      </c>
      <c r="E11" s="870"/>
      <c r="F11" s="870"/>
      <c r="G11" s="870"/>
      <c r="H11" s="870"/>
      <c r="I11" s="844"/>
      <c r="J11" s="854" t="s">
        <v>5180</v>
      </c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>
        <v>2</v>
      </c>
      <c r="G13" s="46" t="s">
        <v>1491</v>
      </c>
      <c r="H13" s="47">
        <v>14</v>
      </c>
      <c r="I13" s="46" t="s">
        <v>1492</v>
      </c>
      <c r="J13" s="47">
        <v>3</v>
      </c>
      <c r="K13" s="46" t="s">
        <v>1493</v>
      </c>
      <c r="L13" s="47"/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>
      <c r="A15" s="46" t="s">
        <v>646</v>
      </c>
      <c r="B15" s="46"/>
      <c r="C15" s="46" t="s">
        <v>204</v>
      </c>
      <c r="D15" s="47">
        <v>97</v>
      </c>
      <c r="E15" s="46" t="s">
        <v>205</v>
      </c>
      <c r="F15" s="47">
        <v>57</v>
      </c>
      <c r="G15" s="46" t="s">
        <v>206</v>
      </c>
      <c r="H15" s="47">
        <v>72</v>
      </c>
      <c r="I15" s="46" t="s">
        <v>230</v>
      </c>
      <c r="J15" s="47">
        <v>226</v>
      </c>
      <c r="K15" s="46" t="s">
        <v>207</v>
      </c>
      <c r="L15" s="47">
        <v>45</v>
      </c>
      <c r="M15" s="72" t="s">
        <v>4367</v>
      </c>
      <c r="N15" s="47">
        <v>19</v>
      </c>
    </row>
    <row r="16" spans="1:14">
      <c r="A16" s="46" t="s">
        <v>209</v>
      </c>
      <c r="B16" s="46"/>
      <c r="C16" s="46" t="s">
        <v>210</v>
      </c>
      <c r="D16" s="47">
        <v>96</v>
      </c>
      <c r="E16" s="46" t="s">
        <v>211</v>
      </c>
      <c r="F16" s="47">
        <v>145</v>
      </c>
      <c r="G16" s="46" t="s">
        <v>212</v>
      </c>
      <c r="H16" s="47">
        <v>84</v>
      </c>
      <c r="I16" s="46" t="s">
        <v>411</v>
      </c>
      <c r="J16" s="47">
        <f>H16+F16+D16</f>
        <v>325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184</v>
      </c>
      <c r="E17" s="46" t="s">
        <v>214</v>
      </c>
      <c r="F17" s="47">
        <v>173</v>
      </c>
      <c r="G17" s="46" t="s">
        <v>1494</v>
      </c>
      <c r="H17" s="47">
        <v>81</v>
      </c>
      <c r="I17" s="46" t="s">
        <v>410</v>
      </c>
      <c r="J17" s="47">
        <f>H17+F17+D17</f>
        <v>438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>
      <c r="A21" s="856"/>
      <c r="B21" s="856"/>
      <c r="C21" s="856"/>
      <c r="D21" s="856"/>
      <c r="E21" s="856"/>
      <c r="F21" s="80" t="s">
        <v>227</v>
      </c>
      <c r="G21" s="366" t="s">
        <v>228</v>
      </c>
      <c r="H21" s="366" t="s">
        <v>229</v>
      </c>
      <c r="I21" s="366">
        <v>4</v>
      </c>
      <c r="J21" s="366">
        <v>5</v>
      </c>
      <c r="K21" s="366">
        <v>6</v>
      </c>
      <c r="L21" s="366">
        <v>7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49.361600000000003</v>
      </c>
      <c r="E22" s="364">
        <v>18</v>
      </c>
      <c r="F22" s="80"/>
      <c r="G22" s="369">
        <v>3.2619899999999999</v>
      </c>
      <c r="H22" s="369">
        <v>11.2357</v>
      </c>
      <c r="I22" s="364"/>
      <c r="J22" s="364"/>
      <c r="K22" s="364"/>
      <c r="L22" s="364"/>
      <c r="M22" s="369">
        <f>SUM(F22:L22)</f>
        <v>14.497689999999999</v>
      </c>
      <c r="N22" s="369">
        <f>M22/E22*100</f>
        <v>80.542722222222224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80"/>
      <c r="G23" s="364">
        <v>0</v>
      </c>
      <c r="H23" s="369">
        <v>2.6389200000000002</v>
      </c>
      <c r="I23" s="364"/>
      <c r="J23" s="364"/>
      <c r="K23" s="364"/>
      <c r="L23" s="364"/>
      <c r="M23" s="369">
        <f t="shared" ref="M23:M30" si="0">SUM(F23:L23)</f>
        <v>2.6389200000000002</v>
      </c>
      <c r="N23" s="369">
        <f t="shared" ref="N23:N31" si="1">M23/E23*100</f>
        <v>103.0828125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80"/>
      <c r="G24" s="364">
        <v>0.18</v>
      </c>
      <c r="H24" s="364">
        <v>0</v>
      </c>
      <c r="I24" s="364"/>
      <c r="J24" s="364"/>
      <c r="K24" s="364"/>
      <c r="L24" s="364"/>
      <c r="M24" s="364">
        <f t="shared" si="0"/>
        <v>0.18</v>
      </c>
      <c r="N24" s="369">
        <f t="shared" si="1"/>
        <v>51.428571428571438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80"/>
      <c r="G25" s="369">
        <v>0.1598</v>
      </c>
      <c r="H25" s="364">
        <v>0</v>
      </c>
      <c r="I25" s="364"/>
      <c r="J25" s="364"/>
      <c r="K25" s="364"/>
      <c r="L25" s="364"/>
      <c r="M25" s="369">
        <f t="shared" si="0"/>
        <v>0.1598</v>
      </c>
      <c r="N25" s="369">
        <f t="shared" si="1"/>
        <v>55.103448275862078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7.4042399999999997</v>
      </c>
      <c r="E26" s="364">
        <v>2</v>
      </c>
      <c r="F26" s="80"/>
      <c r="G26" s="364">
        <v>0</v>
      </c>
      <c r="H26" s="369">
        <v>1.1670499999999999</v>
      </c>
      <c r="I26" s="364"/>
      <c r="J26" s="364"/>
      <c r="K26" s="364"/>
      <c r="L26" s="364"/>
      <c r="M26" s="369">
        <f t="shared" si="0"/>
        <v>1.1670499999999999</v>
      </c>
      <c r="N26" s="369">
        <f>M26/E26*100</f>
        <v>58.352499999999999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3.4861629999999999</v>
      </c>
      <c r="E27" s="364">
        <v>3.49</v>
      </c>
      <c r="F27" s="80"/>
      <c r="G27" s="369">
        <v>3.2865500000000001</v>
      </c>
      <c r="H27" s="364">
        <v>0</v>
      </c>
      <c r="I27" s="364"/>
      <c r="J27" s="364"/>
      <c r="K27" s="364"/>
      <c r="L27" s="364"/>
      <c r="M27" s="369">
        <f t="shared" si="0"/>
        <v>3.2865500000000001</v>
      </c>
      <c r="N27" s="369">
        <f t="shared" si="1"/>
        <v>94.170487106017191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6.1702000000000004</v>
      </c>
      <c r="E28" s="364">
        <v>0</v>
      </c>
      <c r="F28" s="80"/>
      <c r="G28" s="364">
        <v>0</v>
      </c>
      <c r="H28" s="364">
        <v>0</v>
      </c>
      <c r="I28" s="364"/>
      <c r="J28" s="364"/>
      <c r="K28" s="364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80"/>
      <c r="G29" s="369">
        <v>0.28034999999999999</v>
      </c>
      <c r="H29" s="369">
        <v>0.18965000000000001</v>
      </c>
      <c r="I29" s="364"/>
      <c r="J29" s="364"/>
      <c r="K29" s="364"/>
      <c r="L29" s="364"/>
      <c r="M29" s="364">
        <f t="shared" si="0"/>
        <v>0.47</v>
      </c>
      <c r="N29" s="369">
        <f t="shared" si="1"/>
        <v>78.991596638655466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75.232202999999998</v>
      </c>
      <c r="E31" s="371">
        <f t="shared" ref="E31:M31" si="2">SUM(E22:E30)</f>
        <v>27.384999999999998</v>
      </c>
      <c r="F31" s="371">
        <f t="shared" si="2"/>
        <v>0</v>
      </c>
      <c r="G31" s="371">
        <f t="shared" si="2"/>
        <v>7.1686900000000007</v>
      </c>
      <c r="H31" s="371">
        <f t="shared" si="2"/>
        <v>15.23132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22.400009999999995</v>
      </c>
      <c r="N31" s="369">
        <f t="shared" si="1"/>
        <v>81.796640496622217</v>
      </c>
    </row>
  </sheetData>
  <mergeCells count="27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I9"/>
    <mergeCell ref="J9:L9"/>
    <mergeCell ref="F20:N20"/>
    <mergeCell ref="B10:C10"/>
    <mergeCell ref="D10:I10"/>
    <mergeCell ref="J10:L10"/>
    <mergeCell ref="B11:C11"/>
    <mergeCell ref="D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5" max="5" width="9.5703125" customWidth="1"/>
    <col min="7" max="7" width="10.140625" bestFit="1" customWidth="1"/>
    <col min="9" max="9" width="9.7109375" bestFit="1" customWidth="1"/>
    <col min="11" max="11" width="7.5703125" customWidth="1"/>
    <col min="13" max="13" width="14.28515625" bestFit="1" customWidth="1"/>
    <col min="14" max="14" width="10" bestFit="1" customWidth="1"/>
  </cols>
  <sheetData>
    <row r="1" spans="1:14">
      <c r="A1" s="46" t="s">
        <v>4347</v>
      </c>
      <c r="B1" s="843" t="s">
        <v>5181</v>
      </c>
      <c r="C1" s="844"/>
      <c r="D1" s="46" t="s">
        <v>4349</v>
      </c>
      <c r="E1" s="46"/>
      <c r="F1" s="865" t="s">
        <v>5182</v>
      </c>
      <c r="G1" s="844"/>
      <c r="H1" s="851" t="s">
        <v>5</v>
      </c>
      <c r="I1" s="852"/>
      <c r="J1" s="47">
        <v>417.33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5183</v>
      </c>
      <c r="C3" s="844"/>
      <c r="D3" s="46" t="s">
        <v>1208</v>
      </c>
      <c r="E3" s="46"/>
      <c r="F3" s="843" t="s">
        <v>5184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5184</v>
      </c>
      <c r="C5" s="844"/>
      <c r="D5" s="46" t="s">
        <v>4355</v>
      </c>
      <c r="E5" s="46"/>
      <c r="F5" s="845" t="s">
        <v>5185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5186</v>
      </c>
      <c r="C8" s="853"/>
      <c r="D8" s="853" t="s">
        <v>5187</v>
      </c>
      <c r="E8" s="853"/>
      <c r="F8" s="853"/>
      <c r="G8" s="854" t="s">
        <v>5188</v>
      </c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5189</v>
      </c>
      <c r="C9" s="853"/>
      <c r="D9" s="853" t="s">
        <v>5190</v>
      </c>
      <c r="E9" s="853"/>
      <c r="F9" s="853"/>
      <c r="G9" s="854"/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5191</v>
      </c>
      <c r="C10" s="853"/>
      <c r="D10" s="853" t="s">
        <v>5192</v>
      </c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5193</v>
      </c>
      <c r="C11" s="853"/>
      <c r="D11" s="853" t="s">
        <v>5184</v>
      </c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3</v>
      </c>
      <c r="C13" s="46" t="s">
        <v>4366</v>
      </c>
      <c r="D13" s="46"/>
      <c r="E13" s="46"/>
      <c r="F13" s="47">
        <v>2</v>
      </c>
      <c r="G13" s="46" t="s">
        <v>1491</v>
      </c>
      <c r="H13" s="47">
        <v>9</v>
      </c>
      <c r="I13" s="46" t="s">
        <v>1492</v>
      </c>
      <c r="J13" s="47">
        <v>2</v>
      </c>
      <c r="K13" s="46" t="s">
        <v>1493</v>
      </c>
      <c r="L13" s="47"/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>
      <c r="A15" s="46" t="s">
        <v>646</v>
      </c>
      <c r="B15" s="46"/>
      <c r="C15" s="46" t="s">
        <v>204</v>
      </c>
      <c r="D15" s="47">
        <v>117</v>
      </c>
      <c r="E15" s="46" t="s">
        <v>205</v>
      </c>
      <c r="F15" s="47">
        <v>63</v>
      </c>
      <c r="G15" s="46" t="s">
        <v>206</v>
      </c>
      <c r="H15" s="47">
        <v>197</v>
      </c>
      <c r="I15" s="46" t="s">
        <v>230</v>
      </c>
      <c r="J15" s="47">
        <v>377</v>
      </c>
      <c r="K15" s="46" t="s">
        <v>207</v>
      </c>
      <c r="L15" s="47">
        <v>22</v>
      </c>
      <c r="M15" s="72" t="s">
        <v>4367</v>
      </c>
      <c r="N15" s="47">
        <v>24</v>
      </c>
    </row>
    <row r="16" spans="1:14">
      <c r="A16" s="46" t="s">
        <v>209</v>
      </c>
      <c r="B16" s="46"/>
      <c r="C16" s="46" t="s">
        <v>210</v>
      </c>
      <c r="D16" s="47">
        <v>371</v>
      </c>
      <c r="E16" s="46" t="s">
        <v>211</v>
      </c>
      <c r="F16" s="47">
        <v>111</v>
      </c>
      <c r="G16" s="46" t="s">
        <v>212</v>
      </c>
      <c r="H16" s="47">
        <v>141</v>
      </c>
      <c r="I16" s="46" t="s">
        <v>411</v>
      </c>
      <c r="J16" s="47">
        <f>H16+F16+D16</f>
        <v>623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393</v>
      </c>
      <c r="E17" s="46" t="s">
        <v>214</v>
      </c>
      <c r="F17" s="47">
        <v>138</v>
      </c>
      <c r="G17" s="46" t="s">
        <v>1494</v>
      </c>
      <c r="H17" s="47">
        <v>162</v>
      </c>
      <c r="I17" s="46" t="s">
        <v>410</v>
      </c>
      <c r="J17" s="47">
        <f>H17+F17+D17</f>
        <v>693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>
      <c r="A21" s="856"/>
      <c r="B21" s="856"/>
      <c r="C21" s="856"/>
      <c r="D21" s="856"/>
      <c r="E21" s="856"/>
      <c r="F21" s="80" t="s">
        <v>227</v>
      </c>
      <c r="G21" s="366" t="s">
        <v>228</v>
      </c>
      <c r="H21" s="366" t="s">
        <v>229</v>
      </c>
      <c r="I21" s="366">
        <v>4</v>
      </c>
      <c r="J21" s="366">
        <v>5</v>
      </c>
      <c r="K21" s="366">
        <v>6</v>
      </c>
      <c r="L21" s="366">
        <v>7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33.386400000000002</v>
      </c>
      <c r="E22" s="364">
        <v>18</v>
      </c>
      <c r="F22" s="80"/>
      <c r="G22" s="369">
        <v>1.7613000000000001</v>
      </c>
      <c r="H22" s="369">
        <v>8.8112399999999997</v>
      </c>
      <c r="I22" s="364"/>
      <c r="J22" s="364"/>
      <c r="K22" s="364"/>
      <c r="L22" s="364"/>
      <c r="M22" s="369">
        <f>SUM(F22:L22)</f>
        <v>10.57254</v>
      </c>
      <c r="N22" s="369">
        <f>M22/E22*100</f>
        <v>58.736333333333334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80"/>
      <c r="G23" s="364">
        <v>0</v>
      </c>
      <c r="H23" s="369">
        <v>2.4691800000000002</v>
      </c>
      <c r="I23" s="364"/>
      <c r="J23" s="364"/>
      <c r="K23" s="364"/>
      <c r="L23" s="364"/>
      <c r="M23" s="369">
        <f t="shared" ref="M23:M30" si="0">SUM(F23:L23)</f>
        <v>2.4691800000000002</v>
      </c>
      <c r="N23" s="369">
        <f t="shared" ref="N23:N31" si="1">M23/E23*100</f>
        <v>96.452343749999997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80"/>
      <c r="G24" s="364">
        <v>0.18</v>
      </c>
      <c r="H24" s="364">
        <v>0</v>
      </c>
      <c r="I24" s="364"/>
      <c r="J24" s="364"/>
      <c r="K24" s="364"/>
      <c r="L24" s="364"/>
      <c r="M24" s="364">
        <f t="shared" si="0"/>
        <v>0.18</v>
      </c>
      <c r="N24" s="369">
        <f t="shared" si="1"/>
        <v>51.428571428571438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80"/>
      <c r="G25" s="369">
        <v>0.1598</v>
      </c>
      <c r="H25" s="364">
        <v>0</v>
      </c>
      <c r="I25" s="364"/>
      <c r="J25" s="364"/>
      <c r="K25" s="364"/>
      <c r="L25" s="364"/>
      <c r="M25" s="369">
        <f t="shared" si="0"/>
        <v>0.1598</v>
      </c>
      <c r="N25" s="369">
        <f t="shared" si="1"/>
        <v>55.103448275862078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5.0079599999999997</v>
      </c>
      <c r="E26" s="364">
        <v>2</v>
      </c>
      <c r="F26" s="80"/>
      <c r="G26" s="364">
        <v>0</v>
      </c>
      <c r="H26" s="369">
        <v>1.2633300000000001</v>
      </c>
      <c r="I26" s="364"/>
      <c r="J26" s="364"/>
      <c r="K26" s="364"/>
      <c r="L26" s="364"/>
      <c r="M26" s="369">
        <f t="shared" si="0"/>
        <v>1.2633300000000001</v>
      </c>
      <c r="N26" s="369">
        <f t="shared" si="1"/>
        <v>63.166500000000006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2.3579144999999997</v>
      </c>
      <c r="E27" s="364">
        <v>2.36</v>
      </c>
      <c r="F27" s="80"/>
      <c r="G27" s="369">
        <v>2.3787600000000002</v>
      </c>
      <c r="H27" s="364">
        <v>0</v>
      </c>
      <c r="I27" s="364"/>
      <c r="J27" s="364"/>
      <c r="K27" s="364"/>
      <c r="L27" s="364"/>
      <c r="M27" s="369">
        <f t="shared" si="0"/>
        <v>2.3787600000000002</v>
      </c>
      <c r="N27" s="369">
        <f t="shared" si="1"/>
        <v>100.7949152542373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4.1733000000000002</v>
      </c>
      <c r="E28" s="364">
        <v>0</v>
      </c>
      <c r="F28" s="80"/>
      <c r="G28" s="364">
        <v>0</v>
      </c>
      <c r="H28" s="364">
        <v>0</v>
      </c>
      <c r="I28" s="364"/>
      <c r="J28" s="364"/>
      <c r="K28" s="364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80"/>
      <c r="G29" s="369">
        <v>0.30285000000000001</v>
      </c>
      <c r="H29" s="369">
        <v>0.16938</v>
      </c>
      <c r="I29" s="364"/>
      <c r="J29" s="364"/>
      <c r="K29" s="364"/>
      <c r="L29" s="364"/>
      <c r="M29" s="369">
        <f t="shared" si="0"/>
        <v>0.47223000000000004</v>
      </c>
      <c r="N29" s="369">
        <f t="shared" si="1"/>
        <v>79.366386554621855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53.735574499999998</v>
      </c>
      <c r="E31" s="371">
        <f t="shared" ref="E31:M31" si="2">SUM(E22:E30)</f>
        <v>26.254999999999999</v>
      </c>
      <c r="F31" s="371">
        <f t="shared" si="2"/>
        <v>0</v>
      </c>
      <c r="G31" s="371">
        <f t="shared" si="2"/>
        <v>4.7827100000000007</v>
      </c>
      <c r="H31" s="371">
        <f t="shared" si="2"/>
        <v>12.71313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17.495840000000001</v>
      </c>
      <c r="N31" s="369">
        <f t="shared" si="1"/>
        <v>66.638126071224534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41" right="0.28000000000000003" top="0.41" bottom="0.33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5708</v>
      </c>
      <c r="F4" t="s">
        <v>171</v>
      </c>
      <c r="H4" t="s">
        <v>5709</v>
      </c>
      <c r="J4" t="s">
        <v>172</v>
      </c>
      <c r="K4">
        <v>403</v>
      </c>
      <c r="L4" t="s">
        <v>173</v>
      </c>
      <c r="N4">
        <v>80</v>
      </c>
    </row>
    <row r="6" spans="1:14">
      <c r="A6" t="s">
        <v>174</v>
      </c>
      <c r="B6" t="s">
        <v>320</v>
      </c>
      <c r="F6" t="s">
        <v>176</v>
      </c>
      <c r="H6" t="s">
        <v>279</v>
      </c>
    </row>
    <row r="8" spans="1:14">
      <c r="A8" t="s">
        <v>178</v>
      </c>
      <c r="B8" t="s">
        <v>321</v>
      </c>
      <c r="F8" t="s">
        <v>180</v>
      </c>
      <c r="H8" t="s">
        <v>322</v>
      </c>
    </row>
    <row r="11" spans="1:14">
      <c r="A11" t="s">
        <v>182</v>
      </c>
      <c r="B11" t="s">
        <v>323</v>
      </c>
      <c r="E11" t="s">
        <v>324</v>
      </c>
    </row>
    <row r="12" spans="1:14">
      <c r="A12" t="s">
        <v>187</v>
      </c>
      <c r="B12" t="s">
        <v>325</v>
      </c>
      <c r="E12" t="s">
        <v>326</v>
      </c>
    </row>
    <row r="13" spans="1:14">
      <c r="A13" t="s">
        <v>192</v>
      </c>
      <c r="B13" t="s">
        <v>327</v>
      </c>
      <c r="E13" t="s">
        <v>328</v>
      </c>
      <c r="H13" t="s">
        <v>329</v>
      </c>
      <c r="K13" t="s">
        <v>330</v>
      </c>
    </row>
    <row r="14" spans="1:14">
      <c r="A14" t="s">
        <v>197</v>
      </c>
    </row>
    <row r="16" spans="1:14">
      <c r="A16" t="s">
        <v>198</v>
      </c>
      <c r="B16">
        <v>3</v>
      </c>
      <c r="C16" t="s">
        <v>199</v>
      </c>
      <c r="F16">
        <v>2</v>
      </c>
      <c r="G16" t="s">
        <v>200</v>
      </c>
      <c r="H16">
        <v>11</v>
      </c>
      <c r="I16" t="s">
        <v>201</v>
      </c>
      <c r="J16">
        <v>1</v>
      </c>
      <c r="K16" t="s">
        <v>202</v>
      </c>
      <c r="L16">
        <v>10</v>
      </c>
    </row>
    <row r="18" spans="1:14">
      <c r="A18" t="s">
        <v>203</v>
      </c>
      <c r="B18" t="s">
        <v>204</v>
      </c>
      <c r="C18">
        <v>152</v>
      </c>
      <c r="D18" t="s">
        <v>205</v>
      </c>
      <c r="E18">
        <v>12</v>
      </c>
      <c r="F18" t="s">
        <v>206</v>
      </c>
      <c r="G18">
        <v>10</v>
      </c>
      <c r="H18" t="s">
        <v>207</v>
      </c>
      <c r="I18">
        <v>8</v>
      </c>
      <c r="J18" t="s">
        <v>208</v>
      </c>
    </row>
    <row r="19" spans="1:14">
      <c r="A19" t="s">
        <v>209</v>
      </c>
      <c r="B19" t="s">
        <v>210</v>
      </c>
      <c r="C19">
        <v>332</v>
      </c>
      <c r="D19" t="s">
        <v>211</v>
      </c>
      <c r="E19">
        <v>31</v>
      </c>
      <c r="F19" t="s">
        <v>212</v>
      </c>
      <c r="G19">
        <v>21</v>
      </c>
    </row>
    <row r="20" spans="1:14">
      <c r="B20" t="s">
        <v>213</v>
      </c>
      <c r="C20">
        <v>245</v>
      </c>
      <c r="D20" t="s">
        <v>214</v>
      </c>
      <c r="E20">
        <v>12</v>
      </c>
      <c r="F20" t="s">
        <v>215</v>
      </c>
      <c r="G20">
        <v>22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32.24</v>
      </c>
      <c r="E26">
        <v>32.24</v>
      </c>
      <c r="H26">
        <v>4.7895899999999996</v>
      </c>
      <c r="I26">
        <v>9.3948499999999999</v>
      </c>
      <c r="J26">
        <v>9.63645</v>
      </c>
      <c r="K26">
        <v>1.5498499999999999</v>
      </c>
      <c r="L26">
        <v>3.17483</v>
      </c>
      <c r="M26">
        <f>+F26+G26+H26+I26+J26+K26+L26</f>
        <v>28.545569999999998</v>
      </c>
      <c r="N26">
        <f>+M26/E26*100</f>
        <v>88.540849875930505</v>
      </c>
    </row>
    <row r="27" spans="1:14">
      <c r="A27" t="s">
        <v>234</v>
      </c>
      <c r="B27">
        <v>7000</v>
      </c>
      <c r="C27" t="s">
        <v>233</v>
      </c>
      <c r="D27">
        <f>+N4*B27/100000</f>
        <v>5.6</v>
      </c>
      <c r="E27">
        <v>5</v>
      </c>
      <c r="J27">
        <v>0.84733999999999998</v>
      </c>
      <c r="K27">
        <v>1.5304899999999999</v>
      </c>
      <c r="L27">
        <v>1.69516</v>
      </c>
      <c r="M27">
        <f t="shared" ref="M27:M34" si="0">+F27+G27+H27+I27+J27+K27+L27</f>
        <v>4.0729899999999999</v>
      </c>
      <c r="N27">
        <f t="shared" ref="N27:N35" si="1">+M27/E27*100</f>
        <v>81.459799999999987</v>
      </c>
    </row>
    <row r="28" spans="1:14">
      <c r="A28" t="s">
        <v>235</v>
      </c>
      <c r="B28">
        <v>86</v>
      </c>
      <c r="C28" t="s">
        <v>233</v>
      </c>
      <c r="D28">
        <v>0.35</v>
      </c>
      <c r="E28">
        <v>0.43</v>
      </c>
      <c r="K28">
        <v>0.32208999999999999</v>
      </c>
      <c r="L28">
        <v>0.27124999999999999</v>
      </c>
      <c r="M28">
        <f t="shared" si="0"/>
        <v>0.59333999999999998</v>
      </c>
      <c r="N28">
        <f t="shared" si="1"/>
        <v>137.9860465116279</v>
      </c>
    </row>
    <row r="29" spans="1:14">
      <c r="A29" t="s">
        <v>237</v>
      </c>
      <c r="B29">
        <v>68</v>
      </c>
      <c r="C29" t="s">
        <v>233</v>
      </c>
      <c r="D29">
        <v>0.27</v>
      </c>
      <c r="E29">
        <v>0.34</v>
      </c>
      <c r="I29">
        <v>0.12784000000000001</v>
      </c>
      <c r="J29">
        <v>3.5000000000000003E-2</v>
      </c>
      <c r="K29">
        <v>0.13117000000000001</v>
      </c>
      <c r="M29">
        <f t="shared" si="0"/>
        <v>0.29400999999999999</v>
      </c>
      <c r="N29">
        <f t="shared" si="1"/>
        <v>86.473529411764687</v>
      </c>
    </row>
    <row r="30" spans="1:14">
      <c r="A30" t="s">
        <v>238</v>
      </c>
      <c r="B30">
        <v>1200</v>
      </c>
      <c r="C30" t="s">
        <v>233</v>
      </c>
      <c r="D30">
        <f>+K4*B30/100000</f>
        <v>4.8360000000000003</v>
      </c>
      <c r="E30">
        <v>4.8360000000000003</v>
      </c>
      <c r="J30">
        <v>1.5376700000000001</v>
      </c>
      <c r="K30">
        <f>6.39015</f>
        <v>6.3901500000000002</v>
      </c>
      <c r="L30">
        <v>-3.0918199999999998</v>
      </c>
      <c r="M30">
        <f t="shared" si="0"/>
        <v>4.8360000000000003</v>
      </c>
      <c r="N30">
        <f t="shared" si="1"/>
        <v>100</v>
      </c>
    </row>
    <row r="31" spans="1:14">
      <c r="A31" t="s">
        <v>239</v>
      </c>
      <c r="B31">
        <v>565</v>
      </c>
      <c r="C31" t="s">
        <v>233</v>
      </c>
      <c r="D31">
        <f>+K4*B31/100000</f>
        <v>2.2769499999999998</v>
      </c>
      <c r="E31">
        <v>1.7</v>
      </c>
      <c r="I31">
        <v>0.67495000000000005</v>
      </c>
      <c r="K31">
        <v>1.24</v>
      </c>
      <c r="L31">
        <v>-0.21495</v>
      </c>
      <c r="M31">
        <f t="shared" si="0"/>
        <v>1.7000000000000002</v>
      </c>
      <c r="N31">
        <f t="shared" si="1"/>
        <v>100.00000000000003</v>
      </c>
    </row>
    <row r="32" spans="1:14">
      <c r="A32" t="s">
        <v>240</v>
      </c>
      <c r="B32">
        <v>1000</v>
      </c>
      <c r="C32" t="s">
        <v>233</v>
      </c>
      <c r="D32">
        <f>+K4*B32/100000</f>
        <v>4.03</v>
      </c>
      <c r="E32">
        <v>4.03</v>
      </c>
      <c r="H32">
        <v>0.35043000000000002</v>
      </c>
      <c r="I32">
        <v>0.86009000000000002</v>
      </c>
      <c r="J32">
        <f>0.55578+0.08093</f>
        <v>0.63671000000000011</v>
      </c>
      <c r="K32">
        <f>0.46277+0.33632</f>
        <v>0.79909000000000008</v>
      </c>
      <c r="L32">
        <f>0.0035+1.32859</f>
        <v>1.33209</v>
      </c>
      <c r="M32">
        <f t="shared" si="0"/>
        <v>3.9784100000000002</v>
      </c>
      <c r="N32">
        <f t="shared" si="1"/>
        <v>98.719851116625307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v>1.32</v>
      </c>
      <c r="H33">
        <v>0.22153</v>
      </c>
      <c r="I33">
        <v>0.31042999999999998</v>
      </c>
      <c r="J33">
        <v>0.23719999999999999</v>
      </c>
      <c r="K33">
        <v>0.24976000000000001</v>
      </c>
      <c r="L33">
        <v>0.13178999999999999</v>
      </c>
      <c r="M33">
        <f t="shared" si="0"/>
        <v>1.1507100000000001</v>
      </c>
      <c r="N33">
        <f t="shared" si="1"/>
        <v>87.174999999999997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52.012950000000011</v>
      </c>
      <c r="E35">
        <f t="shared" ref="E35:M35" si="2">SUM(E26:E34)</f>
        <v>49.896000000000008</v>
      </c>
      <c r="F35">
        <f t="shared" si="2"/>
        <v>0</v>
      </c>
      <c r="G35">
        <f t="shared" si="2"/>
        <v>0</v>
      </c>
      <c r="H35">
        <f t="shared" si="2"/>
        <v>5.3615499999999994</v>
      </c>
      <c r="I35">
        <f t="shared" si="2"/>
        <v>11.368160000000001</v>
      </c>
      <c r="J35">
        <f t="shared" si="2"/>
        <v>12.93037</v>
      </c>
      <c r="K35">
        <f t="shared" si="2"/>
        <v>12.2126</v>
      </c>
      <c r="L35">
        <f t="shared" si="2"/>
        <v>3.2983500000000001</v>
      </c>
      <c r="M35">
        <f t="shared" si="2"/>
        <v>45.171030000000002</v>
      </c>
      <c r="N35">
        <f t="shared" si="1"/>
        <v>90.530363155363148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46" t="s">
        <v>4347</v>
      </c>
      <c r="B1" s="843" t="s">
        <v>5194</v>
      </c>
      <c r="C1" s="844"/>
      <c r="D1" s="46" t="s">
        <v>4349</v>
      </c>
      <c r="E1" s="46"/>
      <c r="F1" s="916" t="s">
        <v>5195</v>
      </c>
      <c r="G1" s="917"/>
      <c r="H1" s="851" t="s">
        <v>5</v>
      </c>
      <c r="I1" s="852"/>
      <c r="J1" s="47">
        <v>517.96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5196</v>
      </c>
      <c r="C3" s="844"/>
      <c r="D3" s="46" t="s">
        <v>1208</v>
      </c>
      <c r="E3" s="46"/>
      <c r="F3" s="843" t="s">
        <v>5197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928" t="s">
        <v>5198</v>
      </c>
      <c r="C5" s="928"/>
      <c r="D5" s="46" t="s">
        <v>4355</v>
      </c>
      <c r="E5" s="46"/>
      <c r="F5" s="931" t="s">
        <v>5199</v>
      </c>
      <c r="G5" s="932"/>
      <c r="H5" s="932"/>
      <c r="I5" s="933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934"/>
      <c r="G6" s="935"/>
      <c r="H6" s="935"/>
      <c r="I6" s="936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5200</v>
      </c>
      <c r="C8" s="853"/>
      <c r="D8" s="853" t="s">
        <v>5201</v>
      </c>
      <c r="E8" s="853"/>
      <c r="F8" s="853"/>
      <c r="G8" s="854" t="s">
        <v>5202</v>
      </c>
      <c r="H8" s="854"/>
      <c r="I8" s="854"/>
      <c r="J8" s="854" t="s">
        <v>5203</v>
      </c>
      <c r="K8" s="854"/>
      <c r="L8" s="854"/>
      <c r="M8" s="46"/>
      <c r="N8" s="46"/>
    </row>
    <row r="9" spans="1:14">
      <c r="A9" s="364" t="s">
        <v>840</v>
      </c>
      <c r="B9" s="927" t="s">
        <v>1101</v>
      </c>
      <c r="C9" s="927"/>
      <c r="D9" s="927" t="s">
        <v>1101</v>
      </c>
      <c r="E9" s="927"/>
      <c r="F9" s="927"/>
      <c r="G9" s="928" t="s">
        <v>1101</v>
      </c>
      <c r="H9" s="928"/>
      <c r="I9" s="928"/>
      <c r="J9" s="928" t="s">
        <v>1101</v>
      </c>
      <c r="K9" s="928"/>
      <c r="L9" s="928"/>
      <c r="M9" s="46"/>
      <c r="N9" s="46"/>
    </row>
    <row r="10" spans="1:14">
      <c r="A10" s="364" t="s">
        <v>4361</v>
      </c>
      <c r="B10" s="927" t="s">
        <v>5204</v>
      </c>
      <c r="C10" s="927"/>
      <c r="D10" s="927" t="s">
        <v>5205</v>
      </c>
      <c r="E10" s="927"/>
      <c r="F10" s="927"/>
      <c r="G10" s="928" t="s">
        <v>5206</v>
      </c>
      <c r="H10" s="928"/>
      <c r="I10" s="928"/>
      <c r="J10" s="928" t="s">
        <v>5207</v>
      </c>
      <c r="K10" s="928"/>
      <c r="L10" s="928"/>
      <c r="M10" s="46"/>
      <c r="N10" s="46"/>
    </row>
    <row r="11" spans="1:14" ht="22.5">
      <c r="A11" s="364" t="s">
        <v>420</v>
      </c>
      <c r="B11" s="929" t="s">
        <v>5198</v>
      </c>
      <c r="C11" s="930"/>
      <c r="D11" s="927" t="s">
        <v>1101</v>
      </c>
      <c r="E11" s="927"/>
      <c r="F11" s="927"/>
      <c r="G11" s="928" t="s">
        <v>1101</v>
      </c>
      <c r="H11" s="928"/>
      <c r="I11" s="928"/>
      <c r="J11" s="928" t="s">
        <v>1101</v>
      </c>
      <c r="K11" s="928"/>
      <c r="L11" s="928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/>
      <c r="G13" s="46" t="s">
        <v>1491</v>
      </c>
      <c r="H13" s="47">
        <v>11</v>
      </c>
      <c r="I13" s="46" t="s">
        <v>1492</v>
      </c>
      <c r="J13" s="47">
        <v>1</v>
      </c>
      <c r="K13" s="46" t="s">
        <v>1493</v>
      </c>
      <c r="L13" s="47">
        <v>13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1" customHeight="1">
      <c r="A15" s="46" t="s">
        <v>646</v>
      </c>
      <c r="B15" s="46"/>
      <c r="C15" s="46" t="s">
        <v>204</v>
      </c>
      <c r="D15" s="47">
        <v>48</v>
      </c>
      <c r="E15" s="46" t="s">
        <v>205</v>
      </c>
      <c r="F15" s="47">
        <v>20</v>
      </c>
      <c r="G15" s="46" t="s">
        <v>206</v>
      </c>
      <c r="H15" s="47">
        <v>75</v>
      </c>
      <c r="I15" s="46" t="s">
        <v>230</v>
      </c>
      <c r="J15" s="47">
        <v>143</v>
      </c>
      <c r="K15" s="46" t="s">
        <v>207</v>
      </c>
      <c r="L15" s="47">
        <v>17</v>
      </c>
      <c r="M15" s="72" t="s">
        <v>4367</v>
      </c>
      <c r="N15" s="47"/>
    </row>
    <row r="16" spans="1:14">
      <c r="A16" s="46" t="s">
        <v>209</v>
      </c>
      <c r="B16" s="46"/>
      <c r="C16" s="46" t="s">
        <v>210</v>
      </c>
      <c r="D16" s="47">
        <v>89</v>
      </c>
      <c r="E16" s="46" t="s">
        <v>211</v>
      </c>
      <c r="F16" s="47">
        <v>27</v>
      </c>
      <c r="G16" s="46" t="s">
        <v>212</v>
      </c>
      <c r="H16" s="47">
        <v>178</v>
      </c>
      <c r="I16" s="46" t="s">
        <v>411</v>
      </c>
      <c r="J16" s="47">
        <f>H16+F16+D16</f>
        <v>294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87</v>
      </c>
      <c r="E17" s="46" t="s">
        <v>214</v>
      </c>
      <c r="F17" s="47">
        <v>24</v>
      </c>
      <c r="G17" s="46" t="s">
        <v>1494</v>
      </c>
      <c r="H17" s="47">
        <v>151</v>
      </c>
      <c r="I17" s="46" t="s">
        <v>410</v>
      </c>
      <c r="J17" s="47">
        <f>H17+F17+D17</f>
        <v>262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 ht="18" customHeight="1">
      <c r="A21" s="856"/>
      <c r="B21" s="856"/>
      <c r="C21" s="856"/>
      <c r="D21" s="856"/>
      <c r="E21" s="856"/>
      <c r="F21" s="366" t="s">
        <v>227</v>
      </c>
      <c r="G21" s="366" t="s">
        <v>228</v>
      </c>
      <c r="H21" s="366" t="s">
        <v>229</v>
      </c>
      <c r="I21" s="405" t="s">
        <v>1499</v>
      </c>
      <c r="J21" s="405" t="s">
        <v>4831</v>
      </c>
      <c r="K21" s="405" t="s">
        <v>4832</v>
      </c>
      <c r="L21" s="366" t="s">
        <v>4833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41.436800000000005</v>
      </c>
      <c r="E22" s="364">
        <v>18</v>
      </c>
      <c r="F22" s="364"/>
      <c r="G22" s="369">
        <v>1.3712</v>
      </c>
      <c r="H22" s="369">
        <v>4.8361499999999999</v>
      </c>
      <c r="I22" s="80"/>
      <c r="J22" s="80"/>
      <c r="K22" s="80"/>
      <c r="L22" s="364"/>
      <c r="M22" s="369">
        <f>SUM(F22:L22)</f>
        <v>6.2073499999999999</v>
      </c>
      <c r="N22" s="369">
        <f>M22/E22*100</f>
        <v>34.485277777777782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364"/>
      <c r="G23" s="364">
        <v>0</v>
      </c>
      <c r="H23" s="369">
        <v>1.6413</v>
      </c>
      <c r="I23" s="80"/>
      <c r="J23" s="80"/>
      <c r="K23" s="80"/>
      <c r="L23" s="364"/>
      <c r="M23" s="369">
        <f t="shared" ref="M23:M30" si="0">SUM(F23:L23)</f>
        <v>1.6413</v>
      </c>
      <c r="N23" s="369">
        <f t="shared" ref="N23:N31" si="1">M23/E23*100</f>
        <v>64.11328125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364"/>
      <c r="G24" s="369">
        <v>0.1799</v>
      </c>
      <c r="H24" s="364">
        <v>0</v>
      </c>
      <c r="I24" s="80"/>
      <c r="J24" s="80"/>
      <c r="K24" s="80"/>
      <c r="L24" s="364"/>
      <c r="M24" s="369">
        <f t="shared" si="0"/>
        <v>0.1799</v>
      </c>
      <c r="N24" s="364">
        <f t="shared" si="1"/>
        <v>51.4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364"/>
      <c r="G25" s="369">
        <v>0.1598</v>
      </c>
      <c r="H25" s="364">
        <v>0.02</v>
      </c>
      <c r="I25" s="80"/>
      <c r="J25" s="80"/>
      <c r="K25" s="80"/>
      <c r="L25" s="364"/>
      <c r="M25" s="369">
        <f t="shared" si="0"/>
        <v>0.17979999999999999</v>
      </c>
      <c r="N25" s="364">
        <f t="shared" si="1"/>
        <v>62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6.2155199999999997</v>
      </c>
      <c r="E26" s="364">
        <v>2</v>
      </c>
      <c r="F26" s="364"/>
      <c r="G26" s="364">
        <v>0</v>
      </c>
      <c r="H26" s="369">
        <v>0.46600000000000003</v>
      </c>
      <c r="I26" s="80"/>
      <c r="J26" s="80"/>
      <c r="K26" s="80"/>
      <c r="L26" s="364"/>
      <c r="M26" s="369">
        <f t="shared" si="0"/>
        <v>0.46600000000000003</v>
      </c>
      <c r="N26" s="364">
        <f t="shared" si="1"/>
        <v>23.3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2.9264740000000002</v>
      </c>
      <c r="E27" s="364">
        <v>2.93</v>
      </c>
      <c r="F27" s="364"/>
      <c r="G27" s="369">
        <v>2.9264700000000001</v>
      </c>
      <c r="H27" s="364">
        <v>0</v>
      </c>
      <c r="I27" s="80"/>
      <c r="J27" s="80"/>
      <c r="K27" s="80"/>
      <c r="L27" s="364"/>
      <c r="M27" s="369">
        <f t="shared" si="0"/>
        <v>2.9264700000000001</v>
      </c>
      <c r="N27" s="369">
        <f t="shared" si="1"/>
        <v>99.879522184300342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5.1796000000000006</v>
      </c>
      <c r="E28" s="364">
        <v>0</v>
      </c>
      <c r="F28" s="364"/>
      <c r="G28" s="364">
        <v>0</v>
      </c>
      <c r="H28" s="364">
        <v>0</v>
      </c>
      <c r="I28" s="80"/>
      <c r="J28" s="80"/>
      <c r="K28" s="80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364"/>
      <c r="G29" s="369">
        <v>0.16145999999999999</v>
      </c>
      <c r="H29" s="369">
        <v>0.42749999999999999</v>
      </c>
      <c r="I29" s="80"/>
      <c r="J29" s="80"/>
      <c r="K29" s="80"/>
      <c r="L29" s="364"/>
      <c r="M29" s="369">
        <f t="shared" si="0"/>
        <v>0.58895999999999993</v>
      </c>
      <c r="N29" s="369">
        <f t="shared" si="1"/>
        <v>98.984873949579821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64.568393999999998</v>
      </c>
      <c r="E31" s="371">
        <f t="shared" ref="E31:M31" si="2">SUM(E22:E30)</f>
        <v>26.824999999999999</v>
      </c>
      <c r="F31" s="376">
        <f t="shared" si="2"/>
        <v>0</v>
      </c>
      <c r="G31" s="371">
        <f t="shared" si="2"/>
        <v>4.7988299999999997</v>
      </c>
      <c r="H31" s="371">
        <f t="shared" si="2"/>
        <v>7.3909500000000001</v>
      </c>
      <c r="I31" s="376">
        <f t="shared" si="2"/>
        <v>0</v>
      </c>
      <c r="J31" s="376">
        <f t="shared" si="2"/>
        <v>0</v>
      </c>
      <c r="K31" s="376">
        <f t="shared" si="2"/>
        <v>0</v>
      </c>
      <c r="L31" s="376">
        <f t="shared" si="2"/>
        <v>0</v>
      </c>
      <c r="M31" s="371">
        <f t="shared" si="2"/>
        <v>12.189780000000001</v>
      </c>
      <c r="N31" s="369">
        <f t="shared" si="1"/>
        <v>45.441863932898421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28000000000000003" right="0.3" top="0.28000000000000003" bottom="0.37" header="0.3" footer="0.3"/>
  <pageSetup orientation="landscape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46" t="s">
        <v>4347</v>
      </c>
      <c r="B1" s="843" t="s">
        <v>3152</v>
      </c>
      <c r="C1" s="844"/>
      <c r="D1" s="46" t="s">
        <v>4349</v>
      </c>
      <c r="E1" s="46"/>
      <c r="F1" s="916" t="s">
        <v>5208</v>
      </c>
      <c r="G1" s="917"/>
      <c r="H1" s="851" t="s">
        <v>5</v>
      </c>
      <c r="I1" s="852"/>
      <c r="J1" s="47">
        <v>567.58000000000004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5209</v>
      </c>
      <c r="C3" s="844"/>
      <c r="D3" s="46" t="s">
        <v>1208</v>
      </c>
      <c r="E3" s="46"/>
      <c r="F3" s="843" t="s">
        <v>5210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928" t="s">
        <v>5211</v>
      </c>
      <c r="C5" s="928"/>
      <c r="D5" s="46" t="s">
        <v>4355</v>
      </c>
      <c r="E5" s="46"/>
      <c r="F5" s="931" t="s">
        <v>5212</v>
      </c>
      <c r="G5" s="932"/>
      <c r="H5" s="932"/>
      <c r="I5" s="933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934"/>
      <c r="G6" s="935"/>
      <c r="H6" s="935"/>
      <c r="I6" s="936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5213</v>
      </c>
      <c r="C8" s="853"/>
      <c r="D8" s="853" t="s">
        <v>5214</v>
      </c>
      <c r="E8" s="853"/>
      <c r="F8" s="853"/>
      <c r="G8" s="854" t="s">
        <v>5215</v>
      </c>
      <c r="H8" s="854"/>
      <c r="I8" s="854"/>
      <c r="J8" s="854" t="s">
        <v>5216</v>
      </c>
      <c r="K8" s="854"/>
      <c r="L8" s="854"/>
      <c r="M8" s="46"/>
      <c r="N8" s="46"/>
    </row>
    <row r="9" spans="1:14">
      <c r="A9" s="364" t="s">
        <v>840</v>
      </c>
      <c r="B9" s="927" t="s">
        <v>1101</v>
      </c>
      <c r="C9" s="927"/>
      <c r="D9" s="927" t="s">
        <v>1101</v>
      </c>
      <c r="E9" s="927"/>
      <c r="F9" s="927"/>
      <c r="G9" s="928" t="s">
        <v>1101</v>
      </c>
      <c r="H9" s="928"/>
      <c r="I9" s="928"/>
      <c r="J9" s="928" t="s">
        <v>1101</v>
      </c>
      <c r="K9" s="928"/>
      <c r="L9" s="928"/>
      <c r="M9" s="46"/>
      <c r="N9" s="46"/>
    </row>
    <row r="10" spans="1:14">
      <c r="A10" s="364" t="s">
        <v>4361</v>
      </c>
      <c r="B10" s="927" t="s">
        <v>5217</v>
      </c>
      <c r="C10" s="927"/>
      <c r="D10" s="927" t="s">
        <v>5218</v>
      </c>
      <c r="E10" s="927"/>
      <c r="F10" s="927"/>
      <c r="G10" s="928" t="s">
        <v>5219</v>
      </c>
      <c r="H10" s="928"/>
      <c r="I10" s="928"/>
      <c r="J10" s="928" t="s">
        <v>1101</v>
      </c>
      <c r="K10" s="928"/>
      <c r="L10" s="928"/>
      <c r="M10" s="46"/>
      <c r="N10" s="46"/>
    </row>
    <row r="11" spans="1:14" ht="22.5">
      <c r="A11" s="364" t="s">
        <v>420</v>
      </c>
      <c r="B11" s="927" t="s">
        <v>5220</v>
      </c>
      <c r="C11" s="927"/>
      <c r="D11" s="927" t="s">
        <v>1101</v>
      </c>
      <c r="E11" s="927"/>
      <c r="F11" s="927"/>
      <c r="G11" s="928" t="s">
        <v>5221</v>
      </c>
      <c r="H11" s="928"/>
      <c r="I11" s="928"/>
      <c r="J11" s="928" t="s">
        <v>1101</v>
      </c>
      <c r="K11" s="928"/>
      <c r="L11" s="928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/>
      <c r="G13" s="46" t="s">
        <v>1491</v>
      </c>
      <c r="H13" s="47">
        <v>15</v>
      </c>
      <c r="I13" s="46" t="s">
        <v>1492</v>
      </c>
      <c r="J13" s="47">
        <v>1</v>
      </c>
      <c r="K13" s="46" t="s">
        <v>1493</v>
      </c>
      <c r="L13" s="47">
        <v>10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0.25" customHeight="1">
      <c r="A16" s="46" t="s">
        <v>646</v>
      </c>
      <c r="B16" s="46"/>
      <c r="C16" s="46" t="s">
        <v>204</v>
      </c>
      <c r="D16" s="47">
        <v>65</v>
      </c>
      <c r="E16" s="46" t="s">
        <v>205</v>
      </c>
      <c r="F16" s="47">
        <v>41</v>
      </c>
      <c r="G16" s="46" t="s">
        <v>206</v>
      </c>
      <c r="H16" s="47">
        <v>98</v>
      </c>
      <c r="I16" s="46" t="s">
        <v>230</v>
      </c>
      <c r="J16" s="47">
        <v>204</v>
      </c>
      <c r="K16" s="46" t="s">
        <v>207</v>
      </c>
      <c r="L16" s="47">
        <v>17</v>
      </c>
      <c r="M16" s="72" t="s">
        <v>4367</v>
      </c>
      <c r="N16" s="47"/>
    </row>
    <row r="17" spans="1:14">
      <c r="A17" s="46" t="s">
        <v>209</v>
      </c>
      <c r="B17" s="46"/>
      <c r="C17" s="46" t="s">
        <v>210</v>
      </c>
      <c r="D17" s="47">
        <v>146</v>
      </c>
      <c r="E17" s="46" t="s">
        <v>211</v>
      </c>
      <c r="F17" s="47">
        <v>93</v>
      </c>
      <c r="G17" s="46" t="s">
        <v>212</v>
      </c>
      <c r="H17" s="47">
        <v>250</v>
      </c>
      <c r="I17" s="46" t="s">
        <v>411</v>
      </c>
      <c r="J17" s="47">
        <f>H17+F17+D17</f>
        <v>489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137</v>
      </c>
      <c r="E18" s="46" t="s">
        <v>214</v>
      </c>
      <c r="F18" s="47">
        <v>86</v>
      </c>
      <c r="G18" s="46" t="s">
        <v>1494</v>
      </c>
      <c r="H18" s="47">
        <v>288</v>
      </c>
      <c r="I18" s="46" t="s">
        <v>410</v>
      </c>
      <c r="J18" s="47">
        <f>H18+F18+D18</f>
        <v>511</v>
      </c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 ht="18" customHeight="1">
      <c r="A21" s="856"/>
      <c r="B21" s="856"/>
      <c r="C21" s="856"/>
      <c r="D21" s="856"/>
      <c r="E21" s="856"/>
      <c r="F21" s="366" t="s">
        <v>227</v>
      </c>
      <c r="G21" s="366" t="s">
        <v>228</v>
      </c>
      <c r="H21" s="366" t="s">
        <v>229</v>
      </c>
      <c r="I21" s="405" t="s">
        <v>1499</v>
      </c>
      <c r="J21" s="405" t="s">
        <v>4831</v>
      </c>
      <c r="K21" s="405" t="s">
        <v>4832</v>
      </c>
      <c r="L21" s="366" t="s">
        <v>4833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45.406399999999998</v>
      </c>
      <c r="E22" s="364">
        <v>18</v>
      </c>
      <c r="F22" s="364"/>
      <c r="G22" s="369">
        <v>1.5174000000000001</v>
      </c>
      <c r="H22" s="369">
        <v>5.7846500000000001</v>
      </c>
      <c r="I22" s="80"/>
      <c r="J22" s="80"/>
      <c r="K22" s="80"/>
      <c r="L22" s="364"/>
      <c r="M22" s="369">
        <f>SUM(F22:L22)</f>
        <v>7.3020500000000004</v>
      </c>
      <c r="N22" s="369">
        <f>M22/E22*100</f>
        <v>40.566944444444445</v>
      </c>
    </row>
    <row r="23" spans="1:14" ht="22.5">
      <c r="A23" s="364" t="s">
        <v>234</v>
      </c>
      <c r="B23" s="364">
        <v>7000</v>
      </c>
      <c r="C23" s="367" t="s">
        <v>4369</v>
      </c>
      <c r="D23" s="368">
        <f>5.6-2.7</f>
        <v>2.8999999999999995</v>
      </c>
      <c r="E23" s="364">
        <v>2.56</v>
      </c>
      <c r="F23" s="364"/>
      <c r="G23" s="364">
        <v>0</v>
      </c>
      <c r="H23" s="369">
        <v>2.0501999999999998</v>
      </c>
      <c r="I23" s="80"/>
      <c r="J23" s="80"/>
      <c r="K23" s="80"/>
      <c r="L23" s="364"/>
      <c r="M23" s="369">
        <f t="shared" ref="M23:M30" si="0">SUM(F23:L23)</f>
        <v>2.0501999999999998</v>
      </c>
      <c r="N23" s="369">
        <f t="shared" ref="N23:N31" si="1">M23/E23*100</f>
        <v>80.0859375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364"/>
      <c r="G24" s="369">
        <v>0.1799</v>
      </c>
      <c r="H24" s="369">
        <v>3.705E-2</v>
      </c>
      <c r="I24" s="80"/>
      <c r="J24" s="80"/>
      <c r="K24" s="80"/>
      <c r="L24" s="364"/>
      <c r="M24" s="369">
        <f t="shared" si="0"/>
        <v>0.21695</v>
      </c>
      <c r="N24" s="369">
        <f t="shared" si="1"/>
        <v>61.985714285714288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364"/>
      <c r="G25" s="369">
        <v>0.1598</v>
      </c>
      <c r="H25" s="364">
        <v>0.02</v>
      </c>
      <c r="I25" s="80"/>
      <c r="J25" s="80"/>
      <c r="K25" s="80"/>
      <c r="L25" s="364"/>
      <c r="M25" s="369">
        <f t="shared" si="0"/>
        <v>0.17979999999999999</v>
      </c>
      <c r="N25" s="364">
        <f t="shared" si="1"/>
        <v>62</v>
      </c>
    </row>
    <row r="26" spans="1:14" ht="17.25" customHeight="1">
      <c r="A26" s="364" t="s">
        <v>238</v>
      </c>
      <c r="B26" s="364">
        <v>1200</v>
      </c>
      <c r="C26" s="367" t="s">
        <v>4369</v>
      </c>
      <c r="D26" s="368">
        <f>B26*J1/100000</f>
        <v>6.8109599999999997</v>
      </c>
      <c r="E26" s="364">
        <v>1</v>
      </c>
      <c r="F26" s="364"/>
      <c r="G26" s="364">
        <v>0</v>
      </c>
      <c r="H26" s="369">
        <v>1.0780000000000001</v>
      </c>
      <c r="I26" s="80"/>
      <c r="J26" s="80"/>
      <c r="K26" s="80"/>
      <c r="L26" s="364"/>
      <c r="M26" s="369">
        <f t="shared" si="0"/>
        <v>1.0780000000000001</v>
      </c>
      <c r="N26" s="364">
        <f t="shared" si="1"/>
        <v>107.80000000000001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3.2068270000000001</v>
      </c>
      <c r="E27" s="364">
        <v>3.21</v>
      </c>
      <c r="F27" s="364"/>
      <c r="G27" s="369">
        <v>3.2068300000000001</v>
      </c>
      <c r="H27" s="364">
        <v>0</v>
      </c>
      <c r="I27" s="80"/>
      <c r="J27" s="80"/>
      <c r="K27" s="80"/>
      <c r="L27" s="364"/>
      <c r="M27" s="369">
        <f t="shared" si="0"/>
        <v>3.2068300000000001</v>
      </c>
      <c r="N27" s="369">
        <f t="shared" si="1"/>
        <v>99.901246105919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5.6757999999999997</v>
      </c>
      <c r="E28" s="364">
        <v>0</v>
      </c>
      <c r="F28" s="364"/>
      <c r="G28" s="364">
        <v>0</v>
      </c>
      <c r="H28" s="364">
        <v>0</v>
      </c>
      <c r="I28" s="80"/>
      <c r="J28" s="80"/>
      <c r="K28" s="80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364"/>
      <c r="G29" s="369">
        <v>0.16145999999999999</v>
      </c>
      <c r="H29" s="369">
        <v>0.30249999999999999</v>
      </c>
      <c r="I29" s="80"/>
      <c r="J29" s="80"/>
      <c r="K29" s="80"/>
      <c r="L29" s="364"/>
      <c r="M29" s="369">
        <f t="shared" si="0"/>
        <v>0.46395999999999998</v>
      </c>
      <c r="N29" s="369">
        <f t="shared" si="1"/>
        <v>77.976470588235287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69.909986999999987</v>
      </c>
      <c r="E31" s="371">
        <f t="shared" ref="E31:M31" si="2">SUM(E22:E30)</f>
        <v>26.105</v>
      </c>
      <c r="F31" s="371">
        <f t="shared" si="2"/>
        <v>0</v>
      </c>
      <c r="G31" s="371">
        <f t="shared" si="2"/>
        <v>5.22539</v>
      </c>
      <c r="H31" s="371">
        <f t="shared" si="2"/>
        <v>9.2723999999999993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14.49779</v>
      </c>
      <c r="N31" s="369">
        <f t="shared" si="1"/>
        <v>55.53644895613867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28000000000000003" right="0.3" top="0.28000000000000003" bottom="0.37" header="0.3" footer="0.3"/>
  <pageSetup orientation="landscape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N30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46" t="s">
        <v>4347</v>
      </c>
      <c r="B1" s="843" t="s">
        <v>5222</v>
      </c>
      <c r="C1" s="844"/>
      <c r="D1" s="46" t="s">
        <v>4349</v>
      </c>
      <c r="E1" s="46"/>
      <c r="F1" s="916" t="s">
        <v>5223</v>
      </c>
      <c r="G1" s="917"/>
      <c r="H1" s="851" t="s">
        <v>5</v>
      </c>
      <c r="I1" s="852"/>
      <c r="J1" s="47">
        <v>814.07</v>
      </c>
      <c r="K1" s="46" t="s">
        <v>436</v>
      </c>
      <c r="L1" s="46"/>
      <c r="M1" s="47">
        <v>120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5224</v>
      </c>
      <c r="C3" s="844"/>
      <c r="D3" s="46" t="s">
        <v>1208</v>
      </c>
      <c r="E3" s="46"/>
      <c r="F3" s="843" t="s">
        <v>5225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928" t="s">
        <v>5226</v>
      </c>
      <c r="C5" s="928"/>
      <c r="D5" s="46" t="s">
        <v>4355</v>
      </c>
      <c r="E5" s="46"/>
      <c r="F5" s="931" t="s">
        <v>5227</v>
      </c>
      <c r="G5" s="932"/>
      <c r="H5" s="932"/>
      <c r="I5" s="933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934"/>
      <c r="G6" s="935"/>
      <c r="H6" s="935"/>
      <c r="I6" s="936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5228</v>
      </c>
      <c r="C8" s="853"/>
      <c r="D8" s="937" t="s">
        <v>5229</v>
      </c>
      <c r="E8" s="937"/>
      <c r="F8" s="937"/>
      <c r="G8" s="938" t="s">
        <v>5230</v>
      </c>
      <c r="H8" s="938"/>
      <c r="I8" s="938"/>
      <c r="J8" s="938" t="s">
        <v>5231</v>
      </c>
      <c r="K8" s="938"/>
      <c r="L8" s="938"/>
      <c r="M8" s="46"/>
      <c r="N8" s="46"/>
    </row>
    <row r="9" spans="1:14">
      <c r="A9" s="364" t="s">
        <v>840</v>
      </c>
      <c r="B9" s="927" t="s">
        <v>1101</v>
      </c>
      <c r="C9" s="927"/>
      <c r="D9" s="927" t="s">
        <v>1101</v>
      </c>
      <c r="E9" s="927"/>
      <c r="F9" s="927"/>
      <c r="G9" s="928" t="s">
        <v>1101</v>
      </c>
      <c r="H9" s="928"/>
      <c r="I9" s="928"/>
      <c r="J9" s="928" t="s">
        <v>1101</v>
      </c>
      <c r="K9" s="928"/>
      <c r="L9" s="928"/>
      <c r="M9" s="46"/>
      <c r="N9" s="46"/>
    </row>
    <row r="10" spans="1:14">
      <c r="A10" s="364" t="s">
        <v>4361</v>
      </c>
      <c r="B10" s="927" t="s">
        <v>5232</v>
      </c>
      <c r="C10" s="927"/>
      <c r="D10" s="927" t="s">
        <v>4194</v>
      </c>
      <c r="E10" s="927"/>
      <c r="F10" s="927"/>
      <c r="G10" s="928" t="s">
        <v>5233</v>
      </c>
      <c r="H10" s="928"/>
      <c r="I10" s="928"/>
      <c r="J10" s="928" t="s">
        <v>5234</v>
      </c>
      <c r="K10" s="928"/>
      <c r="L10" s="928"/>
      <c r="M10" s="46"/>
      <c r="N10" s="46"/>
    </row>
    <row r="11" spans="1:14" ht="22.5">
      <c r="A11" s="364" t="s">
        <v>420</v>
      </c>
      <c r="B11" s="929" t="s">
        <v>5226</v>
      </c>
      <c r="C11" s="930"/>
      <c r="D11" s="927" t="s">
        <v>1101</v>
      </c>
      <c r="E11" s="927"/>
      <c r="F11" s="927"/>
      <c r="G11" s="928" t="s">
        <v>1101</v>
      </c>
      <c r="H11" s="928"/>
      <c r="I11" s="928"/>
      <c r="J11" s="928" t="s">
        <v>1101</v>
      </c>
      <c r="K11" s="928"/>
      <c r="L11" s="928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/>
      <c r="G13" s="46" t="s">
        <v>1491</v>
      </c>
      <c r="H13" s="47">
        <v>11</v>
      </c>
      <c r="I13" s="46" t="s">
        <v>1492</v>
      </c>
      <c r="J13" s="47">
        <v>1</v>
      </c>
      <c r="K13" s="46" t="s">
        <v>1493</v>
      </c>
      <c r="L13" s="47">
        <v>12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1.75" customHeight="1">
      <c r="A15" s="46" t="s">
        <v>646</v>
      </c>
      <c r="B15" s="46"/>
      <c r="C15" s="46" t="s">
        <v>204</v>
      </c>
      <c r="D15" s="47">
        <v>107</v>
      </c>
      <c r="E15" s="46" t="s">
        <v>205</v>
      </c>
      <c r="F15" s="47">
        <v>0</v>
      </c>
      <c r="G15" s="46" t="s">
        <v>206</v>
      </c>
      <c r="H15" s="47">
        <v>30</v>
      </c>
      <c r="I15" s="46" t="s">
        <v>230</v>
      </c>
      <c r="J15" s="47">
        <v>137</v>
      </c>
      <c r="K15" s="46" t="s">
        <v>207</v>
      </c>
      <c r="L15" s="47">
        <v>23</v>
      </c>
      <c r="M15" s="72" t="s">
        <v>4367</v>
      </c>
      <c r="N15" s="47"/>
    </row>
    <row r="16" spans="1:14">
      <c r="A16" s="46" t="s">
        <v>209</v>
      </c>
      <c r="B16" s="46"/>
      <c r="C16" s="46" t="s">
        <v>210</v>
      </c>
      <c r="D16" s="47">
        <v>219</v>
      </c>
      <c r="E16" s="46" t="s">
        <v>211</v>
      </c>
      <c r="F16" s="47">
        <v>0</v>
      </c>
      <c r="G16" s="46" t="s">
        <v>212</v>
      </c>
      <c r="H16" s="47">
        <v>60</v>
      </c>
      <c r="I16" s="46" t="s">
        <v>411</v>
      </c>
      <c r="J16" s="47">
        <f>H16+F16+D16</f>
        <v>279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193</v>
      </c>
      <c r="E17" s="46" t="s">
        <v>214</v>
      </c>
      <c r="F17" s="47">
        <v>0</v>
      </c>
      <c r="G17" s="46" t="s">
        <v>1494</v>
      </c>
      <c r="H17" s="47">
        <v>59</v>
      </c>
      <c r="I17" s="46" t="s">
        <v>410</v>
      </c>
      <c r="J17" s="47">
        <f>H17+F17+D17</f>
        <v>252</v>
      </c>
      <c r="K17" s="46"/>
      <c r="L17" s="46"/>
      <c r="M17" s="46"/>
      <c r="N17" s="46"/>
    </row>
    <row r="18" spans="1:14">
      <c r="A18" s="365" t="s">
        <v>216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856" t="s">
        <v>217</v>
      </c>
      <c r="B19" s="856" t="s">
        <v>218</v>
      </c>
      <c r="C19" s="856" t="s">
        <v>219</v>
      </c>
      <c r="D19" s="856" t="s">
        <v>407</v>
      </c>
      <c r="E19" s="856" t="s">
        <v>864</v>
      </c>
      <c r="F19" s="855" t="s">
        <v>4368</v>
      </c>
      <c r="G19" s="855"/>
      <c r="H19" s="855"/>
      <c r="I19" s="855"/>
      <c r="J19" s="855"/>
      <c r="K19" s="855"/>
      <c r="L19" s="855"/>
      <c r="M19" s="855"/>
      <c r="N19" s="855"/>
    </row>
    <row r="20" spans="1:14" ht="16.5" customHeight="1">
      <c r="A20" s="856"/>
      <c r="B20" s="856"/>
      <c r="C20" s="856"/>
      <c r="D20" s="856"/>
      <c r="E20" s="856"/>
      <c r="F20" s="366" t="s">
        <v>227</v>
      </c>
      <c r="G20" s="366" t="s">
        <v>228</v>
      </c>
      <c r="H20" s="366" t="s">
        <v>229</v>
      </c>
      <c r="I20" s="405" t="s">
        <v>1499</v>
      </c>
      <c r="J20" s="405" t="s">
        <v>4831</v>
      </c>
      <c r="K20" s="405" t="s">
        <v>4832</v>
      </c>
      <c r="L20" s="366" t="s">
        <v>4833</v>
      </c>
      <c r="M20" s="366" t="s">
        <v>230</v>
      </c>
      <c r="N20" s="366" t="s">
        <v>231</v>
      </c>
    </row>
    <row r="21" spans="1:14">
      <c r="A21" s="364" t="s">
        <v>232</v>
      </c>
      <c r="B21" s="364">
        <v>8000</v>
      </c>
      <c r="C21" s="367" t="s">
        <v>4369</v>
      </c>
      <c r="D21" s="368">
        <f>B21*J1/100000</f>
        <v>65.125600000000006</v>
      </c>
      <c r="E21" s="364">
        <v>18</v>
      </c>
      <c r="F21" s="364"/>
      <c r="G21" s="369">
        <v>1.0490999999999999</v>
      </c>
      <c r="H21" s="369">
        <v>8.4882000000000009</v>
      </c>
      <c r="I21" s="80"/>
      <c r="J21" s="80"/>
      <c r="K21" s="80"/>
      <c r="L21" s="364"/>
      <c r="M21" s="369">
        <f>SUM(F21:L21)</f>
        <v>9.5373000000000001</v>
      </c>
      <c r="N21" s="369">
        <f>M21/E21*100</f>
        <v>52.985000000000007</v>
      </c>
    </row>
    <row r="22" spans="1:14" ht="22.5">
      <c r="A22" s="364" t="s">
        <v>234</v>
      </c>
      <c r="B22" s="364">
        <v>7000</v>
      </c>
      <c r="C22" s="367" t="s">
        <v>4369</v>
      </c>
      <c r="D22" s="375">
        <f>5.6-2.7</f>
        <v>2.8999999999999995</v>
      </c>
      <c r="E22" s="364">
        <v>2.56</v>
      </c>
      <c r="F22" s="364"/>
      <c r="G22" s="364">
        <v>0</v>
      </c>
      <c r="H22" s="364">
        <v>0</v>
      </c>
      <c r="I22" s="80"/>
      <c r="J22" s="80"/>
      <c r="K22" s="80"/>
      <c r="L22" s="364"/>
      <c r="M22" s="364">
        <f t="shared" ref="M22:M29" si="0">SUM(F22:L22)</f>
        <v>0</v>
      </c>
      <c r="N22" s="364">
        <f t="shared" ref="N22:N30" si="1">M22/E22*100</f>
        <v>0</v>
      </c>
    </row>
    <row r="23" spans="1:14" ht="22.5">
      <c r="A23" s="364" t="s">
        <v>235</v>
      </c>
      <c r="B23" s="364">
        <v>43000</v>
      </c>
      <c r="C23" s="367" t="s">
        <v>236</v>
      </c>
      <c r="D23" s="375">
        <f>0.43+2.7</f>
        <v>3.1300000000000003</v>
      </c>
      <c r="E23" s="364">
        <v>0.35</v>
      </c>
      <c r="F23" s="364"/>
      <c r="G23" s="364">
        <v>0.1799</v>
      </c>
      <c r="H23" s="369">
        <v>4.0300000000000002E-2</v>
      </c>
      <c r="I23" s="80"/>
      <c r="J23" s="80"/>
      <c r="K23" s="80"/>
      <c r="L23" s="364"/>
      <c r="M23" s="369">
        <f t="shared" si="0"/>
        <v>0.22020000000000001</v>
      </c>
      <c r="N23" s="369">
        <f t="shared" si="1"/>
        <v>62.914285714285725</v>
      </c>
    </row>
    <row r="24" spans="1:14" ht="22.5">
      <c r="A24" s="364" t="s">
        <v>237</v>
      </c>
      <c r="B24" s="364">
        <v>37000</v>
      </c>
      <c r="C24" s="367" t="s">
        <v>236</v>
      </c>
      <c r="D24" s="375">
        <v>0.37</v>
      </c>
      <c r="E24" s="364">
        <v>0.28999999999999998</v>
      </c>
      <c r="F24" s="364"/>
      <c r="G24" s="364">
        <v>0.1598</v>
      </c>
      <c r="H24" s="364">
        <v>0.02</v>
      </c>
      <c r="I24" s="80"/>
      <c r="J24" s="80"/>
      <c r="K24" s="80"/>
      <c r="L24" s="364"/>
      <c r="M24" s="369">
        <f t="shared" si="0"/>
        <v>0.17979999999999999</v>
      </c>
      <c r="N24" s="364">
        <f t="shared" si="1"/>
        <v>62</v>
      </c>
    </row>
    <row r="25" spans="1:14">
      <c r="A25" s="364" t="s">
        <v>238</v>
      </c>
      <c r="B25" s="364">
        <v>1200</v>
      </c>
      <c r="C25" s="367" t="s">
        <v>4369</v>
      </c>
      <c r="D25" s="368">
        <f>B25*J1/100000</f>
        <v>9.7688400000000009</v>
      </c>
      <c r="E25" s="364">
        <v>2</v>
      </c>
      <c r="F25" s="364"/>
      <c r="G25" s="364">
        <v>0</v>
      </c>
      <c r="H25" s="369">
        <v>0.99770000000000003</v>
      </c>
      <c r="I25" s="80"/>
      <c r="J25" s="80"/>
      <c r="K25" s="80"/>
      <c r="L25" s="364"/>
      <c r="M25" s="369">
        <f t="shared" si="0"/>
        <v>0.99770000000000003</v>
      </c>
      <c r="N25" s="369">
        <f t="shared" si="1"/>
        <v>49.885000000000005</v>
      </c>
    </row>
    <row r="26" spans="1:14">
      <c r="A26" s="364" t="s">
        <v>667</v>
      </c>
      <c r="B26" s="364">
        <v>565</v>
      </c>
      <c r="C26" s="367" t="s">
        <v>1036</v>
      </c>
      <c r="D26" s="368">
        <f>B26*J1/100000</f>
        <v>4.5994955000000006</v>
      </c>
      <c r="E26" s="364">
        <v>4.5999999999999996</v>
      </c>
      <c r="F26" s="364"/>
      <c r="G26" s="364">
        <v>4.5994999999999999</v>
      </c>
      <c r="H26" s="364">
        <v>0</v>
      </c>
      <c r="I26" s="80"/>
      <c r="J26" s="80"/>
      <c r="K26" s="80"/>
      <c r="L26" s="364"/>
      <c r="M26" s="369">
        <f t="shared" si="0"/>
        <v>4.5994999999999999</v>
      </c>
      <c r="N26" s="369">
        <f t="shared" si="1"/>
        <v>99.989130434782609</v>
      </c>
    </row>
    <row r="27" spans="1:14">
      <c r="A27" s="364" t="s">
        <v>240</v>
      </c>
      <c r="B27" s="364">
        <v>1000</v>
      </c>
      <c r="C27" s="367" t="s">
        <v>1036</v>
      </c>
      <c r="D27" s="368">
        <f>B27*J1/100000</f>
        <v>8.1407000000000007</v>
      </c>
      <c r="E27" s="364">
        <v>0</v>
      </c>
      <c r="F27" s="364"/>
      <c r="G27" s="364">
        <v>0</v>
      </c>
      <c r="H27" s="364">
        <v>0</v>
      </c>
      <c r="I27" s="80"/>
      <c r="J27" s="80"/>
      <c r="K27" s="80"/>
      <c r="L27" s="364"/>
      <c r="M27" s="364">
        <f t="shared" si="0"/>
        <v>0</v>
      </c>
      <c r="N27" s="364" t="e">
        <f t="shared" si="1"/>
        <v>#DIV/0!</v>
      </c>
    </row>
    <row r="28" spans="1:14">
      <c r="A28" s="364" t="s">
        <v>241</v>
      </c>
      <c r="B28" s="364">
        <v>2750</v>
      </c>
      <c r="C28" s="367" t="s">
        <v>1036</v>
      </c>
      <c r="D28" s="375">
        <v>2.31</v>
      </c>
      <c r="E28" s="369">
        <v>0.59499999999999997</v>
      </c>
      <c r="F28" s="364"/>
      <c r="G28" s="364">
        <v>0.14646000000000001</v>
      </c>
      <c r="H28" s="369">
        <v>0.41499999999999998</v>
      </c>
      <c r="I28" s="80"/>
      <c r="J28" s="80"/>
      <c r="K28" s="80"/>
      <c r="L28" s="364"/>
      <c r="M28" s="369">
        <f t="shared" si="0"/>
        <v>0.56145999999999996</v>
      </c>
      <c r="N28" s="369">
        <f t="shared" si="1"/>
        <v>94.363025210084032</v>
      </c>
    </row>
    <row r="29" spans="1:14">
      <c r="A29" s="364" t="s">
        <v>670</v>
      </c>
      <c r="B29" s="364">
        <v>10000</v>
      </c>
      <c r="C29" s="367" t="s">
        <v>244</v>
      </c>
      <c r="D29" s="375">
        <v>0.1</v>
      </c>
      <c r="E29" s="364">
        <v>0.1</v>
      </c>
      <c r="F29" s="364"/>
      <c r="G29" s="364"/>
      <c r="H29" s="364"/>
      <c r="I29" s="364"/>
      <c r="J29" s="364"/>
      <c r="K29" s="364"/>
      <c r="L29" s="364"/>
      <c r="M29" s="364">
        <f t="shared" si="0"/>
        <v>0</v>
      </c>
      <c r="N29" s="364">
        <f t="shared" si="1"/>
        <v>0</v>
      </c>
    </row>
    <row r="30" spans="1:14">
      <c r="A30" s="370" t="s">
        <v>245</v>
      </c>
      <c r="B30" s="370"/>
      <c r="C30" s="366"/>
      <c r="D30" s="371">
        <f>SUM(D21:D29)</f>
        <v>96.444635500000004</v>
      </c>
      <c r="E30" s="371">
        <f t="shared" ref="E30:M30" si="2">SUM(E21:E29)</f>
        <v>28.494999999999997</v>
      </c>
      <c r="F30" s="371">
        <f t="shared" si="2"/>
        <v>0</v>
      </c>
      <c r="G30" s="371">
        <f t="shared" si="2"/>
        <v>6.13476</v>
      </c>
      <c r="H30" s="371">
        <f t="shared" si="2"/>
        <v>9.9611999999999998</v>
      </c>
      <c r="I30" s="371">
        <f t="shared" si="2"/>
        <v>0</v>
      </c>
      <c r="J30" s="371">
        <f t="shared" si="2"/>
        <v>0</v>
      </c>
      <c r="K30" s="371">
        <f t="shared" si="2"/>
        <v>0</v>
      </c>
      <c r="L30" s="371">
        <f t="shared" si="2"/>
        <v>0</v>
      </c>
      <c r="M30" s="371">
        <f t="shared" si="2"/>
        <v>16.095960000000002</v>
      </c>
      <c r="N30" s="369">
        <f t="shared" si="1"/>
        <v>56.486962625021938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19:N19"/>
    <mergeCell ref="B10:C10"/>
    <mergeCell ref="D10:F10"/>
    <mergeCell ref="G10:I10"/>
    <mergeCell ref="J10:L10"/>
    <mergeCell ref="B11:C11"/>
    <mergeCell ref="D11:F11"/>
    <mergeCell ref="G11:I11"/>
    <mergeCell ref="J11:L11"/>
    <mergeCell ref="A19:A20"/>
    <mergeCell ref="B19:B20"/>
    <mergeCell ref="C19:C20"/>
    <mergeCell ref="D19:D20"/>
    <mergeCell ref="E19:E20"/>
  </mergeCells>
  <hyperlinks>
    <hyperlink ref="A2" location="'Fact Sheet of VDC'!A1" display="&lt;&lt;Back"/>
  </hyperlinks>
  <pageMargins left="0.28000000000000003" right="0.3" top="0.28000000000000003" bottom="0.37" header="0.3" footer="0.3"/>
  <pageSetup orientation="landscape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46" t="s">
        <v>4347</v>
      </c>
      <c r="B1" s="843" t="s">
        <v>5235</v>
      </c>
      <c r="C1" s="844"/>
      <c r="D1" s="46" t="s">
        <v>4349</v>
      </c>
      <c r="E1" s="46"/>
      <c r="F1" s="865" t="s">
        <v>5236</v>
      </c>
      <c r="G1" s="844"/>
      <c r="H1" s="851" t="s">
        <v>5</v>
      </c>
      <c r="I1" s="852"/>
      <c r="J1" s="47">
        <v>666.06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5237</v>
      </c>
      <c r="C3" s="844"/>
      <c r="D3" s="46" t="s">
        <v>1208</v>
      </c>
      <c r="E3" s="46"/>
      <c r="F3" s="843" t="s">
        <v>5238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/>
      <c r="C5" s="844"/>
      <c r="D5" s="46" t="s">
        <v>4355</v>
      </c>
      <c r="E5" s="46"/>
      <c r="F5" s="931" t="s">
        <v>5239</v>
      </c>
      <c r="G5" s="932"/>
      <c r="H5" s="932"/>
      <c r="I5" s="933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934"/>
      <c r="G6" s="935"/>
      <c r="H6" s="935"/>
      <c r="I6" s="936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364" t="s">
        <v>5240</v>
      </c>
      <c r="C8" s="364" t="s">
        <v>5241</v>
      </c>
      <c r="D8" s="364" t="s">
        <v>5242</v>
      </c>
      <c r="E8" s="364" t="s">
        <v>5243</v>
      </c>
      <c r="F8" s="364" t="s">
        <v>5244</v>
      </c>
      <c r="G8" s="159" t="s">
        <v>5245</v>
      </c>
      <c r="H8" s="406"/>
      <c r="I8" s="162"/>
      <c r="J8" s="161"/>
      <c r="K8" s="406"/>
      <c r="L8" s="162"/>
      <c r="M8" s="46"/>
      <c r="N8" s="46"/>
    </row>
    <row r="9" spans="1:14" ht="22.5">
      <c r="A9" s="364" t="s">
        <v>840</v>
      </c>
      <c r="B9" s="407" t="s">
        <v>5246</v>
      </c>
      <c r="C9" s="407" t="s">
        <v>3010</v>
      </c>
      <c r="D9" s="407" t="s">
        <v>5247</v>
      </c>
      <c r="E9" s="407" t="s">
        <v>5248</v>
      </c>
      <c r="F9" s="407" t="s">
        <v>5249</v>
      </c>
      <c r="G9" s="408"/>
      <c r="H9" s="406"/>
      <c r="I9" s="162"/>
      <c r="J9" s="161"/>
      <c r="K9" s="406"/>
      <c r="L9" s="162"/>
      <c r="M9" s="46"/>
      <c r="N9" s="46"/>
    </row>
    <row r="10" spans="1:14" ht="22.5">
      <c r="A10" s="364" t="s">
        <v>4361</v>
      </c>
      <c r="B10" s="407" t="s">
        <v>5250</v>
      </c>
      <c r="C10" s="407" t="s">
        <v>5251</v>
      </c>
      <c r="D10" s="407" t="s">
        <v>5252</v>
      </c>
      <c r="E10" s="407" t="s">
        <v>5253</v>
      </c>
      <c r="F10" s="407" t="s">
        <v>5254</v>
      </c>
      <c r="G10" s="408" t="s">
        <v>1101</v>
      </c>
      <c r="H10" s="406"/>
      <c r="I10" s="162"/>
      <c r="J10" s="161"/>
      <c r="K10" s="406"/>
      <c r="L10" s="162"/>
      <c r="M10" s="46"/>
      <c r="N10" s="46"/>
    </row>
    <row r="11" spans="1:14" ht="36" customHeight="1">
      <c r="A11" s="364" t="s">
        <v>420</v>
      </c>
      <c r="B11" s="407" t="s">
        <v>5255</v>
      </c>
      <c r="C11" s="407" t="s">
        <v>5256</v>
      </c>
      <c r="D11" s="407" t="s">
        <v>5257</v>
      </c>
      <c r="E11" s="407" t="s">
        <v>5258</v>
      </c>
      <c r="F11" s="407" t="s">
        <v>5259</v>
      </c>
      <c r="G11" s="408"/>
      <c r="H11" s="406"/>
      <c r="I11" s="162"/>
      <c r="J11" s="161"/>
      <c r="K11" s="406"/>
      <c r="L11" s="162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6</v>
      </c>
      <c r="C13" s="46" t="s">
        <v>4366</v>
      </c>
      <c r="D13" s="46"/>
      <c r="E13" s="46"/>
      <c r="F13" s="47"/>
      <c r="G13" s="46" t="s">
        <v>1491</v>
      </c>
      <c r="H13" s="47">
        <v>26</v>
      </c>
      <c r="I13" s="46" t="s">
        <v>1492</v>
      </c>
      <c r="J13" s="47">
        <v>4</v>
      </c>
      <c r="K13" s="46" t="s">
        <v>1493</v>
      </c>
      <c r="L13" s="47">
        <v>19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3.25" customHeight="1">
      <c r="A15" s="46" t="s">
        <v>646</v>
      </c>
      <c r="B15" s="46"/>
      <c r="C15" s="46" t="s">
        <v>204</v>
      </c>
      <c r="D15" s="47">
        <v>140</v>
      </c>
      <c r="E15" s="46" t="s">
        <v>205</v>
      </c>
      <c r="F15" s="47">
        <v>9</v>
      </c>
      <c r="G15" s="46" t="s">
        <v>206</v>
      </c>
      <c r="H15" s="47">
        <v>168</v>
      </c>
      <c r="I15" s="46" t="s">
        <v>230</v>
      </c>
      <c r="J15" s="47">
        <v>317</v>
      </c>
      <c r="K15" s="46" t="s">
        <v>207</v>
      </c>
      <c r="L15" s="47">
        <v>16</v>
      </c>
      <c r="M15" s="72" t="s">
        <v>4367</v>
      </c>
      <c r="N15" s="47"/>
    </row>
    <row r="16" spans="1:14">
      <c r="A16" s="46" t="s">
        <v>209</v>
      </c>
      <c r="B16" s="46"/>
      <c r="C16" s="46" t="s">
        <v>210</v>
      </c>
      <c r="D16" s="47">
        <v>292</v>
      </c>
      <c r="E16" s="46" t="s">
        <v>211</v>
      </c>
      <c r="F16" s="47">
        <v>121</v>
      </c>
      <c r="G16" s="46" t="s">
        <v>212</v>
      </c>
      <c r="H16" s="47">
        <v>293</v>
      </c>
      <c r="I16" s="46" t="s">
        <v>411</v>
      </c>
      <c r="J16" s="47">
        <f>H16+F16+D16</f>
        <v>706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321</v>
      </c>
      <c r="E17" s="46" t="s">
        <v>214</v>
      </c>
      <c r="F17" s="47">
        <v>91</v>
      </c>
      <c r="G17" s="46" t="s">
        <v>1494</v>
      </c>
      <c r="H17" s="47">
        <v>267</v>
      </c>
      <c r="I17" s="46" t="s">
        <v>410</v>
      </c>
      <c r="J17" s="47">
        <f>H17+F17+D17</f>
        <v>679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 ht="20.25" customHeight="1">
      <c r="A21" s="856"/>
      <c r="B21" s="856"/>
      <c r="C21" s="856"/>
      <c r="D21" s="856"/>
      <c r="E21" s="856"/>
      <c r="F21" s="366" t="s">
        <v>227</v>
      </c>
      <c r="G21" s="366" t="s">
        <v>228</v>
      </c>
      <c r="H21" s="366" t="s">
        <v>229</v>
      </c>
      <c r="I21" s="405" t="s">
        <v>1499</v>
      </c>
      <c r="J21" s="405" t="s">
        <v>4831</v>
      </c>
      <c r="K21" s="405" t="s">
        <v>4832</v>
      </c>
      <c r="L21" s="366" t="s">
        <v>4833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53.284799999999997</v>
      </c>
      <c r="E22" s="364">
        <v>18</v>
      </c>
      <c r="F22" s="364"/>
      <c r="G22" s="369">
        <v>0.3952</v>
      </c>
      <c r="H22" s="369">
        <v>7.4098499999999996</v>
      </c>
      <c r="I22" s="80"/>
      <c r="J22" s="80"/>
      <c r="K22" s="80"/>
      <c r="L22" s="364"/>
      <c r="M22" s="369">
        <f>SUM(F22:L22)</f>
        <v>7.8050499999999996</v>
      </c>
      <c r="N22" s="369">
        <f>M22/E22*100</f>
        <v>43.361388888888882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364"/>
      <c r="G23" s="364">
        <v>0</v>
      </c>
      <c r="H23" s="369">
        <v>0.94520000000000004</v>
      </c>
      <c r="I23" s="80"/>
      <c r="J23" s="80"/>
      <c r="K23" s="80"/>
      <c r="L23" s="364"/>
      <c r="M23" s="369">
        <f t="shared" ref="M23:M30" si="0">SUM(F23:L23)</f>
        <v>0.94520000000000004</v>
      </c>
      <c r="N23" s="369">
        <f t="shared" ref="N23:N31" si="1">M23/E23*100</f>
        <v>36.921875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364"/>
      <c r="G24" s="369">
        <v>0.1799</v>
      </c>
      <c r="H24" s="369">
        <v>4.1250000000000002E-2</v>
      </c>
      <c r="I24" s="80"/>
      <c r="J24" s="80"/>
      <c r="K24" s="80"/>
      <c r="L24" s="364"/>
      <c r="M24" s="369">
        <f t="shared" si="0"/>
        <v>0.22115000000000001</v>
      </c>
      <c r="N24" s="369">
        <f t="shared" si="1"/>
        <v>63.18571428571429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364"/>
      <c r="G25" s="369">
        <v>0.1598</v>
      </c>
      <c r="H25" s="364">
        <v>0.02</v>
      </c>
      <c r="I25" s="80"/>
      <c r="J25" s="80"/>
      <c r="K25" s="80"/>
      <c r="L25" s="364"/>
      <c r="M25" s="369">
        <f t="shared" si="0"/>
        <v>0.17979999999999999</v>
      </c>
      <c r="N25" s="364">
        <f t="shared" si="1"/>
        <v>62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7.9927199999999985</v>
      </c>
      <c r="E26" s="364">
        <v>2</v>
      </c>
      <c r="F26" s="364"/>
      <c r="G26" s="364">
        <v>0</v>
      </c>
      <c r="H26" s="369">
        <v>0.622</v>
      </c>
      <c r="I26" s="80"/>
      <c r="J26" s="80"/>
      <c r="K26" s="80"/>
      <c r="L26" s="364"/>
      <c r="M26" s="369">
        <f t="shared" si="0"/>
        <v>0.622</v>
      </c>
      <c r="N26" s="364">
        <f t="shared" si="1"/>
        <v>31.1</v>
      </c>
    </row>
    <row r="27" spans="1:14">
      <c r="A27" s="364" t="s">
        <v>667</v>
      </c>
      <c r="B27" s="364">
        <v>565</v>
      </c>
      <c r="C27" s="367" t="s">
        <v>1036</v>
      </c>
      <c r="D27" s="375">
        <v>2.83</v>
      </c>
      <c r="E27" s="364">
        <v>2.83</v>
      </c>
      <c r="F27" s="364"/>
      <c r="G27" s="369">
        <v>3.7632400000000001</v>
      </c>
      <c r="H27" s="364">
        <v>0</v>
      </c>
      <c r="I27" s="80"/>
      <c r="J27" s="80"/>
      <c r="K27" s="80"/>
      <c r="L27" s="364"/>
      <c r="M27" s="369">
        <f t="shared" si="0"/>
        <v>3.7632400000000001</v>
      </c>
      <c r="N27" s="369">
        <f t="shared" si="1"/>
        <v>132.97667844522968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6.6605999999999996</v>
      </c>
      <c r="E28" s="364">
        <v>0</v>
      </c>
      <c r="F28" s="364"/>
      <c r="G28" s="364">
        <v>0</v>
      </c>
      <c r="H28" s="364">
        <v>0</v>
      </c>
      <c r="I28" s="80"/>
      <c r="J28" s="80"/>
      <c r="K28" s="80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364"/>
      <c r="G29" s="369">
        <v>0.17251</v>
      </c>
      <c r="H29" s="369">
        <v>0.30970999999999999</v>
      </c>
      <c r="I29" s="80"/>
      <c r="J29" s="80"/>
      <c r="K29" s="80"/>
      <c r="L29" s="364"/>
      <c r="M29" s="369">
        <f t="shared" si="0"/>
        <v>0.48221999999999998</v>
      </c>
      <c r="N29" s="369">
        <f t="shared" si="1"/>
        <v>81.045378151260508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79.578119999999984</v>
      </c>
      <c r="E31" s="371">
        <f t="shared" ref="E31:M31" si="2">SUM(E22:E30)</f>
        <v>26.725000000000001</v>
      </c>
      <c r="F31" s="371">
        <f t="shared" si="2"/>
        <v>0</v>
      </c>
      <c r="G31" s="371">
        <f t="shared" si="2"/>
        <v>4.6706500000000002</v>
      </c>
      <c r="H31" s="371">
        <f t="shared" si="2"/>
        <v>9.3480100000000004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14.018659999999999</v>
      </c>
      <c r="N31" s="369">
        <f t="shared" si="1"/>
        <v>52.455229186155286</v>
      </c>
    </row>
  </sheetData>
  <mergeCells count="14">
    <mergeCell ref="F20:N20"/>
    <mergeCell ref="B1:C1"/>
    <mergeCell ref="F1:G1"/>
    <mergeCell ref="H1:I1"/>
    <mergeCell ref="B3:C3"/>
    <mergeCell ref="F3:G3"/>
    <mergeCell ref="B5:C5"/>
    <mergeCell ref="F5:I6"/>
    <mergeCell ref="A2:C2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ageMargins left="0.28000000000000003" right="0.3" top="0.28000000000000003" bottom="0.37" header="0.3" footer="0.3"/>
  <pageSetup orientation="landscape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46" t="s">
        <v>4347</v>
      </c>
      <c r="B1" s="843" t="s">
        <v>5260</v>
      </c>
      <c r="C1" s="844"/>
      <c r="D1" s="46" t="s">
        <v>4349</v>
      </c>
      <c r="E1" s="46"/>
      <c r="F1" s="916" t="s">
        <v>5261</v>
      </c>
      <c r="G1" s="917"/>
      <c r="H1" s="851" t="s">
        <v>5</v>
      </c>
      <c r="I1" s="852"/>
      <c r="J1" s="47">
        <v>635.23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5262</v>
      </c>
      <c r="C3" s="844"/>
      <c r="D3" s="46" t="s">
        <v>1208</v>
      </c>
      <c r="E3" s="46"/>
      <c r="F3" s="843" t="s">
        <v>5263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928" t="s">
        <v>5264</v>
      </c>
      <c r="C5" s="928"/>
      <c r="D5" s="46" t="s">
        <v>4355</v>
      </c>
      <c r="E5" s="46"/>
      <c r="F5" s="931" t="s">
        <v>5265</v>
      </c>
      <c r="G5" s="932"/>
      <c r="H5" s="932"/>
      <c r="I5" s="933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934"/>
      <c r="G6" s="935"/>
      <c r="H6" s="935"/>
      <c r="I6" s="936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364" t="s">
        <v>5266</v>
      </c>
      <c r="C8" s="364" t="s">
        <v>5267</v>
      </c>
      <c r="D8" s="364" t="s">
        <v>5268</v>
      </c>
      <c r="E8" s="364" t="s">
        <v>5269</v>
      </c>
      <c r="F8" s="364" t="s">
        <v>5270</v>
      </c>
      <c r="G8" s="159" t="s">
        <v>5271</v>
      </c>
      <c r="H8" s="159"/>
      <c r="I8" s="159"/>
      <c r="J8" s="161"/>
      <c r="K8" s="406"/>
      <c r="L8" s="162"/>
      <c r="M8" s="46"/>
      <c r="N8" s="46"/>
    </row>
    <row r="9" spans="1:14">
      <c r="A9" s="364" t="s">
        <v>840</v>
      </c>
      <c r="B9" s="407" t="s">
        <v>1101</v>
      </c>
      <c r="C9" s="407" t="s">
        <v>1101</v>
      </c>
      <c r="D9" s="407" t="s">
        <v>1101</v>
      </c>
      <c r="E9" s="407" t="s">
        <v>1101</v>
      </c>
      <c r="F9" s="407" t="s">
        <v>1101</v>
      </c>
      <c r="G9" s="408" t="s">
        <v>1101</v>
      </c>
      <c r="H9" s="159"/>
      <c r="I9" s="159"/>
      <c r="J9" s="161"/>
      <c r="K9" s="406"/>
      <c r="L9" s="162"/>
      <c r="M9" s="46"/>
      <c r="N9" s="46"/>
    </row>
    <row r="10" spans="1:14">
      <c r="A10" s="364" t="s">
        <v>4361</v>
      </c>
      <c r="B10" s="407" t="s">
        <v>1101</v>
      </c>
      <c r="C10" s="407" t="s">
        <v>5272</v>
      </c>
      <c r="D10" s="407" t="s">
        <v>5273</v>
      </c>
      <c r="E10" s="407" t="s">
        <v>1101</v>
      </c>
      <c r="F10" s="407" t="s">
        <v>5274</v>
      </c>
      <c r="G10" s="408"/>
      <c r="H10" s="159"/>
      <c r="I10" s="159"/>
      <c r="J10" s="161"/>
      <c r="K10" s="406"/>
      <c r="L10" s="162"/>
      <c r="M10" s="46"/>
      <c r="N10" s="46"/>
    </row>
    <row r="11" spans="1:14" ht="22.5">
      <c r="A11" s="364" t="s">
        <v>420</v>
      </c>
      <c r="B11" s="364"/>
      <c r="C11" s="364"/>
      <c r="D11" s="364"/>
      <c r="E11" s="364"/>
      <c r="F11" s="364"/>
      <c r="G11" s="159"/>
      <c r="H11" s="159"/>
      <c r="I11" s="159"/>
      <c r="J11" s="161"/>
      <c r="K11" s="406"/>
      <c r="L11" s="162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6</v>
      </c>
      <c r="C13" s="46" t="s">
        <v>4366</v>
      </c>
      <c r="D13" s="46"/>
      <c r="E13" s="46"/>
      <c r="F13" s="47"/>
      <c r="G13" s="46" t="s">
        <v>1491</v>
      </c>
      <c r="H13" s="47">
        <v>29</v>
      </c>
      <c r="I13" s="46" t="s">
        <v>1492</v>
      </c>
      <c r="J13" s="47">
        <v>1</v>
      </c>
      <c r="K13" s="46" t="s">
        <v>1493</v>
      </c>
      <c r="L13" s="47">
        <v>15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1.75" customHeight="1">
      <c r="A16" s="46" t="s">
        <v>646</v>
      </c>
      <c r="B16" s="46"/>
      <c r="C16" s="46" t="s">
        <v>204</v>
      </c>
      <c r="D16" s="47">
        <v>121</v>
      </c>
      <c r="E16" s="46" t="s">
        <v>205</v>
      </c>
      <c r="F16" s="47">
        <v>46</v>
      </c>
      <c r="G16" s="46" t="s">
        <v>206</v>
      </c>
      <c r="H16" s="47">
        <v>134</v>
      </c>
      <c r="I16" s="46" t="s">
        <v>230</v>
      </c>
      <c r="J16" s="47">
        <v>301</v>
      </c>
      <c r="K16" s="46" t="s">
        <v>207</v>
      </c>
      <c r="L16" s="47">
        <v>24</v>
      </c>
      <c r="M16" s="72" t="s">
        <v>4367</v>
      </c>
      <c r="N16" s="47"/>
    </row>
    <row r="17" spans="1:14">
      <c r="A17" s="46" t="s">
        <v>209</v>
      </c>
      <c r="B17" s="46"/>
      <c r="C17" s="46" t="s">
        <v>210</v>
      </c>
      <c r="D17" s="47">
        <v>256</v>
      </c>
      <c r="E17" s="46" t="s">
        <v>211</v>
      </c>
      <c r="F17" s="47">
        <v>106</v>
      </c>
      <c r="G17" s="46" t="s">
        <v>212</v>
      </c>
      <c r="H17" s="47">
        <v>260</v>
      </c>
      <c r="I17" s="46" t="s">
        <v>411</v>
      </c>
      <c r="J17" s="47">
        <f>H17+F17+D17</f>
        <v>622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266</v>
      </c>
      <c r="E18" s="46" t="s">
        <v>214</v>
      </c>
      <c r="F18" s="47">
        <v>115</v>
      </c>
      <c r="G18" s="46" t="s">
        <v>1494</v>
      </c>
      <c r="H18" s="47">
        <v>278</v>
      </c>
      <c r="I18" s="46" t="s">
        <v>410</v>
      </c>
      <c r="J18" s="47">
        <f>H18+F18+D18</f>
        <v>659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 ht="19.5" customHeight="1">
      <c r="A22" s="856"/>
      <c r="B22" s="856"/>
      <c r="C22" s="856"/>
      <c r="D22" s="856"/>
      <c r="E22" s="856"/>
      <c r="F22" s="366" t="s">
        <v>227</v>
      </c>
      <c r="G22" s="366" t="s">
        <v>228</v>
      </c>
      <c r="H22" s="366" t="s">
        <v>229</v>
      </c>
      <c r="I22" s="405" t="s">
        <v>1499</v>
      </c>
      <c r="J22" s="405" t="s">
        <v>4831</v>
      </c>
      <c r="K22" s="405" t="s">
        <v>4832</v>
      </c>
      <c r="L22" s="366" t="s">
        <v>4833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50.818399999999997</v>
      </c>
      <c r="E23" s="364">
        <v>18</v>
      </c>
      <c r="F23" s="364"/>
      <c r="G23" s="369">
        <v>2.7829000000000002</v>
      </c>
      <c r="H23" s="369">
        <v>5.7791499999999996</v>
      </c>
      <c r="I23" s="80"/>
      <c r="J23" s="80"/>
      <c r="K23" s="80"/>
      <c r="L23" s="364"/>
      <c r="M23" s="369">
        <f>SUM(F23:L23)</f>
        <v>8.5620499999999993</v>
      </c>
      <c r="N23" s="369">
        <f>M23/E23*100</f>
        <v>47.566944444444445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f>5.6-2.7</f>
        <v>2.8999999999999995</v>
      </c>
      <c r="E24" s="364">
        <v>2.56</v>
      </c>
      <c r="F24" s="364"/>
      <c r="G24" s="364">
        <v>0</v>
      </c>
      <c r="H24" s="369">
        <v>1.2424500000000001</v>
      </c>
      <c r="I24" s="80"/>
      <c r="J24" s="80"/>
      <c r="K24" s="80"/>
      <c r="L24" s="364"/>
      <c r="M24" s="369">
        <f t="shared" ref="M24:M31" si="0">SUM(F24:L24)</f>
        <v>1.2424500000000001</v>
      </c>
      <c r="N24" s="369">
        <f t="shared" ref="N24:N32" si="1">M24/E24*100</f>
        <v>48.533203125</v>
      </c>
    </row>
    <row r="25" spans="1:14" ht="22.5">
      <c r="A25" s="364" t="s">
        <v>235</v>
      </c>
      <c r="B25" s="364">
        <v>43000</v>
      </c>
      <c r="C25" s="367" t="s">
        <v>236</v>
      </c>
      <c r="D25" s="375">
        <f>0.43+2.7</f>
        <v>3.1300000000000003</v>
      </c>
      <c r="E25" s="364">
        <v>0.35</v>
      </c>
      <c r="F25" s="364"/>
      <c r="G25" s="369">
        <v>0.1799</v>
      </c>
      <c r="H25" s="369">
        <v>3.5000000000000003E-2</v>
      </c>
      <c r="I25" s="80"/>
      <c r="J25" s="80"/>
      <c r="K25" s="80"/>
      <c r="L25" s="364"/>
      <c r="M25" s="369">
        <f t="shared" si="0"/>
        <v>0.21490000000000001</v>
      </c>
      <c r="N25" s="364">
        <f t="shared" si="1"/>
        <v>61.400000000000013</v>
      </c>
    </row>
    <row r="26" spans="1:14" ht="22.5">
      <c r="A26" s="364" t="s">
        <v>237</v>
      </c>
      <c r="B26" s="364">
        <v>37000</v>
      </c>
      <c r="C26" s="367" t="s">
        <v>236</v>
      </c>
      <c r="D26" s="375">
        <v>0.37</v>
      </c>
      <c r="E26" s="364">
        <v>0.28999999999999998</v>
      </c>
      <c r="F26" s="364"/>
      <c r="G26" s="369">
        <v>0.1598</v>
      </c>
      <c r="H26" s="364">
        <v>0.03</v>
      </c>
      <c r="I26" s="80"/>
      <c r="J26" s="80"/>
      <c r="K26" s="80"/>
      <c r="L26" s="364"/>
      <c r="M26" s="369">
        <f t="shared" si="0"/>
        <v>0.1898</v>
      </c>
      <c r="N26" s="369">
        <f t="shared" si="1"/>
        <v>65.448275862068968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7.6227600000000004</v>
      </c>
      <c r="E27" s="364">
        <v>2</v>
      </c>
      <c r="F27" s="364"/>
      <c r="G27" s="364">
        <v>0</v>
      </c>
      <c r="H27" s="369">
        <v>0.52600000000000002</v>
      </c>
      <c r="I27" s="80"/>
      <c r="J27" s="80"/>
      <c r="K27" s="80"/>
      <c r="L27" s="364"/>
      <c r="M27" s="369">
        <f t="shared" si="0"/>
        <v>0.52600000000000002</v>
      </c>
      <c r="N27" s="364">
        <f t="shared" si="1"/>
        <v>26.3</v>
      </c>
    </row>
    <row r="28" spans="1:14">
      <c r="A28" s="364" t="s">
        <v>667</v>
      </c>
      <c r="B28" s="364">
        <v>565</v>
      </c>
      <c r="C28" s="367" t="s">
        <v>1036</v>
      </c>
      <c r="D28" s="368">
        <f>B28*J1/100000</f>
        <v>3.5890495000000002</v>
      </c>
      <c r="E28" s="364">
        <v>3.59</v>
      </c>
      <c r="F28" s="364"/>
      <c r="G28" s="369">
        <v>3.5890499999999999</v>
      </c>
      <c r="H28" s="364">
        <v>0</v>
      </c>
      <c r="I28" s="80"/>
      <c r="J28" s="80"/>
      <c r="K28" s="80"/>
      <c r="L28" s="364"/>
      <c r="M28" s="369">
        <f t="shared" si="0"/>
        <v>3.5890499999999999</v>
      </c>
      <c r="N28" s="369">
        <f t="shared" si="1"/>
        <v>99.973537604456823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6.3522999999999996</v>
      </c>
      <c r="E29" s="364">
        <v>0</v>
      </c>
      <c r="F29" s="364"/>
      <c r="G29" s="364">
        <v>0</v>
      </c>
      <c r="H29" s="364">
        <v>0</v>
      </c>
      <c r="I29" s="80"/>
      <c r="J29" s="80"/>
      <c r="K29" s="80"/>
      <c r="L29" s="364"/>
      <c r="M29" s="364">
        <f t="shared" si="0"/>
        <v>0</v>
      </c>
      <c r="N29" s="364" t="e">
        <f t="shared" si="1"/>
        <v>#DIV/0!</v>
      </c>
    </row>
    <row r="30" spans="1:14">
      <c r="A30" s="364" t="s">
        <v>241</v>
      </c>
      <c r="B30" s="364">
        <v>2750</v>
      </c>
      <c r="C30" s="367" t="s">
        <v>1036</v>
      </c>
      <c r="D30" s="375">
        <v>2.31</v>
      </c>
      <c r="E30" s="369">
        <v>0.59499999999999997</v>
      </c>
      <c r="F30" s="364"/>
      <c r="G30" s="369">
        <v>0.25146000000000002</v>
      </c>
      <c r="H30" s="369">
        <v>0.20250000000000001</v>
      </c>
      <c r="I30" s="80"/>
      <c r="J30" s="80"/>
      <c r="K30" s="80"/>
      <c r="L30" s="364"/>
      <c r="M30" s="369">
        <f t="shared" si="0"/>
        <v>0.45396000000000003</v>
      </c>
      <c r="N30" s="369">
        <f t="shared" si="1"/>
        <v>76.29579831932773</v>
      </c>
    </row>
    <row r="31" spans="1:14">
      <c r="A31" s="364" t="s">
        <v>670</v>
      </c>
      <c r="B31" s="364">
        <v>10000</v>
      </c>
      <c r="C31" s="367" t="s">
        <v>244</v>
      </c>
      <c r="D31" s="375">
        <v>0.1</v>
      </c>
      <c r="E31" s="364">
        <v>0.1</v>
      </c>
      <c r="F31" s="364"/>
      <c r="G31" s="364"/>
      <c r="H31" s="364"/>
      <c r="I31" s="364"/>
      <c r="J31" s="364"/>
      <c r="K31" s="364"/>
      <c r="L31" s="364"/>
      <c r="M31" s="364">
        <f t="shared" si="0"/>
        <v>0</v>
      </c>
      <c r="N31" s="364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77.1925095</v>
      </c>
      <c r="E32" s="371">
        <f t="shared" ref="E32:M32" si="2">SUM(E23:E31)</f>
        <v>27.484999999999999</v>
      </c>
      <c r="F32" s="376">
        <f t="shared" si="2"/>
        <v>0</v>
      </c>
      <c r="G32" s="371">
        <f t="shared" si="2"/>
        <v>6.9631100000000004</v>
      </c>
      <c r="H32" s="371">
        <f t="shared" si="2"/>
        <v>7.8150999999999993</v>
      </c>
      <c r="I32" s="376">
        <f t="shared" si="2"/>
        <v>0</v>
      </c>
      <c r="J32" s="376">
        <f t="shared" si="2"/>
        <v>0</v>
      </c>
      <c r="K32" s="376">
        <f t="shared" si="2"/>
        <v>0</v>
      </c>
      <c r="L32" s="376">
        <f t="shared" si="2"/>
        <v>0</v>
      </c>
      <c r="M32" s="371">
        <f t="shared" si="2"/>
        <v>14.77821</v>
      </c>
      <c r="N32" s="369">
        <f t="shared" si="1"/>
        <v>53.768273603783875</v>
      </c>
    </row>
  </sheetData>
  <mergeCells count="14">
    <mergeCell ref="F21:N21"/>
    <mergeCell ref="B1:C1"/>
    <mergeCell ref="F1:G1"/>
    <mergeCell ref="H1:I1"/>
    <mergeCell ref="B3:C3"/>
    <mergeCell ref="F3:G3"/>
    <mergeCell ref="B5:C5"/>
    <mergeCell ref="F5:I6"/>
    <mergeCell ref="A2:C2"/>
    <mergeCell ref="A21:A22"/>
    <mergeCell ref="B21:B22"/>
    <mergeCell ref="C21:C22"/>
    <mergeCell ref="D21:D22"/>
    <mergeCell ref="E21:E22"/>
  </mergeCells>
  <hyperlinks>
    <hyperlink ref="A2" location="'Fact Sheet of VDC'!A1" display="&lt;&lt;Back"/>
  </hyperlinks>
  <pageMargins left="0.28000000000000003" right="0.3" top="0.28000000000000003" bottom="0.37" header="0.3" footer="0.3"/>
  <pageSetup orientation="landscape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46" t="s">
        <v>4347</v>
      </c>
      <c r="B1" s="843" t="s">
        <v>5275</v>
      </c>
      <c r="C1" s="844"/>
      <c r="D1" s="46" t="s">
        <v>4349</v>
      </c>
      <c r="E1" s="46"/>
      <c r="F1" s="916" t="s">
        <v>5276</v>
      </c>
      <c r="G1" s="917"/>
      <c r="H1" s="851" t="s">
        <v>5</v>
      </c>
      <c r="I1" s="852"/>
      <c r="J1" s="47">
        <v>520.83000000000004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5277</v>
      </c>
      <c r="C3" s="844"/>
      <c r="D3" s="46" t="s">
        <v>1208</v>
      </c>
      <c r="E3" s="46"/>
      <c r="F3" s="843" t="s">
        <v>5278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928" t="s">
        <v>5279</v>
      </c>
      <c r="C5" s="928"/>
      <c r="D5" s="46" t="s">
        <v>4355</v>
      </c>
      <c r="E5" s="46"/>
      <c r="F5" s="931" t="s">
        <v>5280</v>
      </c>
      <c r="G5" s="932"/>
      <c r="H5" s="932"/>
      <c r="I5" s="933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934"/>
      <c r="G6" s="935"/>
      <c r="H6" s="935"/>
      <c r="I6" s="936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5281</v>
      </c>
      <c r="C8" s="853"/>
      <c r="D8" s="853" t="s">
        <v>5282</v>
      </c>
      <c r="E8" s="853"/>
      <c r="F8" s="853"/>
      <c r="G8" s="854" t="s">
        <v>5283</v>
      </c>
      <c r="H8" s="854"/>
      <c r="I8" s="854"/>
      <c r="J8" s="854" t="s">
        <v>5284</v>
      </c>
      <c r="K8" s="854"/>
      <c r="L8" s="854"/>
      <c r="M8" s="46"/>
      <c r="N8" s="46"/>
    </row>
    <row r="9" spans="1:14">
      <c r="A9" s="364" t="s">
        <v>840</v>
      </c>
      <c r="B9" s="927" t="s">
        <v>5285</v>
      </c>
      <c r="C9" s="927"/>
      <c r="D9" s="927" t="s">
        <v>5286</v>
      </c>
      <c r="E9" s="927"/>
      <c r="F9" s="927"/>
      <c r="G9" s="928" t="s">
        <v>1101</v>
      </c>
      <c r="H9" s="928"/>
      <c r="I9" s="928"/>
      <c r="J9" s="928" t="s">
        <v>5287</v>
      </c>
      <c r="K9" s="928"/>
      <c r="L9" s="928"/>
      <c r="M9" s="46"/>
      <c r="N9" s="46"/>
    </row>
    <row r="10" spans="1:14">
      <c r="A10" s="364" t="s">
        <v>4361</v>
      </c>
      <c r="B10" s="927" t="s">
        <v>5288</v>
      </c>
      <c r="C10" s="927"/>
      <c r="D10" s="927" t="s">
        <v>5286</v>
      </c>
      <c r="E10" s="927"/>
      <c r="F10" s="927"/>
      <c r="G10" s="928" t="s">
        <v>1101</v>
      </c>
      <c r="H10" s="928"/>
      <c r="I10" s="928"/>
      <c r="J10" s="928" t="s">
        <v>5289</v>
      </c>
      <c r="K10" s="928"/>
      <c r="L10" s="928"/>
      <c r="M10" s="46"/>
      <c r="N10" s="46"/>
    </row>
    <row r="11" spans="1:14" ht="22.5">
      <c r="A11" s="364" t="s">
        <v>420</v>
      </c>
      <c r="B11" s="927" t="s">
        <v>5290</v>
      </c>
      <c r="C11" s="927"/>
      <c r="D11" s="927" t="s">
        <v>5291</v>
      </c>
      <c r="E11" s="927"/>
      <c r="F11" s="927"/>
      <c r="G11" s="928" t="s">
        <v>1101</v>
      </c>
      <c r="H11" s="928"/>
      <c r="I11" s="928"/>
      <c r="J11" s="928" t="s">
        <v>5292</v>
      </c>
      <c r="K11" s="928"/>
      <c r="L11" s="928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>
        <v>3</v>
      </c>
      <c r="G13" s="46" t="s">
        <v>1491</v>
      </c>
      <c r="H13" s="47">
        <v>14</v>
      </c>
      <c r="I13" s="46" t="s">
        <v>1492</v>
      </c>
      <c r="J13" s="47">
        <v>3</v>
      </c>
      <c r="K13" s="46" t="s">
        <v>1493</v>
      </c>
      <c r="L13" s="47">
        <v>9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1" customHeight="1">
      <c r="A16" s="46" t="s">
        <v>646</v>
      </c>
      <c r="B16" s="46"/>
      <c r="C16" s="46" t="s">
        <v>204</v>
      </c>
      <c r="D16" s="47">
        <v>112</v>
      </c>
      <c r="E16" s="46" t="s">
        <v>205</v>
      </c>
      <c r="F16" s="47">
        <v>15</v>
      </c>
      <c r="G16" s="46" t="s">
        <v>206</v>
      </c>
      <c r="H16" s="47">
        <v>39</v>
      </c>
      <c r="I16" s="46" t="s">
        <v>230</v>
      </c>
      <c r="J16" s="47">
        <v>166</v>
      </c>
      <c r="K16" s="46" t="s">
        <v>207</v>
      </c>
      <c r="L16" s="47">
        <v>24</v>
      </c>
      <c r="M16" s="72" t="s">
        <v>4367</v>
      </c>
      <c r="N16" s="47"/>
    </row>
    <row r="17" spans="1:14">
      <c r="A17" s="46" t="s">
        <v>209</v>
      </c>
      <c r="B17" s="46"/>
      <c r="C17" s="46" t="s">
        <v>210</v>
      </c>
      <c r="D17" s="47">
        <v>256</v>
      </c>
      <c r="E17" s="46" t="s">
        <v>211</v>
      </c>
      <c r="F17" s="47">
        <v>15</v>
      </c>
      <c r="G17" s="46" t="s">
        <v>212</v>
      </c>
      <c r="H17" s="47">
        <v>72</v>
      </c>
      <c r="I17" s="46" t="s">
        <v>411</v>
      </c>
      <c r="J17" s="47">
        <f>H17+F17+D17</f>
        <v>343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198</v>
      </c>
      <c r="E18" s="46" t="s">
        <v>214</v>
      </c>
      <c r="F18" s="47">
        <v>12</v>
      </c>
      <c r="G18" s="46" t="s">
        <v>1494</v>
      </c>
      <c r="H18" s="47">
        <v>59</v>
      </c>
      <c r="I18" s="46" t="s">
        <v>410</v>
      </c>
      <c r="J18" s="47">
        <f>H18+F18+D18</f>
        <v>269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 ht="18.75" customHeight="1">
      <c r="A22" s="856"/>
      <c r="B22" s="856"/>
      <c r="C22" s="856"/>
      <c r="D22" s="856"/>
      <c r="E22" s="856"/>
      <c r="F22" s="366" t="s">
        <v>227</v>
      </c>
      <c r="G22" s="366" t="s">
        <v>228</v>
      </c>
      <c r="H22" s="366" t="s">
        <v>229</v>
      </c>
      <c r="I22" s="405" t="s">
        <v>1499</v>
      </c>
      <c r="J22" s="405" t="s">
        <v>4831</v>
      </c>
      <c r="K22" s="405" t="s">
        <v>4832</v>
      </c>
      <c r="L22" s="366" t="s">
        <v>4833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41.666400000000003</v>
      </c>
      <c r="E23" s="364">
        <v>18</v>
      </c>
      <c r="F23" s="364"/>
      <c r="G23" s="369">
        <v>2.6884000000000001</v>
      </c>
      <c r="H23" s="369">
        <v>6.24085</v>
      </c>
      <c r="I23" s="80"/>
      <c r="J23" s="80"/>
      <c r="K23" s="80"/>
      <c r="L23" s="364"/>
      <c r="M23" s="369">
        <f>SUM(F23:L23)</f>
        <v>8.9292499999999997</v>
      </c>
      <c r="N23" s="369">
        <f>M23/E23*100</f>
        <v>49.606944444444444</v>
      </c>
    </row>
    <row r="24" spans="1:14" ht="22.5">
      <c r="A24" s="364" t="s">
        <v>234</v>
      </c>
      <c r="B24" s="364">
        <v>7000</v>
      </c>
      <c r="C24" s="367" t="s">
        <v>4369</v>
      </c>
      <c r="D24" s="375">
        <f>5.6-2.7</f>
        <v>2.8999999999999995</v>
      </c>
      <c r="E24" s="364">
        <v>2.56</v>
      </c>
      <c r="F24" s="364"/>
      <c r="G24" s="364">
        <v>0</v>
      </c>
      <c r="H24" s="369">
        <v>2.4998999999999998</v>
      </c>
      <c r="I24" s="80"/>
      <c r="J24" s="80"/>
      <c r="K24" s="80"/>
      <c r="L24" s="364"/>
      <c r="M24" s="369">
        <f t="shared" ref="M24:M31" si="0">SUM(F24:L24)</f>
        <v>2.4998999999999998</v>
      </c>
      <c r="N24" s="369">
        <f t="shared" ref="N24:N32" si="1">M24/E24*100</f>
        <v>97.652343749999986</v>
      </c>
    </row>
    <row r="25" spans="1:14" ht="22.5">
      <c r="A25" s="364" t="s">
        <v>235</v>
      </c>
      <c r="B25" s="364">
        <v>43000</v>
      </c>
      <c r="C25" s="367" t="s">
        <v>236</v>
      </c>
      <c r="D25" s="375">
        <f>0.43+2.7</f>
        <v>3.1300000000000003</v>
      </c>
      <c r="E25" s="364">
        <v>0.35</v>
      </c>
      <c r="F25" s="364"/>
      <c r="G25" s="369">
        <v>0.1799</v>
      </c>
      <c r="H25" s="369">
        <v>2.1999999999999999E-2</v>
      </c>
      <c r="I25" s="80"/>
      <c r="J25" s="80"/>
      <c r="K25" s="80"/>
      <c r="L25" s="364"/>
      <c r="M25" s="369">
        <f t="shared" si="0"/>
        <v>0.2019</v>
      </c>
      <c r="N25" s="369">
        <f t="shared" si="1"/>
        <v>57.685714285714283</v>
      </c>
    </row>
    <row r="26" spans="1:14" ht="22.5">
      <c r="A26" s="364" t="s">
        <v>237</v>
      </c>
      <c r="B26" s="364">
        <v>37000</v>
      </c>
      <c r="C26" s="367" t="s">
        <v>236</v>
      </c>
      <c r="D26" s="375">
        <v>0.37</v>
      </c>
      <c r="E26" s="364">
        <v>0.28999999999999998</v>
      </c>
      <c r="F26" s="364"/>
      <c r="G26" s="369">
        <v>0.1598</v>
      </c>
      <c r="H26" s="364">
        <v>0.04</v>
      </c>
      <c r="I26" s="80"/>
      <c r="J26" s="80"/>
      <c r="K26" s="80"/>
      <c r="L26" s="364"/>
      <c r="M26" s="369">
        <f t="shared" si="0"/>
        <v>0.19980000000000001</v>
      </c>
      <c r="N26" s="369">
        <f t="shared" si="1"/>
        <v>68.896551724137936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6.2499599999999997</v>
      </c>
      <c r="E27" s="364">
        <v>2</v>
      </c>
      <c r="F27" s="364"/>
      <c r="G27" s="364">
        <v>0</v>
      </c>
      <c r="H27" s="369">
        <v>0.27329999999999999</v>
      </c>
      <c r="I27" s="80"/>
      <c r="J27" s="80"/>
      <c r="K27" s="80"/>
      <c r="L27" s="364"/>
      <c r="M27" s="369">
        <f t="shared" si="0"/>
        <v>0.27329999999999999</v>
      </c>
      <c r="N27" s="369">
        <f t="shared" si="1"/>
        <v>13.664999999999999</v>
      </c>
    </row>
    <row r="28" spans="1:14">
      <c r="A28" s="364" t="s">
        <v>667</v>
      </c>
      <c r="B28" s="364">
        <v>565</v>
      </c>
      <c r="C28" s="367" t="s">
        <v>1036</v>
      </c>
      <c r="D28" s="368">
        <f>B28*J1/100000</f>
        <v>2.9426895000000002</v>
      </c>
      <c r="E28" s="364">
        <v>2.94</v>
      </c>
      <c r="F28" s="364"/>
      <c r="G28" s="369">
        <v>2.9426899999999998</v>
      </c>
      <c r="H28" s="364">
        <v>0</v>
      </c>
      <c r="I28" s="80"/>
      <c r="J28" s="80"/>
      <c r="K28" s="80"/>
      <c r="L28" s="364"/>
      <c r="M28" s="369">
        <f t="shared" si="0"/>
        <v>2.9426899999999998</v>
      </c>
      <c r="N28" s="369">
        <f t="shared" si="1"/>
        <v>100.09149659863945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5.2083000000000004</v>
      </c>
      <c r="E29" s="364">
        <v>0</v>
      </c>
      <c r="F29" s="364"/>
      <c r="G29" s="364">
        <v>0</v>
      </c>
      <c r="H29" s="364">
        <v>0</v>
      </c>
      <c r="I29" s="80"/>
      <c r="J29" s="80"/>
      <c r="K29" s="80"/>
      <c r="L29" s="364"/>
      <c r="M29" s="364">
        <f t="shared" si="0"/>
        <v>0</v>
      </c>
      <c r="N29" s="364" t="e">
        <f t="shared" si="1"/>
        <v>#DIV/0!</v>
      </c>
    </row>
    <row r="30" spans="1:14">
      <c r="A30" s="364" t="s">
        <v>241</v>
      </c>
      <c r="B30" s="364">
        <v>2750</v>
      </c>
      <c r="C30" s="367" t="s">
        <v>1036</v>
      </c>
      <c r="D30" s="375">
        <v>2.31</v>
      </c>
      <c r="E30" s="369">
        <v>0.59499999999999997</v>
      </c>
      <c r="F30" s="364"/>
      <c r="G30" s="369">
        <v>0.16969000000000001</v>
      </c>
      <c r="H30" s="369">
        <v>0.29949999999999999</v>
      </c>
      <c r="I30" s="80"/>
      <c r="J30" s="80"/>
      <c r="K30" s="80"/>
      <c r="L30" s="364"/>
      <c r="M30" s="369">
        <f t="shared" si="0"/>
        <v>0.46919</v>
      </c>
      <c r="N30" s="369">
        <f t="shared" si="1"/>
        <v>78.855462184873943</v>
      </c>
    </row>
    <row r="31" spans="1:14">
      <c r="A31" s="364" t="s">
        <v>670</v>
      </c>
      <c r="B31" s="364">
        <v>10000</v>
      </c>
      <c r="C31" s="367" t="s">
        <v>244</v>
      </c>
      <c r="D31" s="375">
        <v>0.1</v>
      </c>
      <c r="E31" s="364">
        <v>0.1</v>
      </c>
      <c r="F31" s="364"/>
      <c r="G31" s="364"/>
      <c r="H31" s="364"/>
      <c r="I31" s="364"/>
      <c r="J31" s="364"/>
      <c r="K31" s="364"/>
      <c r="L31" s="364"/>
      <c r="M31" s="364">
        <f t="shared" si="0"/>
        <v>0</v>
      </c>
      <c r="N31" s="364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64.877349499999994</v>
      </c>
      <c r="E32" s="371">
        <f t="shared" ref="E32:M32" si="2">SUM(E23:E31)</f>
        <v>26.835000000000001</v>
      </c>
      <c r="F32" s="371">
        <f t="shared" si="2"/>
        <v>0</v>
      </c>
      <c r="G32" s="371">
        <f t="shared" si="2"/>
        <v>6.1404800000000002</v>
      </c>
      <c r="H32" s="371">
        <f t="shared" si="2"/>
        <v>9.3755500000000005</v>
      </c>
      <c r="I32" s="371">
        <f t="shared" si="2"/>
        <v>0</v>
      </c>
      <c r="J32" s="371">
        <f t="shared" si="2"/>
        <v>0</v>
      </c>
      <c r="K32" s="371">
        <f t="shared" si="2"/>
        <v>0</v>
      </c>
      <c r="L32" s="371">
        <f t="shared" si="2"/>
        <v>0</v>
      </c>
      <c r="M32" s="371">
        <f t="shared" si="2"/>
        <v>15.516029999999999</v>
      </c>
      <c r="N32" s="369">
        <f t="shared" si="1"/>
        <v>57.820122973728338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A21:A22"/>
    <mergeCell ref="B21:B22"/>
    <mergeCell ref="C21:C22"/>
    <mergeCell ref="D21:D22"/>
    <mergeCell ref="E21:E22"/>
  </mergeCells>
  <hyperlinks>
    <hyperlink ref="A2" location="'Fact Sheet of VDC'!A1" display="&lt;&lt;Back"/>
  </hyperlinks>
  <pageMargins left="0.28000000000000003" right="0.3" top="0.28000000000000003" bottom="0.37" header="0.3" footer="0.3"/>
  <pageSetup orientation="landscape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46" t="s">
        <v>4347</v>
      </c>
      <c r="B1" s="843" t="s">
        <v>5293</v>
      </c>
      <c r="C1" s="844"/>
      <c r="D1" s="46" t="s">
        <v>4349</v>
      </c>
      <c r="E1" s="46"/>
      <c r="F1" s="916" t="s">
        <v>5294</v>
      </c>
      <c r="G1" s="917"/>
      <c r="H1" s="851" t="s">
        <v>5</v>
      </c>
      <c r="I1" s="852"/>
      <c r="J1" s="47">
        <v>484.81</v>
      </c>
      <c r="K1" s="46" t="s">
        <v>436</v>
      </c>
      <c r="L1" s="46"/>
      <c r="M1" s="47">
        <v>120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5295</v>
      </c>
      <c r="C3" s="844"/>
      <c r="D3" s="46" t="s">
        <v>1208</v>
      </c>
      <c r="E3" s="46"/>
      <c r="F3" s="843" t="s">
        <v>5296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929" t="s">
        <v>5297</v>
      </c>
      <c r="C5" s="930"/>
      <c r="D5" s="46" t="s">
        <v>4355</v>
      </c>
      <c r="E5" s="46"/>
      <c r="F5" s="931" t="s">
        <v>5298</v>
      </c>
      <c r="G5" s="932"/>
      <c r="H5" s="932"/>
      <c r="I5" s="933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934"/>
      <c r="G6" s="935"/>
      <c r="H6" s="935"/>
      <c r="I6" s="936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409" t="s">
        <v>5299</v>
      </c>
      <c r="C8" s="364" t="s">
        <v>5300</v>
      </c>
      <c r="D8" s="364" t="s">
        <v>5301</v>
      </c>
      <c r="E8" s="364" t="s">
        <v>5302</v>
      </c>
      <c r="F8" s="364" t="s">
        <v>5303</v>
      </c>
      <c r="G8" s="404" t="s">
        <v>5304</v>
      </c>
      <c r="H8" s="410" t="s">
        <v>2484</v>
      </c>
      <c r="I8" s="162"/>
      <c r="J8" s="161"/>
      <c r="K8" s="406"/>
      <c r="L8" s="162"/>
      <c r="M8" s="46"/>
      <c r="N8" s="46"/>
    </row>
    <row r="9" spans="1:14">
      <c r="A9" s="364" t="s">
        <v>840</v>
      </c>
      <c r="B9" s="407" t="s">
        <v>5305</v>
      </c>
      <c r="C9" s="407" t="s">
        <v>5306</v>
      </c>
      <c r="D9" s="407" t="s">
        <v>5307</v>
      </c>
      <c r="E9" s="407"/>
      <c r="F9" s="407" t="s">
        <v>5308</v>
      </c>
      <c r="G9" s="408"/>
      <c r="H9" s="408"/>
      <c r="I9" s="162"/>
      <c r="J9" s="161"/>
      <c r="K9" s="406"/>
      <c r="L9" s="162"/>
      <c r="M9" s="46"/>
      <c r="N9" s="46"/>
    </row>
    <row r="10" spans="1:14">
      <c r="A10" s="364" t="s">
        <v>4361</v>
      </c>
      <c r="B10" s="407" t="s">
        <v>5309</v>
      </c>
      <c r="C10" s="407" t="s">
        <v>5310</v>
      </c>
      <c r="D10" s="407" t="s">
        <v>5311</v>
      </c>
      <c r="E10" s="407" t="s">
        <v>5312</v>
      </c>
      <c r="F10" s="407" t="s">
        <v>5313</v>
      </c>
      <c r="G10" s="411" t="s">
        <v>1101</v>
      </c>
      <c r="H10" s="411" t="s">
        <v>1101</v>
      </c>
      <c r="I10" s="162"/>
      <c r="J10" s="161"/>
      <c r="K10" s="406"/>
      <c r="L10" s="162"/>
      <c r="M10" s="46"/>
      <c r="N10" s="46"/>
    </row>
    <row r="11" spans="1:14" ht="13.5" customHeight="1">
      <c r="A11" s="364" t="s">
        <v>420</v>
      </c>
      <c r="B11" s="407" t="s">
        <v>5314</v>
      </c>
      <c r="C11" s="407" t="s">
        <v>5306</v>
      </c>
      <c r="D11" s="407" t="s">
        <v>5307</v>
      </c>
      <c r="E11" s="407" t="s">
        <v>1101</v>
      </c>
      <c r="F11" s="407" t="s">
        <v>1101</v>
      </c>
      <c r="G11" s="411" t="s">
        <v>1101</v>
      </c>
      <c r="H11" s="411" t="s">
        <v>1101</v>
      </c>
      <c r="I11" s="162"/>
      <c r="J11" s="161"/>
      <c r="K11" s="406"/>
      <c r="L11" s="162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7</v>
      </c>
      <c r="C13" s="46" t="s">
        <v>4366</v>
      </c>
      <c r="D13" s="46"/>
      <c r="E13" s="46"/>
      <c r="F13" s="47"/>
      <c r="G13" s="46" t="s">
        <v>1491</v>
      </c>
      <c r="H13" s="47">
        <v>13</v>
      </c>
      <c r="I13" s="46" t="s">
        <v>1492</v>
      </c>
      <c r="J13" s="47">
        <v>4</v>
      </c>
      <c r="K13" s="46" t="s">
        <v>1493</v>
      </c>
      <c r="L13" s="47">
        <v>17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 customHeight="1">
      <c r="A16" s="46" t="s">
        <v>646</v>
      </c>
      <c r="B16" s="46"/>
      <c r="C16" s="46" t="s">
        <v>204</v>
      </c>
      <c r="D16" s="47">
        <v>102</v>
      </c>
      <c r="E16" s="46" t="s">
        <v>205</v>
      </c>
      <c r="F16" s="47">
        <v>1</v>
      </c>
      <c r="G16" s="46" t="s">
        <v>206</v>
      </c>
      <c r="H16" s="47">
        <v>56</v>
      </c>
      <c r="I16" s="46" t="s">
        <v>230</v>
      </c>
      <c r="J16" s="47">
        <v>159</v>
      </c>
      <c r="K16" s="46" t="s">
        <v>207</v>
      </c>
      <c r="L16" s="47">
        <v>34</v>
      </c>
      <c r="M16" s="72" t="s">
        <v>4367</v>
      </c>
      <c r="N16" s="47"/>
    </row>
    <row r="17" spans="1:14">
      <c r="A17" s="46" t="s">
        <v>209</v>
      </c>
      <c r="B17" s="46"/>
      <c r="C17" s="46" t="s">
        <v>210</v>
      </c>
      <c r="D17" s="47">
        <v>224</v>
      </c>
      <c r="E17" s="46" t="s">
        <v>211</v>
      </c>
      <c r="F17" s="47">
        <v>2</v>
      </c>
      <c r="G17" s="46" t="s">
        <v>212</v>
      </c>
      <c r="H17" s="47">
        <v>130</v>
      </c>
      <c r="I17" s="46" t="s">
        <v>411</v>
      </c>
      <c r="J17" s="47">
        <f>H17+F17+D17</f>
        <v>356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203</v>
      </c>
      <c r="E18" s="46" t="s">
        <v>214</v>
      </c>
      <c r="F18" s="47">
        <v>2</v>
      </c>
      <c r="G18" s="46" t="s">
        <v>1494</v>
      </c>
      <c r="H18" s="47">
        <v>107</v>
      </c>
      <c r="I18" s="46" t="s">
        <v>410</v>
      </c>
      <c r="J18" s="47">
        <f>H18+F18+D18</f>
        <v>312</v>
      </c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 ht="16.5" customHeight="1">
      <c r="A21" s="856"/>
      <c r="B21" s="856"/>
      <c r="C21" s="856"/>
      <c r="D21" s="856"/>
      <c r="E21" s="856"/>
      <c r="F21" s="366" t="s">
        <v>227</v>
      </c>
      <c r="G21" s="366" t="s">
        <v>228</v>
      </c>
      <c r="H21" s="366" t="s">
        <v>229</v>
      </c>
      <c r="I21" s="405" t="s">
        <v>1499</v>
      </c>
      <c r="J21" s="405" t="s">
        <v>4831</v>
      </c>
      <c r="K21" s="405" t="s">
        <v>4832</v>
      </c>
      <c r="L21" s="366" t="s">
        <v>4833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38.784799999999997</v>
      </c>
      <c r="E22" s="364">
        <v>18</v>
      </c>
      <c r="F22" s="364"/>
      <c r="G22" s="369">
        <v>0.57089999999999996</v>
      </c>
      <c r="H22" s="369">
        <v>8.5076999999999998</v>
      </c>
      <c r="I22" s="80"/>
      <c r="J22" s="80"/>
      <c r="K22" s="80"/>
      <c r="L22" s="364"/>
      <c r="M22" s="369">
        <f>SUM(F22:L22)</f>
        <v>9.0785999999999998</v>
      </c>
      <c r="N22" s="369">
        <f>M22/E22*100</f>
        <v>50.43666666666666</v>
      </c>
    </row>
    <row r="23" spans="1:14" ht="22.5">
      <c r="A23" s="364" t="s">
        <v>234</v>
      </c>
      <c r="B23" s="364">
        <v>7000</v>
      </c>
      <c r="C23" s="367" t="s">
        <v>4369</v>
      </c>
      <c r="D23" s="368">
        <f>5.6-2.7</f>
        <v>2.8999999999999995</v>
      </c>
      <c r="E23" s="364">
        <v>2.56</v>
      </c>
      <c r="F23" s="364"/>
      <c r="G23" s="364">
        <v>0</v>
      </c>
      <c r="H23" s="364">
        <v>0</v>
      </c>
      <c r="I23" s="80"/>
      <c r="J23" s="80"/>
      <c r="K23" s="80"/>
      <c r="L23" s="364"/>
      <c r="M23" s="364">
        <f t="shared" ref="M23:M30" si="0">SUM(F23:L23)</f>
        <v>0</v>
      </c>
      <c r="N23" s="364">
        <f t="shared" ref="N23:N31" si="1">M23/E23*100</f>
        <v>0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364"/>
      <c r="G24" s="369">
        <v>0.1799</v>
      </c>
      <c r="H24" s="364">
        <v>0</v>
      </c>
      <c r="I24" s="80"/>
      <c r="J24" s="80"/>
      <c r="K24" s="80"/>
      <c r="L24" s="364"/>
      <c r="M24" s="369">
        <f t="shared" si="0"/>
        <v>0.1799</v>
      </c>
      <c r="N24" s="364">
        <f t="shared" si="1"/>
        <v>51.4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364"/>
      <c r="G25" s="369">
        <v>0.1598</v>
      </c>
      <c r="H25" s="364">
        <v>0</v>
      </c>
      <c r="I25" s="80"/>
      <c r="J25" s="80"/>
      <c r="K25" s="80"/>
      <c r="L25" s="364"/>
      <c r="M25" s="369">
        <f t="shared" si="0"/>
        <v>0.1598</v>
      </c>
      <c r="N25" s="369">
        <f t="shared" si="1"/>
        <v>55.103448275862078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5.8177199999999996</v>
      </c>
      <c r="E26" s="364">
        <v>2</v>
      </c>
      <c r="F26" s="364"/>
      <c r="G26" s="364">
        <v>0</v>
      </c>
      <c r="H26" s="369">
        <v>0.1666</v>
      </c>
      <c r="I26" s="80"/>
      <c r="J26" s="80"/>
      <c r="K26" s="80"/>
      <c r="L26" s="364"/>
      <c r="M26" s="369">
        <f t="shared" si="0"/>
        <v>0.1666</v>
      </c>
      <c r="N26" s="364">
        <f t="shared" si="1"/>
        <v>8.33</v>
      </c>
    </row>
    <row r="27" spans="1:14">
      <c r="A27" s="364" t="s">
        <v>667</v>
      </c>
      <c r="B27" s="364">
        <v>565</v>
      </c>
      <c r="C27" s="367" t="s">
        <v>1036</v>
      </c>
      <c r="D27" s="412">
        <f>B27*J1/100000</f>
        <v>2.7391765000000001</v>
      </c>
      <c r="E27" s="364">
        <v>2.74</v>
      </c>
      <c r="F27" s="364"/>
      <c r="G27" s="369">
        <v>2.7391800000000002</v>
      </c>
      <c r="H27" s="364">
        <v>0</v>
      </c>
      <c r="I27" s="80"/>
      <c r="J27" s="80"/>
      <c r="K27" s="80"/>
      <c r="L27" s="364"/>
      <c r="M27" s="369">
        <f t="shared" si="0"/>
        <v>2.7391800000000002</v>
      </c>
      <c r="N27" s="369">
        <f t="shared" si="1"/>
        <v>99.970072992700736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4.8480999999999996</v>
      </c>
      <c r="E28" s="364">
        <v>0</v>
      </c>
      <c r="F28" s="364"/>
      <c r="G28" s="364">
        <v>0</v>
      </c>
      <c r="H28" s="364">
        <v>0</v>
      </c>
      <c r="I28" s="80"/>
      <c r="J28" s="80"/>
      <c r="K28" s="80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364"/>
      <c r="G29" s="369">
        <v>0.3286</v>
      </c>
      <c r="H29" s="369">
        <v>1.031E-2</v>
      </c>
      <c r="I29" s="80"/>
      <c r="J29" s="80"/>
      <c r="K29" s="80"/>
      <c r="L29" s="364"/>
      <c r="M29" s="369">
        <f t="shared" si="0"/>
        <v>0.33890999999999999</v>
      </c>
      <c r="N29" s="369">
        <f t="shared" si="1"/>
        <v>56.959663865546219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6">
        <f>SUM(D22:D30)</f>
        <v>60.999796500000002</v>
      </c>
      <c r="E31" s="376">
        <f t="shared" ref="E31:M31" si="2">SUM(E22:E30)</f>
        <v>26.634999999999998</v>
      </c>
      <c r="F31" s="376">
        <f t="shared" si="2"/>
        <v>0</v>
      </c>
      <c r="G31" s="371">
        <f t="shared" si="2"/>
        <v>3.9783799999999996</v>
      </c>
      <c r="H31" s="371">
        <f t="shared" si="2"/>
        <v>8.6846100000000011</v>
      </c>
      <c r="I31" s="376">
        <f t="shared" si="2"/>
        <v>0</v>
      </c>
      <c r="J31" s="376">
        <f t="shared" si="2"/>
        <v>0</v>
      </c>
      <c r="K31" s="376">
        <f t="shared" si="2"/>
        <v>0</v>
      </c>
      <c r="L31" s="376">
        <f t="shared" si="2"/>
        <v>0</v>
      </c>
      <c r="M31" s="371">
        <f t="shared" si="2"/>
        <v>12.662990000000002</v>
      </c>
      <c r="N31" s="369">
        <f t="shared" si="1"/>
        <v>47.542669419936182</v>
      </c>
    </row>
  </sheetData>
  <mergeCells count="14">
    <mergeCell ref="F20:N20"/>
    <mergeCell ref="B1:C1"/>
    <mergeCell ref="F1:G1"/>
    <mergeCell ref="H1:I1"/>
    <mergeCell ref="B3:C3"/>
    <mergeCell ref="F3:G3"/>
    <mergeCell ref="B5:C5"/>
    <mergeCell ref="F5:I6"/>
    <mergeCell ref="A2:C2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rintOptions horizontalCentered="1" verticalCentered="1"/>
  <pageMargins left="0.27559055118110237" right="0.31496062992125984" top="0.27559055118110237" bottom="0.35433070866141736" header="0.31496062992125984" footer="0.31496062992125984"/>
  <pageSetup scale="78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3"/>
  <sheetViews>
    <sheetView workbookViewId="0">
      <selection activeCell="A3" sqref="A3:C3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857" t="s">
        <v>167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</row>
    <row r="2" spans="1:14">
      <c r="A2" s="857" t="s">
        <v>5315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</row>
    <row r="3" spans="1:14" ht="15" customHeight="1">
      <c r="A3" s="808" t="s">
        <v>4176</v>
      </c>
      <c r="B3" s="808"/>
      <c r="C3" s="808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>
      <c r="A4" s="46" t="s">
        <v>4347</v>
      </c>
      <c r="B4" s="854" t="s">
        <v>5316</v>
      </c>
      <c r="C4" s="854"/>
      <c r="D4" s="46" t="s">
        <v>4349</v>
      </c>
      <c r="E4" s="46"/>
      <c r="F4" s="939" t="s">
        <v>5317</v>
      </c>
      <c r="G4" s="940"/>
      <c r="H4" s="851" t="s">
        <v>5</v>
      </c>
      <c r="I4" s="852"/>
      <c r="J4" s="47">
        <v>286.61</v>
      </c>
      <c r="K4" s="46" t="s">
        <v>436</v>
      </c>
      <c r="L4" s="46"/>
      <c r="M4" s="47">
        <v>120</v>
      </c>
      <c r="N4" s="46"/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43" t="s">
        <v>5318</v>
      </c>
      <c r="C6" s="844"/>
      <c r="D6" s="46" t="s">
        <v>1208</v>
      </c>
      <c r="E6" s="46"/>
      <c r="F6" s="843" t="s">
        <v>5319</v>
      </c>
      <c r="G6" s="844"/>
      <c r="H6" s="48"/>
      <c r="I6" s="48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46" t="s">
        <v>4353</v>
      </c>
      <c r="B8" s="928" t="s">
        <v>5320</v>
      </c>
      <c r="C8" s="928"/>
      <c r="D8" s="46" t="s">
        <v>4355</v>
      </c>
      <c r="E8" s="46"/>
      <c r="F8" s="931" t="s">
        <v>5321</v>
      </c>
      <c r="G8" s="932"/>
      <c r="H8" s="932"/>
      <c r="I8" s="933"/>
      <c r="J8" s="46"/>
      <c r="K8" s="46"/>
      <c r="L8" s="46"/>
      <c r="M8" s="46"/>
      <c r="N8" s="46"/>
    </row>
    <row r="9" spans="1:14">
      <c r="A9" s="46"/>
      <c r="B9" s="46"/>
      <c r="C9" s="46"/>
      <c r="D9" s="46" t="s">
        <v>4357</v>
      </c>
      <c r="E9" s="46"/>
      <c r="F9" s="934"/>
      <c r="G9" s="935"/>
      <c r="H9" s="935"/>
      <c r="I9" s="936"/>
      <c r="J9" s="46"/>
      <c r="K9" s="46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364" t="s">
        <v>838</v>
      </c>
      <c r="B11" s="409" t="s">
        <v>5322</v>
      </c>
      <c r="C11" s="367" t="s">
        <v>5323</v>
      </c>
      <c r="D11" s="159" t="s">
        <v>5324</v>
      </c>
      <c r="E11" s="364" t="s">
        <v>5325</v>
      </c>
      <c r="F11" s="364" t="s">
        <v>5326</v>
      </c>
      <c r="G11" s="47" t="s">
        <v>5302</v>
      </c>
      <c r="H11" s="406"/>
      <c r="I11" s="162"/>
      <c r="J11" s="161"/>
      <c r="K11" s="406"/>
      <c r="L11" s="162"/>
      <c r="M11" s="46"/>
      <c r="N11" s="46"/>
    </row>
    <row r="12" spans="1:14">
      <c r="A12" s="364" t="s">
        <v>840</v>
      </c>
      <c r="B12" s="413" t="s">
        <v>5327</v>
      </c>
      <c r="C12" s="414" t="s">
        <v>5328</v>
      </c>
      <c r="D12" s="407" t="s">
        <v>5329</v>
      </c>
      <c r="E12" s="415" t="s">
        <v>1101</v>
      </c>
      <c r="F12" s="415" t="s">
        <v>1101</v>
      </c>
      <c r="G12" s="416" t="s">
        <v>1101</v>
      </c>
      <c r="H12" s="406"/>
      <c r="I12" s="162"/>
      <c r="J12" s="161"/>
      <c r="K12" s="406"/>
      <c r="L12" s="162"/>
      <c r="M12" s="46"/>
      <c r="N12" s="46"/>
    </row>
    <row r="13" spans="1:14" ht="37.5" customHeight="1">
      <c r="A13" s="364" t="s">
        <v>4361</v>
      </c>
      <c r="B13" s="417" t="s">
        <v>5330</v>
      </c>
      <c r="C13" s="415" t="s">
        <v>5331</v>
      </c>
      <c r="D13" s="417" t="s">
        <v>5332</v>
      </c>
      <c r="E13" s="415" t="s">
        <v>1101</v>
      </c>
      <c r="F13" s="415" t="s">
        <v>1101</v>
      </c>
      <c r="G13" s="415" t="s">
        <v>1101</v>
      </c>
      <c r="H13" s="406"/>
      <c r="I13" s="162"/>
      <c r="J13" s="161"/>
      <c r="K13" s="406"/>
      <c r="L13" s="162"/>
      <c r="M13" s="46"/>
      <c r="N13" s="46"/>
    </row>
    <row r="14" spans="1:14" ht="22.5">
      <c r="A14" s="364" t="s">
        <v>420</v>
      </c>
      <c r="B14" s="927" t="s">
        <v>5333</v>
      </c>
      <c r="C14" s="927"/>
      <c r="D14" s="364"/>
      <c r="E14" s="364"/>
      <c r="F14" s="364"/>
      <c r="G14" s="159"/>
      <c r="H14" s="406"/>
      <c r="I14" s="162"/>
      <c r="J14" s="161"/>
      <c r="K14" s="406"/>
      <c r="L14" s="162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 t="s">
        <v>4365</v>
      </c>
      <c r="B16" s="47">
        <v>6</v>
      </c>
      <c r="C16" s="46" t="s">
        <v>4366</v>
      </c>
      <c r="D16" s="46"/>
      <c r="E16" s="46"/>
      <c r="F16" s="47">
        <v>3</v>
      </c>
      <c r="G16" s="46" t="s">
        <v>1491</v>
      </c>
      <c r="H16" s="47">
        <v>13</v>
      </c>
      <c r="I16" s="46" t="s">
        <v>1492</v>
      </c>
      <c r="J16" s="47">
        <v>4</v>
      </c>
      <c r="K16" s="46" t="s">
        <v>1493</v>
      </c>
      <c r="L16" s="47">
        <v>13</v>
      </c>
      <c r="M16" s="46"/>
      <c r="N16" s="46"/>
    </row>
    <row r="17" spans="1:14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4" ht="21" customHeight="1">
      <c r="A18" s="46" t="s">
        <v>646</v>
      </c>
      <c r="B18" s="46"/>
      <c r="C18" s="46" t="s">
        <v>204</v>
      </c>
      <c r="D18" s="47">
        <v>174</v>
      </c>
      <c r="E18" s="46" t="s">
        <v>205</v>
      </c>
      <c r="F18" s="47">
        <v>0</v>
      </c>
      <c r="G18" s="46" t="s">
        <v>206</v>
      </c>
      <c r="H18" s="47">
        <v>0</v>
      </c>
      <c r="I18" s="46" t="s">
        <v>230</v>
      </c>
      <c r="J18" s="47">
        <v>174</v>
      </c>
      <c r="K18" s="46" t="s">
        <v>207</v>
      </c>
      <c r="L18" s="47">
        <v>37</v>
      </c>
      <c r="M18" s="72" t="s">
        <v>4367</v>
      </c>
      <c r="N18" s="47"/>
    </row>
    <row r="19" spans="1:14">
      <c r="A19" s="46" t="s">
        <v>209</v>
      </c>
      <c r="B19" s="46"/>
      <c r="C19" s="46" t="s">
        <v>210</v>
      </c>
      <c r="D19" s="47">
        <v>409</v>
      </c>
      <c r="E19" s="46" t="s">
        <v>211</v>
      </c>
      <c r="F19" s="47">
        <v>0</v>
      </c>
      <c r="G19" s="46" t="s">
        <v>212</v>
      </c>
      <c r="H19" s="47">
        <v>0</v>
      </c>
      <c r="I19" s="46" t="s">
        <v>411</v>
      </c>
      <c r="J19" s="47">
        <f>H19+F19+D19</f>
        <v>409</v>
      </c>
      <c r="K19" s="46"/>
      <c r="L19" s="46"/>
      <c r="M19" s="46"/>
      <c r="N19" s="46"/>
    </row>
    <row r="20" spans="1:14">
      <c r="A20" s="46"/>
      <c r="B20" s="46"/>
      <c r="C20" s="46" t="s">
        <v>213</v>
      </c>
      <c r="D20" s="47">
        <v>393</v>
      </c>
      <c r="E20" s="46" t="s">
        <v>214</v>
      </c>
      <c r="F20" s="47">
        <v>0</v>
      </c>
      <c r="G20" s="46" t="s">
        <v>1494</v>
      </c>
      <c r="H20" s="47">
        <v>0</v>
      </c>
      <c r="I20" s="46" t="s">
        <v>410</v>
      </c>
      <c r="J20" s="47">
        <f>H20+F20+D20</f>
        <v>393</v>
      </c>
      <c r="K20" s="46"/>
      <c r="L20" s="46"/>
      <c r="M20" s="46"/>
      <c r="N20" s="46"/>
    </row>
    <row r="21" spans="1:14">
      <c r="A21" s="365" t="s">
        <v>216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4">
      <c r="A22" s="856" t="s">
        <v>217</v>
      </c>
      <c r="B22" s="856" t="s">
        <v>218</v>
      </c>
      <c r="C22" s="856" t="s">
        <v>219</v>
      </c>
      <c r="D22" s="856" t="s">
        <v>407</v>
      </c>
      <c r="E22" s="856" t="s">
        <v>864</v>
      </c>
      <c r="F22" s="855" t="s">
        <v>4368</v>
      </c>
      <c r="G22" s="855"/>
      <c r="H22" s="855"/>
      <c r="I22" s="855"/>
      <c r="J22" s="855"/>
      <c r="K22" s="855"/>
      <c r="L22" s="855"/>
      <c r="M22" s="855"/>
      <c r="N22" s="855"/>
    </row>
    <row r="23" spans="1:14" ht="18.75" customHeight="1">
      <c r="A23" s="856"/>
      <c r="B23" s="856"/>
      <c r="C23" s="856"/>
      <c r="D23" s="856"/>
      <c r="E23" s="856"/>
      <c r="F23" s="366" t="s">
        <v>227</v>
      </c>
      <c r="G23" s="366" t="s">
        <v>228</v>
      </c>
      <c r="H23" s="366" t="s">
        <v>229</v>
      </c>
      <c r="I23" s="405" t="s">
        <v>1499</v>
      </c>
      <c r="J23" s="405" t="s">
        <v>4831</v>
      </c>
      <c r="K23" s="405" t="s">
        <v>4832</v>
      </c>
      <c r="L23" s="366" t="s">
        <v>4833</v>
      </c>
      <c r="M23" s="366" t="s">
        <v>230</v>
      </c>
      <c r="N23" s="366" t="s">
        <v>231</v>
      </c>
    </row>
    <row r="24" spans="1:14">
      <c r="A24" s="364" t="s">
        <v>232</v>
      </c>
      <c r="B24" s="364">
        <v>8000</v>
      </c>
      <c r="C24" s="367" t="s">
        <v>4369</v>
      </c>
      <c r="D24" s="368">
        <f>B24*J4/100000</f>
        <v>22.928799999999999</v>
      </c>
      <c r="E24" s="364">
        <v>18</v>
      </c>
      <c r="F24" s="364"/>
      <c r="G24" s="369">
        <v>1.4852000000000001</v>
      </c>
      <c r="H24" s="369">
        <v>11.671849999999999</v>
      </c>
      <c r="I24" s="80"/>
      <c r="J24" s="80"/>
      <c r="K24" s="80"/>
      <c r="L24" s="364"/>
      <c r="M24" s="369">
        <f>SUM(F24:L24)</f>
        <v>13.15705</v>
      </c>
      <c r="N24" s="369">
        <f>M24/E24*100</f>
        <v>73.094722222222217</v>
      </c>
    </row>
    <row r="25" spans="1:14" ht="22.5">
      <c r="A25" s="364" t="s">
        <v>234</v>
      </c>
      <c r="B25" s="364">
        <v>7000</v>
      </c>
      <c r="C25" s="367" t="s">
        <v>4369</v>
      </c>
      <c r="D25" s="375">
        <f>5.6-2.7</f>
        <v>2.8999999999999995</v>
      </c>
      <c r="E25" s="364">
        <v>2.56</v>
      </c>
      <c r="F25" s="364"/>
      <c r="G25" s="364">
        <v>0</v>
      </c>
      <c r="H25" s="369">
        <v>1.7216</v>
      </c>
      <c r="I25" s="80"/>
      <c r="J25" s="80"/>
      <c r="K25" s="80"/>
      <c r="L25" s="364"/>
      <c r="M25" s="369">
        <f t="shared" ref="M25:M32" si="0">SUM(F25:L25)</f>
        <v>1.7216</v>
      </c>
      <c r="N25" s="364">
        <f t="shared" ref="N25:N33" si="1">M25/E25*100</f>
        <v>67.25</v>
      </c>
    </row>
    <row r="26" spans="1:14" ht="22.5">
      <c r="A26" s="364" t="s">
        <v>235</v>
      </c>
      <c r="B26" s="364">
        <v>43000</v>
      </c>
      <c r="C26" s="367" t="s">
        <v>236</v>
      </c>
      <c r="D26" s="375">
        <f>0.43+2.7</f>
        <v>3.1300000000000003</v>
      </c>
      <c r="E26" s="364">
        <v>0.35</v>
      </c>
      <c r="F26" s="364"/>
      <c r="G26" s="369">
        <v>0.1799</v>
      </c>
      <c r="H26" s="369">
        <v>2.1999999999999999E-2</v>
      </c>
      <c r="I26" s="80"/>
      <c r="J26" s="80"/>
      <c r="K26" s="80"/>
      <c r="L26" s="364"/>
      <c r="M26" s="369">
        <f t="shared" si="0"/>
        <v>0.2019</v>
      </c>
      <c r="N26" s="369">
        <f t="shared" si="1"/>
        <v>57.685714285714283</v>
      </c>
    </row>
    <row r="27" spans="1:14" ht="22.5">
      <c r="A27" s="364" t="s">
        <v>237</v>
      </c>
      <c r="B27" s="364">
        <v>37000</v>
      </c>
      <c r="C27" s="367" t="s">
        <v>236</v>
      </c>
      <c r="D27" s="375">
        <v>0.37</v>
      </c>
      <c r="E27" s="364">
        <v>0.28999999999999998</v>
      </c>
      <c r="F27" s="364"/>
      <c r="G27" s="369">
        <v>0.1598</v>
      </c>
      <c r="H27" s="364">
        <v>0.04</v>
      </c>
      <c r="I27" s="80"/>
      <c r="J27" s="80"/>
      <c r="K27" s="80"/>
      <c r="L27" s="364"/>
      <c r="M27" s="369">
        <f t="shared" si="0"/>
        <v>0.19980000000000001</v>
      </c>
      <c r="N27" s="369">
        <f t="shared" si="1"/>
        <v>68.896551724137936</v>
      </c>
    </row>
    <row r="28" spans="1:14">
      <c r="A28" s="364" t="s">
        <v>238</v>
      </c>
      <c r="B28" s="364">
        <v>1200</v>
      </c>
      <c r="C28" s="367" t="s">
        <v>4369</v>
      </c>
      <c r="D28" s="368">
        <f>B28*J4/100000</f>
        <v>3.4393199999999999</v>
      </c>
      <c r="E28" s="364">
        <v>2</v>
      </c>
      <c r="F28" s="364"/>
      <c r="G28" s="364">
        <v>0</v>
      </c>
      <c r="H28" s="369">
        <v>0.86760999999999999</v>
      </c>
      <c r="I28" s="80"/>
      <c r="J28" s="80"/>
      <c r="K28" s="80"/>
      <c r="L28" s="364"/>
      <c r="M28" s="369">
        <f t="shared" si="0"/>
        <v>0.86760999999999999</v>
      </c>
      <c r="N28" s="369">
        <f t="shared" si="1"/>
        <v>43.380499999999998</v>
      </c>
    </row>
    <row r="29" spans="1:14">
      <c r="A29" s="364" t="s">
        <v>667</v>
      </c>
      <c r="B29" s="364">
        <v>565</v>
      </c>
      <c r="C29" s="367" t="s">
        <v>1036</v>
      </c>
      <c r="D29" s="368">
        <f>B29*J4/100000</f>
        <v>1.6193465</v>
      </c>
      <c r="E29" s="364">
        <v>1.62</v>
      </c>
      <c r="F29" s="364"/>
      <c r="G29" s="369">
        <v>1.6193500000000001</v>
      </c>
      <c r="H29" s="364">
        <v>0</v>
      </c>
      <c r="I29" s="80"/>
      <c r="J29" s="80"/>
      <c r="K29" s="80"/>
      <c r="L29" s="364"/>
      <c r="M29" s="369">
        <f t="shared" si="0"/>
        <v>1.6193500000000001</v>
      </c>
      <c r="N29" s="369">
        <f t="shared" si="1"/>
        <v>99.959876543209873</v>
      </c>
    </row>
    <row r="30" spans="1:14">
      <c r="A30" s="364" t="s">
        <v>240</v>
      </c>
      <c r="B30" s="364">
        <v>1000</v>
      </c>
      <c r="C30" s="367" t="s">
        <v>1036</v>
      </c>
      <c r="D30" s="368">
        <f>B30*J4/100000</f>
        <v>2.8660999999999999</v>
      </c>
      <c r="E30" s="364">
        <v>0</v>
      </c>
      <c r="F30" s="364"/>
      <c r="G30" s="364">
        <v>0</v>
      </c>
      <c r="H30" s="364">
        <v>0</v>
      </c>
      <c r="I30" s="80"/>
      <c r="J30" s="80"/>
      <c r="K30" s="80"/>
      <c r="L30" s="364"/>
      <c r="M30" s="364">
        <f t="shared" si="0"/>
        <v>0</v>
      </c>
      <c r="N30" s="364" t="e">
        <f t="shared" si="1"/>
        <v>#DIV/0!</v>
      </c>
    </row>
    <row r="31" spans="1:14">
      <c r="A31" s="364" t="s">
        <v>241</v>
      </c>
      <c r="B31" s="364">
        <v>2750</v>
      </c>
      <c r="C31" s="367" t="s">
        <v>1036</v>
      </c>
      <c r="D31" s="375">
        <v>2.31</v>
      </c>
      <c r="E31" s="369">
        <v>0.59499999999999997</v>
      </c>
      <c r="F31" s="364"/>
      <c r="G31" s="369">
        <v>0.29569000000000001</v>
      </c>
      <c r="H31" s="369">
        <v>0.127</v>
      </c>
      <c r="I31" s="80"/>
      <c r="J31" s="80"/>
      <c r="K31" s="80"/>
      <c r="L31" s="364"/>
      <c r="M31" s="369">
        <f t="shared" si="0"/>
        <v>0.42269000000000001</v>
      </c>
      <c r="N31" s="369">
        <f t="shared" si="1"/>
        <v>71.040336134453781</v>
      </c>
    </row>
    <row r="32" spans="1:14">
      <c r="A32" s="364" t="s">
        <v>670</v>
      </c>
      <c r="B32" s="364">
        <v>10000</v>
      </c>
      <c r="C32" s="367" t="s">
        <v>244</v>
      </c>
      <c r="D32" s="375">
        <v>0.1</v>
      </c>
      <c r="E32" s="364">
        <v>0.1</v>
      </c>
      <c r="F32" s="364"/>
      <c r="G32" s="364"/>
      <c r="H32" s="364"/>
      <c r="I32" s="364"/>
      <c r="J32" s="364"/>
      <c r="K32" s="364"/>
      <c r="L32" s="364"/>
      <c r="M32" s="364">
        <f t="shared" si="0"/>
        <v>0</v>
      </c>
      <c r="N32" s="364">
        <f t="shared" si="1"/>
        <v>0</v>
      </c>
    </row>
    <row r="33" spans="1:14">
      <c r="A33" s="370" t="s">
        <v>245</v>
      </c>
      <c r="B33" s="370"/>
      <c r="C33" s="366"/>
      <c r="D33" s="371">
        <f>SUM(D24:D32)</f>
        <v>39.663566500000002</v>
      </c>
      <c r="E33" s="371">
        <f t="shared" ref="E33:M33" si="2">SUM(E24:E32)</f>
        <v>25.515000000000001</v>
      </c>
      <c r="F33" s="371">
        <f t="shared" si="2"/>
        <v>0</v>
      </c>
      <c r="G33" s="371">
        <f t="shared" si="2"/>
        <v>3.7399400000000003</v>
      </c>
      <c r="H33" s="371">
        <f t="shared" si="2"/>
        <v>14.450059999999999</v>
      </c>
      <c r="I33" s="371">
        <f t="shared" si="2"/>
        <v>0</v>
      </c>
      <c r="J33" s="371">
        <f t="shared" si="2"/>
        <v>0</v>
      </c>
      <c r="K33" s="371">
        <f t="shared" si="2"/>
        <v>0</v>
      </c>
      <c r="L33" s="371">
        <f t="shared" si="2"/>
        <v>0</v>
      </c>
      <c r="M33" s="371">
        <f t="shared" si="2"/>
        <v>18.190000000000001</v>
      </c>
      <c r="N33" s="369">
        <f t="shared" si="1"/>
        <v>71.291397217323151</v>
      </c>
    </row>
  </sheetData>
  <mergeCells count="17">
    <mergeCell ref="B6:C6"/>
    <mergeCell ref="F6:G6"/>
    <mergeCell ref="A1:N1"/>
    <mergeCell ref="A2:N2"/>
    <mergeCell ref="B4:C4"/>
    <mergeCell ref="F4:G4"/>
    <mergeCell ref="H4:I4"/>
    <mergeCell ref="A3:C3"/>
    <mergeCell ref="B8:C8"/>
    <mergeCell ref="F8:I9"/>
    <mergeCell ref="B14:C14"/>
    <mergeCell ref="A22:A23"/>
    <mergeCell ref="B22:B23"/>
    <mergeCell ref="C22:C23"/>
    <mergeCell ref="D22:D23"/>
    <mergeCell ref="E22:E23"/>
    <mergeCell ref="F22:N22"/>
  </mergeCells>
  <hyperlinks>
    <hyperlink ref="A3" location="'Fact Sheet of VDC'!A1" display="&lt;&lt;Back"/>
  </hyperlinks>
  <printOptions horizontalCentered="1" verticalCentered="1"/>
  <pageMargins left="0.27559055118110237" right="0.31496062992125984" top="0.27559055118110237" bottom="0.35433070866141736" header="0.31496062992125984" footer="0.31496062992125984"/>
  <pageSetup scale="78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0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46" t="s">
        <v>4347</v>
      </c>
      <c r="B1" s="843" t="s">
        <v>5334</v>
      </c>
      <c r="C1" s="844"/>
      <c r="D1" s="46" t="s">
        <v>4349</v>
      </c>
      <c r="E1" s="46"/>
      <c r="F1" s="916" t="s">
        <v>5335</v>
      </c>
      <c r="G1" s="917"/>
      <c r="H1" s="851" t="s">
        <v>5</v>
      </c>
      <c r="I1" s="852"/>
      <c r="J1" s="47">
        <v>366.04</v>
      </c>
      <c r="K1" s="46" t="s">
        <v>436</v>
      </c>
      <c r="L1" s="46"/>
      <c r="M1" s="47">
        <v>120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5336</v>
      </c>
      <c r="C3" s="844"/>
      <c r="D3" s="46" t="s">
        <v>1208</v>
      </c>
      <c r="E3" s="46"/>
      <c r="F3" s="843" t="s">
        <v>5337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/>
      <c r="C5" s="844"/>
      <c r="D5" s="46" t="s">
        <v>4355</v>
      </c>
      <c r="E5" s="46"/>
      <c r="F5" s="941" t="s">
        <v>5338</v>
      </c>
      <c r="G5" s="941"/>
      <c r="H5" s="941"/>
      <c r="I5" s="941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941"/>
      <c r="G6" s="941"/>
      <c r="H6" s="941"/>
      <c r="I6" s="941"/>
      <c r="J6" s="46"/>
      <c r="K6" s="46"/>
      <c r="L6" s="46"/>
      <c r="M6" s="46"/>
      <c r="N6" s="46"/>
    </row>
    <row r="7" spans="1:14" ht="13.5" customHeight="1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364" t="s">
        <v>5339</v>
      </c>
      <c r="C8" s="364" t="s">
        <v>5245</v>
      </c>
      <c r="D8" s="364" t="s">
        <v>5340</v>
      </c>
      <c r="E8" s="364" t="s">
        <v>3773</v>
      </c>
      <c r="F8" s="364" t="s">
        <v>5341</v>
      </c>
      <c r="G8" s="161"/>
      <c r="H8" s="406"/>
      <c r="I8" s="162"/>
      <c r="J8" s="161"/>
      <c r="K8" s="406"/>
      <c r="L8" s="162"/>
      <c r="M8" s="46"/>
      <c r="N8" s="46"/>
    </row>
    <row r="9" spans="1:14">
      <c r="A9" s="364" t="s">
        <v>840</v>
      </c>
      <c r="B9" s="364"/>
      <c r="C9" s="364"/>
      <c r="D9" s="364"/>
      <c r="E9" s="364"/>
      <c r="F9" s="364"/>
      <c r="G9" s="161"/>
      <c r="H9" s="406"/>
      <c r="I9" s="162"/>
      <c r="J9" s="161"/>
      <c r="K9" s="406"/>
      <c r="L9" s="162"/>
      <c r="M9" s="46"/>
      <c r="N9" s="46"/>
    </row>
    <row r="10" spans="1:14" ht="22.5">
      <c r="A10" s="364" t="s">
        <v>4361</v>
      </c>
      <c r="B10" s="407" t="s">
        <v>5342</v>
      </c>
      <c r="C10" s="407" t="s">
        <v>5343</v>
      </c>
      <c r="D10" s="407" t="s">
        <v>5344</v>
      </c>
      <c r="E10" s="407" t="s">
        <v>5345</v>
      </c>
      <c r="F10" s="407" t="s">
        <v>1101</v>
      </c>
      <c r="G10" s="161"/>
      <c r="H10" s="406"/>
      <c r="I10" s="162"/>
      <c r="J10" s="161"/>
      <c r="K10" s="406"/>
      <c r="L10" s="162"/>
      <c r="M10" s="46"/>
      <c r="N10" s="46"/>
    </row>
    <row r="11" spans="1:14" ht="25.5" customHeight="1">
      <c r="A11" s="364" t="s">
        <v>420</v>
      </c>
      <c r="B11" s="407"/>
      <c r="C11" s="407" t="s">
        <v>5346</v>
      </c>
      <c r="D11" s="407" t="s">
        <v>5347</v>
      </c>
      <c r="E11" s="407" t="s">
        <v>5348</v>
      </c>
      <c r="F11" s="407"/>
      <c r="G11" s="161"/>
      <c r="H11" s="406"/>
      <c r="I11" s="162"/>
      <c r="J11" s="161"/>
      <c r="K11" s="406"/>
      <c r="L11" s="162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5</v>
      </c>
      <c r="C13" s="46" t="s">
        <v>4366</v>
      </c>
      <c r="D13" s="46"/>
      <c r="E13" s="46"/>
      <c r="F13" s="47"/>
      <c r="G13" s="46" t="s">
        <v>1491</v>
      </c>
      <c r="H13" s="47">
        <v>13</v>
      </c>
      <c r="I13" s="46" t="s">
        <v>1492</v>
      </c>
      <c r="J13" s="47">
        <v>4</v>
      </c>
      <c r="K13" s="46" t="s">
        <v>1493</v>
      </c>
      <c r="L13" s="47">
        <v>21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2.5" customHeight="1">
      <c r="A15" s="46" t="s">
        <v>646</v>
      </c>
      <c r="B15" s="46"/>
      <c r="C15" s="46" t="s">
        <v>204</v>
      </c>
      <c r="D15" s="47">
        <v>100</v>
      </c>
      <c r="E15" s="46" t="s">
        <v>205</v>
      </c>
      <c r="F15" s="47">
        <v>47</v>
      </c>
      <c r="G15" s="46" t="s">
        <v>206</v>
      </c>
      <c r="H15" s="47">
        <v>22</v>
      </c>
      <c r="I15" s="46" t="s">
        <v>230</v>
      </c>
      <c r="J15" s="47">
        <v>169</v>
      </c>
      <c r="K15" s="46" t="s">
        <v>207</v>
      </c>
      <c r="L15" s="47">
        <v>25</v>
      </c>
      <c r="M15" s="72" t="s">
        <v>4367</v>
      </c>
      <c r="N15" s="47"/>
    </row>
    <row r="16" spans="1:14">
      <c r="A16" s="46" t="s">
        <v>209</v>
      </c>
      <c r="B16" s="46"/>
      <c r="C16" s="46" t="s">
        <v>210</v>
      </c>
      <c r="D16" s="47">
        <v>259</v>
      </c>
      <c r="E16" s="46" t="s">
        <v>211</v>
      </c>
      <c r="F16" s="47">
        <v>12</v>
      </c>
      <c r="G16" s="46" t="s">
        <v>212</v>
      </c>
      <c r="H16" s="47">
        <v>83</v>
      </c>
      <c r="I16" s="46" t="s">
        <v>411</v>
      </c>
      <c r="J16" s="47">
        <f>H16+F16+D16</f>
        <v>354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294</v>
      </c>
      <c r="E17" s="46" t="s">
        <v>214</v>
      </c>
      <c r="F17" s="47">
        <v>16</v>
      </c>
      <c r="G17" s="46" t="s">
        <v>1494</v>
      </c>
      <c r="H17" s="47">
        <v>87</v>
      </c>
      <c r="I17" s="46" t="s">
        <v>410</v>
      </c>
      <c r="J17" s="47">
        <f>H17+F17+D17</f>
        <v>397</v>
      </c>
      <c r="K17" s="46"/>
      <c r="L17" s="46"/>
      <c r="M17" s="46"/>
      <c r="N17" s="46"/>
    </row>
    <row r="18" spans="1:14">
      <c r="A18" s="365" t="s">
        <v>216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856" t="s">
        <v>217</v>
      </c>
      <c r="B19" s="856" t="s">
        <v>218</v>
      </c>
      <c r="C19" s="856" t="s">
        <v>219</v>
      </c>
      <c r="D19" s="856" t="s">
        <v>407</v>
      </c>
      <c r="E19" s="856" t="s">
        <v>864</v>
      </c>
      <c r="F19" s="855" t="s">
        <v>4368</v>
      </c>
      <c r="G19" s="855"/>
      <c r="H19" s="855"/>
      <c r="I19" s="855"/>
      <c r="J19" s="855"/>
      <c r="K19" s="855"/>
      <c r="L19" s="855"/>
      <c r="M19" s="855"/>
      <c r="N19" s="855"/>
    </row>
    <row r="20" spans="1:14" ht="18" customHeight="1">
      <c r="A20" s="856"/>
      <c r="B20" s="856"/>
      <c r="C20" s="856"/>
      <c r="D20" s="856"/>
      <c r="E20" s="856"/>
      <c r="F20" s="366" t="s">
        <v>227</v>
      </c>
      <c r="G20" s="366" t="s">
        <v>228</v>
      </c>
      <c r="H20" s="366" t="s">
        <v>229</v>
      </c>
      <c r="I20" s="405" t="s">
        <v>1499</v>
      </c>
      <c r="J20" s="405" t="s">
        <v>4831</v>
      </c>
      <c r="K20" s="405" t="s">
        <v>4832</v>
      </c>
      <c r="L20" s="366" t="s">
        <v>4833</v>
      </c>
      <c r="M20" s="366" t="s">
        <v>230</v>
      </c>
      <c r="N20" s="366" t="s">
        <v>231</v>
      </c>
    </row>
    <row r="21" spans="1:14">
      <c r="A21" s="364" t="s">
        <v>232</v>
      </c>
      <c r="B21" s="364">
        <v>8000</v>
      </c>
      <c r="C21" s="367" t="s">
        <v>4369</v>
      </c>
      <c r="D21" s="368">
        <f>B21*J1/100000</f>
        <v>29.283200000000001</v>
      </c>
      <c r="E21" s="364">
        <v>18</v>
      </c>
      <c r="F21" s="364"/>
      <c r="G21" s="369">
        <v>2.7665500000000001</v>
      </c>
      <c r="H21" s="369">
        <v>6.0977499999999996</v>
      </c>
      <c r="I21" s="80"/>
      <c r="J21" s="80"/>
      <c r="K21" s="80"/>
      <c r="L21" s="364"/>
      <c r="M21" s="369">
        <f>SUM(F21:L21)</f>
        <v>8.8643000000000001</v>
      </c>
      <c r="N21" s="369">
        <f>M21/E21*100</f>
        <v>49.246111111111112</v>
      </c>
    </row>
    <row r="22" spans="1:14" ht="22.5">
      <c r="A22" s="364" t="s">
        <v>234</v>
      </c>
      <c r="B22" s="364">
        <v>7000</v>
      </c>
      <c r="C22" s="367" t="s">
        <v>4369</v>
      </c>
      <c r="D22" s="375">
        <f>5.6-2.7</f>
        <v>2.8999999999999995</v>
      </c>
      <c r="E22" s="364">
        <v>2.56</v>
      </c>
      <c r="F22" s="364"/>
      <c r="G22" s="364">
        <v>0</v>
      </c>
      <c r="H22" s="369">
        <v>1.0851999999999999</v>
      </c>
      <c r="I22" s="80"/>
      <c r="J22" s="80"/>
      <c r="K22" s="80"/>
      <c r="L22" s="364"/>
      <c r="M22" s="369">
        <f t="shared" ref="M22:M29" si="0">SUM(F22:L22)</f>
        <v>1.0851999999999999</v>
      </c>
      <c r="N22" s="369">
        <f t="shared" ref="N22:N30" si="1">M22/E22*100</f>
        <v>42.390625</v>
      </c>
    </row>
    <row r="23" spans="1:14" ht="22.5">
      <c r="A23" s="364" t="s">
        <v>235</v>
      </c>
      <c r="B23" s="364">
        <v>43000</v>
      </c>
      <c r="C23" s="367" t="s">
        <v>236</v>
      </c>
      <c r="D23" s="375">
        <f>0.43+2.7</f>
        <v>3.1300000000000003</v>
      </c>
      <c r="E23" s="364">
        <v>0.35</v>
      </c>
      <c r="F23" s="364"/>
      <c r="G23" s="369">
        <v>0.1799</v>
      </c>
      <c r="H23" s="369">
        <v>4.53E-2</v>
      </c>
      <c r="I23" s="80"/>
      <c r="J23" s="80"/>
      <c r="K23" s="80"/>
      <c r="L23" s="364"/>
      <c r="M23" s="369">
        <f t="shared" si="0"/>
        <v>0.22520000000000001</v>
      </c>
      <c r="N23" s="369">
        <f t="shared" si="1"/>
        <v>64.342857142857142</v>
      </c>
    </row>
    <row r="24" spans="1:14" ht="22.5">
      <c r="A24" s="364" t="s">
        <v>237</v>
      </c>
      <c r="B24" s="364">
        <v>37000</v>
      </c>
      <c r="C24" s="367" t="s">
        <v>236</v>
      </c>
      <c r="D24" s="375">
        <v>0.37</v>
      </c>
      <c r="E24" s="364">
        <v>0.28999999999999998</v>
      </c>
      <c r="F24" s="364"/>
      <c r="G24" s="369">
        <v>0.1598</v>
      </c>
      <c r="H24" s="364">
        <v>0</v>
      </c>
      <c r="I24" s="80"/>
      <c r="J24" s="80"/>
      <c r="K24" s="80"/>
      <c r="L24" s="364"/>
      <c r="M24" s="369">
        <f t="shared" si="0"/>
        <v>0.1598</v>
      </c>
      <c r="N24" s="369">
        <f t="shared" si="1"/>
        <v>55.103448275862078</v>
      </c>
    </row>
    <row r="25" spans="1:14">
      <c r="A25" s="364" t="s">
        <v>238</v>
      </c>
      <c r="B25" s="364">
        <v>1200</v>
      </c>
      <c r="C25" s="367" t="s">
        <v>4369</v>
      </c>
      <c r="D25" s="368">
        <f>B25*J1/100000</f>
        <v>4.3924799999999999</v>
      </c>
      <c r="E25" s="364">
        <v>2</v>
      </c>
      <c r="F25" s="364"/>
      <c r="G25" s="364">
        <v>0</v>
      </c>
      <c r="H25" s="369">
        <v>1.0535000000000001</v>
      </c>
      <c r="I25" s="80"/>
      <c r="J25" s="80"/>
      <c r="K25" s="80"/>
      <c r="L25" s="364"/>
      <c r="M25" s="369">
        <f t="shared" si="0"/>
        <v>1.0535000000000001</v>
      </c>
      <c r="N25" s="369">
        <f t="shared" si="1"/>
        <v>52.675000000000004</v>
      </c>
    </row>
    <row r="26" spans="1:14">
      <c r="A26" s="364" t="s">
        <v>667</v>
      </c>
      <c r="B26" s="364">
        <v>565</v>
      </c>
      <c r="C26" s="367" t="s">
        <v>1036</v>
      </c>
      <c r="D26" s="368">
        <f>B26*J1/100000</f>
        <v>2.0681259999999999</v>
      </c>
      <c r="E26" s="364">
        <v>2.0699999999999998</v>
      </c>
      <c r="F26" s="364"/>
      <c r="G26" s="369">
        <v>2.6081300000000001</v>
      </c>
      <c r="H26" s="364">
        <v>0</v>
      </c>
      <c r="I26" s="80"/>
      <c r="J26" s="80"/>
      <c r="K26" s="80"/>
      <c r="L26" s="364"/>
      <c r="M26" s="369">
        <f t="shared" si="0"/>
        <v>2.6081300000000001</v>
      </c>
      <c r="N26" s="369">
        <f t="shared" si="1"/>
        <v>125.99661835748795</v>
      </c>
    </row>
    <row r="27" spans="1:14">
      <c r="A27" s="364" t="s">
        <v>240</v>
      </c>
      <c r="B27" s="364">
        <v>1000</v>
      </c>
      <c r="C27" s="367" t="s">
        <v>1036</v>
      </c>
      <c r="D27" s="368">
        <f>B27*J1/100000</f>
        <v>3.6604000000000001</v>
      </c>
      <c r="E27" s="364">
        <v>0</v>
      </c>
      <c r="F27" s="364"/>
      <c r="G27" s="364">
        <v>0</v>
      </c>
      <c r="H27" s="364">
        <v>0</v>
      </c>
      <c r="I27" s="80"/>
      <c r="J27" s="80"/>
      <c r="K27" s="80"/>
      <c r="L27" s="364"/>
      <c r="M27" s="364">
        <f t="shared" si="0"/>
        <v>0</v>
      </c>
      <c r="N27" s="364" t="e">
        <f t="shared" si="1"/>
        <v>#DIV/0!</v>
      </c>
    </row>
    <row r="28" spans="1:14">
      <c r="A28" s="364" t="s">
        <v>241</v>
      </c>
      <c r="B28" s="364">
        <v>2750</v>
      </c>
      <c r="C28" s="367" t="s">
        <v>1036</v>
      </c>
      <c r="D28" s="375">
        <v>2.31</v>
      </c>
      <c r="E28" s="369">
        <v>0.59499999999999997</v>
      </c>
      <c r="F28" s="364"/>
      <c r="G28" s="369">
        <v>0.26257000000000003</v>
      </c>
      <c r="H28" s="369">
        <v>7.7810000000000004E-2</v>
      </c>
      <c r="I28" s="80"/>
      <c r="J28" s="80"/>
      <c r="K28" s="80"/>
      <c r="L28" s="364"/>
      <c r="M28" s="369">
        <f t="shared" si="0"/>
        <v>0.34038000000000002</v>
      </c>
      <c r="N28" s="369">
        <f t="shared" si="1"/>
        <v>57.20672268907564</v>
      </c>
    </row>
    <row r="29" spans="1:14">
      <c r="A29" s="364" t="s">
        <v>670</v>
      </c>
      <c r="B29" s="364">
        <v>10000</v>
      </c>
      <c r="C29" s="367" t="s">
        <v>244</v>
      </c>
      <c r="D29" s="375">
        <v>0.1</v>
      </c>
      <c r="E29" s="364">
        <v>0.1</v>
      </c>
      <c r="F29" s="364"/>
      <c r="G29" s="364"/>
      <c r="H29" s="364"/>
      <c r="I29" s="364"/>
      <c r="J29" s="364"/>
      <c r="K29" s="364"/>
      <c r="L29" s="364"/>
      <c r="M29" s="364">
        <f t="shared" si="0"/>
        <v>0</v>
      </c>
      <c r="N29" s="364">
        <f t="shared" si="1"/>
        <v>0</v>
      </c>
    </row>
    <row r="30" spans="1:14">
      <c r="A30" s="370" t="s">
        <v>245</v>
      </c>
      <c r="B30" s="370"/>
      <c r="C30" s="366"/>
      <c r="D30" s="371">
        <f>SUM(D21:D29)</f>
        <v>48.214206000000004</v>
      </c>
      <c r="E30" s="371">
        <f t="shared" ref="E30:M30" si="2">SUM(E21:E29)</f>
        <v>25.965</v>
      </c>
      <c r="F30" s="371">
        <f t="shared" si="2"/>
        <v>0</v>
      </c>
      <c r="G30" s="371">
        <f t="shared" si="2"/>
        <v>5.9769500000000004</v>
      </c>
      <c r="H30" s="371">
        <f t="shared" si="2"/>
        <v>8.3595600000000001</v>
      </c>
      <c r="I30" s="371">
        <f t="shared" si="2"/>
        <v>0</v>
      </c>
      <c r="J30" s="371">
        <f t="shared" si="2"/>
        <v>0</v>
      </c>
      <c r="K30" s="371">
        <f t="shared" si="2"/>
        <v>0</v>
      </c>
      <c r="L30" s="371">
        <f t="shared" si="2"/>
        <v>0</v>
      </c>
      <c r="M30" s="371">
        <f t="shared" si="2"/>
        <v>14.336510000000001</v>
      </c>
      <c r="N30" s="369">
        <f t="shared" si="1"/>
        <v>55.214750625842477</v>
      </c>
    </row>
  </sheetData>
  <mergeCells count="14">
    <mergeCell ref="F19:N19"/>
    <mergeCell ref="B1:C1"/>
    <mergeCell ref="F1:G1"/>
    <mergeCell ref="H1:I1"/>
    <mergeCell ref="B3:C3"/>
    <mergeCell ref="F3:G3"/>
    <mergeCell ref="B5:C5"/>
    <mergeCell ref="F5:I6"/>
    <mergeCell ref="A2:C2"/>
    <mergeCell ref="A19:A20"/>
    <mergeCell ref="B19:B20"/>
    <mergeCell ref="C19:C20"/>
    <mergeCell ref="D19:D20"/>
    <mergeCell ref="E19:E20"/>
  </mergeCells>
  <hyperlinks>
    <hyperlink ref="A2" location="'Fact Sheet of VDC'!A1" display="&lt;&lt;Back"/>
  </hyperlinks>
  <printOptions horizontalCentered="1" verticalCentered="1"/>
  <pageMargins left="0.27559055118110237" right="0.31496062992125984" top="0.27559055118110237" bottom="0.35433070866141736" header="0.31496062992125984" footer="0.31496062992125984"/>
  <pageSetup scale="78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2" max="2" width="11.5703125" bestFit="1" customWidth="1"/>
    <col min="3" max="3" width="20.85546875" bestFit="1" customWidth="1"/>
    <col min="4" max="4" width="15.85546875" customWidth="1"/>
    <col min="5" max="5" width="14.28515625" customWidth="1"/>
    <col min="6" max="6" width="10.42578125" customWidth="1"/>
    <col min="7" max="7" width="10.140625" bestFit="1" customWidth="1"/>
    <col min="9" max="9" width="9.7109375" bestFit="1" customWidth="1"/>
    <col min="11" max="11" width="10.140625" customWidth="1"/>
    <col min="12" max="12" width="8" customWidth="1"/>
    <col min="13" max="13" width="8.28515625" customWidth="1"/>
    <col min="14" max="14" width="7.85546875" customWidth="1"/>
  </cols>
  <sheetData>
    <row r="1" spans="1:14">
      <c r="A1" s="46" t="s">
        <v>4347</v>
      </c>
      <c r="B1" s="843" t="s">
        <v>5349</v>
      </c>
      <c r="C1" s="844"/>
      <c r="D1" s="46" t="s">
        <v>4349</v>
      </c>
      <c r="E1" s="46"/>
      <c r="F1" s="916" t="s">
        <v>5350</v>
      </c>
      <c r="G1" s="917"/>
      <c r="H1" s="851" t="s">
        <v>5</v>
      </c>
      <c r="I1" s="852"/>
      <c r="J1" s="47">
        <v>287.11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5351</v>
      </c>
      <c r="C3" s="844"/>
      <c r="D3" s="46" t="s">
        <v>1208</v>
      </c>
      <c r="E3" s="46"/>
      <c r="F3" s="843" t="s">
        <v>5352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928" t="s">
        <v>5353</v>
      </c>
      <c r="C5" s="928"/>
      <c r="D5" s="46" t="s">
        <v>4355</v>
      </c>
      <c r="E5" s="46"/>
      <c r="F5" s="931" t="s">
        <v>5354</v>
      </c>
      <c r="G5" s="932"/>
      <c r="H5" s="932"/>
      <c r="I5" s="933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934"/>
      <c r="G6" s="935"/>
      <c r="H6" s="935"/>
      <c r="I6" s="936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5355</v>
      </c>
      <c r="C8" s="853"/>
      <c r="D8" s="853" t="s">
        <v>5356</v>
      </c>
      <c r="E8" s="853"/>
      <c r="F8" s="853"/>
      <c r="G8" s="854" t="s">
        <v>5357</v>
      </c>
      <c r="H8" s="854"/>
      <c r="I8" s="854"/>
      <c r="J8" s="854" t="s">
        <v>5358</v>
      </c>
      <c r="K8" s="854"/>
      <c r="L8" s="854"/>
      <c r="M8" s="47" t="s">
        <v>5359</v>
      </c>
      <c r="N8" s="46"/>
    </row>
    <row r="9" spans="1:14">
      <c r="A9" s="364" t="s">
        <v>840</v>
      </c>
      <c r="B9" s="927" t="s">
        <v>5360</v>
      </c>
      <c r="C9" s="927"/>
      <c r="D9" s="927" t="s">
        <v>5361</v>
      </c>
      <c r="E9" s="927"/>
      <c r="F9" s="927"/>
      <c r="G9" s="928" t="s">
        <v>5362</v>
      </c>
      <c r="H9" s="928"/>
      <c r="I9" s="928"/>
      <c r="J9" s="854"/>
      <c r="K9" s="854"/>
      <c r="L9" s="854"/>
      <c r="M9" s="47"/>
      <c r="N9" s="46"/>
    </row>
    <row r="10" spans="1:14">
      <c r="A10" s="364" t="s">
        <v>4361</v>
      </c>
      <c r="B10" s="927" t="s">
        <v>5363</v>
      </c>
      <c r="C10" s="927"/>
      <c r="D10" s="927" t="s">
        <v>5364</v>
      </c>
      <c r="E10" s="927"/>
      <c r="F10" s="927"/>
      <c r="G10" s="928" t="s">
        <v>5365</v>
      </c>
      <c r="H10" s="928"/>
      <c r="I10" s="928"/>
      <c r="J10" s="854"/>
      <c r="K10" s="854"/>
      <c r="L10" s="854"/>
      <c r="M10" s="47"/>
      <c r="N10" s="46"/>
    </row>
    <row r="11" spans="1:14" ht="22.5">
      <c r="A11" s="364" t="s">
        <v>420</v>
      </c>
      <c r="B11" s="927" t="s">
        <v>5366</v>
      </c>
      <c r="C11" s="927"/>
      <c r="D11" s="927" t="s">
        <v>1101</v>
      </c>
      <c r="E11" s="927"/>
      <c r="F11" s="927"/>
      <c r="G11" s="928"/>
      <c r="H11" s="928"/>
      <c r="I11" s="928"/>
      <c r="J11" s="854"/>
      <c r="K11" s="854"/>
      <c r="L11" s="854"/>
      <c r="M11" s="47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5</v>
      </c>
      <c r="C13" s="46" t="s">
        <v>4366</v>
      </c>
      <c r="D13" s="46"/>
      <c r="E13" s="46"/>
      <c r="F13" s="47"/>
      <c r="G13" s="46" t="s">
        <v>1491</v>
      </c>
      <c r="H13" s="47">
        <v>14</v>
      </c>
      <c r="I13" s="46" t="s">
        <v>1492</v>
      </c>
      <c r="J13" s="47">
        <v>1</v>
      </c>
      <c r="K13" s="46" t="s">
        <v>1493</v>
      </c>
      <c r="L13" s="47">
        <v>11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 ht="20.25" customHeight="1">
      <c r="A15" s="46" t="s">
        <v>646</v>
      </c>
      <c r="B15" s="46"/>
      <c r="C15" s="46" t="s">
        <v>204</v>
      </c>
      <c r="D15" s="47">
        <v>156</v>
      </c>
      <c r="E15" s="46" t="s">
        <v>205</v>
      </c>
      <c r="F15" s="47">
        <v>22</v>
      </c>
      <c r="G15" s="46" t="s">
        <v>206</v>
      </c>
      <c r="H15" s="47">
        <v>32</v>
      </c>
      <c r="I15" s="46" t="s">
        <v>230</v>
      </c>
      <c r="J15" s="47">
        <v>210</v>
      </c>
      <c r="K15" s="46" t="s">
        <v>207</v>
      </c>
      <c r="L15" s="47">
        <v>30</v>
      </c>
      <c r="M15" s="72" t="s">
        <v>4367</v>
      </c>
      <c r="N15" s="47"/>
    </row>
    <row r="16" spans="1:14">
      <c r="A16" s="46" t="s">
        <v>209</v>
      </c>
      <c r="B16" s="46"/>
      <c r="C16" s="46" t="s">
        <v>210</v>
      </c>
      <c r="D16" s="47">
        <v>304</v>
      </c>
      <c r="E16" s="46" t="s">
        <v>211</v>
      </c>
      <c r="F16" s="47">
        <v>41</v>
      </c>
      <c r="G16" s="46" t="s">
        <v>212</v>
      </c>
      <c r="H16" s="47">
        <v>55</v>
      </c>
      <c r="I16" s="46" t="s">
        <v>411</v>
      </c>
      <c r="J16" s="47">
        <f>H16+F16+D16</f>
        <v>400</v>
      </c>
      <c r="K16" s="46"/>
      <c r="L16" s="46"/>
      <c r="M16" s="46"/>
      <c r="N16" s="46"/>
    </row>
    <row r="17" spans="1:14">
      <c r="A17" s="46"/>
      <c r="B17" s="46"/>
      <c r="C17" s="46" t="s">
        <v>213</v>
      </c>
      <c r="D17" s="47">
        <v>332</v>
      </c>
      <c r="E17" s="46" t="s">
        <v>214</v>
      </c>
      <c r="F17" s="47">
        <v>43</v>
      </c>
      <c r="G17" s="46" t="s">
        <v>1494</v>
      </c>
      <c r="H17" s="47">
        <v>53</v>
      </c>
      <c r="I17" s="46" t="s">
        <v>410</v>
      </c>
      <c r="J17" s="47">
        <f>H17+F17+D17</f>
        <v>428</v>
      </c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365" t="s">
        <v>216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856" t="s">
        <v>217</v>
      </c>
      <c r="B20" s="856" t="s">
        <v>218</v>
      </c>
      <c r="C20" s="856" t="s">
        <v>219</v>
      </c>
      <c r="D20" s="856" t="s">
        <v>407</v>
      </c>
      <c r="E20" s="856" t="s">
        <v>864</v>
      </c>
      <c r="F20" s="855" t="s">
        <v>4368</v>
      </c>
      <c r="G20" s="855"/>
      <c r="H20" s="855"/>
      <c r="I20" s="855"/>
      <c r="J20" s="855"/>
      <c r="K20" s="855"/>
      <c r="L20" s="855"/>
      <c r="M20" s="855"/>
      <c r="N20" s="855"/>
    </row>
    <row r="21" spans="1:14" ht="18" customHeight="1">
      <c r="A21" s="856"/>
      <c r="B21" s="856"/>
      <c r="C21" s="856"/>
      <c r="D21" s="856"/>
      <c r="E21" s="856"/>
      <c r="F21" s="366" t="s">
        <v>227</v>
      </c>
      <c r="G21" s="366" t="s">
        <v>228</v>
      </c>
      <c r="H21" s="366" t="s">
        <v>229</v>
      </c>
      <c r="I21" s="405" t="s">
        <v>1499</v>
      </c>
      <c r="J21" s="405" t="s">
        <v>4831</v>
      </c>
      <c r="K21" s="405" t="s">
        <v>4832</v>
      </c>
      <c r="L21" s="366" t="s">
        <v>4833</v>
      </c>
      <c r="M21" s="366" t="s">
        <v>230</v>
      </c>
      <c r="N21" s="366" t="s">
        <v>231</v>
      </c>
    </row>
    <row r="22" spans="1:14">
      <c r="A22" s="364" t="s">
        <v>232</v>
      </c>
      <c r="B22" s="364">
        <v>8000</v>
      </c>
      <c r="C22" s="367" t="s">
        <v>4369</v>
      </c>
      <c r="D22" s="368">
        <f>B22*J1/100000</f>
        <v>22.968800000000002</v>
      </c>
      <c r="E22" s="364">
        <v>18</v>
      </c>
      <c r="F22" s="364"/>
      <c r="G22" s="369">
        <v>0.58640000000000003</v>
      </c>
      <c r="H22" s="369">
        <v>8.0338899999999995</v>
      </c>
      <c r="I22" s="80"/>
      <c r="J22" s="80"/>
      <c r="K22" s="80"/>
      <c r="L22" s="364"/>
      <c r="M22" s="369">
        <f>SUM(F22:L22)</f>
        <v>8.6202899999999989</v>
      </c>
      <c r="N22" s="369">
        <f>M22/E22*100</f>
        <v>47.890499999999989</v>
      </c>
    </row>
    <row r="23" spans="1:14" ht="22.5">
      <c r="A23" s="364" t="s">
        <v>234</v>
      </c>
      <c r="B23" s="364">
        <v>7000</v>
      </c>
      <c r="C23" s="367" t="s">
        <v>4369</v>
      </c>
      <c r="D23" s="375">
        <f>5.6-2.7</f>
        <v>2.8999999999999995</v>
      </c>
      <c r="E23" s="364">
        <v>2.56</v>
      </c>
      <c r="F23" s="364"/>
      <c r="G23" s="364">
        <v>0</v>
      </c>
      <c r="H23" s="364">
        <v>0</v>
      </c>
      <c r="I23" s="80"/>
      <c r="J23" s="80"/>
      <c r="K23" s="80"/>
      <c r="L23" s="364"/>
      <c r="M23" s="364">
        <f t="shared" ref="M23:M30" si="0">SUM(F23:L23)</f>
        <v>0</v>
      </c>
      <c r="N23" s="364">
        <f t="shared" ref="N23:N31" si="1">M23/E23*100</f>
        <v>0</v>
      </c>
    </row>
    <row r="24" spans="1:14" ht="22.5">
      <c r="A24" s="364" t="s">
        <v>235</v>
      </c>
      <c r="B24" s="364">
        <v>43000</v>
      </c>
      <c r="C24" s="367" t="s">
        <v>236</v>
      </c>
      <c r="D24" s="375">
        <f>0.43+2.7</f>
        <v>3.1300000000000003</v>
      </c>
      <c r="E24" s="364">
        <v>0.35</v>
      </c>
      <c r="F24" s="364"/>
      <c r="G24" s="369">
        <v>0.1799</v>
      </c>
      <c r="H24" s="369">
        <v>4.65E-2</v>
      </c>
      <c r="I24" s="80"/>
      <c r="J24" s="80"/>
      <c r="K24" s="80"/>
      <c r="L24" s="364"/>
      <c r="M24" s="369">
        <f t="shared" si="0"/>
        <v>0.22639999999999999</v>
      </c>
      <c r="N24" s="369">
        <f t="shared" si="1"/>
        <v>64.685714285714297</v>
      </c>
    </row>
    <row r="25" spans="1:14" ht="22.5">
      <c r="A25" s="364" t="s">
        <v>237</v>
      </c>
      <c r="B25" s="364">
        <v>37000</v>
      </c>
      <c r="C25" s="367" t="s">
        <v>236</v>
      </c>
      <c r="D25" s="375">
        <v>0.37</v>
      </c>
      <c r="E25" s="364">
        <v>0.28999999999999998</v>
      </c>
      <c r="F25" s="364"/>
      <c r="G25" s="369">
        <v>0.1598</v>
      </c>
      <c r="H25" s="364">
        <v>0.04</v>
      </c>
      <c r="I25" s="80"/>
      <c r="J25" s="80"/>
      <c r="K25" s="80"/>
      <c r="L25" s="364"/>
      <c r="M25" s="369">
        <f t="shared" si="0"/>
        <v>0.19980000000000001</v>
      </c>
      <c r="N25" s="369">
        <f t="shared" si="1"/>
        <v>68.896551724137936</v>
      </c>
    </row>
    <row r="26" spans="1:14">
      <c r="A26" s="364" t="s">
        <v>238</v>
      </c>
      <c r="B26" s="364">
        <v>1200</v>
      </c>
      <c r="C26" s="367" t="s">
        <v>4369</v>
      </c>
      <c r="D26" s="368">
        <f>B26*J1/100000</f>
        <v>3.4453200000000002</v>
      </c>
      <c r="E26" s="364">
        <v>2</v>
      </c>
      <c r="F26" s="364"/>
      <c r="G26" s="364">
        <v>0</v>
      </c>
      <c r="H26" s="369">
        <v>0.94520000000000004</v>
      </c>
      <c r="I26" s="80"/>
      <c r="J26" s="80"/>
      <c r="K26" s="80"/>
      <c r="L26" s="364"/>
      <c r="M26" s="369">
        <f t="shared" si="0"/>
        <v>0.94520000000000004</v>
      </c>
      <c r="N26" s="364">
        <f t="shared" si="1"/>
        <v>47.260000000000005</v>
      </c>
    </row>
    <row r="27" spans="1:14">
      <c r="A27" s="364" t="s">
        <v>667</v>
      </c>
      <c r="B27" s="364">
        <v>565</v>
      </c>
      <c r="C27" s="367" t="s">
        <v>1036</v>
      </c>
      <c r="D27" s="368">
        <f>B27*J1/100000</f>
        <v>1.6221714999999999</v>
      </c>
      <c r="E27" s="364">
        <v>1.62</v>
      </c>
      <c r="F27" s="364"/>
      <c r="G27" s="369">
        <v>1.6221699999999999</v>
      </c>
      <c r="H27" s="364">
        <v>0</v>
      </c>
      <c r="I27" s="80"/>
      <c r="J27" s="80"/>
      <c r="K27" s="80"/>
      <c r="L27" s="364"/>
      <c r="M27" s="369">
        <f t="shared" si="0"/>
        <v>1.6221699999999999</v>
      </c>
      <c r="N27" s="369">
        <f t="shared" si="1"/>
        <v>100.13395061728394</v>
      </c>
    </row>
    <row r="28" spans="1:14">
      <c r="A28" s="364" t="s">
        <v>240</v>
      </c>
      <c r="B28" s="364">
        <v>1000</v>
      </c>
      <c r="C28" s="367" t="s">
        <v>1036</v>
      </c>
      <c r="D28" s="368">
        <f>B28*J1/100000</f>
        <v>2.8711000000000002</v>
      </c>
      <c r="E28" s="364">
        <v>0</v>
      </c>
      <c r="F28" s="364"/>
      <c r="G28" s="364">
        <v>0</v>
      </c>
      <c r="H28" s="364">
        <v>0</v>
      </c>
      <c r="I28" s="80"/>
      <c r="J28" s="80"/>
      <c r="K28" s="80"/>
      <c r="L28" s="364"/>
      <c r="M28" s="364">
        <f t="shared" si="0"/>
        <v>0</v>
      </c>
      <c r="N28" s="364" t="e">
        <f t="shared" si="1"/>
        <v>#DIV/0!</v>
      </c>
    </row>
    <row r="29" spans="1:14">
      <c r="A29" s="364" t="s">
        <v>241</v>
      </c>
      <c r="B29" s="364">
        <v>2750</v>
      </c>
      <c r="C29" s="367" t="s">
        <v>1036</v>
      </c>
      <c r="D29" s="375">
        <v>2.31</v>
      </c>
      <c r="E29" s="369">
        <v>0.59499999999999997</v>
      </c>
      <c r="F29" s="364"/>
      <c r="G29" s="369">
        <v>0.16969000000000001</v>
      </c>
      <c r="H29" s="369">
        <v>0.26430999999999999</v>
      </c>
      <c r="I29" s="80"/>
      <c r="J29" s="80"/>
      <c r="K29" s="80"/>
      <c r="L29" s="364"/>
      <c r="M29" s="369">
        <f t="shared" si="0"/>
        <v>0.434</v>
      </c>
      <c r="N29" s="369">
        <f t="shared" si="1"/>
        <v>72.941176470588246</v>
      </c>
    </row>
    <row r="30" spans="1:14">
      <c r="A30" s="364" t="s">
        <v>670</v>
      </c>
      <c r="B30" s="364">
        <v>10000</v>
      </c>
      <c r="C30" s="367" t="s">
        <v>244</v>
      </c>
      <c r="D30" s="375">
        <v>0.1</v>
      </c>
      <c r="E30" s="364">
        <v>0.1</v>
      </c>
      <c r="F30" s="364"/>
      <c r="G30" s="364"/>
      <c r="H30" s="364"/>
      <c r="I30" s="364"/>
      <c r="J30" s="364"/>
      <c r="K30" s="364"/>
      <c r="L30" s="364"/>
      <c r="M30" s="364">
        <f t="shared" si="0"/>
        <v>0</v>
      </c>
      <c r="N30" s="364">
        <f t="shared" si="1"/>
        <v>0</v>
      </c>
    </row>
    <row r="31" spans="1:14">
      <c r="A31" s="370" t="s">
        <v>245</v>
      </c>
      <c r="B31" s="370"/>
      <c r="C31" s="366"/>
      <c r="D31" s="371">
        <f>SUM(D22:D30)</f>
        <v>39.717391500000005</v>
      </c>
      <c r="E31" s="371">
        <f t="shared" ref="E31:M31" si="2">SUM(E22:E30)</f>
        <v>25.515000000000001</v>
      </c>
      <c r="F31" s="371">
        <f t="shared" si="2"/>
        <v>0</v>
      </c>
      <c r="G31" s="371">
        <f t="shared" si="2"/>
        <v>2.7179599999999997</v>
      </c>
      <c r="H31" s="371">
        <f t="shared" si="2"/>
        <v>9.3298999999999985</v>
      </c>
      <c r="I31" s="371">
        <f t="shared" si="2"/>
        <v>0</v>
      </c>
      <c r="J31" s="371">
        <f t="shared" si="2"/>
        <v>0</v>
      </c>
      <c r="K31" s="371">
        <f t="shared" si="2"/>
        <v>0</v>
      </c>
      <c r="L31" s="371">
        <f t="shared" si="2"/>
        <v>0</v>
      </c>
      <c r="M31" s="371">
        <f t="shared" si="2"/>
        <v>12.047859999999998</v>
      </c>
      <c r="N31" s="369">
        <f t="shared" si="1"/>
        <v>47.218734077993332</v>
      </c>
    </row>
  </sheetData>
  <mergeCells count="30">
    <mergeCell ref="B5:C5"/>
    <mergeCell ref="F5:I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A20:A21"/>
    <mergeCell ref="B20:B21"/>
    <mergeCell ref="C20:C21"/>
    <mergeCell ref="D20:D21"/>
    <mergeCell ref="E20:E21"/>
  </mergeCells>
  <hyperlinks>
    <hyperlink ref="A2" location="'Fact Sheet of VDC'!A1" display="&lt;&lt;Back"/>
  </hyperlinks>
  <printOptions horizontalCentered="1" verticalCentered="1"/>
  <pageMargins left="0.27559055118110237" right="0.31496062992125984" top="0.27559055118110237" bottom="0.35433070866141736" header="0.31496062992125984" footer="0.31496062992125984"/>
  <pageSetup scale="7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246</v>
      </c>
      <c r="F4" t="s">
        <v>171</v>
      </c>
      <c r="H4" t="s">
        <v>5710</v>
      </c>
      <c r="J4" t="s">
        <v>172</v>
      </c>
      <c r="K4">
        <v>553</v>
      </c>
      <c r="L4" t="s">
        <v>173</v>
      </c>
      <c r="N4">
        <v>80</v>
      </c>
    </row>
    <row r="6" spans="1:14">
      <c r="A6" t="s">
        <v>174</v>
      </c>
      <c r="B6" t="s">
        <v>247</v>
      </c>
      <c r="F6" t="s">
        <v>176</v>
      </c>
      <c r="H6" t="s">
        <v>248</v>
      </c>
    </row>
    <row r="8" spans="1:14">
      <c r="A8" t="s">
        <v>178</v>
      </c>
      <c r="B8" t="s">
        <v>249</v>
      </c>
      <c r="F8" t="s">
        <v>180</v>
      </c>
      <c r="H8" t="s">
        <v>250</v>
      </c>
    </row>
    <row r="11" spans="1:14">
      <c r="A11" t="s">
        <v>182</v>
      </c>
      <c r="B11" t="s">
        <v>251</v>
      </c>
      <c r="D11" t="s">
        <v>252</v>
      </c>
      <c r="F11" t="s">
        <v>253</v>
      </c>
      <c r="H11" t="s">
        <v>254</v>
      </c>
      <c r="J11" t="s">
        <v>255</v>
      </c>
      <c r="L11" t="s">
        <v>256</v>
      </c>
    </row>
    <row r="12" spans="1:14">
      <c r="A12" t="s">
        <v>187</v>
      </c>
      <c r="B12" t="s">
        <v>257</v>
      </c>
      <c r="D12" t="s">
        <v>258</v>
      </c>
      <c r="F12" t="s">
        <v>259</v>
      </c>
      <c r="H12" t="s">
        <v>260</v>
      </c>
      <c r="J12" t="s">
        <v>261</v>
      </c>
      <c r="L12" t="s">
        <v>262</v>
      </c>
    </row>
    <row r="13" spans="1:14">
      <c r="A13" t="s">
        <v>192</v>
      </c>
      <c r="B13" t="s">
        <v>263</v>
      </c>
      <c r="D13" t="s">
        <v>264</v>
      </c>
      <c r="F13" t="s">
        <v>265</v>
      </c>
      <c r="H13" t="s">
        <v>266</v>
      </c>
      <c r="J13" t="s">
        <v>267</v>
      </c>
    </row>
    <row r="14" spans="1:14">
      <c r="A14" t="s">
        <v>197</v>
      </c>
      <c r="D14" t="s">
        <v>268</v>
      </c>
    </row>
    <row r="16" spans="1:14">
      <c r="A16" t="s">
        <v>198</v>
      </c>
      <c r="B16">
        <v>7</v>
      </c>
      <c r="C16" t="s">
        <v>199</v>
      </c>
      <c r="F16">
        <v>6</v>
      </c>
      <c r="G16" t="s">
        <v>200</v>
      </c>
      <c r="H16">
        <v>13</v>
      </c>
      <c r="I16" t="s">
        <v>201</v>
      </c>
      <c r="J16">
        <v>1</v>
      </c>
      <c r="K16" t="s">
        <v>202</v>
      </c>
      <c r="L16">
        <v>45</v>
      </c>
    </row>
    <row r="18" spans="1:14">
      <c r="A18" t="s">
        <v>203</v>
      </c>
      <c r="B18" t="s">
        <v>204</v>
      </c>
      <c r="C18">
        <f>15+45+11+8+21+3+7</f>
        <v>110</v>
      </c>
      <c r="D18" t="s">
        <v>205</v>
      </c>
      <c r="E18">
        <f>26</f>
        <v>26</v>
      </c>
      <c r="F18" t="s">
        <v>206</v>
      </c>
      <c r="G18">
        <v>0</v>
      </c>
      <c r="H18" t="s">
        <v>207</v>
      </c>
      <c r="I18">
        <v>44</v>
      </c>
      <c r="J18" t="s">
        <v>208</v>
      </c>
    </row>
    <row r="19" spans="1:14">
      <c r="A19" t="s">
        <v>209</v>
      </c>
      <c r="B19" t="s">
        <v>210</v>
      </c>
      <c r="C19">
        <f>34+64+108+26+17+61+7</f>
        <v>317</v>
      </c>
      <c r="D19" t="s">
        <v>211</v>
      </c>
      <c r="E19">
        <f>76</f>
        <v>76</v>
      </c>
      <c r="F19" t="s">
        <v>212</v>
      </c>
      <c r="G19">
        <v>0</v>
      </c>
    </row>
    <row r="20" spans="1:14">
      <c r="B20" t="s">
        <v>213</v>
      </c>
      <c r="C20">
        <f>45+83+115+33+17+61+7</f>
        <v>361</v>
      </c>
      <c r="D20" t="s">
        <v>214</v>
      </c>
      <c r="E20">
        <v>68</v>
      </c>
      <c r="F20" t="s">
        <v>215</v>
      </c>
      <c r="G20">
        <v>0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44.24</v>
      </c>
      <c r="E26">
        <f>4424000/100000</f>
        <v>44.24</v>
      </c>
      <c r="H26">
        <v>10.21862</v>
      </c>
      <c r="I26">
        <v>10.17938</v>
      </c>
      <c r="J26">
        <v>14.37899</v>
      </c>
      <c r="K26">
        <v>1.93963</v>
      </c>
      <c r="L26">
        <v>2.8771900000000001</v>
      </c>
      <c r="M26">
        <f>+F26+G26+H26+I26+J26+K26+L26</f>
        <v>39.593809999999998</v>
      </c>
      <c r="N26">
        <f>+M26/E26*100</f>
        <v>89.497762206148266</v>
      </c>
    </row>
    <row r="27" spans="1:14">
      <c r="A27" t="s">
        <v>234</v>
      </c>
      <c r="B27">
        <v>7000</v>
      </c>
      <c r="C27" t="s">
        <v>233</v>
      </c>
      <c r="D27">
        <f>+N4*B27/100000</f>
        <v>5.6</v>
      </c>
      <c r="E27">
        <v>5</v>
      </c>
      <c r="H27">
        <v>0.2</v>
      </c>
      <c r="I27">
        <v>2.1247600000000002</v>
      </c>
      <c r="J27">
        <v>0.82057000000000002</v>
      </c>
      <c r="K27">
        <v>1.1920200000000001</v>
      </c>
      <c r="L27">
        <v>0.98416000000000003</v>
      </c>
      <c r="M27">
        <f t="shared" ref="M27:M34" si="0">+F27+G27+H27+I27+J27+K27+L27</f>
        <v>5.3215100000000009</v>
      </c>
      <c r="N27">
        <f t="shared" ref="N27:N35" si="1">+M27/E27*100</f>
        <v>106.43020000000001</v>
      </c>
    </row>
    <row r="28" spans="1:14">
      <c r="A28" t="s">
        <v>235</v>
      </c>
      <c r="B28">
        <v>86</v>
      </c>
      <c r="C28" t="s">
        <v>233</v>
      </c>
      <c r="D28">
        <v>0.48</v>
      </c>
      <c r="E28">
        <v>0.43</v>
      </c>
      <c r="J28">
        <v>0.184</v>
      </c>
      <c r="K28">
        <v>0.10065</v>
      </c>
      <c r="L28">
        <v>0.21742</v>
      </c>
      <c r="M28">
        <f t="shared" si="0"/>
        <v>0.50207000000000002</v>
      </c>
      <c r="N28">
        <f t="shared" si="1"/>
        <v>116.76046511627906</v>
      </c>
    </row>
    <row r="29" spans="1:14">
      <c r="A29" t="s">
        <v>237</v>
      </c>
      <c r="B29">
        <v>68</v>
      </c>
      <c r="C29" t="s">
        <v>233</v>
      </c>
      <c r="D29">
        <v>0.38</v>
      </c>
      <c r="E29">
        <v>0.34</v>
      </c>
      <c r="I29">
        <v>0.12784000000000001</v>
      </c>
      <c r="J29">
        <v>3.5000000000000003E-2</v>
      </c>
      <c r="K29">
        <v>0.12937000000000001</v>
      </c>
      <c r="M29">
        <f t="shared" si="0"/>
        <v>0.29221000000000003</v>
      </c>
      <c r="N29">
        <f t="shared" si="1"/>
        <v>85.944117647058832</v>
      </c>
    </row>
    <row r="30" spans="1:14">
      <c r="A30" t="s">
        <v>238</v>
      </c>
      <c r="B30">
        <v>1200</v>
      </c>
      <c r="C30" t="s">
        <v>233</v>
      </c>
      <c r="D30">
        <f>+K4*B30/100000</f>
        <v>6.6360000000000001</v>
      </c>
      <c r="E30">
        <f>663600/100000</f>
        <v>6.6360000000000001</v>
      </c>
      <c r="I30">
        <f>0.29664+1.3472</f>
        <v>1.64384</v>
      </c>
      <c r="J30">
        <f>0.157+3.15491</f>
        <v>3.3119100000000001</v>
      </c>
      <c r="K30">
        <f>0.16615+2.21654</f>
        <v>2.3826900000000002</v>
      </c>
      <c r="L30">
        <f>0.0889-1.66485+0.035</f>
        <v>-1.54095</v>
      </c>
      <c r="M30">
        <f t="shared" si="0"/>
        <v>5.7974899999999998</v>
      </c>
      <c r="N30">
        <f t="shared" si="1"/>
        <v>87.364225437010248</v>
      </c>
    </row>
    <row r="31" spans="1:14">
      <c r="A31" t="s">
        <v>239</v>
      </c>
      <c r="B31">
        <v>565</v>
      </c>
      <c r="C31" t="s">
        <v>233</v>
      </c>
      <c r="D31">
        <f>+K4*B31/100000</f>
        <v>3.1244499999999999</v>
      </c>
      <c r="E31">
        <f>275000/100000</f>
        <v>2.75</v>
      </c>
      <c r="K31">
        <v>2.75</v>
      </c>
      <c r="M31">
        <f t="shared" si="0"/>
        <v>2.75</v>
      </c>
      <c r="N31">
        <f t="shared" si="1"/>
        <v>100</v>
      </c>
    </row>
    <row r="32" spans="1:14">
      <c r="A32" t="s">
        <v>240</v>
      </c>
      <c r="B32">
        <v>1000</v>
      </c>
      <c r="C32" t="s">
        <v>233</v>
      </c>
      <c r="D32">
        <f>+K4*B32/100000</f>
        <v>5.53</v>
      </c>
      <c r="E32">
        <f>553000/100000</f>
        <v>5.53</v>
      </c>
      <c r="I32">
        <v>7.0910000000000001E-2</v>
      </c>
      <c r="J32">
        <f>0.14904+0.16605</f>
        <v>0.31508999999999998</v>
      </c>
      <c r="K32">
        <f>1.66523+0.1163</f>
        <v>1.7815300000000001</v>
      </c>
      <c r="L32">
        <f>0.40411-0.09357</f>
        <v>0.31054000000000004</v>
      </c>
      <c r="M32">
        <f t="shared" si="0"/>
        <v>2.4780700000000002</v>
      </c>
      <c r="N32">
        <f t="shared" si="1"/>
        <v>44.811392405063295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f>121000/100000</f>
        <v>1.21</v>
      </c>
      <c r="H33">
        <v>0.32340000000000002</v>
      </c>
      <c r="I33">
        <v>0.23638999999999999</v>
      </c>
      <c r="J33">
        <v>0.25069999999999998</v>
      </c>
      <c r="K33">
        <v>0.28652</v>
      </c>
      <c r="L33">
        <v>7.9189999999999997E-2</v>
      </c>
      <c r="M33">
        <f t="shared" si="0"/>
        <v>1.1762000000000001</v>
      </c>
      <c r="N33">
        <f t="shared" si="1"/>
        <v>97.206611570247944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68.400450000000006</v>
      </c>
      <c r="E35">
        <f t="shared" ref="E35:M35" si="2">SUM(E26:E34)</f>
        <v>66.135999999999996</v>
      </c>
      <c r="F35">
        <f t="shared" si="2"/>
        <v>0</v>
      </c>
      <c r="G35">
        <f t="shared" si="2"/>
        <v>0</v>
      </c>
      <c r="H35">
        <f t="shared" si="2"/>
        <v>10.742019999999998</v>
      </c>
      <c r="I35">
        <f t="shared" si="2"/>
        <v>14.38312</v>
      </c>
      <c r="J35">
        <f t="shared" si="2"/>
        <v>19.29626</v>
      </c>
      <c r="K35">
        <f t="shared" si="2"/>
        <v>10.56241</v>
      </c>
      <c r="L35">
        <f t="shared" si="2"/>
        <v>2.9275500000000005</v>
      </c>
      <c r="M35">
        <f t="shared" si="2"/>
        <v>57.911360000000009</v>
      </c>
      <c r="N35">
        <f t="shared" si="1"/>
        <v>87.56404983670015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O238"/>
  <sheetViews>
    <sheetView workbookViewId="0">
      <selection activeCell="A3" sqref="A3:C3"/>
    </sheetView>
  </sheetViews>
  <sheetFormatPr defaultRowHeight="15"/>
  <cols>
    <col min="1" max="1" width="23.85546875" customWidth="1"/>
    <col min="3" max="3" width="9.28515625" bestFit="1" customWidth="1"/>
    <col min="4" max="5" width="12.140625" bestFit="1" customWidth="1"/>
    <col min="6" max="7" width="11.140625" bestFit="1" customWidth="1"/>
    <col min="8" max="11" width="12.140625" bestFit="1" customWidth="1"/>
    <col min="12" max="12" width="7.7109375" customWidth="1"/>
    <col min="13" max="13" width="12.5703125" customWidth="1"/>
    <col min="14" max="14" width="12.42578125" customWidth="1"/>
    <col min="15" max="15" width="11.42578125" customWidth="1"/>
    <col min="257" max="257" width="23.85546875" customWidth="1"/>
    <col min="259" max="259" width="9.28515625" bestFit="1" customWidth="1"/>
    <col min="260" max="261" width="12.140625" bestFit="1" customWidth="1"/>
    <col min="262" max="263" width="11.140625" bestFit="1" customWidth="1"/>
    <col min="264" max="267" width="12.140625" bestFit="1" customWidth="1"/>
    <col min="268" max="268" width="7.7109375" customWidth="1"/>
    <col min="269" max="269" width="12.5703125" customWidth="1"/>
    <col min="270" max="270" width="12.42578125" customWidth="1"/>
    <col min="271" max="271" width="11.42578125" customWidth="1"/>
    <col min="513" max="513" width="23.85546875" customWidth="1"/>
    <col min="515" max="515" width="9.28515625" bestFit="1" customWidth="1"/>
    <col min="516" max="517" width="12.140625" bestFit="1" customWidth="1"/>
    <col min="518" max="519" width="11.140625" bestFit="1" customWidth="1"/>
    <col min="520" max="523" width="12.140625" bestFit="1" customWidth="1"/>
    <col min="524" max="524" width="7.7109375" customWidth="1"/>
    <col min="525" max="525" width="12.5703125" customWidth="1"/>
    <col min="526" max="526" width="12.42578125" customWidth="1"/>
    <col min="527" max="527" width="11.42578125" customWidth="1"/>
    <col min="769" max="769" width="23.85546875" customWidth="1"/>
    <col min="771" max="771" width="9.28515625" bestFit="1" customWidth="1"/>
    <col min="772" max="773" width="12.140625" bestFit="1" customWidth="1"/>
    <col min="774" max="775" width="11.140625" bestFit="1" customWidth="1"/>
    <col min="776" max="779" width="12.140625" bestFit="1" customWidth="1"/>
    <col min="780" max="780" width="7.7109375" customWidth="1"/>
    <col min="781" max="781" width="12.5703125" customWidth="1"/>
    <col min="782" max="782" width="12.42578125" customWidth="1"/>
    <col min="783" max="783" width="11.42578125" customWidth="1"/>
    <col min="1025" max="1025" width="23.85546875" customWidth="1"/>
    <col min="1027" max="1027" width="9.28515625" bestFit="1" customWidth="1"/>
    <col min="1028" max="1029" width="12.140625" bestFit="1" customWidth="1"/>
    <col min="1030" max="1031" width="11.140625" bestFit="1" customWidth="1"/>
    <col min="1032" max="1035" width="12.140625" bestFit="1" customWidth="1"/>
    <col min="1036" max="1036" width="7.7109375" customWidth="1"/>
    <col min="1037" max="1037" width="12.5703125" customWidth="1"/>
    <col min="1038" max="1038" width="12.42578125" customWidth="1"/>
    <col min="1039" max="1039" width="11.42578125" customWidth="1"/>
    <col min="1281" max="1281" width="23.85546875" customWidth="1"/>
    <col min="1283" max="1283" width="9.28515625" bestFit="1" customWidth="1"/>
    <col min="1284" max="1285" width="12.140625" bestFit="1" customWidth="1"/>
    <col min="1286" max="1287" width="11.140625" bestFit="1" customWidth="1"/>
    <col min="1288" max="1291" width="12.140625" bestFit="1" customWidth="1"/>
    <col min="1292" max="1292" width="7.7109375" customWidth="1"/>
    <col min="1293" max="1293" width="12.5703125" customWidth="1"/>
    <col min="1294" max="1294" width="12.42578125" customWidth="1"/>
    <col min="1295" max="1295" width="11.42578125" customWidth="1"/>
    <col min="1537" max="1537" width="23.85546875" customWidth="1"/>
    <col min="1539" max="1539" width="9.28515625" bestFit="1" customWidth="1"/>
    <col min="1540" max="1541" width="12.140625" bestFit="1" customWidth="1"/>
    <col min="1542" max="1543" width="11.140625" bestFit="1" customWidth="1"/>
    <col min="1544" max="1547" width="12.140625" bestFit="1" customWidth="1"/>
    <col min="1548" max="1548" width="7.7109375" customWidth="1"/>
    <col min="1549" max="1549" width="12.5703125" customWidth="1"/>
    <col min="1550" max="1550" width="12.42578125" customWidth="1"/>
    <col min="1551" max="1551" width="11.42578125" customWidth="1"/>
    <col min="1793" max="1793" width="23.85546875" customWidth="1"/>
    <col min="1795" max="1795" width="9.28515625" bestFit="1" customWidth="1"/>
    <col min="1796" max="1797" width="12.140625" bestFit="1" customWidth="1"/>
    <col min="1798" max="1799" width="11.140625" bestFit="1" customWidth="1"/>
    <col min="1800" max="1803" width="12.140625" bestFit="1" customWidth="1"/>
    <col min="1804" max="1804" width="7.7109375" customWidth="1"/>
    <col min="1805" max="1805" width="12.5703125" customWidth="1"/>
    <col min="1806" max="1806" width="12.42578125" customWidth="1"/>
    <col min="1807" max="1807" width="11.42578125" customWidth="1"/>
    <col min="2049" max="2049" width="23.85546875" customWidth="1"/>
    <col min="2051" max="2051" width="9.28515625" bestFit="1" customWidth="1"/>
    <col min="2052" max="2053" width="12.140625" bestFit="1" customWidth="1"/>
    <col min="2054" max="2055" width="11.140625" bestFit="1" customWidth="1"/>
    <col min="2056" max="2059" width="12.140625" bestFit="1" customWidth="1"/>
    <col min="2060" max="2060" width="7.7109375" customWidth="1"/>
    <col min="2061" max="2061" width="12.5703125" customWidth="1"/>
    <col min="2062" max="2062" width="12.42578125" customWidth="1"/>
    <col min="2063" max="2063" width="11.42578125" customWidth="1"/>
    <col min="2305" max="2305" width="23.85546875" customWidth="1"/>
    <col min="2307" max="2307" width="9.28515625" bestFit="1" customWidth="1"/>
    <col min="2308" max="2309" width="12.140625" bestFit="1" customWidth="1"/>
    <col min="2310" max="2311" width="11.140625" bestFit="1" customWidth="1"/>
    <col min="2312" max="2315" width="12.140625" bestFit="1" customWidth="1"/>
    <col min="2316" max="2316" width="7.7109375" customWidth="1"/>
    <col min="2317" max="2317" width="12.5703125" customWidth="1"/>
    <col min="2318" max="2318" width="12.42578125" customWidth="1"/>
    <col min="2319" max="2319" width="11.42578125" customWidth="1"/>
    <col min="2561" max="2561" width="23.85546875" customWidth="1"/>
    <col min="2563" max="2563" width="9.28515625" bestFit="1" customWidth="1"/>
    <col min="2564" max="2565" width="12.140625" bestFit="1" customWidth="1"/>
    <col min="2566" max="2567" width="11.140625" bestFit="1" customWidth="1"/>
    <col min="2568" max="2571" width="12.140625" bestFit="1" customWidth="1"/>
    <col min="2572" max="2572" width="7.7109375" customWidth="1"/>
    <col min="2573" max="2573" width="12.5703125" customWidth="1"/>
    <col min="2574" max="2574" width="12.42578125" customWidth="1"/>
    <col min="2575" max="2575" width="11.42578125" customWidth="1"/>
    <col min="2817" max="2817" width="23.85546875" customWidth="1"/>
    <col min="2819" max="2819" width="9.28515625" bestFit="1" customWidth="1"/>
    <col min="2820" max="2821" width="12.140625" bestFit="1" customWidth="1"/>
    <col min="2822" max="2823" width="11.140625" bestFit="1" customWidth="1"/>
    <col min="2824" max="2827" width="12.140625" bestFit="1" customWidth="1"/>
    <col min="2828" max="2828" width="7.7109375" customWidth="1"/>
    <col min="2829" max="2829" width="12.5703125" customWidth="1"/>
    <col min="2830" max="2830" width="12.42578125" customWidth="1"/>
    <col min="2831" max="2831" width="11.42578125" customWidth="1"/>
    <col min="3073" max="3073" width="23.85546875" customWidth="1"/>
    <col min="3075" max="3075" width="9.28515625" bestFit="1" customWidth="1"/>
    <col min="3076" max="3077" width="12.140625" bestFit="1" customWidth="1"/>
    <col min="3078" max="3079" width="11.140625" bestFit="1" customWidth="1"/>
    <col min="3080" max="3083" width="12.140625" bestFit="1" customWidth="1"/>
    <col min="3084" max="3084" width="7.7109375" customWidth="1"/>
    <col min="3085" max="3085" width="12.5703125" customWidth="1"/>
    <col min="3086" max="3086" width="12.42578125" customWidth="1"/>
    <col min="3087" max="3087" width="11.42578125" customWidth="1"/>
    <col min="3329" max="3329" width="23.85546875" customWidth="1"/>
    <col min="3331" max="3331" width="9.28515625" bestFit="1" customWidth="1"/>
    <col min="3332" max="3333" width="12.140625" bestFit="1" customWidth="1"/>
    <col min="3334" max="3335" width="11.140625" bestFit="1" customWidth="1"/>
    <col min="3336" max="3339" width="12.140625" bestFit="1" customWidth="1"/>
    <col min="3340" max="3340" width="7.7109375" customWidth="1"/>
    <col min="3341" max="3341" width="12.5703125" customWidth="1"/>
    <col min="3342" max="3342" width="12.42578125" customWidth="1"/>
    <col min="3343" max="3343" width="11.42578125" customWidth="1"/>
    <col min="3585" max="3585" width="23.85546875" customWidth="1"/>
    <col min="3587" max="3587" width="9.28515625" bestFit="1" customWidth="1"/>
    <col min="3588" max="3589" width="12.140625" bestFit="1" customWidth="1"/>
    <col min="3590" max="3591" width="11.140625" bestFit="1" customWidth="1"/>
    <col min="3592" max="3595" width="12.140625" bestFit="1" customWidth="1"/>
    <col min="3596" max="3596" width="7.7109375" customWidth="1"/>
    <col min="3597" max="3597" width="12.5703125" customWidth="1"/>
    <col min="3598" max="3598" width="12.42578125" customWidth="1"/>
    <col min="3599" max="3599" width="11.42578125" customWidth="1"/>
    <col min="3841" max="3841" width="23.85546875" customWidth="1"/>
    <col min="3843" max="3843" width="9.28515625" bestFit="1" customWidth="1"/>
    <col min="3844" max="3845" width="12.140625" bestFit="1" customWidth="1"/>
    <col min="3846" max="3847" width="11.140625" bestFit="1" customWidth="1"/>
    <col min="3848" max="3851" width="12.140625" bestFit="1" customWidth="1"/>
    <col min="3852" max="3852" width="7.7109375" customWidth="1"/>
    <col min="3853" max="3853" width="12.5703125" customWidth="1"/>
    <col min="3854" max="3854" width="12.42578125" customWidth="1"/>
    <col min="3855" max="3855" width="11.42578125" customWidth="1"/>
    <col min="4097" max="4097" width="23.85546875" customWidth="1"/>
    <col min="4099" max="4099" width="9.28515625" bestFit="1" customWidth="1"/>
    <col min="4100" max="4101" width="12.140625" bestFit="1" customWidth="1"/>
    <col min="4102" max="4103" width="11.140625" bestFit="1" customWidth="1"/>
    <col min="4104" max="4107" width="12.140625" bestFit="1" customWidth="1"/>
    <col min="4108" max="4108" width="7.7109375" customWidth="1"/>
    <col min="4109" max="4109" width="12.5703125" customWidth="1"/>
    <col min="4110" max="4110" width="12.42578125" customWidth="1"/>
    <col min="4111" max="4111" width="11.42578125" customWidth="1"/>
    <col min="4353" max="4353" width="23.85546875" customWidth="1"/>
    <col min="4355" max="4355" width="9.28515625" bestFit="1" customWidth="1"/>
    <col min="4356" max="4357" width="12.140625" bestFit="1" customWidth="1"/>
    <col min="4358" max="4359" width="11.140625" bestFit="1" customWidth="1"/>
    <col min="4360" max="4363" width="12.140625" bestFit="1" customWidth="1"/>
    <col min="4364" max="4364" width="7.7109375" customWidth="1"/>
    <col min="4365" max="4365" width="12.5703125" customWidth="1"/>
    <col min="4366" max="4366" width="12.42578125" customWidth="1"/>
    <col min="4367" max="4367" width="11.42578125" customWidth="1"/>
    <col min="4609" max="4609" width="23.85546875" customWidth="1"/>
    <col min="4611" max="4611" width="9.28515625" bestFit="1" customWidth="1"/>
    <col min="4612" max="4613" width="12.140625" bestFit="1" customWidth="1"/>
    <col min="4614" max="4615" width="11.140625" bestFit="1" customWidth="1"/>
    <col min="4616" max="4619" width="12.140625" bestFit="1" customWidth="1"/>
    <col min="4620" max="4620" width="7.7109375" customWidth="1"/>
    <col min="4621" max="4621" width="12.5703125" customWidth="1"/>
    <col min="4622" max="4622" width="12.42578125" customWidth="1"/>
    <col min="4623" max="4623" width="11.42578125" customWidth="1"/>
    <col min="4865" max="4865" width="23.85546875" customWidth="1"/>
    <col min="4867" max="4867" width="9.28515625" bestFit="1" customWidth="1"/>
    <col min="4868" max="4869" width="12.140625" bestFit="1" customWidth="1"/>
    <col min="4870" max="4871" width="11.140625" bestFit="1" customWidth="1"/>
    <col min="4872" max="4875" width="12.140625" bestFit="1" customWidth="1"/>
    <col min="4876" max="4876" width="7.7109375" customWidth="1"/>
    <col min="4877" max="4877" width="12.5703125" customWidth="1"/>
    <col min="4878" max="4878" width="12.42578125" customWidth="1"/>
    <col min="4879" max="4879" width="11.42578125" customWidth="1"/>
    <col min="5121" max="5121" width="23.85546875" customWidth="1"/>
    <col min="5123" max="5123" width="9.28515625" bestFit="1" customWidth="1"/>
    <col min="5124" max="5125" width="12.140625" bestFit="1" customWidth="1"/>
    <col min="5126" max="5127" width="11.140625" bestFit="1" customWidth="1"/>
    <col min="5128" max="5131" width="12.140625" bestFit="1" customWidth="1"/>
    <col min="5132" max="5132" width="7.7109375" customWidth="1"/>
    <col min="5133" max="5133" width="12.5703125" customWidth="1"/>
    <col min="5134" max="5134" width="12.42578125" customWidth="1"/>
    <col min="5135" max="5135" width="11.42578125" customWidth="1"/>
    <col min="5377" max="5377" width="23.85546875" customWidth="1"/>
    <col min="5379" max="5379" width="9.28515625" bestFit="1" customWidth="1"/>
    <col min="5380" max="5381" width="12.140625" bestFit="1" customWidth="1"/>
    <col min="5382" max="5383" width="11.140625" bestFit="1" customWidth="1"/>
    <col min="5384" max="5387" width="12.140625" bestFit="1" customWidth="1"/>
    <col min="5388" max="5388" width="7.7109375" customWidth="1"/>
    <col min="5389" max="5389" width="12.5703125" customWidth="1"/>
    <col min="5390" max="5390" width="12.42578125" customWidth="1"/>
    <col min="5391" max="5391" width="11.42578125" customWidth="1"/>
    <col min="5633" max="5633" width="23.85546875" customWidth="1"/>
    <col min="5635" max="5635" width="9.28515625" bestFit="1" customWidth="1"/>
    <col min="5636" max="5637" width="12.140625" bestFit="1" customWidth="1"/>
    <col min="5638" max="5639" width="11.140625" bestFit="1" customWidth="1"/>
    <col min="5640" max="5643" width="12.140625" bestFit="1" customWidth="1"/>
    <col min="5644" max="5644" width="7.7109375" customWidth="1"/>
    <col min="5645" max="5645" width="12.5703125" customWidth="1"/>
    <col min="5646" max="5646" width="12.42578125" customWidth="1"/>
    <col min="5647" max="5647" width="11.42578125" customWidth="1"/>
    <col min="5889" max="5889" width="23.85546875" customWidth="1"/>
    <col min="5891" max="5891" width="9.28515625" bestFit="1" customWidth="1"/>
    <col min="5892" max="5893" width="12.140625" bestFit="1" customWidth="1"/>
    <col min="5894" max="5895" width="11.140625" bestFit="1" customWidth="1"/>
    <col min="5896" max="5899" width="12.140625" bestFit="1" customWidth="1"/>
    <col min="5900" max="5900" width="7.7109375" customWidth="1"/>
    <col min="5901" max="5901" width="12.5703125" customWidth="1"/>
    <col min="5902" max="5902" width="12.42578125" customWidth="1"/>
    <col min="5903" max="5903" width="11.42578125" customWidth="1"/>
    <col min="6145" max="6145" width="23.85546875" customWidth="1"/>
    <col min="6147" max="6147" width="9.28515625" bestFit="1" customWidth="1"/>
    <col min="6148" max="6149" width="12.140625" bestFit="1" customWidth="1"/>
    <col min="6150" max="6151" width="11.140625" bestFit="1" customWidth="1"/>
    <col min="6152" max="6155" width="12.140625" bestFit="1" customWidth="1"/>
    <col min="6156" max="6156" width="7.7109375" customWidth="1"/>
    <col min="6157" max="6157" width="12.5703125" customWidth="1"/>
    <col min="6158" max="6158" width="12.42578125" customWidth="1"/>
    <col min="6159" max="6159" width="11.42578125" customWidth="1"/>
    <col min="6401" max="6401" width="23.85546875" customWidth="1"/>
    <col min="6403" max="6403" width="9.28515625" bestFit="1" customWidth="1"/>
    <col min="6404" max="6405" width="12.140625" bestFit="1" customWidth="1"/>
    <col min="6406" max="6407" width="11.140625" bestFit="1" customWidth="1"/>
    <col min="6408" max="6411" width="12.140625" bestFit="1" customWidth="1"/>
    <col min="6412" max="6412" width="7.7109375" customWidth="1"/>
    <col min="6413" max="6413" width="12.5703125" customWidth="1"/>
    <col min="6414" max="6414" width="12.42578125" customWidth="1"/>
    <col min="6415" max="6415" width="11.42578125" customWidth="1"/>
    <col min="6657" max="6657" width="23.85546875" customWidth="1"/>
    <col min="6659" max="6659" width="9.28515625" bestFit="1" customWidth="1"/>
    <col min="6660" max="6661" width="12.140625" bestFit="1" customWidth="1"/>
    <col min="6662" max="6663" width="11.140625" bestFit="1" customWidth="1"/>
    <col min="6664" max="6667" width="12.140625" bestFit="1" customWidth="1"/>
    <col min="6668" max="6668" width="7.7109375" customWidth="1"/>
    <col min="6669" max="6669" width="12.5703125" customWidth="1"/>
    <col min="6670" max="6670" width="12.42578125" customWidth="1"/>
    <col min="6671" max="6671" width="11.42578125" customWidth="1"/>
    <col min="6913" max="6913" width="23.85546875" customWidth="1"/>
    <col min="6915" max="6915" width="9.28515625" bestFit="1" customWidth="1"/>
    <col min="6916" max="6917" width="12.140625" bestFit="1" customWidth="1"/>
    <col min="6918" max="6919" width="11.140625" bestFit="1" customWidth="1"/>
    <col min="6920" max="6923" width="12.140625" bestFit="1" customWidth="1"/>
    <col min="6924" max="6924" width="7.7109375" customWidth="1"/>
    <col min="6925" max="6925" width="12.5703125" customWidth="1"/>
    <col min="6926" max="6926" width="12.42578125" customWidth="1"/>
    <col min="6927" max="6927" width="11.42578125" customWidth="1"/>
    <col min="7169" max="7169" width="23.85546875" customWidth="1"/>
    <col min="7171" max="7171" width="9.28515625" bestFit="1" customWidth="1"/>
    <col min="7172" max="7173" width="12.140625" bestFit="1" customWidth="1"/>
    <col min="7174" max="7175" width="11.140625" bestFit="1" customWidth="1"/>
    <col min="7176" max="7179" width="12.140625" bestFit="1" customWidth="1"/>
    <col min="7180" max="7180" width="7.7109375" customWidth="1"/>
    <col min="7181" max="7181" width="12.5703125" customWidth="1"/>
    <col min="7182" max="7182" width="12.42578125" customWidth="1"/>
    <col min="7183" max="7183" width="11.42578125" customWidth="1"/>
    <col min="7425" max="7425" width="23.85546875" customWidth="1"/>
    <col min="7427" max="7427" width="9.28515625" bestFit="1" customWidth="1"/>
    <col min="7428" max="7429" width="12.140625" bestFit="1" customWidth="1"/>
    <col min="7430" max="7431" width="11.140625" bestFit="1" customWidth="1"/>
    <col min="7432" max="7435" width="12.140625" bestFit="1" customWidth="1"/>
    <col min="7436" max="7436" width="7.7109375" customWidth="1"/>
    <col min="7437" max="7437" width="12.5703125" customWidth="1"/>
    <col min="7438" max="7438" width="12.42578125" customWidth="1"/>
    <col min="7439" max="7439" width="11.42578125" customWidth="1"/>
    <col min="7681" max="7681" width="23.85546875" customWidth="1"/>
    <col min="7683" max="7683" width="9.28515625" bestFit="1" customWidth="1"/>
    <col min="7684" max="7685" width="12.140625" bestFit="1" customWidth="1"/>
    <col min="7686" max="7687" width="11.140625" bestFit="1" customWidth="1"/>
    <col min="7688" max="7691" width="12.140625" bestFit="1" customWidth="1"/>
    <col min="7692" max="7692" width="7.7109375" customWidth="1"/>
    <col min="7693" max="7693" width="12.5703125" customWidth="1"/>
    <col min="7694" max="7694" width="12.42578125" customWidth="1"/>
    <col min="7695" max="7695" width="11.42578125" customWidth="1"/>
    <col min="7937" max="7937" width="23.85546875" customWidth="1"/>
    <col min="7939" max="7939" width="9.28515625" bestFit="1" customWidth="1"/>
    <col min="7940" max="7941" width="12.140625" bestFit="1" customWidth="1"/>
    <col min="7942" max="7943" width="11.140625" bestFit="1" customWidth="1"/>
    <col min="7944" max="7947" width="12.140625" bestFit="1" customWidth="1"/>
    <col min="7948" max="7948" width="7.7109375" customWidth="1"/>
    <col min="7949" max="7949" width="12.5703125" customWidth="1"/>
    <col min="7950" max="7950" width="12.42578125" customWidth="1"/>
    <col min="7951" max="7951" width="11.42578125" customWidth="1"/>
    <col min="8193" max="8193" width="23.85546875" customWidth="1"/>
    <col min="8195" max="8195" width="9.28515625" bestFit="1" customWidth="1"/>
    <col min="8196" max="8197" width="12.140625" bestFit="1" customWidth="1"/>
    <col min="8198" max="8199" width="11.140625" bestFit="1" customWidth="1"/>
    <col min="8200" max="8203" width="12.140625" bestFit="1" customWidth="1"/>
    <col min="8204" max="8204" width="7.7109375" customWidth="1"/>
    <col min="8205" max="8205" width="12.5703125" customWidth="1"/>
    <col min="8206" max="8206" width="12.42578125" customWidth="1"/>
    <col min="8207" max="8207" width="11.42578125" customWidth="1"/>
    <col min="8449" max="8449" width="23.85546875" customWidth="1"/>
    <col min="8451" max="8451" width="9.28515625" bestFit="1" customWidth="1"/>
    <col min="8452" max="8453" width="12.140625" bestFit="1" customWidth="1"/>
    <col min="8454" max="8455" width="11.140625" bestFit="1" customWidth="1"/>
    <col min="8456" max="8459" width="12.140625" bestFit="1" customWidth="1"/>
    <col min="8460" max="8460" width="7.7109375" customWidth="1"/>
    <col min="8461" max="8461" width="12.5703125" customWidth="1"/>
    <col min="8462" max="8462" width="12.42578125" customWidth="1"/>
    <col min="8463" max="8463" width="11.42578125" customWidth="1"/>
    <col min="8705" max="8705" width="23.85546875" customWidth="1"/>
    <col min="8707" max="8707" width="9.28515625" bestFit="1" customWidth="1"/>
    <col min="8708" max="8709" width="12.140625" bestFit="1" customWidth="1"/>
    <col min="8710" max="8711" width="11.140625" bestFit="1" customWidth="1"/>
    <col min="8712" max="8715" width="12.140625" bestFit="1" customWidth="1"/>
    <col min="8716" max="8716" width="7.7109375" customWidth="1"/>
    <col min="8717" max="8717" width="12.5703125" customWidth="1"/>
    <col min="8718" max="8718" width="12.42578125" customWidth="1"/>
    <col min="8719" max="8719" width="11.42578125" customWidth="1"/>
    <col min="8961" max="8961" width="23.85546875" customWidth="1"/>
    <col min="8963" max="8963" width="9.28515625" bestFit="1" customWidth="1"/>
    <col min="8964" max="8965" width="12.140625" bestFit="1" customWidth="1"/>
    <col min="8966" max="8967" width="11.140625" bestFit="1" customWidth="1"/>
    <col min="8968" max="8971" width="12.140625" bestFit="1" customWidth="1"/>
    <col min="8972" max="8972" width="7.7109375" customWidth="1"/>
    <col min="8973" max="8973" width="12.5703125" customWidth="1"/>
    <col min="8974" max="8974" width="12.42578125" customWidth="1"/>
    <col min="8975" max="8975" width="11.42578125" customWidth="1"/>
    <col min="9217" max="9217" width="23.85546875" customWidth="1"/>
    <col min="9219" max="9219" width="9.28515625" bestFit="1" customWidth="1"/>
    <col min="9220" max="9221" width="12.140625" bestFit="1" customWidth="1"/>
    <col min="9222" max="9223" width="11.140625" bestFit="1" customWidth="1"/>
    <col min="9224" max="9227" width="12.140625" bestFit="1" customWidth="1"/>
    <col min="9228" max="9228" width="7.7109375" customWidth="1"/>
    <col min="9229" max="9229" width="12.5703125" customWidth="1"/>
    <col min="9230" max="9230" width="12.42578125" customWidth="1"/>
    <col min="9231" max="9231" width="11.42578125" customWidth="1"/>
    <col min="9473" max="9473" width="23.85546875" customWidth="1"/>
    <col min="9475" max="9475" width="9.28515625" bestFit="1" customWidth="1"/>
    <col min="9476" max="9477" width="12.140625" bestFit="1" customWidth="1"/>
    <col min="9478" max="9479" width="11.140625" bestFit="1" customWidth="1"/>
    <col min="9480" max="9483" width="12.140625" bestFit="1" customWidth="1"/>
    <col min="9484" max="9484" width="7.7109375" customWidth="1"/>
    <col min="9485" max="9485" width="12.5703125" customWidth="1"/>
    <col min="9486" max="9486" width="12.42578125" customWidth="1"/>
    <col min="9487" max="9487" width="11.42578125" customWidth="1"/>
    <col min="9729" max="9729" width="23.85546875" customWidth="1"/>
    <col min="9731" max="9731" width="9.28515625" bestFit="1" customWidth="1"/>
    <col min="9732" max="9733" width="12.140625" bestFit="1" customWidth="1"/>
    <col min="9734" max="9735" width="11.140625" bestFit="1" customWidth="1"/>
    <col min="9736" max="9739" width="12.140625" bestFit="1" customWidth="1"/>
    <col min="9740" max="9740" width="7.7109375" customWidth="1"/>
    <col min="9741" max="9741" width="12.5703125" customWidth="1"/>
    <col min="9742" max="9742" width="12.42578125" customWidth="1"/>
    <col min="9743" max="9743" width="11.42578125" customWidth="1"/>
    <col min="9985" max="9985" width="23.85546875" customWidth="1"/>
    <col min="9987" max="9987" width="9.28515625" bestFit="1" customWidth="1"/>
    <col min="9988" max="9989" width="12.140625" bestFit="1" customWidth="1"/>
    <col min="9990" max="9991" width="11.140625" bestFit="1" customWidth="1"/>
    <col min="9992" max="9995" width="12.140625" bestFit="1" customWidth="1"/>
    <col min="9996" max="9996" width="7.7109375" customWidth="1"/>
    <col min="9997" max="9997" width="12.5703125" customWidth="1"/>
    <col min="9998" max="9998" width="12.42578125" customWidth="1"/>
    <col min="9999" max="9999" width="11.42578125" customWidth="1"/>
    <col min="10241" max="10241" width="23.85546875" customWidth="1"/>
    <col min="10243" max="10243" width="9.28515625" bestFit="1" customWidth="1"/>
    <col min="10244" max="10245" width="12.140625" bestFit="1" customWidth="1"/>
    <col min="10246" max="10247" width="11.140625" bestFit="1" customWidth="1"/>
    <col min="10248" max="10251" width="12.140625" bestFit="1" customWidth="1"/>
    <col min="10252" max="10252" width="7.7109375" customWidth="1"/>
    <col min="10253" max="10253" width="12.5703125" customWidth="1"/>
    <col min="10254" max="10254" width="12.42578125" customWidth="1"/>
    <col min="10255" max="10255" width="11.42578125" customWidth="1"/>
    <col min="10497" max="10497" width="23.85546875" customWidth="1"/>
    <col min="10499" max="10499" width="9.28515625" bestFit="1" customWidth="1"/>
    <col min="10500" max="10501" width="12.140625" bestFit="1" customWidth="1"/>
    <col min="10502" max="10503" width="11.140625" bestFit="1" customWidth="1"/>
    <col min="10504" max="10507" width="12.140625" bestFit="1" customWidth="1"/>
    <col min="10508" max="10508" width="7.7109375" customWidth="1"/>
    <col min="10509" max="10509" width="12.5703125" customWidth="1"/>
    <col min="10510" max="10510" width="12.42578125" customWidth="1"/>
    <col min="10511" max="10511" width="11.42578125" customWidth="1"/>
    <col min="10753" max="10753" width="23.85546875" customWidth="1"/>
    <col min="10755" max="10755" width="9.28515625" bestFit="1" customWidth="1"/>
    <col min="10756" max="10757" width="12.140625" bestFit="1" customWidth="1"/>
    <col min="10758" max="10759" width="11.140625" bestFit="1" customWidth="1"/>
    <col min="10760" max="10763" width="12.140625" bestFit="1" customWidth="1"/>
    <col min="10764" max="10764" width="7.7109375" customWidth="1"/>
    <col min="10765" max="10765" width="12.5703125" customWidth="1"/>
    <col min="10766" max="10766" width="12.42578125" customWidth="1"/>
    <col min="10767" max="10767" width="11.42578125" customWidth="1"/>
    <col min="11009" max="11009" width="23.85546875" customWidth="1"/>
    <col min="11011" max="11011" width="9.28515625" bestFit="1" customWidth="1"/>
    <col min="11012" max="11013" width="12.140625" bestFit="1" customWidth="1"/>
    <col min="11014" max="11015" width="11.140625" bestFit="1" customWidth="1"/>
    <col min="11016" max="11019" width="12.140625" bestFit="1" customWidth="1"/>
    <col min="11020" max="11020" width="7.7109375" customWidth="1"/>
    <col min="11021" max="11021" width="12.5703125" customWidth="1"/>
    <col min="11022" max="11022" width="12.42578125" customWidth="1"/>
    <col min="11023" max="11023" width="11.42578125" customWidth="1"/>
    <col min="11265" max="11265" width="23.85546875" customWidth="1"/>
    <col min="11267" max="11267" width="9.28515625" bestFit="1" customWidth="1"/>
    <col min="11268" max="11269" width="12.140625" bestFit="1" customWidth="1"/>
    <col min="11270" max="11271" width="11.140625" bestFit="1" customWidth="1"/>
    <col min="11272" max="11275" width="12.140625" bestFit="1" customWidth="1"/>
    <col min="11276" max="11276" width="7.7109375" customWidth="1"/>
    <col min="11277" max="11277" width="12.5703125" customWidth="1"/>
    <col min="11278" max="11278" width="12.42578125" customWidth="1"/>
    <col min="11279" max="11279" width="11.42578125" customWidth="1"/>
    <col min="11521" max="11521" width="23.85546875" customWidth="1"/>
    <col min="11523" max="11523" width="9.28515625" bestFit="1" customWidth="1"/>
    <col min="11524" max="11525" width="12.140625" bestFit="1" customWidth="1"/>
    <col min="11526" max="11527" width="11.140625" bestFit="1" customWidth="1"/>
    <col min="11528" max="11531" width="12.140625" bestFit="1" customWidth="1"/>
    <col min="11532" max="11532" width="7.7109375" customWidth="1"/>
    <col min="11533" max="11533" width="12.5703125" customWidth="1"/>
    <col min="11534" max="11534" width="12.42578125" customWidth="1"/>
    <col min="11535" max="11535" width="11.42578125" customWidth="1"/>
    <col min="11777" max="11777" width="23.85546875" customWidth="1"/>
    <col min="11779" max="11779" width="9.28515625" bestFit="1" customWidth="1"/>
    <col min="11780" max="11781" width="12.140625" bestFit="1" customWidth="1"/>
    <col min="11782" max="11783" width="11.140625" bestFit="1" customWidth="1"/>
    <col min="11784" max="11787" width="12.140625" bestFit="1" customWidth="1"/>
    <col min="11788" max="11788" width="7.7109375" customWidth="1"/>
    <col min="11789" max="11789" width="12.5703125" customWidth="1"/>
    <col min="11790" max="11790" width="12.42578125" customWidth="1"/>
    <col min="11791" max="11791" width="11.42578125" customWidth="1"/>
    <col min="12033" max="12033" width="23.85546875" customWidth="1"/>
    <col min="12035" max="12035" width="9.28515625" bestFit="1" customWidth="1"/>
    <col min="12036" max="12037" width="12.140625" bestFit="1" customWidth="1"/>
    <col min="12038" max="12039" width="11.140625" bestFit="1" customWidth="1"/>
    <col min="12040" max="12043" width="12.140625" bestFit="1" customWidth="1"/>
    <col min="12044" max="12044" width="7.7109375" customWidth="1"/>
    <col min="12045" max="12045" width="12.5703125" customWidth="1"/>
    <col min="12046" max="12046" width="12.42578125" customWidth="1"/>
    <col min="12047" max="12047" width="11.42578125" customWidth="1"/>
    <col min="12289" max="12289" width="23.85546875" customWidth="1"/>
    <col min="12291" max="12291" width="9.28515625" bestFit="1" customWidth="1"/>
    <col min="12292" max="12293" width="12.140625" bestFit="1" customWidth="1"/>
    <col min="12294" max="12295" width="11.140625" bestFit="1" customWidth="1"/>
    <col min="12296" max="12299" width="12.140625" bestFit="1" customWidth="1"/>
    <col min="12300" max="12300" width="7.7109375" customWidth="1"/>
    <col min="12301" max="12301" width="12.5703125" customWidth="1"/>
    <col min="12302" max="12302" width="12.42578125" customWidth="1"/>
    <col min="12303" max="12303" width="11.42578125" customWidth="1"/>
    <col min="12545" max="12545" width="23.85546875" customWidth="1"/>
    <col min="12547" max="12547" width="9.28515625" bestFit="1" customWidth="1"/>
    <col min="12548" max="12549" width="12.140625" bestFit="1" customWidth="1"/>
    <col min="12550" max="12551" width="11.140625" bestFit="1" customWidth="1"/>
    <col min="12552" max="12555" width="12.140625" bestFit="1" customWidth="1"/>
    <col min="12556" max="12556" width="7.7109375" customWidth="1"/>
    <col min="12557" max="12557" width="12.5703125" customWidth="1"/>
    <col min="12558" max="12558" width="12.42578125" customWidth="1"/>
    <col min="12559" max="12559" width="11.42578125" customWidth="1"/>
    <col min="12801" max="12801" width="23.85546875" customWidth="1"/>
    <col min="12803" max="12803" width="9.28515625" bestFit="1" customWidth="1"/>
    <col min="12804" max="12805" width="12.140625" bestFit="1" customWidth="1"/>
    <col min="12806" max="12807" width="11.140625" bestFit="1" customWidth="1"/>
    <col min="12808" max="12811" width="12.140625" bestFit="1" customWidth="1"/>
    <col min="12812" max="12812" width="7.7109375" customWidth="1"/>
    <col min="12813" max="12813" width="12.5703125" customWidth="1"/>
    <col min="12814" max="12814" width="12.42578125" customWidth="1"/>
    <col min="12815" max="12815" width="11.42578125" customWidth="1"/>
    <col min="13057" max="13057" width="23.85546875" customWidth="1"/>
    <col min="13059" max="13059" width="9.28515625" bestFit="1" customWidth="1"/>
    <col min="13060" max="13061" width="12.140625" bestFit="1" customWidth="1"/>
    <col min="13062" max="13063" width="11.140625" bestFit="1" customWidth="1"/>
    <col min="13064" max="13067" width="12.140625" bestFit="1" customWidth="1"/>
    <col min="13068" max="13068" width="7.7109375" customWidth="1"/>
    <col min="13069" max="13069" width="12.5703125" customWidth="1"/>
    <col min="13070" max="13070" width="12.42578125" customWidth="1"/>
    <col min="13071" max="13071" width="11.42578125" customWidth="1"/>
    <col min="13313" max="13313" width="23.85546875" customWidth="1"/>
    <col min="13315" max="13315" width="9.28515625" bestFit="1" customWidth="1"/>
    <col min="13316" max="13317" width="12.140625" bestFit="1" customWidth="1"/>
    <col min="13318" max="13319" width="11.140625" bestFit="1" customWidth="1"/>
    <col min="13320" max="13323" width="12.140625" bestFit="1" customWidth="1"/>
    <col min="13324" max="13324" width="7.7109375" customWidth="1"/>
    <col min="13325" max="13325" width="12.5703125" customWidth="1"/>
    <col min="13326" max="13326" width="12.42578125" customWidth="1"/>
    <col min="13327" max="13327" width="11.42578125" customWidth="1"/>
    <col min="13569" max="13569" width="23.85546875" customWidth="1"/>
    <col min="13571" max="13571" width="9.28515625" bestFit="1" customWidth="1"/>
    <col min="13572" max="13573" width="12.140625" bestFit="1" customWidth="1"/>
    <col min="13574" max="13575" width="11.140625" bestFit="1" customWidth="1"/>
    <col min="13576" max="13579" width="12.140625" bestFit="1" customWidth="1"/>
    <col min="13580" max="13580" width="7.7109375" customWidth="1"/>
    <col min="13581" max="13581" width="12.5703125" customWidth="1"/>
    <col min="13582" max="13582" width="12.42578125" customWidth="1"/>
    <col min="13583" max="13583" width="11.42578125" customWidth="1"/>
    <col min="13825" max="13825" width="23.85546875" customWidth="1"/>
    <col min="13827" max="13827" width="9.28515625" bestFit="1" customWidth="1"/>
    <col min="13828" max="13829" width="12.140625" bestFit="1" customWidth="1"/>
    <col min="13830" max="13831" width="11.140625" bestFit="1" customWidth="1"/>
    <col min="13832" max="13835" width="12.140625" bestFit="1" customWidth="1"/>
    <col min="13836" max="13836" width="7.7109375" customWidth="1"/>
    <col min="13837" max="13837" width="12.5703125" customWidth="1"/>
    <col min="13838" max="13838" width="12.42578125" customWidth="1"/>
    <col min="13839" max="13839" width="11.42578125" customWidth="1"/>
    <col min="14081" max="14081" width="23.85546875" customWidth="1"/>
    <col min="14083" max="14083" width="9.28515625" bestFit="1" customWidth="1"/>
    <col min="14084" max="14085" width="12.140625" bestFit="1" customWidth="1"/>
    <col min="14086" max="14087" width="11.140625" bestFit="1" customWidth="1"/>
    <col min="14088" max="14091" width="12.140625" bestFit="1" customWidth="1"/>
    <col min="14092" max="14092" width="7.7109375" customWidth="1"/>
    <col min="14093" max="14093" width="12.5703125" customWidth="1"/>
    <col min="14094" max="14094" width="12.42578125" customWidth="1"/>
    <col min="14095" max="14095" width="11.42578125" customWidth="1"/>
    <col min="14337" max="14337" width="23.85546875" customWidth="1"/>
    <col min="14339" max="14339" width="9.28515625" bestFit="1" customWidth="1"/>
    <col min="14340" max="14341" width="12.140625" bestFit="1" customWidth="1"/>
    <col min="14342" max="14343" width="11.140625" bestFit="1" customWidth="1"/>
    <col min="14344" max="14347" width="12.140625" bestFit="1" customWidth="1"/>
    <col min="14348" max="14348" width="7.7109375" customWidth="1"/>
    <col min="14349" max="14349" width="12.5703125" customWidth="1"/>
    <col min="14350" max="14350" width="12.42578125" customWidth="1"/>
    <col min="14351" max="14351" width="11.42578125" customWidth="1"/>
    <col min="14593" max="14593" width="23.85546875" customWidth="1"/>
    <col min="14595" max="14595" width="9.28515625" bestFit="1" customWidth="1"/>
    <col min="14596" max="14597" width="12.140625" bestFit="1" customWidth="1"/>
    <col min="14598" max="14599" width="11.140625" bestFit="1" customWidth="1"/>
    <col min="14600" max="14603" width="12.140625" bestFit="1" customWidth="1"/>
    <col min="14604" max="14604" width="7.7109375" customWidth="1"/>
    <col min="14605" max="14605" width="12.5703125" customWidth="1"/>
    <col min="14606" max="14606" width="12.42578125" customWidth="1"/>
    <col min="14607" max="14607" width="11.42578125" customWidth="1"/>
    <col min="14849" max="14849" width="23.85546875" customWidth="1"/>
    <col min="14851" max="14851" width="9.28515625" bestFit="1" customWidth="1"/>
    <col min="14852" max="14853" width="12.140625" bestFit="1" customWidth="1"/>
    <col min="14854" max="14855" width="11.140625" bestFit="1" customWidth="1"/>
    <col min="14856" max="14859" width="12.140625" bestFit="1" customWidth="1"/>
    <col min="14860" max="14860" width="7.7109375" customWidth="1"/>
    <col min="14861" max="14861" width="12.5703125" customWidth="1"/>
    <col min="14862" max="14862" width="12.42578125" customWidth="1"/>
    <col min="14863" max="14863" width="11.42578125" customWidth="1"/>
    <col min="15105" max="15105" width="23.85546875" customWidth="1"/>
    <col min="15107" max="15107" width="9.28515625" bestFit="1" customWidth="1"/>
    <col min="15108" max="15109" width="12.140625" bestFit="1" customWidth="1"/>
    <col min="15110" max="15111" width="11.140625" bestFit="1" customWidth="1"/>
    <col min="15112" max="15115" width="12.140625" bestFit="1" customWidth="1"/>
    <col min="15116" max="15116" width="7.7109375" customWidth="1"/>
    <col min="15117" max="15117" width="12.5703125" customWidth="1"/>
    <col min="15118" max="15118" width="12.42578125" customWidth="1"/>
    <col min="15119" max="15119" width="11.42578125" customWidth="1"/>
    <col min="15361" max="15361" width="23.85546875" customWidth="1"/>
    <col min="15363" max="15363" width="9.28515625" bestFit="1" customWidth="1"/>
    <col min="15364" max="15365" width="12.140625" bestFit="1" customWidth="1"/>
    <col min="15366" max="15367" width="11.140625" bestFit="1" customWidth="1"/>
    <col min="15368" max="15371" width="12.140625" bestFit="1" customWidth="1"/>
    <col min="15372" max="15372" width="7.7109375" customWidth="1"/>
    <col min="15373" max="15373" width="12.5703125" customWidth="1"/>
    <col min="15374" max="15374" width="12.42578125" customWidth="1"/>
    <col min="15375" max="15375" width="11.42578125" customWidth="1"/>
    <col min="15617" max="15617" width="23.85546875" customWidth="1"/>
    <col min="15619" max="15619" width="9.28515625" bestFit="1" customWidth="1"/>
    <col min="15620" max="15621" width="12.140625" bestFit="1" customWidth="1"/>
    <col min="15622" max="15623" width="11.140625" bestFit="1" customWidth="1"/>
    <col min="15624" max="15627" width="12.140625" bestFit="1" customWidth="1"/>
    <col min="15628" max="15628" width="7.7109375" customWidth="1"/>
    <col min="15629" max="15629" width="12.5703125" customWidth="1"/>
    <col min="15630" max="15630" width="12.42578125" customWidth="1"/>
    <col min="15631" max="15631" width="11.42578125" customWidth="1"/>
    <col min="15873" max="15873" width="23.85546875" customWidth="1"/>
    <col min="15875" max="15875" width="9.28515625" bestFit="1" customWidth="1"/>
    <col min="15876" max="15877" width="12.140625" bestFit="1" customWidth="1"/>
    <col min="15878" max="15879" width="11.140625" bestFit="1" customWidth="1"/>
    <col min="15880" max="15883" width="12.140625" bestFit="1" customWidth="1"/>
    <col min="15884" max="15884" width="7.7109375" customWidth="1"/>
    <col min="15885" max="15885" width="12.5703125" customWidth="1"/>
    <col min="15886" max="15886" width="12.42578125" customWidth="1"/>
    <col min="15887" max="15887" width="11.42578125" customWidth="1"/>
    <col min="16129" max="16129" width="23.85546875" customWidth="1"/>
    <col min="16131" max="16131" width="9.28515625" bestFit="1" customWidth="1"/>
    <col min="16132" max="16133" width="12.140625" bestFit="1" customWidth="1"/>
    <col min="16134" max="16135" width="11.140625" bestFit="1" customWidth="1"/>
    <col min="16136" max="16139" width="12.140625" bestFit="1" customWidth="1"/>
    <col min="16140" max="16140" width="7.7109375" customWidth="1"/>
    <col min="16141" max="16141" width="12.5703125" customWidth="1"/>
    <col min="16142" max="16142" width="12.42578125" customWidth="1"/>
    <col min="16143" max="16143" width="11.42578125" customWidth="1"/>
  </cols>
  <sheetData>
    <row r="1" spans="1:14" s="8" customFormat="1" ht="15.75">
      <c r="A1" s="954" t="s">
        <v>826</v>
      </c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</row>
    <row r="2" spans="1:14" s="8" customFormat="1" ht="15.75">
      <c r="A2" s="954" t="s">
        <v>827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</row>
    <row r="3" spans="1:14" s="8" customFormat="1">
      <c r="A3" s="808" t="s">
        <v>4176</v>
      </c>
      <c r="B3" s="808"/>
      <c r="C3" s="808"/>
    </row>
    <row r="4" spans="1:14" s="8" customFormat="1">
      <c r="A4" s="9" t="s">
        <v>828</v>
      </c>
      <c r="B4" s="950" t="s">
        <v>829</v>
      </c>
      <c r="C4" s="950"/>
      <c r="D4" s="950"/>
      <c r="E4" s="945" t="s">
        <v>830</v>
      </c>
      <c r="F4" s="945"/>
      <c r="G4" s="945">
        <v>902010101</v>
      </c>
      <c r="H4" s="945"/>
      <c r="I4" s="9" t="s">
        <v>5</v>
      </c>
      <c r="J4" s="9"/>
      <c r="K4" s="10">
        <v>662.21699999999998</v>
      </c>
      <c r="L4" s="9" t="s">
        <v>831</v>
      </c>
      <c r="M4" s="9"/>
      <c r="N4" s="9">
        <v>80</v>
      </c>
    </row>
    <row r="5" spans="1:14" s="8" customForma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</row>
    <row r="6" spans="1:14" s="8" customFormat="1">
      <c r="A6" s="9" t="s">
        <v>832</v>
      </c>
      <c r="B6" s="945" t="s">
        <v>833</v>
      </c>
      <c r="C6" s="945"/>
      <c r="D6" s="945"/>
      <c r="E6" s="945" t="s">
        <v>176</v>
      </c>
      <c r="F6" s="945"/>
      <c r="G6" s="945" t="s">
        <v>834</v>
      </c>
      <c r="H6" s="945"/>
      <c r="I6" s="945"/>
      <c r="J6" s="11"/>
      <c r="K6" s="11"/>
      <c r="L6" s="11"/>
      <c r="M6" s="11"/>
      <c r="N6" s="11"/>
    </row>
    <row r="7" spans="1:14" s="8" customFormat="1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8" customFormat="1" ht="12" customHeight="1">
      <c r="A8" s="9" t="s">
        <v>835</v>
      </c>
      <c r="B8" s="950" t="s">
        <v>836</v>
      </c>
      <c r="C8" s="950"/>
      <c r="D8" s="950"/>
      <c r="E8" s="951" t="s">
        <v>837</v>
      </c>
      <c r="F8" s="952"/>
      <c r="G8" s="952"/>
      <c r="H8" s="952"/>
      <c r="I8" s="952"/>
      <c r="J8" s="952"/>
      <c r="K8" s="953"/>
      <c r="L8" s="11"/>
      <c r="M8" s="11"/>
      <c r="N8" s="11"/>
    </row>
    <row r="9" spans="1:14" s="8" customFormat="1">
      <c r="A9" s="11"/>
      <c r="B9" s="11"/>
      <c r="C9" s="11"/>
      <c r="D9" s="11"/>
      <c r="E9" s="11"/>
      <c r="F9" s="11"/>
      <c r="G9" s="12"/>
      <c r="H9" s="12"/>
      <c r="I9" s="12"/>
      <c r="J9" s="12"/>
      <c r="K9" s="12"/>
      <c r="L9" s="11"/>
      <c r="M9" s="11"/>
      <c r="N9" s="11"/>
    </row>
    <row r="10" spans="1:14" s="8" customForma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8" customFormat="1">
      <c r="A11" s="9" t="s">
        <v>838</v>
      </c>
      <c r="B11" s="945" t="s">
        <v>839</v>
      </c>
      <c r="C11" s="945"/>
      <c r="D11" s="945"/>
      <c r="E11" s="945"/>
      <c r="F11" s="945"/>
      <c r="G11" s="945"/>
      <c r="H11" s="945"/>
      <c r="I11" s="945"/>
      <c r="J11" s="945"/>
      <c r="K11" s="945"/>
      <c r="L11" s="945"/>
      <c r="M11" s="945"/>
      <c r="N11" s="11"/>
    </row>
    <row r="12" spans="1:14" s="8" customFormat="1">
      <c r="A12" s="9" t="s">
        <v>840</v>
      </c>
      <c r="B12" s="945" t="s">
        <v>841</v>
      </c>
      <c r="C12" s="945"/>
      <c r="D12" s="945" t="s">
        <v>842</v>
      </c>
      <c r="E12" s="945"/>
      <c r="F12" s="945"/>
      <c r="G12" s="945" t="s">
        <v>843</v>
      </c>
      <c r="H12" s="945"/>
      <c r="I12" s="945"/>
      <c r="J12" s="945"/>
      <c r="K12" s="945"/>
      <c r="L12" s="945"/>
      <c r="M12" s="945"/>
      <c r="N12" s="11"/>
    </row>
    <row r="13" spans="1:14" s="8" customFormat="1">
      <c r="A13" s="9" t="s">
        <v>844</v>
      </c>
      <c r="B13" s="942" t="s">
        <v>845</v>
      </c>
      <c r="C13" s="943"/>
      <c r="D13" s="942" t="s">
        <v>846</v>
      </c>
      <c r="E13" s="943"/>
      <c r="F13" s="944"/>
      <c r="G13" s="945" t="s">
        <v>847</v>
      </c>
      <c r="H13" s="945"/>
      <c r="I13" s="945"/>
      <c r="J13" s="945" t="s">
        <v>848</v>
      </c>
      <c r="K13" s="945"/>
      <c r="L13" s="945"/>
      <c r="M13" s="945"/>
      <c r="N13" s="11"/>
    </row>
    <row r="14" spans="1:14" s="8" customFormat="1">
      <c r="A14" s="9"/>
      <c r="B14" s="942" t="s">
        <v>849</v>
      </c>
      <c r="C14" s="943"/>
      <c r="D14" s="526"/>
      <c r="E14" s="527"/>
      <c r="F14" s="528"/>
      <c r="G14" s="529"/>
      <c r="H14" s="529"/>
      <c r="I14" s="529"/>
      <c r="J14" s="529"/>
      <c r="K14" s="529"/>
      <c r="L14" s="529"/>
      <c r="M14" s="529"/>
      <c r="N14" s="11"/>
    </row>
    <row r="15" spans="1:14" s="8" customFormat="1">
      <c r="A15" s="9" t="s">
        <v>850</v>
      </c>
      <c r="B15" s="945" t="s">
        <v>851</v>
      </c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5"/>
      <c r="N15" s="11"/>
    </row>
    <row r="16" spans="1:14" s="8" customForma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</row>
    <row r="17" spans="1:15" s="8" customFormat="1">
      <c r="A17" s="9" t="s">
        <v>852</v>
      </c>
      <c r="B17" s="9">
        <v>3</v>
      </c>
      <c r="C17" s="9" t="s">
        <v>853</v>
      </c>
      <c r="D17" s="9"/>
      <c r="E17" s="529">
        <v>3</v>
      </c>
      <c r="F17" s="13"/>
      <c r="G17" s="9" t="s">
        <v>643</v>
      </c>
      <c r="H17" s="529">
        <v>11</v>
      </c>
      <c r="I17" s="9" t="s">
        <v>644</v>
      </c>
      <c r="J17" s="9">
        <v>1</v>
      </c>
      <c r="K17" s="9" t="s">
        <v>645</v>
      </c>
      <c r="L17" s="9">
        <v>12</v>
      </c>
      <c r="M17" s="11"/>
      <c r="N17" s="11"/>
    </row>
    <row r="18" spans="1:15" s="8" customForma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</row>
    <row r="19" spans="1:15" s="8" customForma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</row>
    <row r="20" spans="1:15" s="8" customFormat="1">
      <c r="A20" s="14" t="s">
        <v>854</v>
      </c>
      <c r="B20" s="9" t="s">
        <v>204</v>
      </c>
      <c r="C20" s="9">
        <v>163</v>
      </c>
      <c r="D20" s="9" t="s">
        <v>205</v>
      </c>
      <c r="E20" s="9"/>
      <c r="F20" s="15" t="s">
        <v>206</v>
      </c>
      <c r="G20" s="9"/>
      <c r="H20" s="9" t="s">
        <v>230</v>
      </c>
      <c r="I20" s="9">
        <v>163</v>
      </c>
      <c r="J20" s="9" t="s">
        <v>207</v>
      </c>
      <c r="K20" s="9">
        <v>20</v>
      </c>
      <c r="L20" s="9" t="s">
        <v>855</v>
      </c>
      <c r="M20" s="9"/>
      <c r="N20" s="9">
        <v>35</v>
      </c>
    </row>
    <row r="21" spans="1:15" s="8" customFormat="1">
      <c r="A21" s="14" t="s">
        <v>209</v>
      </c>
      <c r="B21" s="9" t="s">
        <v>210</v>
      </c>
      <c r="C21" s="9">
        <v>337</v>
      </c>
      <c r="D21" s="9" t="s">
        <v>211</v>
      </c>
      <c r="E21" s="9"/>
      <c r="F21" s="15" t="s">
        <v>212</v>
      </c>
      <c r="G21" s="9"/>
      <c r="H21" s="9" t="s">
        <v>411</v>
      </c>
      <c r="I21" s="9">
        <f>C21</f>
        <v>337</v>
      </c>
      <c r="J21" s="9"/>
      <c r="K21" s="9" t="s">
        <v>856</v>
      </c>
      <c r="L21" s="9">
        <v>31</v>
      </c>
      <c r="M21" s="9" t="s">
        <v>857</v>
      </c>
      <c r="N21" s="9">
        <v>0</v>
      </c>
    </row>
    <row r="22" spans="1:15" s="8" customFormat="1">
      <c r="A22" s="11"/>
      <c r="B22" s="9" t="s">
        <v>858</v>
      </c>
      <c r="C22" s="9">
        <v>371</v>
      </c>
      <c r="D22" s="9" t="s">
        <v>214</v>
      </c>
      <c r="E22" s="9"/>
      <c r="F22" s="9" t="s">
        <v>215</v>
      </c>
      <c r="G22" s="9"/>
      <c r="H22" s="9" t="s">
        <v>410</v>
      </c>
      <c r="I22" s="9">
        <f>C22</f>
        <v>371</v>
      </c>
      <c r="J22" s="9"/>
      <c r="K22" s="9" t="s">
        <v>859</v>
      </c>
      <c r="L22" s="9">
        <v>132</v>
      </c>
      <c r="M22" s="9" t="s">
        <v>860</v>
      </c>
      <c r="N22" s="9">
        <f>C20-(L21+L22+N21)</f>
        <v>0</v>
      </c>
    </row>
    <row r="23" spans="1:15" s="8" customForma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</row>
    <row r="24" spans="1:15" s="8" customFormat="1">
      <c r="A24" s="16" t="s">
        <v>216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</row>
    <row r="25" spans="1:15" s="8" customFormat="1" ht="30" customHeight="1">
      <c r="A25" s="946" t="s">
        <v>861</v>
      </c>
      <c r="B25" s="948" t="s">
        <v>862</v>
      </c>
      <c r="C25" s="948" t="s">
        <v>219</v>
      </c>
      <c r="D25" s="948" t="s">
        <v>863</v>
      </c>
      <c r="E25" s="948" t="s">
        <v>864</v>
      </c>
      <c r="F25" s="942" t="s">
        <v>865</v>
      </c>
      <c r="G25" s="943"/>
      <c r="H25" s="943"/>
      <c r="I25" s="943"/>
      <c r="J25" s="943"/>
      <c r="K25" s="943"/>
      <c r="L25" s="943"/>
      <c r="M25" s="943"/>
      <c r="N25" s="944"/>
    </row>
    <row r="26" spans="1:15" s="8" customFormat="1" ht="38.450000000000003" customHeight="1">
      <c r="A26" s="947"/>
      <c r="B26" s="949"/>
      <c r="C26" s="949"/>
      <c r="D26" s="949"/>
      <c r="E26" s="949"/>
      <c r="F26" s="17" t="s">
        <v>866</v>
      </c>
      <c r="G26" s="17" t="s">
        <v>867</v>
      </c>
      <c r="H26" s="17" t="s">
        <v>868</v>
      </c>
      <c r="I26" s="17" t="s">
        <v>869</v>
      </c>
      <c r="J26" s="17" t="s">
        <v>870</v>
      </c>
      <c r="K26" s="17" t="s">
        <v>871</v>
      </c>
      <c r="L26" s="17" t="s">
        <v>872</v>
      </c>
      <c r="M26" s="17" t="s">
        <v>230</v>
      </c>
      <c r="N26" s="17" t="s">
        <v>231</v>
      </c>
    </row>
    <row r="27" spans="1:15" s="8" customFormat="1">
      <c r="A27" s="9" t="s">
        <v>232</v>
      </c>
      <c r="B27" s="9">
        <v>8000</v>
      </c>
      <c r="C27" s="18" t="s">
        <v>873</v>
      </c>
      <c r="D27" s="19">
        <f>B27*K4/100000</f>
        <v>52.977359999999997</v>
      </c>
      <c r="E27" s="20">
        <f>5297736/100000</f>
        <v>52.977359999999997</v>
      </c>
      <c r="F27" s="20">
        <f>97677/100000</f>
        <v>0.97677000000000003</v>
      </c>
      <c r="G27" s="21">
        <f>854988/100000</f>
        <v>8.5498799999999999</v>
      </c>
      <c r="H27" s="22">
        <f>785694/100000</f>
        <v>7.8569399999999998</v>
      </c>
      <c r="I27" s="23">
        <f>2759033/100000</f>
        <v>27.590330000000002</v>
      </c>
      <c r="J27" s="23">
        <f>303535.5/100000</f>
        <v>3.035355</v>
      </c>
      <c r="K27" s="23">
        <f>472426.5/100000</f>
        <v>4.7242649999999999</v>
      </c>
      <c r="L27" s="20"/>
      <c r="M27" s="24">
        <f>SUM(F27:L27)</f>
        <v>52.733540000000005</v>
      </c>
      <c r="N27" s="20">
        <f>+M27/E27*100</f>
        <v>99.53976566593731</v>
      </c>
      <c r="O27" s="25"/>
    </row>
    <row r="28" spans="1:15" s="8" customFormat="1">
      <c r="A28" s="9" t="s">
        <v>874</v>
      </c>
      <c r="B28" s="9">
        <v>7000</v>
      </c>
      <c r="C28" s="18" t="s">
        <v>873</v>
      </c>
      <c r="D28" s="19">
        <f>B28*N4/100000</f>
        <v>5.6</v>
      </c>
      <c r="E28" s="20">
        <f>560000/100000</f>
        <v>5.6</v>
      </c>
      <c r="F28" s="20"/>
      <c r="G28" s="20"/>
      <c r="H28" s="20"/>
      <c r="I28" s="26">
        <f>81660/100000</f>
        <v>0.81659999999999999</v>
      </c>
      <c r="J28" s="23">
        <f>156840/100000</f>
        <v>1.5684</v>
      </c>
      <c r="K28" s="23">
        <f>158880/100000</f>
        <v>1.5888</v>
      </c>
      <c r="L28" s="20"/>
      <c r="M28" s="24">
        <f t="shared" ref="M28:M34" si="0">SUM(F28:L28)</f>
        <v>3.9737999999999998</v>
      </c>
      <c r="N28" s="20">
        <f t="shared" ref="N28:N34" si="1">+M28/E28*100</f>
        <v>70.960714285714289</v>
      </c>
      <c r="O28" s="25"/>
    </row>
    <row r="29" spans="1:15" s="8" customFormat="1">
      <c r="A29" s="9" t="s">
        <v>235</v>
      </c>
      <c r="B29" s="9">
        <v>143000</v>
      </c>
      <c r="C29" s="529" t="s">
        <v>236</v>
      </c>
      <c r="D29" s="19">
        <f>143000/100000</f>
        <v>1.43</v>
      </c>
      <c r="E29" s="27">
        <f>63000/100000</f>
        <v>0.63</v>
      </c>
      <c r="F29" s="20"/>
      <c r="G29" s="20"/>
      <c r="H29" s="20"/>
      <c r="I29" s="28">
        <f>43000/100000</f>
        <v>0.43</v>
      </c>
      <c r="J29" s="23">
        <f>-15200/100000</f>
        <v>-0.152</v>
      </c>
      <c r="K29" s="23">
        <f>20000/100000</f>
        <v>0.2</v>
      </c>
      <c r="L29" s="20"/>
      <c r="M29" s="24">
        <f t="shared" si="0"/>
        <v>0.47800000000000004</v>
      </c>
      <c r="N29" s="20">
        <f t="shared" si="1"/>
        <v>75.873015873015888</v>
      </c>
      <c r="O29" s="25"/>
    </row>
    <row r="30" spans="1:15" s="8" customFormat="1">
      <c r="A30" s="9" t="s">
        <v>875</v>
      </c>
      <c r="B30" s="9">
        <v>34000</v>
      </c>
      <c r="C30" s="529" t="s">
        <v>236</v>
      </c>
      <c r="D30" s="19">
        <f>34000/100000</f>
        <v>0.34</v>
      </c>
      <c r="E30" s="20">
        <f>34000/100000</f>
        <v>0.34</v>
      </c>
      <c r="F30" s="20"/>
      <c r="G30" s="20"/>
      <c r="H30" s="20"/>
      <c r="I30" s="23">
        <f>34000/100000</f>
        <v>0.34</v>
      </c>
      <c r="J30" s="23">
        <f>-3800/100000</f>
        <v>-3.7999999999999999E-2</v>
      </c>
      <c r="K30" s="23">
        <f>22500/100000</f>
        <v>0.22500000000000001</v>
      </c>
      <c r="L30" s="20"/>
      <c r="M30" s="24">
        <f t="shared" si="0"/>
        <v>0.52700000000000002</v>
      </c>
      <c r="N30" s="20">
        <f t="shared" si="1"/>
        <v>155</v>
      </c>
      <c r="O30" s="25"/>
    </row>
    <row r="31" spans="1:15" s="8" customFormat="1">
      <c r="A31" s="9" t="s">
        <v>238</v>
      </c>
      <c r="B31" s="9">
        <v>1200</v>
      </c>
      <c r="C31" s="18" t="s">
        <v>873</v>
      </c>
      <c r="D31" s="19">
        <f>ROUND((B31*K4),0)/100000</f>
        <v>7.9466000000000001</v>
      </c>
      <c r="E31" s="20">
        <f>794660/100000</f>
        <v>7.9466000000000001</v>
      </c>
      <c r="F31" s="20"/>
      <c r="G31" s="20"/>
      <c r="H31" s="20"/>
      <c r="I31" s="20"/>
      <c r="J31" s="23">
        <f>155506/100000</f>
        <v>1.5550600000000001</v>
      </c>
      <c r="K31" s="23">
        <f>209107/100000</f>
        <v>2.0910700000000002</v>
      </c>
      <c r="L31" s="20"/>
      <c r="M31" s="24">
        <f t="shared" si="0"/>
        <v>3.6461300000000003</v>
      </c>
      <c r="N31" s="20">
        <f t="shared" si="1"/>
        <v>45.882893312863366</v>
      </c>
      <c r="O31" s="25"/>
    </row>
    <row r="32" spans="1:15" s="8" customFormat="1">
      <c r="A32" s="9" t="s">
        <v>667</v>
      </c>
      <c r="B32" s="9">
        <v>565</v>
      </c>
      <c r="C32" s="18" t="s">
        <v>873</v>
      </c>
      <c r="D32" s="19">
        <f>ROUND((B32*K4),0)/100000</f>
        <v>3.74153</v>
      </c>
      <c r="E32" s="20">
        <f>374153/100000</f>
        <v>3.74153</v>
      </c>
      <c r="F32" s="20"/>
      <c r="G32" s="20"/>
      <c r="H32" s="20">
        <f>43593/100000</f>
        <v>0.43592999999999998</v>
      </c>
      <c r="I32" s="20">
        <f>330560/100000</f>
        <v>3.3056000000000001</v>
      </c>
      <c r="J32" s="20"/>
      <c r="K32" s="20"/>
      <c r="L32" s="20"/>
      <c r="M32" s="20">
        <f t="shared" si="0"/>
        <v>3.74153</v>
      </c>
      <c r="N32" s="20">
        <f t="shared" si="1"/>
        <v>100</v>
      </c>
      <c r="O32" s="25"/>
    </row>
    <row r="33" spans="1:15" s="8" customFormat="1">
      <c r="A33" s="9" t="s">
        <v>876</v>
      </c>
      <c r="B33" s="9">
        <v>1000</v>
      </c>
      <c r="C33" s="18" t="s">
        <v>873</v>
      </c>
      <c r="D33" s="19">
        <f>B33*K4/100000</f>
        <v>6.6221699999999997</v>
      </c>
      <c r="E33" s="20">
        <f>662217/100000</f>
        <v>6.6221699999999997</v>
      </c>
      <c r="F33" s="21">
        <f>22870/100000</f>
        <v>0.22869999999999999</v>
      </c>
      <c r="G33" s="21">
        <f>9794/100000</f>
        <v>9.7939999999999999E-2</v>
      </c>
      <c r="H33" s="29">
        <f>67336/100000</f>
        <v>0.67335999999999996</v>
      </c>
      <c r="I33" s="20"/>
      <c r="J33" s="23">
        <f>27190.5/100000</f>
        <v>0.27190500000000001</v>
      </c>
      <c r="K33" s="23">
        <f>488802/100000</f>
        <v>4.88802</v>
      </c>
      <c r="L33" s="20"/>
      <c r="M33" s="24">
        <f t="shared" si="0"/>
        <v>6.1599250000000003</v>
      </c>
      <c r="N33" s="20">
        <f t="shared" si="1"/>
        <v>93.019735222744217</v>
      </c>
      <c r="O33" s="25"/>
    </row>
    <row r="34" spans="1:15" s="8" customFormat="1">
      <c r="A34" s="9" t="s">
        <v>394</v>
      </c>
      <c r="B34" s="9">
        <v>2750</v>
      </c>
      <c r="C34" s="529" t="s">
        <v>877</v>
      </c>
      <c r="D34" s="19">
        <f>192000/100000</f>
        <v>1.92</v>
      </c>
      <c r="E34" s="20">
        <f>192000/100000</f>
        <v>1.92</v>
      </c>
      <c r="F34" s="20">
        <f>11855/100000</f>
        <v>0.11855</v>
      </c>
      <c r="G34" s="20">
        <f>30916/100000</f>
        <v>0.30915999999999999</v>
      </c>
      <c r="H34" s="20">
        <f>13000/100000</f>
        <v>0.13</v>
      </c>
      <c r="I34" s="20">
        <f>70229/100000</f>
        <v>0.70228999999999997</v>
      </c>
      <c r="J34" s="20">
        <f>34370/100000</f>
        <v>0.34370000000000001</v>
      </c>
      <c r="K34" s="20">
        <f>21000/100000</f>
        <v>0.21</v>
      </c>
      <c r="L34" s="20"/>
      <c r="M34" s="24">
        <f t="shared" si="0"/>
        <v>1.8136999999999999</v>
      </c>
      <c r="N34" s="20">
        <f t="shared" si="1"/>
        <v>94.463541666666657</v>
      </c>
      <c r="O34" s="25"/>
    </row>
    <row r="35" spans="1:15" s="8" customFormat="1">
      <c r="A35" s="13"/>
      <c r="B35" s="30">
        <f>SUM(B27:B34)</f>
        <v>197515</v>
      </c>
      <c r="C35" s="30"/>
      <c r="D35" s="31">
        <f t="shared" ref="D35:M35" si="2">SUM(D27:D34)</f>
        <v>80.577659999999995</v>
      </c>
      <c r="E35" s="31">
        <f t="shared" si="2"/>
        <v>79.777659999999997</v>
      </c>
      <c r="F35" s="31">
        <f t="shared" si="2"/>
        <v>1.32402</v>
      </c>
      <c r="G35" s="31">
        <f t="shared" si="2"/>
        <v>8.9569799999999997</v>
      </c>
      <c r="H35" s="31">
        <f t="shared" si="2"/>
        <v>9.096230000000002</v>
      </c>
      <c r="I35" s="31">
        <f t="shared" si="2"/>
        <v>33.184820000000002</v>
      </c>
      <c r="J35" s="31">
        <f t="shared" si="2"/>
        <v>6.5844199999999997</v>
      </c>
      <c r="K35" s="31">
        <f t="shared" si="2"/>
        <v>13.927155000000003</v>
      </c>
      <c r="L35" s="31">
        <f t="shared" si="2"/>
        <v>0</v>
      </c>
      <c r="M35" s="31">
        <f t="shared" si="2"/>
        <v>73.073625000000007</v>
      </c>
      <c r="N35" s="24">
        <f>+M35/E35*100</f>
        <v>91.596601103617232</v>
      </c>
    </row>
    <row r="36" spans="1:15" s="8" customFormat="1"/>
    <row r="37" spans="1:15" s="32" customFormat="1"/>
    <row r="38" spans="1:15" s="32" customFormat="1"/>
    <row r="39" spans="1:15" s="32" customFormat="1"/>
    <row r="40" spans="1:15" s="32" customFormat="1"/>
    <row r="41" spans="1:15" s="32" customFormat="1"/>
    <row r="42" spans="1:15" s="32" customFormat="1"/>
    <row r="43" spans="1:15" s="32" customFormat="1"/>
    <row r="44" spans="1:15" s="32" customFormat="1"/>
    <row r="45" spans="1:15" s="32" customFormat="1"/>
    <row r="46" spans="1:15" s="32" customFormat="1"/>
    <row r="47" spans="1:15" s="32" customFormat="1"/>
    <row r="48" spans="1:15" s="32" customFormat="1"/>
    <row r="49" s="32" customFormat="1"/>
    <row r="50" s="32" customFormat="1"/>
    <row r="51" s="32" customFormat="1"/>
    <row r="52" s="32" customFormat="1"/>
    <row r="53" s="32" customFormat="1"/>
    <row r="54" s="32" customFormat="1"/>
    <row r="55" s="32" customFormat="1"/>
    <row r="56" s="32" customFormat="1"/>
    <row r="57" s="32" customFormat="1"/>
    <row r="58" s="32" customFormat="1"/>
    <row r="59" s="32" customFormat="1"/>
    <row r="60" s="32" customFormat="1"/>
    <row r="61" s="32" customFormat="1"/>
    <row r="62" s="32" customFormat="1"/>
    <row r="63" s="32" customFormat="1"/>
    <row r="64" s="32" customFormat="1"/>
    <row r="65" s="32" customFormat="1"/>
    <row r="66" s="32" customFormat="1"/>
    <row r="67" s="32" customFormat="1"/>
    <row r="68" s="32" customFormat="1"/>
    <row r="69" s="32" customFormat="1"/>
    <row r="70" s="32" customFormat="1"/>
    <row r="71" s="32" customFormat="1"/>
    <row r="72" s="32" customFormat="1"/>
    <row r="73" s="32" customFormat="1"/>
    <row r="74" s="32" customFormat="1"/>
    <row r="75" s="32" customFormat="1"/>
    <row r="76" s="32" customFormat="1"/>
    <row r="77" s="32" customFormat="1"/>
    <row r="78" s="32" customFormat="1"/>
    <row r="79" s="32" customFormat="1"/>
    <row r="80" s="32" customFormat="1"/>
    <row r="81" s="32" customFormat="1"/>
    <row r="82" s="32" customFormat="1"/>
    <row r="83" s="32" customFormat="1"/>
    <row r="84" s="32" customFormat="1"/>
    <row r="85" s="32" customFormat="1"/>
    <row r="86" s="32" customFormat="1"/>
    <row r="87" s="32" customFormat="1"/>
    <row r="88" s="32" customFormat="1"/>
    <row r="89" s="32" customFormat="1"/>
    <row r="90" s="33" customFormat="1"/>
    <row r="91" s="33" customFormat="1"/>
    <row r="92" s="33" customFormat="1"/>
    <row r="93" s="33" customFormat="1"/>
    <row r="94" s="33" customFormat="1"/>
    <row r="95" s="33" customFormat="1"/>
    <row r="96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</sheetData>
  <mergeCells count="34">
    <mergeCell ref="B6:D6"/>
    <mergeCell ref="E6:F6"/>
    <mergeCell ref="G6:I6"/>
    <mergeCell ref="A1:N1"/>
    <mergeCell ref="A2:N2"/>
    <mergeCell ref="B4:D4"/>
    <mergeCell ref="E4:F4"/>
    <mergeCell ref="G4:H4"/>
    <mergeCell ref="A3:C3"/>
    <mergeCell ref="B8:D8"/>
    <mergeCell ref="E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A25:A26"/>
    <mergeCell ref="B25:B26"/>
    <mergeCell ref="C25:C26"/>
    <mergeCell ref="D25:D26"/>
    <mergeCell ref="E25:E26"/>
    <mergeCell ref="F25:N25"/>
    <mergeCell ref="B14:C14"/>
    <mergeCell ref="B15:C15"/>
    <mergeCell ref="D15:F15"/>
    <mergeCell ref="G15:I15"/>
    <mergeCell ref="J15:M15"/>
  </mergeCells>
  <hyperlinks>
    <hyperlink ref="A3" location="'Fact Sheet of VDC'!A1" display="&lt;&lt;Back"/>
  </hyperlinks>
  <pageMargins left="0.36" right="0.36" top="0.32" bottom="0.36" header="0.31496062992126" footer="0.31496062992126"/>
  <pageSetup paperSize="9" scale="77" orientation="landscape" horizontalDpi="300" verticalDpi="300" r:id="rId1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N188"/>
  <sheetViews>
    <sheetView workbookViewId="0">
      <selection activeCell="A3" sqref="A3:C3"/>
    </sheetView>
  </sheetViews>
  <sheetFormatPr defaultRowHeight="15"/>
  <cols>
    <col min="1" max="1" width="23.28515625" customWidth="1"/>
    <col min="2" max="3" width="9.28515625" bestFit="1" customWidth="1"/>
    <col min="4" max="4" width="11.5703125" customWidth="1"/>
    <col min="5" max="5" width="11.7109375" customWidth="1"/>
    <col min="6" max="7" width="9.28515625" bestFit="1" customWidth="1"/>
    <col min="8" max="8" width="9.85546875" bestFit="1" customWidth="1"/>
    <col min="9" max="9" width="11.5703125" customWidth="1"/>
    <col min="10" max="10" width="9.28515625" bestFit="1" customWidth="1"/>
    <col min="11" max="11" width="9.85546875" bestFit="1" customWidth="1"/>
    <col min="12" max="12" width="9.28515625" bestFit="1" customWidth="1"/>
    <col min="13" max="13" width="12.28515625" customWidth="1"/>
    <col min="14" max="14" width="12.42578125" customWidth="1"/>
    <col min="257" max="257" width="23.28515625" customWidth="1"/>
    <col min="258" max="259" width="9.28515625" bestFit="1" customWidth="1"/>
    <col min="260" max="260" width="11.5703125" customWidth="1"/>
    <col min="261" max="261" width="11.7109375" customWidth="1"/>
    <col min="262" max="263" width="9.28515625" bestFit="1" customWidth="1"/>
    <col min="264" max="264" width="9.85546875" bestFit="1" customWidth="1"/>
    <col min="265" max="265" width="11.5703125" customWidth="1"/>
    <col min="266" max="266" width="9.28515625" bestFit="1" customWidth="1"/>
    <col min="267" max="267" width="9.85546875" bestFit="1" customWidth="1"/>
    <col min="268" max="268" width="9.28515625" bestFit="1" customWidth="1"/>
    <col min="269" max="269" width="12.28515625" customWidth="1"/>
    <col min="270" max="270" width="12.42578125" customWidth="1"/>
    <col min="513" max="513" width="23.28515625" customWidth="1"/>
    <col min="514" max="515" width="9.28515625" bestFit="1" customWidth="1"/>
    <col min="516" max="516" width="11.5703125" customWidth="1"/>
    <col min="517" max="517" width="11.7109375" customWidth="1"/>
    <col min="518" max="519" width="9.28515625" bestFit="1" customWidth="1"/>
    <col min="520" max="520" width="9.85546875" bestFit="1" customWidth="1"/>
    <col min="521" max="521" width="11.5703125" customWidth="1"/>
    <col min="522" max="522" width="9.28515625" bestFit="1" customWidth="1"/>
    <col min="523" max="523" width="9.85546875" bestFit="1" customWidth="1"/>
    <col min="524" max="524" width="9.28515625" bestFit="1" customWidth="1"/>
    <col min="525" max="525" width="12.28515625" customWidth="1"/>
    <col min="526" max="526" width="12.42578125" customWidth="1"/>
    <col min="769" max="769" width="23.28515625" customWidth="1"/>
    <col min="770" max="771" width="9.28515625" bestFit="1" customWidth="1"/>
    <col min="772" max="772" width="11.5703125" customWidth="1"/>
    <col min="773" max="773" width="11.7109375" customWidth="1"/>
    <col min="774" max="775" width="9.28515625" bestFit="1" customWidth="1"/>
    <col min="776" max="776" width="9.85546875" bestFit="1" customWidth="1"/>
    <col min="777" max="777" width="11.5703125" customWidth="1"/>
    <col min="778" max="778" width="9.28515625" bestFit="1" customWidth="1"/>
    <col min="779" max="779" width="9.85546875" bestFit="1" customWidth="1"/>
    <col min="780" max="780" width="9.28515625" bestFit="1" customWidth="1"/>
    <col min="781" max="781" width="12.28515625" customWidth="1"/>
    <col min="782" max="782" width="12.42578125" customWidth="1"/>
    <col min="1025" max="1025" width="23.28515625" customWidth="1"/>
    <col min="1026" max="1027" width="9.28515625" bestFit="1" customWidth="1"/>
    <col min="1028" max="1028" width="11.5703125" customWidth="1"/>
    <col min="1029" max="1029" width="11.7109375" customWidth="1"/>
    <col min="1030" max="1031" width="9.28515625" bestFit="1" customWidth="1"/>
    <col min="1032" max="1032" width="9.85546875" bestFit="1" customWidth="1"/>
    <col min="1033" max="1033" width="11.5703125" customWidth="1"/>
    <col min="1034" max="1034" width="9.28515625" bestFit="1" customWidth="1"/>
    <col min="1035" max="1035" width="9.85546875" bestFit="1" customWidth="1"/>
    <col min="1036" max="1036" width="9.28515625" bestFit="1" customWidth="1"/>
    <col min="1037" max="1037" width="12.28515625" customWidth="1"/>
    <col min="1038" max="1038" width="12.42578125" customWidth="1"/>
    <col min="1281" max="1281" width="23.28515625" customWidth="1"/>
    <col min="1282" max="1283" width="9.28515625" bestFit="1" customWidth="1"/>
    <col min="1284" max="1284" width="11.5703125" customWidth="1"/>
    <col min="1285" max="1285" width="11.7109375" customWidth="1"/>
    <col min="1286" max="1287" width="9.28515625" bestFit="1" customWidth="1"/>
    <col min="1288" max="1288" width="9.85546875" bestFit="1" customWidth="1"/>
    <col min="1289" max="1289" width="11.5703125" customWidth="1"/>
    <col min="1290" max="1290" width="9.28515625" bestFit="1" customWidth="1"/>
    <col min="1291" max="1291" width="9.85546875" bestFit="1" customWidth="1"/>
    <col min="1292" max="1292" width="9.28515625" bestFit="1" customWidth="1"/>
    <col min="1293" max="1293" width="12.28515625" customWidth="1"/>
    <col min="1294" max="1294" width="12.42578125" customWidth="1"/>
    <col min="1537" max="1537" width="23.28515625" customWidth="1"/>
    <col min="1538" max="1539" width="9.28515625" bestFit="1" customWidth="1"/>
    <col min="1540" max="1540" width="11.5703125" customWidth="1"/>
    <col min="1541" max="1541" width="11.7109375" customWidth="1"/>
    <col min="1542" max="1543" width="9.28515625" bestFit="1" customWidth="1"/>
    <col min="1544" max="1544" width="9.85546875" bestFit="1" customWidth="1"/>
    <col min="1545" max="1545" width="11.5703125" customWidth="1"/>
    <col min="1546" max="1546" width="9.28515625" bestFit="1" customWidth="1"/>
    <col min="1547" max="1547" width="9.85546875" bestFit="1" customWidth="1"/>
    <col min="1548" max="1548" width="9.28515625" bestFit="1" customWidth="1"/>
    <col min="1549" max="1549" width="12.28515625" customWidth="1"/>
    <col min="1550" max="1550" width="12.42578125" customWidth="1"/>
    <col min="1793" max="1793" width="23.28515625" customWidth="1"/>
    <col min="1794" max="1795" width="9.28515625" bestFit="1" customWidth="1"/>
    <col min="1796" max="1796" width="11.5703125" customWidth="1"/>
    <col min="1797" max="1797" width="11.7109375" customWidth="1"/>
    <col min="1798" max="1799" width="9.28515625" bestFit="1" customWidth="1"/>
    <col min="1800" max="1800" width="9.85546875" bestFit="1" customWidth="1"/>
    <col min="1801" max="1801" width="11.5703125" customWidth="1"/>
    <col min="1802" max="1802" width="9.28515625" bestFit="1" customWidth="1"/>
    <col min="1803" max="1803" width="9.85546875" bestFit="1" customWidth="1"/>
    <col min="1804" max="1804" width="9.28515625" bestFit="1" customWidth="1"/>
    <col min="1805" max="1805" width="12.28515625" customWidth="1"/>
    <col min="1806" max="1806" width="12.42578125" customWidth="1"/>
    <col min="2049" max="2049" width="23.28515625" customWidth="1"/>
    <col min="2050" max="2051" width="9.28515625" bestFit="1" customWidth="1"/>
    <col min="2052" max="2052" width="11.5703125" customWidth="1"/>
    <col min="2053" max="2053" width="11.7109375" customWidth="1"/>
    <col min="2054" max="2055" width="9.28515625" bestFit="1" customWidth="1"/>
    <col min="2056" max="2056" width="9.85546875" bestFit="1" customWidth="1"/>
    <col min="2057" max="2057" width="11.5703125" customWidth="1"/>
    <col min="2058" max="2058" width="9.28515625" bestFit="1" customWidth="1"/>
    <col min="2059" max="2059" width="9.85546875" bestFit="1" customWidth="1"/>
    <col min="2060" max="2060" width="9.28515625" bestFit="1" customWidth="1"/>
    <col min="2061" max="2061" width="12.28515625" customWidth="1"/>
    <col min="2062" max="2062" width="12.42578125" customWidth="1"/>
    <col min="2305" max="2305" width="23.28515625" customWidth="1"/>
    <col min="2306" max="2307" width="9.28515625" bestFit="1" customWidth="1"/>
    <col min="2308" max="2308" width="11.5703125" customWidth="1"/>
    <col min="2309" max="2309" width="11.7109375" customWidth="1"/>
    <col min="2310" max="2311" width="9.28515625" bestFit="1" customWidth="1"/>
    <col min="2312" max="2312" width="9.85546875" bestFit="1" customWidth="1"/>
    <col min="2313" max="2313" width="11.5703125" customWidth="1"/>
    <col min="2314" max="2314" width="9.28515625" bestFit="1" customWidth="1"/>
    <col min="2315" max="2315" width="9.85546875" bestFit="1" customWidth="1"/>
    <col min="2316" max="2316" width="9.28515625" bestFit="1" customWidth="1"/>
    <col min="2317" max="2317" width="12.28515625" customWidth="1"/>
    <col min="2318" max="2318" width="12.42578125" customWidth="1"/>
    <col min="2561" max="2561" width="23.28515625" customWidth="1"/>
    <col min="2562" max="2563" width="9.28515625" bestFit="1" customWidth="1"/>
    <col min="2564" max="2564" width="11.5703125" customWidth="1"/>
    <col min="2565" max="2565" width="11.7109375" customWidth="1"/>
    <col min="2566" max="2567" width="9.28515625" bestFit="1" customWidth="1"/>
    <col min="2568" max="2568" width="9.85546875" bestFit="1" customWidth="1"/>
    <col min="2569" max="2569" width="11.5703125" customWidth="1"/>
    <col min="2570" max="2570" width="9.28515625" bestFit="1" customWidth="1"/>
    <col min="2571" max="2571" width="9.85546875" bestFit="1" customWidth="1"/>
    <col min="2572" max="2572" width="9.28515625" bestFit="1" customWidth="1"/>
    <col min="2573" max="2573" width="12.28515625" customWidth="1"/>
    <col min="2574" max="2574" width="12.42578125" customWidth="1"/>
    <col min="2817" max="2817" width="23.28515625" customWidth="1"/>
    <col min="2818" max="2819" width="9.28515625" bestFit="1" customWidth="1"/>
    <col min="2820" max="2820" width="11.5703125" customWidth="1"/>
    <col min="2821" max="2821" width="11.7109375" customWidth="1"/>
    <col min="2822" max="2823" width="9.28515625" bestFit="1" customWidth="1"/>
    <col min="2824" max="2824" width="9.85546875" bestFit="1" customWidth="1"/>
    <col min="2825" max="2825" width="11.5703125" customWidth="1"/>
    <col min="2826" max="2826" width="9.28515625" bestFit="1" customWidth="1"/>
    <col min="2827" max="2827" width="9.85546875" bestFit="1" customWidth="1"/>
    <col min="2828" max="2828" width="9.28515625" bestFit="1" customWidth="1"/>
    <col min="2829" max="2829" width="12.28515625" customWidth="1"/>
    <col min="2830" max="2830" width="12.42578125" customWidth="1"/>
    <col min="3073" max="3073" width="23.28515625" customWidth="1"/>
    <col min="3074" max="3075" width="9.28515625" bestFit="1" customWidth="1"/>
    <col min="3076" max="3076" width="11.5703125" customWidth="1"/>
    <col min="3077" max="3077" width="11.7109375" customWidth="1"/>
    <col min="3078" max="3079" width="9.28515625" bestFit="1" customWidth="1"/>
    <col min="3080" max="3080" width="9.85546875" bestFit="1" customWidth="1"/>
    <col min="3081" max="3081" width="11.5703125" customWidth="1"/>
    <col min="3082" max="3082" width="9.28515625" bestFit="1" customWidth="1"/>
    <col min="3083" max="3083" width="9.85546875" bestFit="1" customWidth="1"/>
    <col min="3084" max="3084" width="9.28515625" bestFit="1" customWidth="1"/>
    <col min="3085" max="3085" width="12.28515625" customWidth="1"/>
    <col min="3086" max="3086" width="12.42578125" customWidth="1"/>
    <col min="3329" max="3329" width="23.28515625" customWidth="1"/>
    <col min="3330" max="3331" width="9.28515625" bestFit="1" customWidth="1"/>
    <col min="3332" max="3332" width="11.5703125" customWidth="1"/>
    <col min="3333" max="3333" width="11.7109375" customWidth="1"/>
    <col min="3334" max="3335" width="9.28515625" bestFit="1" customWidth="1"/>
    <col min="3336" max="3336" width="9.85546875" bestFit="1" customWidth="1"/>
    <col min="3337" max="3337" width="11.5703125" customWidth="1"/>
    <col min="3338" max="3338" width="9.28515625" bestFit="1" customWidth="1"/>
    <col min="3339" max="3339" width="9.85546875" bestFit="1" customWidth="1"/>
    <col min="3340" max="3340" width="9.28515625" bestFit="1" customWidth="1"/>
    <col min="3341" max="3341" width="12.28515625" customWidth="1"/>
    <col min="3342" max="3342" width="12.42578125" customWidth="1"/>
    <col min="3585" max="3585" width="23.28515625" customWidth="1"/>
    <col min="3586" max="3587" width="9.28515625" bestFit="1" customWidth="1"/>
    <col min="3588" max="3588" width="11.5703125" customWidth="1"/>
    <col min="3589" max="3589" width="11.7109375" customWidth="1"/>
    <col min="3590" max="3591" width="9.28515625" bestFit="1" customWidth="1"/>
    <col min="3592" max="3592" width="9.85546875" bestFit="1" customWidth="1"/>
    <col min="3593" max="3593" width="11.5703125" customWidth="1"/>
    <col min="3594" max="3594" width="9.28515625" bestFit="1" customWidth="1"/>
    <col min="3595" max="3595" width="9.85546875" bestFit="1" customWidth="1"/>
    <col min="3596" max="3596" width="9.28515625" bestFit="1" customWidth="1"/>
    <col min="3597" max="3597" width="12.28515625" customWidth="1"/>
    <col min="3598" max="3598" width="12.42578125" customWidth="1"/>
    <col min="3841" max="3841" width="23.28515625" customWidth="1"/>
    <col min="3842" max="3843" width="9.28515625" bestFit="1" customWidth="1"/>
    <col min="3844" max="3844" width="11.5703125" customWidth="1"/>
    <col min="3845" max="3845" width="11.7109375" customWidth="1"/>
    <col min="3846" max="3847" width="9.28515625" bestFit="1" customWidth="1"/>
    <col min="3848" max="3848" width="9.85546875" bestFit="1" customWidth="1"/>
    <col min="3849" max="3849" width="11.5703125" customWidth="1"/>
    <col min="3850" max="3850" width="9.28515625" bestFit="1" customWidth="1"/>
    <col min="3851" max="3851" width="9.85546875" bestFit="1" customWidth="1"/>
    <col min="3852" max="3852" width="9.28515625" bestFit="1" customWidth="1"/>
    <col min="3853" max="3853" width="12.28515625" customWidth="1"/>
    <col min="3854" max="3854" width="12.42578125" customWidth="1"/>
    <col min="4097" max="4097" width="23.28515625" customWidth="1"/>
    <col min="4098" max="4099" width="9.28515625" bestFit="1" customWidth="1"/>
    <col min="4100" max="4100" width="11.5703125" customWidth="1"/>
    <col min="4101" max="4101" width="11.7109375" customWidth="1"/>
    <col min="4102" max="4103" width="9.28515625" bestFit="1" customWidth="1"/>
    <col min="4104" max="4104" width="9.85546875" bestFit="1" customWidth="1"/>
    <col min="4105" max="4105" width="11.5703125" customWidth="1"/>
    <col min="4106" max="4106" width="9.28515625" bestFit="1" customWidth="1"/>
    <col min="4107" max="4107" width="9.85546875" bestFit="1" customWidth="1"/>
    <col min="4108" max="4108" width="9.28515625" bestFit="1" customWidth="1"/>
    <col min="4109" max="4109" width="12.28515625" customWidth="1"/>
    <col min="4110" max="4110" width="12.42578125" customWidth="1"/>
    <col min="4353" max="4353" width="23.28515625" customWidth="1"/>
    <col min="4354" max="4355" width="9.28515625" bestFit="1" customWidth="1"/>
    <col min="4356" max="4356" width="11.5703125" customWidth="1"/>
    <col min="4357" max="4357" width="11.7109375" customWidth="1"/>
    <col min="4358" max="4359" width="9.28515625" bestFit="1" customWidth="1"/>
    <col min="4360" max="4360" width="9.85546875" bestFit="1" customWidth="1"/>
    <col min="4361" max="4361" width="11.5703125" customWidth="1"/>
    <col min="4362" max="4362" width="9.28515625" bestFit="1" customWidth="1"/>
    <col min="4363" max="4363" width="9.85546875" bestFit="1" customWidth="1"/>
    <col min="4364" max="4364" width="9.28515625" bestFit="1" customWidth="1"/>
    <col min="4365" max="4365" width="12.28515625" customWidth="1"/>
    <col min="4366" max="4366" width="12.42578125" customWidth="1"/>
    <col min="4609" max="4609" width="23.28515625" customWidth="1"/>
    <col min="4610" max="4611" width="9.28515625" bestFit="1" customWidth="1"/>
    <col min="4612" max="4612" width="11.5703125" customWidth="1"/>
    <col min="4613" max="4613" width="11.7109375" customWidth="1"/>
    <col min="4614" max="4615" width="9.28515625" bestFit="1" customWidth="1"/>
    <col min="4616" max="4616" width="9.85546875" bestFit="1" customWidth="1"/>
    <col min="4617" max="4617" width="11.5703125" customWidth="1"/>
    <col min="4618" max="4618" width="9.28515625" bestFit="1" customWidth="1"/>
    <col min="4619" max="4619" width="9.85546875" bestFit="1" customWidth="1"/>
    <col min="4620" max="4620" width="9.28515625" bestFit="1" customWidth="1"/>
    <col min="4621" max="4621" width="12.28515625" customWidth="1"/>
    <col min="4622" max="4622" width="12.42578125" customWidth="1"/>
    <col min="4865" max="4865" width="23.28515625" customWidth="1"/>
    <col min="4866" max="4867" width="9.28515625" bestFit="1" customWidth="1"/>
    <col min="4868" max="4868" width="11.5703125" customWidth="1"/>
    <col min="4869" max="4869" width="11.7109375" customWidth="1"/>
    <col min="4870" max="4871" width="9.28515625" bestFit="1" customWidth="1"/>
    <col min="4872" max="4872" width="9.85546875" bestFit="1" customWidth="1"/>
    <col min="4873" max="4873" width="11.5703125" customWidth="1"/>
    <col min="4874" max="4874" width="9.28515625" bestFit="1" customWidth="1"/>
    <col min="4875" max="4875" width="9.85546875" bestFit="1" customWidth="1"/>
    <col min="4876" max="4876" width="9.28515625" bestFit="1" customWidth="1"/>
    <col min="4877" max="4877" width="12.28515625" customWidth="1"/>
    <col min="4878" max="4878" width="12.42578125" customWidth="1"/>
    <col min="5121" max="5121" width="23.28515625" customWidth="1"/>
    <col min="5122" max="5123" width="9.28515625" bestFit="1" customWidth="1"/>
    <col min="5124" max="5124" width="11.5703125" customWidth="1"/>
    <col min="5125" max="5125" width="11.7109375" customWidth="1"/>
    <col min="5126" max="5127" width="9.28515625" bestFit="1" customWidth="1"/>
    <col min="5128" max="5128" width="9.85546875" bestFit="1" customWidth="1"/>
    <col min="5129" max="5129" width="11.5703125" customWidth="1"/>
    <col min="5130" max="5130" width="9.28515625" bestFit="1" customWidth="1"/>
    <col min="5131" max="5131" width="9.85546875" bestFit="1" customWidth="1"/>
    <col min="5132" max="5132" width="9.28515625" bestFit="1" customWidth="1"/>
    <col min="5133" max="5133" width="12.28515625" customWidth="1"/>
    <col min="5134" max="5134" width="12.42578125" customWidth="1"/>
    <col min="5377" max="5377" width="23.28515625" customWidth="1"/>
    <col min="5378" max="5379" width="9.28515625" bestFit="1" customWidth="1"/>
    <col min="5380" max="5380" width="11.5703125" customWidth="1"/>
    <col min="5381" max="5381" width="11.7109375" customWidth="1"/>
    <col min="5382" max="5383" width="9.28515625" bestFit="1" customWidth="1"/>
    <col min="5384" max="5384" width="9.85546875" bestFit="1" customWidth="1"/>
    <col min="5385" max="5385" width="11.5703125" customWidth="1"/>
    <col min="5386" max="5386" width="9.28515625" bestFit="1" customWidth="1"/>
    <col min="5387" max="5387" width="9.85546875" bestFit="1" customWidth="1"/>
    <col min="5388" max="5388" width="9.28515625" bestFit="1" customWidth="1"/>
    <col min="5389" max="5389" width="12.28515625" customWidth="1"/>
    <col min="5390" max="5390" width="12.42578125" customWidth="1"/>
    <col min="5633" max="5633" width="23.28515625" customWidth="1"/>
    <col min="5634" max="5635" width="9.28515625" bestFit="1" customWidth="1"/>
    <col min="5636" max="5636" width="11.5703125" customWidth="1"/>
    <col min="5637" max="5637" width="11.7109375" customWidth="1"/>
    <col min="5638" max="5639" width="9.28515625" bestFit="1" customWidth="1"/>
    <col min="5640" max="5640" width="9.85546875" bestFit="1" customWidth="1"/>
    <col min="5641" max="5641" width="11.5703125" customWidth="1"/>
    <col min="5642" max="5642" width="9.28515625" bestFit="1" customWidth="1"/>
    <col min="5643" max="5643" width="9.85546875" bestFit="1" customWidth="1"/>
    <col min="5644" max="5644" width="9.28515625" bestFit="1" customWidth="1"/>
    <col min="5645" max="5645" width="12.28515625" customWidth="1"/>
    <col min="5646" max="5646" width="12.42578125" customWidth="1"/>
    <col min="5889" max="5889" width="23.28515625" customWidth="1"/>
    <col min="5890" max="5891" width="9.28515625" bestFit="1" customWidth="1"/>
    <col min="5892" max="5892" width="11.5703125" customWidth="1"/>
    <col min="5893" max="5893" width="11.7109375" customWidth="1"/>
    <col min="5894" max="5895" width="9.28515625" bestFit="1" customWidth="1"/>
    <col min="5896" max="5896" width="9.85546875" bestFit="1" customWidth="1"/>
    <col min="5897" max="5897" width="11.5703125" customWidth="1"/>
    <col min="5898" max="5898" width="9.28515625" bestFit="1" customWidth="1"/>
    <col min="5899" max="5899" width="9.85546875" bestFit="1" customWidth="1"/>
    <col min="5900" max="5900" width="9.28515625" bestFit="1" customWidth="1"/>
    <col min="5901" max="5901" width="12.28515625" customWidth="1"/>
    <col min="5902" max="5902" width="12.42578125" customWidth="1"/>
    <col min="6145" max="6145" width="23.28515625" customWidth="1"/>
    <col min="6146" max="6147" width="9.28515625" bestFit="1" customWidth="1"/>
    <col min="6148" max="6148" width="11.5703125" customWidth="1"/>
    <col min="6149" max="6149" width="11.7109375" customWidth="1"/>
    <col min="6150" max="6151" width="9.28515625" bestFit="1" customWidth="1"/>
    <col min="6152" max="6152" width="9.85546875" bestFit="1" customWidth="1"/>
    <col min="6153" max="6153" width="11.5703125" customWidth="1"/>
    <col min="6154" max="6154" width="9.28515625" bestFit="1" customWidth="1"/>
    <col min="6155" max="6155" width="9.85546875" bestFit="1" customWidth="1"/>
    <col min="6156" max="6156" width="9.28515625" bestFit="1" customWidth="1"/>
    <col min="6157" max="6157" width="12.28515625" customWidth="1"/>
    <col min="6158" max="6158" width="12.42578125" customWidth="1"/>
    <col min="6401" max="6401" width="23.28515625" customWidth="1"/>
    <col min="6402" max="6403" width="9.28515625" bestFit="1" customWidth="1"/>
    <col min="6404" max="6404" width="11.5703125" customWidth="1"/>
    <col min="6405" max="6405" width="11.7109375" customWidth="1"/>
    <col min="6406" max="6407" width="9.28515625" bestFit="1" customWidth="1"/>
    <col min="6408" max="6408" width="9.85546875" bestFit="1" customWidth="1"/>
    <col min="6409" max="6409" width="11.5703125" customWidth="1"/>
    <col min="6410" max="6410" width="9.28515625" bestFit="1" customWidth="1"/>
    <col min="6411" max="6411" width="9.85546875" bestFit="1" customWidth="1"/>
    <col min="6412" max="6412" width="9.28515625" bestFit="1" customWidth="1"/>
    <col min="6413" max="6413" width="12.28515625" customWidth="1"/>
    <col min="6414" max="6414" width="12.42578125" customWidth="1"/>
    <col min="6657" max="6657" width="23.28515625" customWidth="1"/>
    <col min="6658" max="6659" width="9.28515625" bestFit="1" customWidth="1"/>
    <col min="6660" max="6660" width="11.5703125" customWidth="1"/>
    <col min="6661" max="6661" width="11.7109375" customWidth="1"/>
    <col min="6662" max="6663" width="9.28515625" bestFit="1" customWidth="1"/>
    <col min="6664" max="6664" width="9.85546875" bestFit="1" customWidth="1"/>
    <col min="6665" max="6665" width="11.5703125" customWidth="1"/>
    <col min="6666" max="6666" width="9.28515625" bestFit="1" customWidth="1"/>
    <col min="6667" max="6667" width="9.85546875" bestFit="1" customWidth="1"/>
    <col min="6668" max="6668" width="9.28515625" bestFit="1" customWidth="1"/>
    <col min="6669" max="6669" width="12.28515625" customWidth="1"/>
    <col min="6670" max="6670" width="12.42578125" customWidth="1"/>
    <col min="6913" max="6913" width="23.28515625" customWidth="1"/>
    <col min="6914" max="6915" width="9.28515625" bestFit="1" customWidth="1"/>
    <col min="6916" max="6916" width="11.5703125" customWidth="1"/>
    <col min="6917" max="6917" width="11.7109375" customWidth="1"/>
    <col min="6918" max="6919" width="9.28515625" bestFit="1" customWidth="1"/>
    <col min="6920" max="6920" width="9.85546875" bestFit="1" customWidth="1"/>
    <col min="6921" max="6921" width="11.5703125" customWidth="1"/>
    <col min="6922" max="6922" width="9.28515625" bestFit="1" customWidth="1"/>
    <col min="6923" max="6923" width="9.85546875" bestFit="1" customWidth="1"/>
    <col min="6924" max="6924" width="9.28515625" bestFit="1" customWidth="1"/>
    <col min="6925" max="6925" width="12.28515625" customWidth="1"/>
    <col min="6926" max="6926" width="12.42578125" customWidth="1"/>
    <col min="7169" max="7169" width="23.28515625" customWidth="1"/>
    <col min="7170" max="7171" width="9.28515625" bestFit="1" customWidth="1"/>
    <col min="7172" max="7172" width="11.5703125" customWidth="1"/>
    <col min="7173" max="7173" width="11.7109375" customWidth="1"/>
    <col min="7174" max="7175" width="9.28515625" bestFit="1" customWidth="1"/>
    <col min="7176" max="7176" width="9.85546875" bestFit="1" customWidth="1"/>
    <col min="7177" max="7177" width="11.5703125" customWidth="1"/>
    <col min="7178" max="7178" width="9.28515625" bestFit="1" customWidth="1"/>
    <col min="7179" max="7179" width="9.85546875" bestFit="1" customWidth="1"/>
    <col min="7180" max="7180" width="9.28515625" bestFit="1" customWidth="1"/>
    <col min="7181" max="7181" width="12.28515625" customWidth="1"/>
    <col min="7182" max="7182" width="12.42578125" customWidth="1"/>
    <col min="7425" max="7425" width="23.28515625" customWidth="1"/>
    <col min="7426" max="7427" width="9.28515625" bestFit="1" customWidth="1"/>
    <col min="7428" max="7428" width="11.5703125" customWidth="1"/>
    <col min="7429" max="7429" width="11.7109375" customWidth="1"/>
    <col min="7430" max="7431" width="9.28515625" bestFit="1" customWidth="1"/>
    <col min="7432" max="7432" width="9.85546875" bestFit="1" customWidth="1"/>
    <col min="7433" max="7433" width="11.5703125" customWidth="1"/>
    <col min="7434" max="7434" width="9.28515625" bestFit="1" customWidth="1"/>
    <col min="7435" max="7435" width="9.85546875" bestFit="1" customWidth="1"/>
    <col min="7436" max="7436" width="9.28515625" bestFit="1" customWidth="1"/>
    <col min="7437" max="7437" width="12.28515625" customWidth="1"/>
    <col min="7438" max="7438" width="12.42578125" customWidth="1"/>
    <col min="7681" max="7681" width="23.28515625" customWidth="1"/>
    <col min="7682" max="7683" width="9.28515625" bestFit="1" customWidth="1"/>
    <col min="7684" max="7684" width="11.5703125" customWidth="1"/>
    <col min="7685" max="7685" width="11.7109375" customWidth="1"/>
    <col min="7686" max="7687" width="9.28515625" bestFit="1" customWidth="1"/>
    <col min="7688" max="7688" width="9.85546875" bestFit="1" customWidth="1"/>
    <col min="7689" max="7689" width="11.5703125" customWidth="1"/>
    <col min="7690" max="7690" width="9.28515625" bestFit="1" customWidth="1"/>
    <col min="7691" max="7691" width="9.85546875" bestFit="1" customWidth="1"/>
    <col min="7692" max="7692" width="9.28515625" bestFit="1" customWidth="1"/>
    <col min="7693" max="7693" width="12.28515625" customWidth="1"/>
    <col min="7694" max="7694" width="12.42578125" customWidth="1"/>
    <col min="7937" max="7937" width="23.28515625" customWidth="1"/>
    <col min="7938" max="7939" width="9.28515625" bestFit="1" customWidth="1"/>
    <col min="7940" max="7940" width="11.5703125" customWidth="1"/>
    <col min="7941" max="7941" width="11.7109375" customWidth="1"/>
    <col min="7942" max="7943" width="9.28515625" bestFit="1" customWidth="1"/>
    <col min="7944" max="7944" width="9.85546875" bestFit="1" customWidth="1"/>
    <col min="7945" max="7945" width="11.5703125" customWidth="1"/>
    <col min="7946" max="7946" width="9.28515625" bestFit="1" customWidth="1"/>
    <col min="7947" max="7947" width="9.85546875" bestFit="1" customWidth="1"/>
    <col min="7948" max="7948" width="9.28515625" bestFit="1" customWidth="1"/>
    <col min="7949" max="7949" width="12.28515625" customWidth="1"/>
    <col min="7950" max="7950" width="12.42578125" customWidth="1"/>
    <col min="8193" max="8193" width="23.28515625" customWidth="1"/>
    <col min="8194" max="8195" width="9.28515625" bestFit="1" customWidth="1"/>
    <col min="8196" max="8196" width="11.5703125" customWidth="1"/>
    <col min="8197" max="8197" width="11.7109375" customWidth="1"/>
    <col min="8198" max="8199" width="9.28515625" bestFit="1" customWidth="1"/>
    <col min="8200" max="8200" width="9.85546875" bestFit="1" customWidth="1"/>
    <col min="8201" max="8201" width="11.5703125" customWidth="1"/>
    <col min="8202" max="8202" width="9.28515625" bestFit="1" customWidth="1"/>
    <col min="8203" max="8203" width="9.85546875" bestFit="1" customWidth="1"/>
    <col min="8204" max="8204" width="9.28515625" bestFit="1" customWidth="1"/>
    <col min="8205" max="8205" width="12.28515625" customWidth="1"/>
    <col min="8206" max="8206" width="12.42578125" customWidth="1"/>
    <col min="8449" max="8449" width="23.28515625" customWidth="1"/>
    <col min="8450" max="8451" width="9.28515625" bestFit="1" customWidth="1"/>
    <col min="8452" max="8452" width="11.5703125" customWidth="1"/>
    <col min="8453" max="8453" width="11.7109375" customWidth="1"/>
    <col min="8454" max="8455" width="9.28515625" bestFit="1" customWidth="1"/>
    <col min="8456" max="8456" width="9.85546875" bestFit="1" customWidth="1"/>
    <col min="8457" max="8457" width="11.5703125" customWidth="1"/>
    <col min="8458" max="8458" width="9.28515625" bestFit="1" customWidth="1"/>
    <col min="8459" max="8459" width="9.85546875" bestFit="1" customWidth="1"/>
    <col min="8460" max="8460" width="9.28515625" bestFit="1" customWidth="1"/>
    <col min="8461" max="8461" width="12.28515625" customWidth="1"/>
    <col min="8462" max="8462" width="12.42578125" customWidth="1"/>
    <col min="8705" max="8705" width="23.28515625" customWidth="1"/>
    <col min="8706" max="8707" width="9.28515625" bestFit="1" customWidth="1"/>
    <col min="8708" max="8708" width="11.5703125" customWidth="1"/>
    <col min="8709" max="8709" width="11.7109375" customWidth="1"/>
    <col min="8710" max="8711" width="9.28515625" bestFit="1" customWidth="1"/>
    <col min="8712" max="8712" width="9.85546875" bestFit="1" customWidth="1"/>
    <col min="8713" max="8713" width="11.5703125" customWidth="1"/>
    <col min="8714" max="8714" width="9.28515625" bestFit="1" customWidth="1"/>
    <col min="8715" max="8715" width="9.85546875" bestFit="1" customWidth="1"/>
    <col min="8716" max="8716" width="9.28515625" bestFit="1" customWidth="1"/>
    <col min="8717" max="8717" width="12.28515625" customWidth="1"/>
    <col min="8718" max="8718" width="12.42578125" customWidth="1"/>
    <col min="8961" max="8961" width="23.28515625" customWidth="1"/>
    <col min="8962" max="8963" width="9.28515625" bestFit="1" customWidth="1"/>
    <col min="8964" max="8964" width="11.5703125" customWidth="1"/>
    <col min="8965" max="8965" width="11.7109375" customWidth="1"/>
    <col min="8966" max="8967" width="9.28515625" bestFit="1" customWidth="1"/>
    <col min="8968" max="8968" width="9.85546875" bestFit="1" customWidth="1"/>
    <col min="8969" max="8969" width="11.5703125" customWidth="1"/>
    <col min="8970" max="8970" width="9.28515625" bestFit="1" customWidth="1"/>
    <col min="8971" max="8971" width="9.85546875" bestFit="1" customWidth="1"/>
    <col min="8972" max="8972" width="9.28515625" bestFit="1" customWidth="1"/>
    <col min="8973" max="8973" width="12.28515625" customWidth="1"/>
    <col min="8974" max="8974" width="12.42578125" customWidth="1"/>
    <col min="9217" max="9217" width="23.28515625" customWidth="1"/>
    <col min="9218" max="9219" width="9.28515625" bestFit="1" customWidth="1"/>
    <col min="9220" max="9220" width="11.5703125" customWidth="1"/>
    <col min="9221" max="9221" width="11.7109375" customWidth="1"/>
    <col min="9222" max="9223" width="9.28515625" bestFit="1" customWidth="1"/>
    <col min="9224" max="9224" width="9.85546875" bestFit="1" customWidth="1"/>
    <col min="9225" max="9225" width="11.5703125" customWidth="1"/>
    <col min="9226" max="9226" width="9.28515625" bestFit="1" customWidth="1"/>
    <col min="9227" max="9227" width="9.85546875" bestFit="1" customWidth="1"/>
    <col min="9228" max="9228" width="9.28515625" bestFit="1" customWidth="1"/>
    <col min="9229" max="9229" width="12.28515625" customWidth="1"/>
    <col min="9230" max="9230" width="12.42578125" customWidth="1"/>
    <col min="9473" max="9473" width="23.28515625" customWidth="1"/>
    <col min="9474" max="9475" width="9.28515625" bestFit="1" customWidth="1"/>
    <col min="9476" max="9476" width="11.5703125" customWidth="1"/>
    <col min="9477" max="9477" width="11.7109375" customWidth="1"/>
    <col min="9478" max="9479" width="9.28515625" bestFit="1" customWidth="1"/>
    <col min="9480" max="9480" width="9.85546875" bestFit="1" customWidth="1"/>
    <col min="9481" max="9481" width="11.5703125" customWidth="1"/>
    <col min="9482" max="9482" width="9.28515625" bestFit="1" customWidth="1"/>
    <col min="9483" max="9483" width="9.85546875" bestFit="1" customWidth="1"/>
    <col min="9484" max="9484" width="9.28515625" bestFit="1" customWidth="1"/>
    <col min="9485" max="9485" width="12.28515625" customWidth="1"/>
    <col min="9486" max="9486" width="12.42578125" customWidth="1"/>
    <col min="9729" max="9729" width="23.28515625" customWidth="1"/>
    <col min="9730" max="9731" width="9.28515625" bestFit="1" customWidth="1"/>
    <col min="9732" max="9732" width="11.5703125" customWidth="1"/>
    <col min="9733" max="9733" width="11.7109375" customWidth="1"/>
    <col min="9734" max="9735" width="9.28515625" bestFit="1" customWidth="1"/>
    <col min="9736" max="9736" width="9.85546875" bestFit="1" customWidth="1"/>
    <col min="9737" max="9737" width="11.5703125" customWidth="1"/>
    <col min="9738" max="9738" width="9.28515625" bestFit="1" customWidth="1"/>
    <col min="9739" max="9739" width="9.85546875" bestFit="1" customWidth="1"/>
    <col min="9740" max="9740" width="9.28515625" bestFit="1" customWidth="1"/>
    <col min="9741" max="9741" width="12.28515625" customWidth="1"/>
    <col min="9742" max="9742" width="12.42578125" customWidth="1"/>
    <col min="9985" max="9985" width="23.28515625" customWidth="1"/>
    <col min="9986" max="9987" width="9.28515625" bestFit="1" customWidth="1"/>
    <col min="9988" max="9988" width="11.5703125" customWidth="1"/>
    <col min="9989" max="9989" width="11.7109375" customWidth="1"/>
    <col min="9990" max="9991" width="9.28515625" bestFit="1" customWidth="1"/>
    <col min="9992" max="9992" width="9.85546875" bestFit="1" customWidth="1"/>
    <col min="9993" max="9993" width="11.5703125" customWidth="1"/>
    <col min="9994" max="9994" width="9.28515625" bestFit="1" customWidth="1"/>
    <col min="9995" max="9995" width="9.85546875" bestFit="1" customWidth="1"/>
    <col min="9996" max="9996" width="9.28515625" bestFit="1" customWidth="1"/>
    <col min="9997" max="9997" width="12.28515625" customWidth="1"/>
    <col min="9998" max="9998" width="12.42578125" customWidth="1"/>
    <col min="10241" max="10241" width="23.28515625" customWidth="1"/>
    <col min="10242" max="10243" width="9.28515625" bestFit="1" customWidth="1"/>
    <col min="10244" max="10244" width="11.5703125" customWidth="1"/>
    <col min="10245" max="10245" width="11.7109375" customWidth="1"/>
    <col min="10246" max="10247" width="9.28515625" bestFit="1" customWidth="1"/>
    <col min="10248" max="10248" width="9.85546875" bestFit="1" customWidth="1"/>
    <col min="10249" max="10249" width="11.5703125" customWidth="1"/>
    <col min="10250" max="10250" width="9.28515625" bestFit="1" customWidth="1"/>
    <col min="10251" max="10251" width="9.85546875" bestFit="1" customWidth="1"/>
    <col min="10252" max="10252" width="9.28515625" bestFit="1" customWidth="1"/>
    <col min="10253" max="10253" width="12.28515625" customWidth="1"/>
    <col min="10254" max="10254" width="12.42578125" customWidth="1"/>
    <col min="10497" max="10497" width="23.28515625" customWidth="1"/>
    <col min="10498" max="10499" width="9.28515625" bestFit="1" customWidth="1"/>
    <col min="10500" max="10500" width="11.5703125" customWidth="1"/>
    <col min="10501" max="10501" width="11.7109375" customWidth="1"/>
    <col min="10502" max="10503" width="9.28515625" bestFit="1" customWidth="1"/>
    <col min="10504" max="10504" width="9.85546875" bestFit="1" customWidth="1"/>
    <col min="10505" max="10505" width="11.5703125" customWidth="1"/>
    <col min="10506" max="10506" width="9.28515625" bestFit="1" customWidth="1"/>
    <col min="10507" max="10507" width="9.85546875" bestFit="1" customWidth="1"/>
    <col min="10508" max="10508" width="9.28515625" bestFit="1" customWidth="1"/>
    <col min="10509" max="10509" width="12.28515625" customWidth="1"/>
    <col min="10510" max="10510" width="12.42578125" customWidth="1"/>
    <col min="10753" max="10753" width="23.28515625" customWidth="1"/>
    <col min="10754" max="10755" width="9.28515625" bestFit="1" customWidth="1"/>
    <col min="10756" max="10756" width="11.5703125" customWidth="1"/>
    <col min="10757" max="10757" width="11.7109375" customWidth="1"/>
    <col min="10758" max="10759" width="9.28515625" bestFit="1" customWidth="1"/>
    <col min="10760" max="10760" width="9.85546875" bestFit="1" customWidth="1"/>
    <col min="10761" max="10761" width="11.5703125" customWidth="1"/>
    <col min="10762" max="10762" width="9.28515625" bestFit="1" customWidth="1"/>
    <col min="10763" max="10763" width="9.85546875" bestFit="1" customWidth="1"/>
    <col min="10764" max="10764" width="9.28515625" bestFit="1" customWidth="1"/>
    <col min="10765" max="10765" width="12.28515625" customWidth="1"/>
    <col min="10766" max="10766" width="12.42578125" customWidth="1"/>
    <col min="11009" max="11009" width="23.28515625" customWidth="1"/>
    <col min="11010" max="11011" width="9.28515625" bestFit="1" customWidth="1"/>
    <col min="11012" max="11012" width="11.5703125" customWidth="1"/>
    <col min="11013" max="11013" width="11.7109375" customWidth="1"/>
    <col min="11014" max="11015" width="9.28515625" bestFit="1" customWidth="1"/>
    <col min="11016" max="11016" width="9.85546875" bestFit="1" customWidth="1"/>
    <col min="11017" max="11017" width="11.5703125" customWidth="1"/>
    <col min="11018" max="11018" width="9.28515625" bestFit="1" customWidth="1"/>
    <col min="11019" max="11019" width="9.85546875" bestFit="1" customWidth="1"/>
    <col min="11020" max="11020" width="9.28515625" bestFit="1" customWidth="1"/>
    <col min="11021" max="11021" width="12.28515625" customWidth="1"/>
    <col min="11022" max="11022" width="12.42578125" customWidth="1"/>
    <col min="11265" max="11265" width="23.28515625" customWidth="1"/>
    <col min="11266" max="11267" width="9.28515625" bestFit="1" customWidth="1"/>
    <col min="11268" max="11268" width="11.5703125" customWidth="1"/>
    <col min="11269" max="11269" width="11.7109375" customWidth="1"/>
    <col min="11270" max="11271" width="9.28515625" bestFit="1" customWidth="1"/>
    <col min="11272" max="11272" width="9.85546875" bestFit="1" customWidth="1"/>
    <col min="11273" max="11273" width="11.5703125" customWidth="1"/>
    <col min="11274" max="11274" width="9.28515625" bestFit="1" customWidth="1"/>
    <col min="11275" max="11275" width="9.85546875" bestFit="1" customWidth="1"/>
    <col min="11276" max="11276" width="9.28515625" bestFit="1" customWidth="1"/>
    <col min="11277" max="11277" width="12.28515625" customWidth="1"/>
    <col min="11278" max="11278" width="12.42578125" customWidth="1"/>
    <col min="11521" max="11521" width="23.28515625" customWidth="1"/>
    <col min="11522" max="11523" width="9.28515625" bestFit="1" customWidth="1"/>
    <col min="11524" max="11524" width="11.5703125" customWidth="1"/>
    <col min="11525" max="11525" width="11.7109375" customWidth="1"/>
    <col min="11526" max="11527" width="9.28515625" bestFit="1" customWidth="1"/>
    <col min="11528" max="11528" width="9.85546875" bestFit="1" customWidth="1"/>
    <col min="11529" max="11529" width="11.5703125" customWidth="1"/>
    <col min="11530" max="11530" width="9.28515625" bestFit="1" customWidth="1"/>
    <col min="11531" max="11531" width="9.85546875" bestFit="1" customWidth="1"/>
    <col min="11532" max="11532" width="9.28515625" bestFit="1" customWidth="1"/>
    <col min="11533" max="11533" width="12.28515625" customWidth="1"/>
    <col min="11534" max="11534" width="12.42578125" customWidth="1"/>
    <col min="11777" max="11777" width="23.28515625" customWidth="1"/>
    <col min="11778" max="11779" width="9.28515625" bestFit="1" customWidth="1"/>
    <col min="11780" max="11780" width="11.5703125" customWidth="1"/>
    <col min="11781" max="11781" width="11.7109375" customWidth="1"/>
    <col min="11782" max="11783" width="9.28515625" bestFit="1" customWidth="1"/>
    <col min="11784" max="11784" width="9.85546875" bestFit="1" customWidth="1"/>
    <col min="11785" max="11785" width="11.5703125" customWidth="1"/>
    <col min="11786" max="11786" width="9.28515625" bestFit="1" customWidth="1"/>
    <col min="11787" max="11787" width="9.85546875" bestFit="1" customWidth="1"/>
    <col min="11788" max="11788" width="9.28515625" bestFit="1" customWidth="1"/>
    <col min="11789" max="11789" width="12.28515625" customWidth="1"/>
    <col min="11790" max="11790" width="12.42578125" customWidth="1"/>
    <col min="12033" max="12033" width="23.28515625" customWidth="1"/>
    <col min="12034" max="12035" width="9.28515625" bestFit="1" customWidth="1"/>
    <col min="12036" max="12036" width="11.5703125" customWidth="1"/>
    <col min="12037" max="12037" width="11.7109375" customWidth="1"/>
    <col min="12038" max="12039" width="9.28515625" bestFit="1" customWidth="1"/>
    <col min="12040" max="12040" width="9.85546875" bestFit="1" customWidth="1"/>
    <col min="12041" max="12041" width="11.5703125" customWidth="1"/>
    <col min="12042" max="12042" width="9.28515625" bestFit="1" customWidth="1"/>
    <col min="12043" max="12043" width="9.85546875" bestFit="1" customWidth="1"/>
    <col min="12044" max="12044" width="9.28515625" bestFit="1" customWidth="1"/>
    <col min="12045" max="12045" width="12.28515625" customWidth="1"/>
    <col min="12046" max="12046" width="12.42578125" customWidth="1"/>
    <col min="12289" max="12289" width="23.28515625" customWidth="1"/>
    <col min="12290" max="12291" width="9.28515625" bestFit="1" customWidth="1"/>
    <col min="12292" max="12292" width="11.5703125" customWidth="1"/>
    <col min="12293" max="12293" width="11.7109375" customWidth="1"/>
    <col min="12294" max="12295" width="9.28515625" bestFit="1" customWidth="1"/>
    <col min="12296" max="12296" width="9.85546875" bestFit="1" customWidth="1"/>
    <col min="12297" max="12297" width="11.5703125" customWidth="1"/>
    <col min="12298" max="12298" width="9.28515625" bestFit="1" customWidth="1"/>
    <col min="12299" max="12299" width="9.85546875" bestFit="1" customWidth="1"/>
    <col min="12300" max="12300" width="9.28515625" bestFit="1" customWidth="1"/>
    <col min="12301" max="12301" width="12.28515625" customWidth="1"/>
    <col min="12302" max="12302" width="12.42578125" customWidth="1"/>
    <col min="12545" max="12545" width="23.28515625" customWidth="1"/>
    <col min="12546" max="12547" width="9.28515625" bestFit="1" customWidth="1"/>
    <col min="12548" max="12548" width="11.5703125" customWidth="1"/>
    <col min="12549" max="12549" width="11.7109375" customWidth="1"/>
    <col min="12550" max="12551" width="9.28515625" bestFit="1" customWidth="1"/>
    <col min="12552" max="12552" width="9.85546875" bestFit="1" customWidth="1"/>
    <col min="12553" max="12553" width="11.5703125" customWidth="1"/>
    <col min="12554" max="12554" width="9.28515625" bestFit="1" customWidth="1"/>
    <col min="12555" max="12555" width="9.85546875" bestFit="1" customWidth="1"/>
    <col min="12556" max="12556" width="9.28515625" bestFit="1" customWidth="1"/>
    <col min="12557" max="12557" width="12.28515625" customWidth="1"/>
    <col min="12558" max="12558" width="12.42578125" customWidth="1"/>
    <col min="12801" max="12801" width="23.28515625" customWidth="1"/>
    <col min="12802" max="12803" width="9.28515625" bestFit="1" customWidth="1"/>
    <col min="12804" max="12804" width="11.5703125" customWidth="1"/>
    <col min="12805" max="12805" width="11.7109375" customWidth="1"/>
    <col min="12806" max="12807" width="9.28515625" bestFit="1" customWidth="1"/>
    <col min="12808" max="12808" width="9.85546875" bestFit="1" customWidth="1"/>
    <col min="12809" max="12809" width="11.5703125" customWidth="1"/>
    <col min="12810" max="12810" width="9.28515625" bestFit="1" customWidth="1"/>
    <col min="12811" max="12811" width="9.85546875" bestFit="1" customWidth="1"/>
    <col min="12812" max="12812" width="9.28515625" bestFit="1" customWidth="1"/>
    <col min="12813" max="12813" width="12.28515625" customWidth="1"/>
    <col min="12814" max="12814" width="12.42578125" customWidth="1"/>
    <col min="13057" max="13057" width="23.28515625" customWidth="1"/>
    <col min="13058" max="13059" width="9.28515625" bestFit="1" customWidth="1"/>
    <col min="13060" max="13060" width="11.5703125" customWidth="1"/>
    <col min="13061" max="13061" width="11.7109375" customWidth="1"/>
    <col min="13062" max="13063" width="9.28515625" bestFit="1" customWidth="1"/>
    <col min="13064" max="13064" width="9.85546875" bestFit="1" customWidth="1"/>
    <col min="13065" max="13065" width="11.5703125" customWidth="1"/>
    <col min="13066" max="13066" width="9.28515625" bestFit="1" customWidth="1"/>
    <col min="13067" max="13067" width="9.85546875" bestFit="1" customWidth="1"/>
    <col min="13068" max="13068" width="9.28515625" bestFit="1" customWidth="1"/>
    <col min="13069" max="13069" width="12.28515625" customWidth="1"/>
    <col min="13070" max="13070" width="12.42578125" customWidth="1"/>
    <col min="13313" max="13313" width="23.28515625" customWidth="1"/>
    <col min="13314" max="13315" width="9.28515625" bestFit="1" customWidth="1"/>
    <col min="13316" max="13316" width="11.5703125" customWidth="1"/>
    <col min="13317" max="13317" width="11.7109375" customWidth="1"/>
    <col min="13318" max="13319" width="9.28515625" bestFit="1" customWidth="1"/>
    <col min="13320" max="13320" width="9.85546875" bestFit="1" customWidth="1"/>
    <col min="13321" max="13321" width="11.5703125" customWidth="1"/>
    <col min="13322" max="13322" width="9.28515625" bestFit="1" customWidth="1"/>
    <col min="13323" max="13323" width="9.85546875" bestFit="1" customWidth="1"/>
    <col min="13324" max="13324" width="9.28515625" bestFit="1" customWidth="1"/>
    <col min="13325" max="13325" width="12.28515625" customWidth="1"/>
    <col min="13326" max="13326" width="12.42578125" customWidth="1"/>
    <col min="13569" max="13569" width="23.28515625" customWidth="1"/>
    <col min="13570" max="13571" width="9.28515625" bestFit="1" customWidth="1"/>
    <col min="13572" max="13572" width="11.5703125" customWidth="1"/>
    <col min="13573" max="13573" width="11.7109375" customWidth="1"/>
    <col min="13574" max="13575" width="9.28515625" bestFit="1" customWidth="1"/>
    <col min="13576" max="13576" width="9.85546875" bestFit="1" customWidth="1"/>
    <col min="13577" max="13577" width="11.5703125" customWidth="1"/>
    <col min="13578" max="13578" width="9.28515625" bestFit="1" customWidth="1"/>
    <col min="13579" max="13579" width="9.85546875" bestFit="1" customWidth="1"/>
    <col min="13580" max="13580" width="9.28515625" bestFit="1" customWidth="1"/>
    <col min="13581" max="13581" width="12.28515625" customWidth="1"/>
    <col min="13582" max="13582" width="12.42578125" customWidth="1"/>
    <col min="13825" max="13825" width="23.28515625" customWidth="1"/>
    <col min="13826" max="13827" width="9.28515625" bestFit="1" customWidth="1"/>
    <col min="13828" max="13828" width="11.5703125" customWidth="1"/>
    <col min="13829" max="13829" width="11.7109375" customWidth="1"/>
    <col min="13830" max="13831" width="9.28515625" bestFit="1" customWidth="1"/>
    <col min="13832" max="13832" width="9.85546875" bestFit="1" customWidth="1"/>
    <col min="13833" max="13833" width="11.5703125" customWidth="1"/>
    <col min="13834" max="13834" width="9.28515625" bestFit="1" customWidth="1"/>
    <col min="13835" max="13835" width="9.85546875" bestFit="1" customWidth="1"/>
    <col min="13836" max="13836" width="9.28515625" bestFit="1" customWidth="1"/>
    <col min="13837" max="13837" width="12.28515625" customWidth="1"/>
    <col min="13838" max="13838" width="12.42578125" customWidth="1"/>
    <col min="14081" max="14081" width="23.28515625" customWidth="1"/>
    <col min="14082" max="14083" width="9.28515625" bestFit="1" customWidth="1"/>
    <col min="14084" max="14084" width="11.5703125" customWidth="1"/>
    <col min="14085" max="14085" width="11.7109375" customWidth="1"/>
    <col min="14086" max="14087" width="9.28515625" bestFit="1" customWidth="1"/>
    <col min="14088" max="14088" width="9.85546875" bestFit="1" customWidth="1"/>
    <col min="14089" max="14089" width="11.5703125" customWidth="1"/>
    <col min="14090" max="14090" width="9.28515625" bestFit="1" customWidth="1"/>
    <col min="14091" max="14091" width="9.85546875" bestFit="1" customWidth="1"/>
    <col min="14092" max="14092" width="9.28515625" bestFit="1" customWidth="1"/>
    <col min="14093" max="14093" width="12.28515625" customWidth="1"/>
    <col min="14094" max="14094" width="12.42578125" customWidth="1"/>
    <col min="14337" max="14337" width="23.28515625" customWidth="1"/>
    <col min="14338" max="14339" width="9.28515625" bestFit="1" customWidth="1"/>
    <col min="14340" max="14340" width="11.5703125" customWidth="1"/>
    <col min="14341" max="14341" width="11.7109375" customWidth="1"/>
    <col min="14342" max="14343" width="9.28515625" bestFit="1" customWidth="1"/>
    <col min="14344" max="14344" width="9.85546875" bestFit="1" customWidth="1"/>
    <col min="14345" max="14345" width="11.5703125" customWidth="1"/>
    <col min="14346" max="14346" width="9.28515625" bestFit="1" customWidth="1"/>
    <col min="14347" max="14347" width="9.85546875" bestFit="1" customWidth="1"/>
    <col min="14348" max="14348" width="9.28515625" bestFit="1" customWidth="1"/>
    <col min="14349" max="14349" width="12.28515625" customWidth="1"/>
    <col min="14350" max="14350" width="12.42578125" customWidth="1"/>
    <col min="14593" max="14593" width="23.28515625" customWidth="1"/>
    <col min="14594" max="14595" width="9.28515625" bestFit="1" customWidth="1"/>
    <col min="14596" max="14596" width="11.5703125" customWidth="1"/>
    <col min="14597" max="14597" width="11.7109375" customWidth="1"/>
    <col min="14598" max="14599" width="9.28515625" bestFit="1" customWidth="1"/>
    <col min="14600" max="14600" width="9.85546875" bestFit="1" customWidth="1"/>
    <col min="14601" max="14601" width="11.5703125" customWidth="1"/>
    <col min="14602" max="14602" width="9.28515625" bestFit="1" customWidth="1"/>
    <col min="14603" max="14603" width="9.85546875" bestFit="1" customWidth="1"/>
    <col min="14604" max="14604" width="9.28515625" bestFit="1" customWidth="1"/>
    <col min="14605" max="14605" width="12.28515625" customWidth="1"/>
    <col min="14606" max="14606" width="12.42578125" customWidth="1"/>
    <col min="14849" max="14849" width="23.28515625" customWidth="1"/>
    <col min="14850" max="14851" width="9.28515625" bestFit="1" customWidth="1"/>
    <col min="14852" max="14852" width="11.5703125" customWidth="1"/>
    <col min="14853" max="14853" width="11.7109375" customWidth="1"/>
    <col min="14854" max="14855" width="9.28515625" bestFit="1" customWidth="1"/>
    <col min="14856" max="14856" width="9.85546875" bestFit="1" customWidth="1"/>
    <col min="14857" max="14857" width="11.5703125" customWidth="1"/>
    <col min="14858" max="14858" width="9.28515625" bestFit="1" customWidth="1"/>
    <col min="14859" max="14859" width="9.85546875" bestFit="1" customWidth="1"/>
    <col min="14860" max="14860" width="9.28515625" bestFit="1" customWidth="1"/>
    <col min="14861" max="14861" width="12.28515625" customWidth="1"/>
    <col min="14862" max="14862" width="12.42578125" customWidth="1"/>
    <col min="15105" max="15105" width="23.28515625" customWidth="1"/>
    <col min="15106" max="15107" width="9.28515625" bestFit="1" customWidth="1"/>
    <col min="15108" max="15108" width="11.5703125" customWidth="1"/>
    <col min="15109" max="15109" width="11.7109375" customWidth="1"/>
    <col min="15110" max="15111" width="9.28515625" bestFit="1" customWidth="1"/>
    <col min="15112" max="15112" width="9.85546875" bestFit="1" customWidth="1"/>
    <col min="15113" max="15113" width="11.5703125" customWidth="1"/>
    <col min="15114" max="15114" width="9.28515625" bestFit="1" customWidth="1"/>
    <col min="15115" max="15115" width="9.85546875" bestFit="1" customWidth="1"/>
    <col min="15116" max="15116" width="9.28515625" bestFit="1" customWidth="1"/>
    <col min="15117" max="15117" width="12.28515625" customWidth="1"/>
    <col min="15118" max="15118" width="12.42578125" customWidth="1"/>
    <col min="15361" max="15361" width="23.28515625" customWidth="1"/>
    <col min="15362" max="15363" width="9.28515625" bestFit="1" customWidth="1"/>
    <col min="15364" max="15364" width="11.5703125" customWidth="1"/>
    <col min="15365" max="15365" width="11.7109375" customWidth="1"/>
    <col min="15366" max="15367" width="9.28515625" bestFit="1" customWidth="1"/>
    <col min="15368" max="15368" width="9.85546875" bestFit="1" customWidth="1"/>
    <col min="15369" max="15369" width="11.5703125" customWidth="1"/>
    <col min="15370" max="15370" width="9.28515625" bestFit="1" customWidth="1"/>
    <col min="15371" max="15371" width="9.85546875" bestFit="1" customWidth="1"/>
    <col min="15372" max="15372" width="9.28515625" bestFit="1" customWidth="1"/>
    <col min="15373" max="15373" width="12.28515625" customWidth="1"/>
    <col min="15374" max="15374" width="12.42578125" customWidth="1"/>
    <col min="15617" max="15617" width="23.28515625" customWidth="1"/>
    <col min="15618" max="15619" width="9.28515625" bestFit="1" customWidth="1"/>
    <col min="15620" max="15620" width="11.5703125" customWidth="1"/>
    <col min="15621" max="15621" width="11.7109375" customWidth="1"/>
    <col min="15622" max="15623" width="9.28515625" bestFit="1" customWidth="1"/>
    <col min="15624" max="15624" width="9.85546875" bestFit="1" customWidth="1"/>
    <col min="15625" max="15625" width="11.5703125" customWidth="1"/>
    <col min="15626" max="15626" width="9.28515625" bestFit="1" customWidth="1"/>
    <col min="15627" max="15627" width="9.85546875" bestFit="1" customWidth="1"/>
    <col min="15628" max="15628" width="9.28515625" bestFit="1" customWidth="1"/>
    <col min="15629" max="15629" width="12.28515625" customWidth="1"/>
    <col min="15630" max="15630" width="12.42578125" customWidth="1"/>
    <col min="15873" max="15873" width="23.28515625" customWidth="1"/>
    <col min="15874" max="15875" width="9.28515625" bestFit="1" customWidth="1"/>
    <col min="15876" max="15876" width="11.5703125" customWidth="1"/>
    <col min="15877" max="15877" width="11.7109375" customWidth="1"/>
    <col min="15878" max="15879" width="9.28515625" bestFit="1" customWidth="1"/>
    <col min="15880" max="15880" width="9.85546875" bestFit="1" customWidth="1"/>
    <col min="15881" max="15881" width="11.5703125" customWidth="1"/>
    <col min="15882" max="15882" width="9.28515625" bestFit="1" customWidth="1"/>
    <col min="15883" max="15883" width="9.85546875" bestFit="1" customWidth="1"/>
    <col min="15884" max="15884" width="9.28515625" bestFit="1" customWidth="1"/>
    <col min="15885" max="15885" width="12.28515625" customWidth="1"/>
    <col min="15886" max="15886" width="12.42578125" customWidth="1"/>
    <col min="16129" max="16129" width="23.28515625" customWidth="1"/>
    <col min="16130" max="16131" width="9.28515625" bestFit="1" customWidth="1"/>
    <col min="16132" max="16132" width="11.5703125" customWidth="1"/>
    <col min="16133" max="16133" width="11.7109375" customWidth="1"/>
    <col min="16134" max="16135" width="9.28515625" bestFit="1" customWidth="1"/>
    <col min="16136" max="16136" width="9.85546875" bestFit="1" customWidth="1"/>
    <col min="16137" max="16137" width="11.5703125" customWidth="1"/>
    <col min="16138" max="16138" width="9.28515625" bestFit="1" customWidth="1"/>
    <col min="16139" max="16139" width="9.85546875" bestFit="1" customWidth="1"/>
    <col min="16140" max="16140" width="9.28515625" bestFit="1" customWidth="1"/>
    <col min="16141" max="16141" width="12.28515625" customWidth="1"/>
    <col min="16142" max="16142" width="12.42578125" customWidth="1"/>
  </cols>
  <sheetData>
    <row r="1" spans="1:14" s="8" customFormat="1" ht="15.75">
      <c r="A1" s="954" t="s">
        <v>826</v>
      </c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</row>
    <row r="2" spans="1:14" s="8" customFormat="1" ht="15.75">
      <c r="A2" s="954" t="s">
        <v>827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</row>
    <row r="3" spans="1:14" s="8" customFormat="1">
      <c r="A3" s="808" t="s">
        <v>4176</v>
      </c>
      <c r="B3" s="808"/>
      <c r="C3" s="808"/>
    </row>
    <row r="4" spans="1:14" s="8" customFormat="1">
      <c r="A4" s="9" t="s">
        <v>828</v>
      </c>
      <c r="B4" s="945" t="s">
        <v>878</v>
      </c>
      <c r="C4" s="945"/>
      <c r="D4" s="945"/>
      <c r="E4" s="945" t="s">
        <v>830</v>
      </c>
      <c r="F4" s="945"/>
      <c r="G4" s="945">
        <v>902010102</v>
      </c>
      <c r="H4" s="945"/>
      <c r="I4" s="9" t="s">
        <v>5</v>
      </c>
      <c r="J4" s="9"/>
      <c r="K4" s="9">
        <v>569.50800000000004</v>
      </c>
      <c r="L4" s="9" t="s">
        <v>831</v>
      </c>
      <c r="M4" s="9"/>
      <c r="N4" s="9">
        <v>80</v>
      </c>
    </row>
    <row r="5" spans="1:14" s="8" customForma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</row>
    <row r="6" spans="1:14" s="8" customFormat="1">
      <c r="A6" s="9" t="s">
        <v>832</v>
      </c>
      <c r="B6" s="945" t="s">
        <v>879</v>
      </c>
      <c r="C6" s="945"/>
      <c r="D6" s="945"/>
      <c r="E6" s="945" t="s">
        <v>176</v>
      </c>
      <c r="F6" s="945"/>
      <c r="G6" s="945" t="s">
        <v>880</v>
      </c>
      <c r="H6" s="945"/>
      <c r="I6" s="945"/>
      <c r="J6" s="11"/>
      <c r="K6" s="11"/>
      <c r="L6" s="11"/>
      <c r="M6" s="11"/>
      <c r="N6" s="11"/>
    </row>
    <row r="7" spans="1:14" s="8" customFormat="1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8" customFormat="1" ht="20.45" customHeight="1">
      <c r="A8" s="9" t="s">
        <v>835</v>
      </c>
      <c r="B8" s="945" t="s">
        <v>881</v>
      </c>
      <c r="C8" s="945"/>
      <c r="D8" s="945"/>
      <c r="E8" s="958" t="s">
        <v>882</v>
      </c>
      <c r="F8" s="958"/>
      <c r="G8" s="958"/>
      <c r="H8" s="958"/>
      <c r="I8" s="958"/>
      <c r="J8" s="958"/>
      <c r="K8" s="958"/>
      <c r="L8" s="11"/>
      <c r="M8" s="11"/>
      <c r="N8" s="11"/>
    </row>
    <row r="9" spans="1:14" s="8" customFormat="1">
      <c r="A9" s="11"/>
      <c r="B9" s="11"/>
      <c r="C9" s="11"/>
      <c r="D9" s="11"/>
      <c r="E9" s="11"/>
      <c r="F9" s="11"/>
      <c r="G9" s="12"/>
      <c r="H9" s="12"/>
      <c r="I9" s="12"/>
      <c r="J9" s="12"/>
      <c r="K9" s="12"/>
      <c r="L9" s="11"/>
      <c r="M9" s="11"/>
      <c r="N9" s="11"/>
    </row>
    <row r="10" spans="1:14" s="8" customForma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8" customFormat="1">
      <c r="A11" s="9" t="s">
        <v>838</v>
      </c>
      <c r="B11" s="945" t="s">
        <v>883</v>
      </c>
      <c r="C11" s="945"/>
      <c r="D11" s="945"/>
      <c r="E11" s="945"/>
      <c r="F11" s="945"/>
      <c r="G11" s="945"/>
      <c r="H11" s="945"/>
      <c r="I11" s="945"/>
      <c r="J11" s="945"/>
      <c r="K11" s="945"/>
      <c r="L11" s="945"/>
      <c r="M11" s="945"/>
      <c r="N11" s="11"/>
    </row>
    <row r="12" spans="1:14" s="8" customFormat="1">
      <c r="A12" s="9" t="s">
        <v>840</v>
      </c>
      <c r="B12" s="945" t="s">
        <v>884</v>
      </c>
      <c r="C12" s="945"/>
      <c r="D12" s="945" t="s">
        <v>885</v>
      </c>
      <c r="E12" s="945"/>
      <c r="F12" s="945"/>
      <c r="G12" s="945" t="s">
        <v>886</v>
      </c>
      <c r="H12" s="945"/>
      <c r="I12" s="945"/>
      <c r="J12" s="945" t="s">
        <v>887</v>
      </c>
      <c r="K12" s="945"/>
      <c r="L12" s="945"/>
      <c r="M12" s="945"/>
      <c r="N12" s="11"/>
    </row>
    <row r="13" spans="1:14" s="8" customFormat="1">
      <c r="A13" s="9" t="s">
        <v>844</v>
      </c>
      <c r="B13" s="942" t="s">
        <v>888</v>
      </c>
      <c r="C13" s="943"/>
      <c r="D13" s="942" t="s">
        <v>889</v>
      </c>
      <c r="E13" s="943"/>
      <c r="F13" s="944"/>
      <c r="G13" s="945" t="s">
        <v>890</v>
      </c>
      <c r="H13" s="945"/>
      <c r="I13" s="945"/>
      <c r="J13" s="945" t="s">
        <v>891</v>
      </c>
      <c r="K13" s="945"/>
      <c r="L13" s="945"/>
      <c r="M13" s="945"/>
      <c r="N13" s="11"/>
    </row>
    <row r="14" spans="1:14" s="8" customFormat="1">
      <c r="A14" s="9"/>
      <c r="B14" s="942" t="s">
        <v>892</v>
      </c>
      <c r="C14" s="943"/>
      <c r="D14" s="526"/>
      <c r="E14" s="527"/>
      <c r="F14" s="528"/>
      <c r="G14" s="529"/>
      <c r="H14" s="529"/>
      <c r="I14" s="529"/>
      <c r="J14" s="529"/>
      <c r="K14" s="529"/>
      <c r="L14" s="529"/>
      <c r="M14" s="529"/>
      <c r="N14" s="11"/>
    </row>
    <row r="15" spans="1:14" s="8" customFormat="1">
      <c r="A15" s="9" t="s">
        <v>850</v>
      </c>
      <c r="B15" s="945" t="s">
        <v>893</v>
      </c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5"/>
      <c r="N15" s="11"/>
    </row>
    <row r="16" spans="1:14" s="8" customForma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</row>
    <row r="17" spans="1:14" s="8" customFormat="1" ht="12" customHeight="1">
      <c r="A17" s="9" t="s">
        <v>852</v>
      </c>
      <c r="B17" s="9">
        <v>5</v>
      </c>
      <c r="C17" s="955" t="s">
        <v>853</v>
      </c>
      <c r="D17" s="956"/>
      <c r="E17" s="957"/>
      <c r="F17" s="13">
        <v>5</v>
      </c>
      <c r="G17" s="9" t="s">
        <v>643</v>
      </c>
      <c r="H17" s="529">
        <v>8</v>
      </c>
      <c r="I17" s="9" t="s">
        <v>644</v>
      </c>
      <c r="J17" s="9">
        <v>1</v>
      </c>
      <c r="K17" s="9" t="s">
        <v>645</v>
      </c>
      <c r="L17" s="9">
        <v>12</v>
      </c>
      <c r="M17" s="11"/>
      <c r="N17" s="11"/>
    </row>
    <row r="18" spans="1:14" s="8" customForma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</row>
    <row r="19" spans="1:14" s="8" customForma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</row>
    <row r="20" spans="1:14" s="8" customFormat="1">
      <c r="A20" s="9" t="s">
        <v>854</v>
      </c>
      <c r="B20" s="9" t="s">
        <v>204</v>
      </c>
      <c r="C20" s="9">
        <v>138</v>
      </c>
      <c r="D20" s="9" t="s">
        <v>205</v>
      </c>
      <c r="E20" s="9"/>
      <c r="F20" s="15" t="s">
        <v>206</v>
      </c>
      <c r="G20" s="9"/>
      <c r="H20" s="9" t="s">
        <v>230</v>
      </c>
      <c r="I20" s="9">
        <v>138</v>
      </c>
      <c r="J20" s="9" t="s">
        <v>207</v>
      </c>
      <c r="K20" s="9">
        <v>31</v>
      </c>
      <c r="L20" s="9" t="s">
        <v>855</v>
      </c>
      <c r="M20" s="9"/>
      <c r="N20" s="9">
        <v>27</v>
      </c>
    </row>
    <row r="21" spans="1:14" s="8" customFormat="1">
      <c r="A21" s="9" t="s">
        <v>209</v>
      </c>
      <c r="B21" s="9" t="s">
        <v>210</v>
      </c>
      <c r="C21" s="9">
        <v>403</v>
      </c>
      <c r="D21" s="9" t="s">
        <v>211</v>
      </c>
      <c r="E21" s="9"/>
      <c r="F21" s="15" t="s">
        <v>212</v>
      </c>
      <c r="G21" s="9"/>
      <c r="H21" s="9" t="s">
        <v>411</v>
      </c>
      <c r="I21" s="9">
        <f>C21</f>
        <v>403</v>
      </c>
      <c r="J21" s="9" t="s">
        <v>856</v>
      </c>
      <c r="K21" s="9">
        <v>63</v>
      </c>
      <c r="L21" s="9" t="s">
        <v>857</v>
      </c>
      <c r="M21" s="9">
        <v>3</v>
      </c>
      <c r="N21" s="11"/>
    </row>
    <row r="22" spans="1:14" s="8" customFormat="1">
      <c r="A22" s="11"/>
      <c r="B22" s="9" t="s">
        <v>858</v>
      </c>
      <c r="C22" s="9">
        <v>349</v>
      </c>
      <c r="D22" s="9" t="s">
        <v>214</v>
      </c>
      <c r="E22" s="9"/>
      <c r="F22" s="9" t="s">
        <v>215</v>
      </c>
      <c r="G22" s="9"/>
      <c r="H22" s="9" t="s">
        <v>410</v>
      </c>
      <c r="I22" s="9">
        <f>C22</f>
        <v>349</v>
      </c>
      <c r="J22" s="9" t="s">
        <v>859</v>
      </c>
      <c r="K22" s="9">
        <v>72</v>
      </c>
      <c r="L22" s="9" t="s">
        <v>860</v>
      </c>
      <c r="M22" s="9">
        <f>C20-(K21+K22+M21)</f>
        <v>0</v>
      </c>
      <c r="N22" s="11"/>
    </row>
    <row r="23" spans="1:14" s="8" customForma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</row>
    <row r="24" spans="1:14" s="8" customFormat="1">
      <c r="A24" s="16" t="s">
        <v>216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</row>
    <row r="25" spans="1:14" s="8" customFormat="1" ht="30" customHeight="1">
      <c r="A25" s="946" t="s">
        <v>861</v>
      </c>
      <c r="B25" s="948" t="s">
        <v>862</v>
      </c>
      <c r="C25" s="948" t="s">
        <v>219</v>
      </c>
      <c r="D25" s="948" t="s">
        <v>863</v>
      </c>
      <c r="E25" s="948" t="s">
        <v>864</v>
      </c>
      <c r="F25" s="942" t="s">
        <v>865</v>
      </c>
      <c r="G25" s="943"/>
      <c r="H25" s="943"/>
      <c r="I25" s="943"/>
      <c r="J25" s="943"/>
      <c r="K25" s="943"/>
      <c r="L25" s="943"/>
      <c r="M25" s="943"/>
      <c r="N25" s="944"/>
    </row>
    <row r="26" spans="1:14" s="8" customFormat="1" ht="38.450000000000003" customHeight="1">
      <c r="A26" s="947"/>
      <c r="B26" s="949"/>
      <c r="C26" s="949"/>
      <c r="D26" s="949"/>
      <c r="E26" s="949"/>
      <c r="F26" s="17" t="s">
        <v>866</v>
      </c>
      <c r="G26" s="17" t="s">
        <v>867</v>
      </c>
      <c r="H26" s="17" t="s">
        <v>868</v>
      </c>
      <c r="I26" s="17" t="s">
        <v>869</v>
      </c>
      <c r="J26" s="17" t="s">
        <v>870</v>
      </c>
      <c r="K26" s="17" t="s">
        <v>871</v>
      </c>
      <c r="L26" s="17" t="s">
        <v>872</v>
      </c>
      <c r="M26" s="17" t="s">
        <v>230</v>
      </c>
      <c r="N26" s="17" t="s">
        <v>231</v>
      </c>
    </row>
    <row r="27" spans="1:14" s="8" customFormat="1">
      <c r="A27" s="9" t="s">
        <v>232</v>
      </c>
      <c r="B27" s="9">
        <v>8000</v>
      </c>
      <c r="C27" s="18" t="s">
        <v>873</v>
      </c>
      <c r="D27" s="19">
        <f>ROUND((B27*K4),0)/100000</f>
        <v>45.560639999999999</v>
      </c>
      <c r="E27" s="20">
        <f>4556064/100000</f>
        <v>45.560639999999999</v>
      </c>
      <c r="F27" s="27">
        <f>24362/100000</f>
        <v>0.24362</v>
      </c>
      <c r="G27" s="27">
        <f>765517/100000</f>
        <v>7.65517</v>
      </c>
      <c r="H27" s="27">
        <f>822576/100000</f>
        <v>8.2257599999999993</v>
      </c>
      <c r="I27" s="27">
        <f>2192131/100000</f>
        <v>21.921309999999998</v>
      </c>
      <c r="J27" s="27">
        <f>604621/100000</f>
        <v>6.0462100000000003</v>
      </c>
      <c r="K27" s="27">
        <f>158770/100000</f>
        <v>1.5876999999999999</v>
      </c>
      <c r="L27" s="27"/>
      <c r="M27" s="34">
        <f t="shared" ref="M27:M34" si="0">SUM(F27:L27)</f>
        <v>45.679769999999998</v>
      </c>
      <c r="N27" s="27">
        <f>+M27*100/E27</f>
        <v>100.26147569481026</v>
      </c>
    </row>
    <row r="28" spans="1:14" s="8" customFormat="1">
      <c r="A28" s="9" t="s">
        <v>874</v>
      </c>
      <c r="B28" s="9">
        <v>7000</v>
      </c>
      <c r="C28" s="18" t="s">
        <v>873</v>
      </c>
      <c r="D28" s="19">
        <f>ROUND((B28*N4),0)/100000</f>
        <v>5.6</v>
      </c>
      <c r="E28" s="20">
        <f>560000/100000</f>
        <v>5.6</v>
      </c>
      <c r="F28" s="27"/>
      <c r="G28" s="27"/>
      <c r="H28" s="27"/>
      <c r="I28" s="27">
        <f>188500/100000</f>
        <v>1.885</v>
      </c>
      <c r="J28" s="27">
        <f>97864/100000</f>
        <v>0.97863999999999995</v>
      </c>
      <c r="K28" s="27">
        <f>271620/100000</f>
        <v>2.7162000000000002</v>
      </c>
      <c r="L28" s="27"/>
      <c r="M28" s="34">
        <f t="shared" si="0"/>
        <v>5.5798400000000008</v>
      </c>
      <c r="N28" s="27">
        <f t="shared" ref="N28:N33" si="1">+M28*100/E28</f>
        <v>99.640000000000015</v>
      </c>
    </row>
    <row r="29" spans="1:14" s="8" customFormat="1">
      <c r="A29" s="9" t="s">
        <v>235</v>
      </c>
      <c r="B29" s="9">
        <v>43000</v>
      </c>
      <c r="C29" s="529" t="s">
        <v>236</v>
      </c>
      <c r="D29" s="19">
        <f>143000/100000</f>
        <v>1.43</v>
      </c>
      <c r="E29" s="20">
        <f>63000/100000</f>
        <v>0.63</v>
      </c>
      <c r="F29" s="27"/>
      <c r="G29" s="27"/>
      <c r="H29" s="27"/>
      <c r="I29" s="27">
        <f>43000/100000</f>
        <v>0.43</v>
      </c>
      <c r="J29" s="27">
        <f>-34670/100000</f>
        <v>-0.34670000000000001</v>
      </c>
      <c r="K29" s="27"/>
      <c r="L29" s="27"/>
      <c r="M29" s="34">
        <f t="shared" si="0"/>
        <v>8.3299999999999985E-2</v>
      </c>
      <c r="N29" s="27">
        <f t="shared" si="1"/>
        <v>13.22222222222222</v>
      </c>
    </row>
    <row r="30" spans="1:14" s="8" customFormat="1">
      <c r="A30" s="9" t="s">
        <v>875</v>
      </c>
      <c r="B30" s="9">
        <v>34000</v>
      </c>
      <c r="C30" s="529" t="s">
        <v>236</v>
      </c>
      <c r="D30" s="19">
        <f>34000/100000</f>
        <v>0.34</v>
      </c>
      <c r="E30" s="20">
        <f>34000/100000</f>
        <v>0.34</v>
      </c>
      <c r="F30" s="27"/>
      <c r="G30" s="27"/>
      <c r="H30" s="27"/>
      <c r="I30" s="27">
        <f>34000/100000</f>
        <v>0.34</v>
      </c>
      <c r="J30" s="27">
        <f>-2800/100000</f>
        <v>-2.8000000000000001E-2</v>
      </c>
      <c r="K30" s="27">
        <f>2800/100000</f>
        <v>2.8000000000000001E-2</v>
      </c>
      <c r="L30" s="27"/>
      <c r="M30" s="34">
        <f t="shared" si="0"/>
        <v>0.34</v>
      </c>
      <c r="N30" s="27">
        <f t="shared" si="1"/>
        <v>99.999999999999986</v>
      </c>
    </row>
    <row r="31" spans="1:14" s="8" customFormat="1">
      <c r="A31" s="9" t="s">
        <v>238</v>
      </c>
      <c r="B31" s="9">
        <v>1200</v>
      </c>
      <c r="C31" s="18" t="s">
        <v>873</v>
      </c>
      <c r="D31" s="19">
        <f>ROUND((B31*K4),0)/100000</f>
        <v>6.8341000000000003</v>
      </c>
      <c r="E31" s="20">
        <f>683410/100000</f>
        <v>6.8341000000000003</v>
      </c>
      <c r="F31" s="27"/>
      <c r="G31" s="27"/>
      <c r="H31" s="27"/>
      <c r="I31" s="27"/>
      <c r="J31" s="27">
        <f>81721/100000</f>
        <v>0.81720999999999999</v>
      </c>
      <c r="K31" s="27">
        <f>357013/100000</f>
        <v>3.5701299999999998</v>
      </c>
      <c r="L31" s="27"/>
      <c r="M31" s="34">
        <f t="shared" si="0"/>
        <v>4.38734</v>
      </c>
      <c r="N31" s="27">
        <f t="shared" si="1"/>
        <v>64.197772932792901</v>
      </c>
    </row>
    <row r="32" spans="1:14" s="8" customFormat="1">
      <c r="A32" s="9" t="s">
        <v>667</v>
      </c>
      <c r="B32" s="9">
        <v>565</v>
      </c>
      <c r="C32" s="18" t="s">
        <v>873</v>
      </c>
      <c r="D32" s="19">
        <f>ROUND((B32*K4),0)/100000</f>
        <v>3.2177199999999999</v>
      </c>
      <c r="E32" s="20">
        <f>321773/100000</f>
        <v>3.21773</v>
      </c>
      <c r="F32" s="27"/>
      <c r="G32" s="27"/>
      <c r="H32" s="27">
        <f>27958/100000</f>
        <v>0.27958</v>
      </c>
      <c r="I32" s="27">
        <f>293815/100000</f>
        <v>2.9381499999999998</v>
      </c>
      <c r="J32" s="27"/>
      <c r="K32" s="27"/>
      <c r="L32" s="27"/>
      <c r="M32" s="27">
        <f t="shared" si="0"/>
        <v>3.21773</v>
      </c>
      <c r="N32" s="27">
        <f t="shared" si="1"/>
        <v>100.00000000000001</v>
      </c>
    </row>
    <row r="33" spans="1:14" s="8" customFormat="1">
      <c r="A33" s="9" t="s">
        <v>876</v>
      </c>
      <c r="B33" s="9">
        <v>1000</v>
      </c>
      <c r="C33" s="18" t="s">
        <v>873</v>
      </c>
      <c r="D33" s="19">
        <f>B33*K4/100000</f>
        <v>5.6950799999999999</v>
      </c>
      <c r="E33" s="20">
        <f>569508/100000</f>
        <v>5.6950799999999999</v>
      </c>
      <c r="F33" s="27"/>
      <c r="G33" s="27">
        <f>97730/100000</f>
        <v>0.97729999999999995</v>
      </c>
      <c r="H33" s="27"/>
      <c r="I33" s="27">
        <f>2270/100000</f>
        <v>2.2700000000000001E-2</v>
      </c>
      <c r="J33" s="27">
        <f>11330/100000</f>
        <v>0.1133</v>
      </c>
      <c r="K33" s="27">
        <f>376605/100000</f>
        <v>3.7660499999999999</v>
      </c>
      <c r="L33" s="27"/>
      <c r="M33" s="34">
        <f t="shared" si="0"/>
        <v>4.8793499999999996</v>
      </c>
      <c r="N33" s="27">
        <f t="shared" si="1"/>
        <v>85.676583998820021</v>
      </c>
    </row>
    <row r="34" spans="1:14" s="8" customFormat="1">
      <c r="A34" s="9" t="s">
        <v>394</v>
      </c>
      <c r="B34" s="9">
        <v>2750</v>
      </c>
      <c r="C34" s="529" t="s">
        <v>877</v>
      </c>
      <c r="D34" s="19">
        <f>192000/100000</f>
        <v>1.92</v>
      </c>
      <c r="E34" s="20">
        <f>192000/100000</f>
        <v>1.92</v>
      </c>
      <c r="F34" s="27">
        <f>11078/100000</f>
        <v>0.11078</v>
      </c>
      <c r="G34" s="27">
        <f>40035/100000</f>
        <v>0.40034999999999998</v>
      </c>
      <c r="H34" s="27">
        <f>21830/100000</f>
        <v>0.21829999999999999</v>
      </c>
      <c r="I34" s="27">
        <f>53057/100000</f>
        <v>0.53056999999999999</v>
      </c>
      <c r="J34" s="27">
        <f>5432/100000</f>
        <v>5.432E-2</v>
      </c>
      <c r="K34" s="27">
        <f>45450/100000</f>
        <v>0.45450000000000002</v>
      </c>
      <c r="L34" s="27"/>
      <c r="M34" s="34">
        <f t="shared" si="0"/>
        <v>1.7688199999999998</v>
      </c>
      <c r="N34" s="27">
        <f>+M34*100/E34</f>
        <v>92.126041666666652</v>
      </c>
    </row>
    <row r="35" spans="1:14" s="8" customFormat="1">
      <c r="A35" s="35" t="s">
        <v>230</v>
      </c>
      <c r="B35" s="13"/>
      <c r="C35" s="13"/>
      <c r="D35" s="36">
        <f>SUM(D27:D34)</f>
        <v>70.597540000000009</v>
      </c>
      <c r="E35" s="36">
        <f t="shared" ref="E35:K35" si="2">SUM(E27:E34)</f>
        <v>69.797550000000015</v>
      </c>
      <c r="F35" s="37">
        <f t="shared" si="2"/>
        <v>0.35439999999999999</v>
      </c>
      <c r="G35" s="37">
        <f t="shared" si="2"/>
        <v>9.0328199999999992</v>
      </c>
      <c r="H35" s="37">
        <f t="shared" si="2"/>
        <v>8.7236399999999978</v>
      </c>
      <c r="I35" s="37">
        <f t="shared" si="2"/>
        <v>28.067730000000001</v>
      </c>
      <c r="J35" s="37">
        <f t="shared" si="2"/>
        <v>7.6349800000000005</v>
      </c>
      <c r="K35" s="37">
        <f t="shared" si="2"/>
        <v>12.122579999999999</v>
      </c>
      <c r="L35" s="37">
        <f>SUM(L27:L34)</f>
        <v>0</v>
      </c>
      <c r="M35" s="37">
        <f>SUM(M27:M34)</f>
        <v>65.936150000000012</v>
      </c>
      <c r="N35" s="38">
        <f>+M35*100/E35</f>
        <v>94.467714124636188</v>
      </c>
    </row>
    <row r="36" spans="1:14" s="8" customFormat="1"/>
    <row r="37" spans="1:14" s="32" customFormat="1"/>
    <row r="38" spans="1:14" s="32" customFormat="1"/>
    <row r="39" spans="1:14" s="32" customFormat="1"/>
    <row r="40" spans="1:14" s="32" customFormat="1"/>
    <row r="41" spans="1:14" s="32" customFormat="1"/>
    <row r="42" spans="1:14" s="32" customFormat="1"/>
    <row r="43" spans="1:14" s="32" customFormat="1"/>
    <row r="44" spans="1:14" s="32" customFormat="1"/>
    <row r="45" spans="1:14" s="32" customFormat="1"/>
    <row r="46" spans="1:14" s="32" customFormat="1"/>
    <row r="47" spans="1:14" s="32" customFormat="1"/>
    <row r="48" spans="1:14" s="32" customFormat="1"/>
    <row r="49" spans="6:6" s="32" customFormat="1"/>
    <row r="50" spans="6:6" s="32" customFormat="1">
      <c r="F50" s="32">
        <f>E40-M40</f>
        <v>0</v>
      </c>
    </row>
    <row r="51" spans="6:6" s="32" customFormat="1">
      <c r="F51" s="32">
        <f>E41-M41</f>
        <v>0</v>
      </c>
    </row>
    <row r="52" spans="6:6" s="32" customFormat="1">
      <c r="F52" s="32">
        <f>E42-M42</f>
        <v>0</v>
      </c>
    </row>
    <row r="53" spans="6:6" s="32" customFormat="1">
      <c r="F53" s="32">
        <f>E43-M43</f>
        <v>0</v>
      </c>
    </row>
    <row r="54" spans="6:6" s="32" customFormat="1">
      <c r="F54" s="32">
        <f>E44-M44</f>
        <v>0</v>
      </c>
    </row>
    <row r="55" spans="6:6" s="32" customFormat="1"/>
    <row r="56" spans="6:6" s="32" customFormat="1"/>
    <row r="57" spans="6:6" s="32" customFormat="1"/>
    <row r="58" spans="6:6" s="32" customFormat="1"/>
    <row r="59" spans="6:6" s="32" customFormat="1"/>
    <row r="60" spans="6:6" s="32" customFormat="1"/>
    <row r="61" spans="6:6" s="32" customFormat="1"/>
    <row r="62" spans="6:6" s="32" customFormat="1"/>
    <row r="63" spans="6:6" s="32" customFormat="1"/>
    <row r="64" spans="6:6" s="32" customFormat="1"/>
    <row r="65" s="32" customFormat="1"/>
    <row r="66" s="32" customFormat="1"/>
    <row r="67" s="32" customFormat="1"/>
    <row r="68" s="32" customFormat="1"/>
    <row r="69" s="32" customFormat="1"/>
    <row r="70" s="32" customFormat="1"/>
    <row r="71" s="32" customFormat="1"/>
    <row r="72" s="32" customFormat="1"/>
    <row r="73" s="32" customFormat="1"/>
    <row r="74" s="32" customFormat="1"/>
    <row r="75" s="32" customFormat="1"/>
    <row r="76" s="32" customFormat="1"/>
    <row r="77" s="32" customFormat="1"/>
    <row r="78" s="32" customFormat="1"/>
    <row r="79" s="32" customFormat="1"/>
    <row r="80" s="32" customFormat="1"/>
    <row r="81" s="32" customFormat="1"/>
    <row r="82" s="32" customFormat="1"/>
    <row r="83" s="32" customFormat="1"/>
    <row r="84" s="32" customFormat="1"/>
    <row r="85" s="32" customFormat="1"/>
    <row r="86" s="32" customFormat="1"/>
    <row r="87" s="32" customFormat="1"/>
    <row r="88" s="32" customFormat="1"/>
    <row r="89" s="32" customFormat="1"/>
    <row r="90" s="32" customFormat="1"/>
    <row r="91" s="32" customFormat="1"/>
    <row r="92" s="32" customFormat="1"/>
    <row r="93" s="32" customFormat="1"/>
    <row r="94" s="32" customFormat="1"/>
    <row r="95" s="32" customFormat="1"/>
    <row r="96" s="32" customFormat="1"/>
    <row r="97" s="32" customFormat="1"/>
    <row r="98" s="32" customFormat="1"/>
    <row r="99" s="32" customFormat="1"/>
    <row r="100" s="32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</sheetData>
  <mergeCells count="35">
    <mergeCell ref="B6:D6"/>
    <mergeCell ref="E6:F6"/>
    <mergeCell ref="G6:I6"/>
    <mergeCell ref="A1:N1"/>
    <mergeCell ref="A2:N2"/>
    <mergeCell ref="B4:D4"/>
    <mergeCell ref="E4:F4"/>
    <mergeCell ref="G4:H4"/>
    <mergeCell ref="A3:C3"/>
    <mergeCell ref="B8:D8"/>
    <mergeCell ref="E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F25:N25"/>
    <mergeCell ref="B14:C14"/>
    <mergeCell ref="B15:C15"/>
    <mergeCell ref="D15:F15"/>
    <mergeCell ref="G15:I15"/>
    <mergeCell ref="J15:M15"/>
    <mergeCell ref="C17:E17"/>
    <mergeCell ref="A25:A26"/>
    <mergeCell ref="B25:B26"/>
    <mergeCell ref="C25:C26"/>
    <mergeCell ref="D25:D26"/>
    <mergeCell ref="E25:E26"/>
  </mergeCells>
  <hyperlinks>
    <hyperlink ref="A3" location="'Fact Sheet of VDC'!A1" display="&lt;&lt;Back"/>
  </hyperlinks>
  <pageMargins left="0.28999999999999998" right="0.13" top="0.33" bottom="0.08" header="0.31496062992125984" footer="0.08"/>
  <pageSetup paperSize="9" scale="85" orientation="landscape" horizontalDpi="300" verticalDpi="300" r:id="rId1"/>
</worksheet>
</file>

<file path=xl/worksheets/sheet1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109"/>
  <sheetViews>
    <sheetView workbookViewId="0">
      <selection activeCell="A3" sqref="A3:C3"/>
    </sheetView>
  </sheetViews>
  <sheetFormatPr defaultRowHeight="15"/>
  <cols>
    <col min="1" max="1" width="23.85546875" customWidth="1"/>
    <col min="2" max="2" width="10.7109375" customWidth="1"/>
    <col min="4" max="5" width="10.7109375" bestFit="1" customWidth="1"/>
    <col min="6" max="8" width="9.5703125" bestFit="1" customWidth="1"/>
    <col min="9" max="9" width="12.140625" customWidth="1"/>
    <col min="10" max="10" width="10.7109375" bestFit="1" customWidth="1"/>
    <col min="11" max="11" width="9.28515625" customWidth="1"/>
    <col min="13" max="13" width="10.7109375" bestFit="1" customWidth="1"/>
    <col min="14" max="14" width="11.85546875" customWidth="1"/>
    <col min="257" max="257" width="23.85546875" customWidth="1"/>
    <col min="258" max="258" width="10.7109375" customWidth="1"/>
    <col min="260" max="261" width="10.7109375" bestFit="1" customWidth="1"/>
    <col min="262" max="264" width="9.5703125" bestFit="1" customWidth="1"/>
    <col min="265" max="265" width="12.140625" customWidth="1"/>
    <col min="266" max="266" width="10.7109375" bestFit="1" customWidth="1"/>
    <col min="267" max="267" width="9.28515625" customWidth="1"/>
    <col min="269" max="269" width="10.7109375" bestFit="1" customWidth="1"/>
    <col min="270" max="270" width="11.85546875" customWidth="1"/>
    <col min="513" max="513" width="23.85546875" customWidth="1"/>
    <col min="514" max="514" width="10.7109375" customWidth="1"/>
    <col min="516" max="517" width="10.7109375" bestFit="1" customWidth="1"/>
    <col min="518" max="520" width="9.5703125" bestFit="1" customWidth="1"/>
    <col min="521" max="521" width="12.140625" customWidth="1"/>
    <col min="522" max="522" width="10.7109375" bestFit="1" customWidth="1"/>
    <col min="523" max="523" width="9.28515625" customWidth="1"/>
    <col min="525" max="525" width="10.7109375" bestFit="1" customWidth="1"/>
    <col min="526" max="526" width="11.85546875" customWidth="1"/>
    <col min="769" max="769" width="23.85546875" customWidth="1"/>
    <col min="770" max="770" width="10.7109375" customWidth="1"/>
    <col min="772" max="773" width="10.7109375" bestFit="1" customWidth="1"/>
    <col min="774" max="776" width="9.5703125" bestFit="1" customWidth="1"/>
    <col min="777" max="777" width="12.140625" customWidth="1"/>
    <col min="778" max="778" width="10.7109375" bestFit="1" customWidth="1"/>
    <col min="779" max="779" width="9.28515625" customWidth="1"/>
    <col min="781" max="781" width="10.7109375" bestFit="1" customWidth="1"/>
    <col min="782" max="782" width="11.85546875" customWidth="1"/>
    <col min="1025" max="1025" width="23.85546875" customWidth="1"/>
    <col min="1026" max="1026" width="10.7109375" customWidth="1"/>
    <col min="1028" max="1029" width="10.7109375" bestFit="1" customWidth="1"/>
    <col min="1030" max="1032" width="9.5703125" bestFit="1" customWidth="1"/>
    <col min="1033" max="1033" width="12.140625" customWidth="1"/>
    <col min="1034" max="1034" width="10.7109375" bestFit="1" customWidth="1"/>
    <col min="1035" max="1035" width="9.28515625" customWidth="1"/>
    <col min="1037" max="1037" width="10.7109375" bestFit="1" customWidth="1"/>
    <col min="1038" max="1038" width="11.85546875" customWidth="1"/>
    <col min="1281" max="1281" width="23.85546875" customWidth="1"/>
    <col min="1282" max="1282" width="10.7109375" customWidth="1"/>
    <col min="1284" max="1285" width="10.7109375" bestFit="1" customWidth="1"/>
    <col min="1286" max="1288" width="9.5703125" bestFit="1" customWidth="1"/>
    <col min="1289" max="1289" width="12.140625" customWidth="1"/>
    <col min="1290" max="1290" width="10.7109375" bestFit="1" customWidth="1"/>
    <col min="1291" max="1291" width="9.28515625" customWidth="1"/>
    <col min="1293" max="1293" width="10.7109375" bestFit="1" customWidth="1"/>
    <col min="1294" max="1294" width="11.85546875" customWidth="1"/>
    <col min="1537" max="1537" width="23.85546875" customWidth="1"/>
    <col min="1538" max="1538" width="10.7109375" customWidth="1"/>
    <col min="1540" max="1541" width="10.7109375" bestFit="1" customWidth="1"/>
    <col min="1542" max="1544" width="9.5703125" bestFit="1" customWidth="1"/>
    <col min="1545" max="1545" width="12.140625" customWidth="1"/>
    <col min="1546" max="1546" width="10.7109375" bestFit="1" customWidth="1"/>
    <col min="1547" max="1547" width="9.28515625" customWidth="1"/>
    <col min="1549" max="1549" width="10.7109375" bestFit="1" customWidth="1"/>
    <col min="1550" max="1550" width="11.85546875" customWidth="1"/>
    <col min="1793" max="1793" width="23.85546875" customWidth="1"/>
    <col min="1794" max="1794" width="10.7109375" customWidth="1"/>
    <col min="1796" max="1797" width="10.7109375" bestFit="1" customWidth="1"/>
    <col min="1798" max="1800" width="9.5703125" bestFit="1" customWidth="1"/>
    <col min="1801" max="1801" width="12.140625" customWidth="1"/>
    <col min="1802" max="1802" width="10.7109375" bestFit="1" customWidth="1"/>
    <col min="1803" max="1803" width="9.28515625" customWidth="1"/>
    <col min="1805" max="1805" width="10.7109375" bestFit="1" customWidth="1"/>
    <col min="1806" max="1806" width="11.85546875" customWidth="1"/>
    <col min="2049" max="2049" width="23.85546875" customWidth="1"/>
    <col min="2050" max="2050" width="10.7109375" customWidth="1"/>
    <col min="2052" max="2053" width="10.7109375" bestFit="1" customWidth="1"/>
    <col min="2054" max="2056" width="9.5703125" bestFit="1" customWidth="1"/>
    <col min="2057" max="2057" width="12.140625" customWidth="1"/>
    <col min="2058" max="2058" width="10.7109375" bestFit="1" customWidth="1"/>
    <col min="2059" max="2059" width="9.28515625" customWidth="1"/>
    <col min="2061" max="2061" width="10.7109375" bestFit="1" customWidth="1"/>
    <col min="2062" max="2062" width="11.85546875" customWidth="1"/>
    <col min="2305" max="2305" width="23.85546875" customWidth="1"/>
    <col min="2306" max="2306" width="10.7109375" customWidth="1"/>
    <col min="2308" max="2309" width="10.7109375" bestFit="1" customWidth="1"/>
    <col min="2310" max="2312" width="9.5703125" bestFit="1" customWidth="1"/>
    <col min="2313" max="2313" width="12.140625" customWidth="1"/>
    <col min="2314" max="2314" width="10.7109375" bestFit="1" customWidth="1"/>
    <col min="2315" max="2315" width="9.28515625" customWidth="1"/>
    <col min="2317" max="2317" width="10.7109375" bestFit="1" customWidth="1"/>
    <col min="2318" max="2318" width="11.85546875" customWidth="1"/>
    <col min="2561" max="2561" width="23.85546875" customWidth="1"/>
    <col min="2562" max="2562" width="10.7109375" customWidth="1"/>
    <col min="2564" max="2565" width="10.7109375" bestFit="1" customWidth="1"/>
    <col min="2566" max="2568" width="9.5703125" bestFit="1" customWidth="1"/>
    <col min="2569" max="2569" width="12.140625" customWidth="1"/>
    <col min="2570" max="2570" width="10.7109375" bestFit="1" customWidth="1"/>
    <col min="2571" max="2571" width="9.28515625" customWidth="1"/>
    <col min="2573" max="2573" width="10.7109375" bestFit="1" customWidth="1"/>
    <col min="2574" max="2574" width="11.85546875" customWidth="1"/>
    <col min="2817" max="2817" width="23.85546875" customWidth="1"/>
    <col min="2818" max="2818" width="10.7109375" customWidth="1"/>
    <col min="2820" max="2821" width="10.7109375" bestFit="1" customWidth="1"/>
    <col min="2822" max="2824" width="9.5703125" bestFit="1" customWidth="1"/>
    <col min="2825" max="2825" width="12.140625" customWidth="1"/>
    <col min="2826" max="2826" width="10.7109375" bestFit="1" customWidth="1"/>
    <col min="2827" max="2827" width="9.28515625" customWidth="1"/>
    <col min="2829" max="2829" width="10.7109375" bestFit="1" customWidth="1"/>
    <col min="2830" max="2830" width="11.85546875" customWidth="1"/>
    <col min="3073" max="3073" width="23.85546875" customWidth="1"/>
    <col min="3074" max="3074" width="10.7109375" customWidth="1"/>
    <col min="3076" max="3077" width="10.7109375" bestFit="1" customWidth="1"/>
    <col min="3078" max="3080" width="9.5703125" bestFit="1" customWidth="1"/>
    <col min="3081" max="3081" width="12.140625" customWidth="1"/>
    <col min="3082" max="3082" width="10.7109375" bestFit="1" customWidth="1"/>
    <col min="3083" max="3083" width="9.28515625" customWidth="1"/>
    <col min="3085" max="3085" width="10.7109375" bestFit="1" customWidth="1"/>
    <col min="3086" max="3086" width="11.85546875" customWidth="1"/>
    <col min="3329" max="3329" width="23.85546875" customWidth="1"/>
    <col min="3330" max="3330" width="10.7109375" customWidth="1"/>
    <col min="3332" max="3333" width="10.7109375" bestFit="1" customWidth="1"/>
    <col min="3334" max="3336" width="9.5703125" bestFit="1" customWidth="1"/>
    <col min="3337" max="3337" width="12.140625" customWidth="1"/>
    <col min="3338" max="3338" width="10.7109375" bestFit="1" customWidth="1"/>
    <col min="3339" max="3339" width="9.28515625" customWidth="1"/>
    <col min="3341" max="3341" width="10.7109375" bestFit="1" customWidth="1"/>
    <col min="3342" max="3342" width="11.85546875" customWidth="1"/>
    <col min="3585" max="3585" width="23.85546875" customWidth="1"/>
    <col min="3586" max="3586" width="10.7109375" customWidth="1"/>
    <col min="3588" max="3589" width="10.7109375" bestFit="1" customWidth="1"/>
    <col min="3590" max="3592" width="9.5703125" bestFit="1" customWidth="1"/>
    <col min="3593" max="3593" width="12.140625" customWidth="1"/>
    <col min="3594" max="3594" width="10.7109375" bestFit="1" customWidth="1"/>
    <col min="3595" max="3595" width="9.28515625" customWidth="1"/>
    <col min="3597" max="3597" width="10.7109375" bestFit="1" customWidth="1"/>
    <col min="3598" max="3598" width="11.85546875" customWidth="1"/>
    <col min="3841" max="3841" width="23.85546875" customWidth="1"/>
    <col min="3842" max="3842" width="10.7109375" customWidth="1"/>
    <col min="3844" max="3845" width="10.7109375" bestFit="1" customWidth="1"/>
    <col min="3846" max="3848" width="9.5703125" bestFit="1" customWidth="1"/>
    <col min="3849" max="3849" width="12.140625" customWidth="1"/>
    <col min="3850" max="3850" width="10.7109375" bestFit="1" customWidth="1"/>
    <col min="3851" max="3851" width="9.28515625" customWidth="1"/>
    <col min="3853" max="3853" width="10.7109375" bestFit="1" customWidth="1"/>
    <col min="3854" max="3854" width="11.85546875" customWidth="1"/>
    <col min="4097" max="4097" width="23.85546875" customWidth="1"/>
    <col min="4098" max="4098" width="10.7109375" customWidth="1"/>
    <col min="4100" max="4101" width="10.7109375" bestFit="1" customWidth="1"/>
    <col min="4102" max="4104" width="9.5703125" bestFit="1" customWidth="1"/>
    <col min="4105" max="4105" width="12.140625" customWidth="1"/>
    <col min="4106" max="4106" width="10.7109375" bestFit="1" customWidth="1"/>
    <col min="4107" max="4107" width="9.28515625" customWidth="1"/>
    <col min="4109" max="4109" width="10.7109375" bestFit="1" customWidth="1"/>
    <col min="4110" max="4110" width="11.85546875" customWidth="1"/>
    <col min="4353" max="4353" width="23.85546875" customWidth="1"/>
    <col min="4354" max="4354" width="10.7109375" customWidth="1"/>
    <col min="4356" max="4357" width="10.7109375" bestFit="1" customWidth="1"/>
    <col min="4358" max="4360" width="9.5703125" bestFit="1" customWidth="1"/>
    <col min="4361" max="4361" width="12.140625" customWidth="1"/>
    <col min="4362" max="4362" width="10.7109375" bestFit="1" customWidth="1"/>
    <col min="4363" max="4363" width="9.28515625" customWidth="1"/>
    <col min="4365" max="4365" width="10.7109375" bestFit="1" customWidth="1"/>
    <col min="4366" max="4366" width="11.85546875" customWidth="1"/>
    <col min="4609" max="4609" width="23.85546875" customWidth="1"/>
    <col min="4610" max="4610" width="10.7109375" customWidth="1"/>
    <col min="4612" max="4613" width="10.7109375" bestFit="1" customWidth="1"/>
    <col min="4614" max="4616" width="9.5703125" bestFit="1" customWidth="1"/>
    <col min="4617" max="4617" width="12.140625" customWidth="1"/>
    <col min="4618" max="4618" width="10.7109375" bestFit="1" customWidth="1"/>
    <col min="4619" max="4619" width="9.28515625" customWidth="1"/>
    <col min="4621" max="4621" width="10.7109375" bestFit="1" customWidth="1"/>
    <col min="4622" max="4622" width="11.85546875" customWidth="1"/>
    <col min="4865" max="4865" width="23.85546875" customWidth="1"/>
    <col min="4866" max="4866" width="10.7109375" customWidth="1"/>
    <col min="4868" max="4869" width="10.7109375" bestFit="1" customWidth="1"/>
    <col min="4870" max="4872" width="9.5703125" bestFit="1" customWidth="1"/>
    <col min="4873" max="4873" width="12.140625" customWidth="1"/>
    <col min="4874" max="4874" width="10.7109375" bestFit="1" customWidth="1"/>
    <col min="4875" max="4875" width="9.28515625" customWidth="1"/>
    <col min="4877" max="4877" width="10.7109375" bestFit="1" customWidth="1"/>
    <col min="4878" max="4878" width="11.85546875" customWidth="1"/>
    <col min="5121" max="5121" width="23.85546875" customWidth="1"/>
    <col min="5122" max="5122" width="10.7109375" customWidth="1"/>
    <col min="5124" max="5125" width="10.7109375" bestFit="1" customWidth="1"/>
    <col min="5126" max="5128" width="9.5703125" bestFit="1" customWidth="1"/>
    <col min="5129" max="5129" width="12.140625" customWidth="1"/>
    <col min="5130" max="5130" width="10.7109375" bestFit="1" customWidth="1"/>
    <col min="5131" max="5131" width="9.28515625" customWidth="1"/>
    <col min="5133" max="5133" width="10.7109375" bestFit="1" customWidth="1"/>
    <col min="5134" max="5134" width="11.85546875" customWidth="1"/>
    <col min="5377" max="5377" width="23.85546875" customWidth="1"/>
    <col min="5378" max="5378" width="10.7109375" customWidth="1"/>
    <col min="5380" max="5381" width="10.7109375" bestFit="1" customWidth="1"/>
    <col min="5382" max="5384" width="9.5703125" bestFit="1" customWidth="1"/>
    <col min="5385" max="5385" width="12.140625" customWidth="1"/>
    <col min="5386" max="5386" width="10.7109375" bestFit="1" customWidth="1"/>
    <col min="5387" max="5387" width="9.28515625" customWidth="1"/>
    <col min="5389" max="5389" width="10.7109375" bestFit="1" customWidth="1"/>
    <col min="5390" max="5390" width="11.85546875" customWidth="1"/>
    <col min="5633" max="5633" width="23.85546875" customWidth="1"/>
    <col min="5634" max="5634" width="10.7109375" customWidth="1"/>
    <col min="5636" max="5637" width="10.7109375" bestFit="1" customWidth="1"/>
    <col min="5638" max="5640" width="9.5703125" bestFit="1" customWidth="1"/>
    <col min="5641" max="5641" width="12.140625" customWidth="1"/>
    <col min="5642" max="5642" width="10.7109375" bestFit="1" customWidth="1"/>
    <col min="5643" max="5643" width="9.28515625" customWidth="1"/>
    <col min="5645" max="5645" width="10.7109375" bestFit="1" customWidth="1"/>
    <col min="5646" max="5646" width="11.85546875" customWidth="1"/>
    <col min="5889" max="5889" width="23.85546875" customWidth="1"/>
    <col min="5890" max="5890" width="10.7109375" customWidth="1"/>
    <col min="5892" max="5893" width="10.7109375" bestFit="1" customWidth="1"/>
    <col min="5894" max="5896" width="9.5703125" bestFit="1" customWidth="1"/>
    <col min="5897" max="5897" width="12.140625" customWidth="1"/>
    <col min="5898" max="5898" width="10.7109375" bestFit="1" customWidth="1"/>
    <col min="5899" max="5899" width="9.28515625" customWidth="1"/>
    <col min="5901" max="5901" width="10.7109375" bestFit="1" customWidth="1"/>
    <col min="5902" max="5902" width="11.85546875" customWidth="1"/>
    <col min="6145" max="6145" width="23.85546875" customWidth="1"/>
    <col min="6146" max="6146" width="10.7109375" customWidth="1"/>
    <col min="6148" max="6149" width="10.7109375" bestFit="1" customWidth="1"/>
    <col min="6150" max="6152" width="9.5703125" bestFit="1" customWidth="1"/>
    <col min="6153" max="6153" width="12.140625" customWidth="1"/>
    <col min="6154" max="6154" width="10.7109375" bestFit="1" customWidth="1"/>
    <col min="6155" max="6155" width="9.28515625" customWidth="1"/>
    <col min="6157" max="6157" width="10.7109375" bestFit="1" customWidth="1"/>
    <col min="6158" max="6158" width="11.85546875" customWidth="1"/>
    <col min="6401" max="6401" width="23.85546875" customWidth="1"/>
    <col min="6402" max="6402" width="10.7109375" customWidth="1"/>
    <col min="6404" max="6405" width="10.7109375" bestFit="1" customWidth="1"/>
    <col min="6406" max="6408" width="9.5703125" bestFit="1" customWidth="1"/>
    <col min="6409" max="6409" width="12.140625" customWidth="1"/>
    <col min="6410" max="6410" width="10.7109375" bestFit="1" customWidth="1"/>
    <col min="6411" max="6411" width="9.28515625" customWidth="1"/>
    <col min="6413" max="6413" width="10.7109375" bestFit="1" customWidth="1"/>
    <col min="6414" max="6414" width="11.85546875" customWidth="1"/>
    <col min="6657" max="6657" width="23.85546875" customWidth="1"/>
    <col min="6658" max="6658" width="10.7109375" customWidth="1"/>
    <col min="6660" max="6661" width="10.7109375" bestFit="1" customWidth="1"/>
    <col min="6662" max="6664" width="9.5703125" bestFit="1" customWidth="1"/>
    <col min="6665" max="6665" width="12.140625" customWidth="1"/>
    <col min="6666" max="6666" width="10.7109375" bestFit="1" customWidth="1"/>
    <col min="6667" max="6667" width="9.28515625" customWidth="1"/>
    <col min="6669" max="6669" width="10.7109375" bestFit="1" customWidth="1"/>
    <col min="6670" max="6670" width="11.85546875" customWidth="1"/>
    <col min="6913" max="6913" width="23.85546875" customWidth="1"/>
    <col min="6914" max="6914" width="10.7109375" customWidth="1"/>
    <col min="6916" max="6917" width="10.7109375" bestFit="1" customWidth="1"/>
    <col min="6918" max="6920" width="9.5703125" bestFit="1" customWidth="1"/>
    <col min="6921" max="6921" width="12.140625" customWidth="1"/>
    <col min="6922" max="6922" width="10.7109375" bestFit="1" customWidth="1"/>
    <col min="6923" max="6923" width="9.28515625" customWidth="1"/>
    <col min="6925" max="6925" width="10.7109375" bestFit="1" customWidth="1"/>
    <col min="6926" max="6926" width="11.85546875" customWidth="1"/>
    <col min="7169" max="7169" width="23.85546875" customWidth="1"/>
    <col min="7170" max="7170" width="10.7109375" customWidth="1"/>
    <col min="7172" max="7173" width="10.7109375" bestFit="1" customWidth="1"/>
    <col min="7174" max="7176" width="9.5703125" bestFit="1" customWidth="1"/>
    <col min="7177" max="7177" width="12.140625" customWidth="1"/>
    <col min="7178" max="7178" width="10.7109375" bestFit="1" customWidth="1"/>
    <col min="7179" max="7179" width="9.28515625" customWidth="1"/>
    <col min="7181" max="7181" width="10.7109375" bestFit="1" customWidth="1"/>
    <col min="7182" max="7182" width="11.85546875" customWidth="1"/>
    <col min="7425" max="7425" width="23.85546875" customWidth="1"/>
    <col min="7426" max="7426" width="10.7109375" customWidth="1"/>
    <col min="7428" max="7429" width="10.7109375" bestFit="1" customWidth="1"/>
    <col min="7430" max="7432" width="9.5703125" bestFit="1" customWidth="1"/>
    <col min="7433" max="7433" width="12.140625" customWidth="1"/>
    <col min="7434" max="7434" width="10.7109375" bestFit="1" customWidth="1"/>
    <col min="7435" max="7435" width="9.28515625" customWidth="1"/>
    <col min="7437" max="7437" width="10.7109375" bestFit="1" customWidth="1"/>
    <col min="7438" max="7438" width="11.85546875" customWidth="1"/>
    <col min="7681" max="7681" width="23.85546875" customWidth="1"/>
    <col min="7682" max="7682" width="10.7109375" customWidth="1"/>
    <col min="7684" max="7685" width="10.7109375" bestFit="1" customWidth="1"/>
    <col min="7686" max="7688" width="9.5703125" bestFit="1" customWidth="1"/>
    <col min="7689" max="7689" width="12.140625" customWidth="1"/>
    <col min="7690" max="7690" width="10.7109375" bestFit="1" customWidth="1"/>
    <col min="7691" max="7691" width="9.28515625" customWidth="1"/>
    <col min="7693" max="7693" width="10.7109375" bestFit="1" customWidth="1"/>
    <col min="7694" max="7694" width="11.85546875" customWidth="1"/>
    <col min="7937" max="7937" width="23.85546875" customWidth="1"/>
    <col min="7938" max="7938" width="10.7109375" customWidth="1"/>
    <col min="7940" max="7941" width="10.7109375" bestFit="1" customWidth="1"/>
    <col min="7942" max="7944" width="9.5703125" bestFit="1" customWidth="1"/>
    <col min="7945" max="7945" width="12.140625" customWidth="1"/>
    <col min="7946" max="7946" width="10.7109375" bestFit="1" customWidth="1"/>
    <col min="7947" max="7947" width="9.28515625" customWidth="1"/>
    <col min="7949" max="7949" width="10.7109375" bestFit="1" customWidth="1"/>
    <col min="7950" max="7950" width="11.85546875" customWidth="1"/>
    <col min="8193" max="8193" width="23.85546875" customWidth="1"/>
    <col min="8194" max="8194" width="10.7109375" customWidth="1"/>
    <col min="8196" max="8197" width="10.7109375" bestFit="1" customWidth="1"/>
    <col min="8198" max="8200" width="9.5703125" bestFit="1" customWidth="1"/>
    <col min="8201" max="8201" width="12.140625" customWidth="1"/>
    <col min="8202" max="8202" width="10.7109375" bestFit="1" customWidth="1"/>
    <col min="8203" max="8203" width="9.28515625" customWidth="1"/>
    <col min="8205" max="8205" width="10.7109375" bestFit="1" customWidth="1"/>
    <col min="8206" max="8206" width="11.85546875" customWidth="1"/>
    <col min="8449" max="8449" width="23.85546875" customWidth="1"/>
    <col min="8450" max="8450" width="10.7109375" customWidth="1"/>
    <col min="8452" max="8453" width="10.7109375" bestFit="1" customWidth="1"/>
    <col min="8454" max="8456" width="9.5703125" bestFit="1" customWidth="1"/>
    <col min="8457" max="8457" width="12.140625" customWidth="1"/>
    <col min="8458" max="8458" width="10.7109375" bestFit="1" customWidth="1"/>
    <col min="8459" max="8459" width="9.28515625" customWidth="1"/>
    <col min="8461" max="8461" width="10.7109375" bestFit="1" customWidth="1"/>
    <col min="8462" max="8462" width="11.85546875" customWidth="1"/>
    <col min="8705" max="8705" width="23.85546875" customWidth="1"/>
    <col min="8706" max="8706" width="10.7109375" customWidth="1"/>
    <col min="8708" max="8709" width="10.7109375" bestFit="1" customWidth="1"/>
    <col min="8710" max="8712" width="9.5703125" bestFit="1" customWidth="1"/>
    <col min="8713" max="8713" width="12.140625" customWidth="1"/>
    <col min="8714" max="8714" width="10.7109375" bestFit="1" customWidth="1"/>
    <col min="8715" max="8715" width="9.28515625" customWidth="1"/>
    <col min="8717" max="8717" width="10.7109375" bestFit="1" customWidth="1"/>
    <col min="8718" max="8718" width="11.85546875" customWidth="1"/>
    <col min="8961" max="8961" width="23.85546875" customWidth="1"/>
    <col min="8962" max="8962" width="10.7109375" customWidth="1"/>
    <col min="8964" max="8965" width="10.7109375" bestFit="1" customWidth="1"/>
    <col min="8966" max="8968" width="9.5703125" bestFit="1" customWidth="1"/>
    <col min="8969" max="8969" width="12.140625" customWidth="1"/>
    <col min="8970" max="8970" width="10.7109375" bestFit="1" customWidth="1"/>
    <col min="8971" max="8971" width="9.28515625" customWidth="1"/>
    <col min="8973" max="8973" width="10.7109375" bestFit="1" customWidth="1"/>
    <col min="8974" max="8974" width="11.85546875" customWidth="1"/>
    <col min="9217" max="9217" width="23.85546875" customWidth="1"/>
    <col min="9218" max="9218" width="10.7109375" customWidth="1"/>
    <col min="9220" max="9221" width="10.7109375" bestFit="1" customWidth="1"/>
    <col min="9222" max="9224" width="9.5703125" bestFit="1" customWidth="1"/>
    <col min="9225" max="9225" width="12.140625" customWidth="1"/>
    <col min="9226" max="9226" width="10.7109375" bestFit="1" customWidth="1"/>
    <col min="9227" max="9227" width="9.28515625" customWidth="1"/>
    <col min="9229" max="9229" width="10.7109375" bestFit="1" customWidth="1"/>
    <col min="9230" max="9230" width="11.85546875" customWidth="1"/>
    <col min="9473" max="9473" width="23.85546875" customWidth="1"/>
    <col min="9474" max="9474" width="10.7109375" customWidth="1"/>
    <col min="9476" max="9477" width="10.7109375" bestFit="1" customWidth="1"/>
    <col min="9478" max="9480" width="9.5703125" bestFit="1" customWidth="1"/>
    <col min="9481" max="9481" width="12.140625" customWidth="1"/>
    <col min="9482" max="9482" width="10.7109375" bestFit="1" customWidth="1"/>
    <col min="9483" max="9483" width="9.28515625" customWidth="1"/>
    <col min="9485" max="9485" width="10.7109375" bestFit="1" customWidth="1"/>
    <col min="9486" max="9486" width="11.85546875" customWidth="1"/>
    <col min="9729" max="9729" width="23.85546875" customWidth="1"/>
    <col min="9730" max="9730" width="10.7109375" customWidth="1"/>
    <col min="9732" max="9733" width="10.7109375" bestFit="1" customWidth="1"/>
    <col min="9734" max="9736" width="9.5703125" bestFit="1" customWidth="1"/>
    <col min="9737" max="9737" width="12.140625" customWidth="1"/>
    <col min="9738" max="9738" width="10.7109375" bestFit="1" customWidth="1"/>
    <col min="9739" max="9739" width="9.28515625" customWidth="1"/>
    <col min="9741" max="9741" width="10.7109375" bestFit="1" customWidth="1"/>
    <col min="9742" max="9742" width="11.85546875" customWidth="1"/>
    <col min="9985" max="9985" width="23.85546875" customWidth="1"/>
    <col min="9986" max="9986" width="10.7109375" customWidth="1"/>
    <col min="9988" max="9989" width="10.7109375" bestFit="1" customWidth="1"/>
    <col min="9990" max="9992" width="9.5703125" bestFit="1" customWidth="1"/>
    <col min="9993" max="9993" width="12.140625" customWidth="1"/>
    <col min="9994" max="9994" width="10.7109375" bestFit="1" customWidth="1"/>
    <col min="9995" max="9995" width="9.28515625" customWidth="1"/>
    <col min="9997" max="9997" width="10.7109375" bestFit="1" customWidth="1"/>
    <col min="9998" max="9998" width="11.85546875" customWidth="1"/>
    <col min="10241" max="10241" width="23.85546875" customWidth="1"/>
    <col min="10242" max="10242" width="10.7109375" customWidth="1"/>
    <col min="10244" max="10245" width="10.7109375" bestFit="1" customWidth="1"/>
    <col min="10246" max="10248" width="9.5703125" bestFit="1" customWidth="1"/>
    <col min="10249" max="10249" width="12.140625" customWidth="1"/>
    <col min="10250" max="10250" width="10.7109375" bestFit="1" customWidth="1"/>
    <col min="10251" max="10251" width="9.28515625" customWidth="1"/>
    <col min="10253" max="10253" width="10.7109375" bestFit="1" customWidth="1"/>
    <col min="10254" max="10254" width="11.85546875" customWidth="1"/>
    <col min="10497" max="10497" width="23.85546875" customWidth="1"/>
    <col min="10498" max="10498" width="10.7109375" customWidth="1"/>
    <col min="10500" max="10501" width="10.7109375" bestFit="1" customWidth="1"/>
    <col min="10502" max="10504" width="9.5703125" bestFit="1" customWidth="1"/>
    <col min="10505" max="10505" width="12.140625" customWidth="1"/>
    <col min="10506" max="10506" width="10.7109375" bestFit="1" customWidth="1"/>
    <col min="10507" max="10507" width="9.28515625" customWidth="1"/>
    <col min="10509" max="10509" width="10.7109375" bestFit="1" customWidth="1"/>
    <col min="10510" max="10510" width="11.85546875" customWidth="1"/>
    <col min="10753" max="10753" width="23.85546875" customWidth="1"/>
    <col min="10754" max="10754" width="10.7109375" customWidth="1"/>
    <col min="10756" max="10757" width="10.7109375" bestFit="1" customWidth="1"/>
    <col min="10758" max="10760" width="9.5703125" bestFit="1" customWidth="1"/>
    <col min="10761" max="10761" width="12.140625" customWidth="1"/>
    <col min="10762" max="10762" width="10.7109375" bestFit="1" customWidth="1"/>
    <col min="10763" max="10763" width="9.28515625" customWidth="1"/>
    <col min="10765" max="10765" width="10.7109375" bestFit="1" customWidth="1"/>
    <col min="10766" max="10766" width="11.85546875" customWidth="1"/>
    <col min="11009" max="11009" width="23.85546875" customWidth="1"/>
    <col min="11010" max="11010" width="10.7109375" customWidth="1"/>
    <col min="11012" max="11013" width="10.7109375" bestFit="1" customWidth="1"/>
    <col min="11014" max="11016" width="9.5703125" bestFit="1" customWidth="1"/>
    <col min="11017" max="11017" width="12.140625" customWidth="1"/>
    <col min="11018" max="11018" width="10.7109375" bestFit="1" customWidth="1"/>
    <col min="11019" max="11019" width="9.28515625" customWidth="1"/>
    <col min="11021" max="11021" width="10.7109375" bestFit="1" customWidth="1"/>
    <col min="11022" max="11022" width="11.85546875" customWidth="1"/>
    <col min="11265" max="11265" width="23.85546875" customWidth="1"/>
    <col min="11266" max="11266" width="10.7109375" customWidth="1"/>
    <col min="11268" max="11269" width="10.7109375" bestFit="1" customWidth="1"/>
    <col min="11270" max="11272" width="9.5703125" bestFit="1" customWidth="1"/>
    <col min="11273" max="11273" width="12.140625" customWidth="1"/>
    <col min="11274" max="11274" width="10.7109375" bestFit="1" customWidth="1"/>
    <col min="11275" max="11275" width="9.28515625" customWidth="1"/>
    <col min="11277" max="11277" width="10.7109375" bestFit="1" customWidth="1"/>
    <col min="11278" max="11278" width="11.85546875" customWidth="1"/>
    <col min="11521" max="11521" width="23.85546875" customWidth="1"/>
    <col min="11522" max="11522" width="10.7109375" customWidth="1"/>
    <col min="11524" max="11525" width="10.7109375" bestFit="1" customWidth="1"/>
    <col min="11526" max="11528" width="9.5703125" bestFit="1" customWidth="1"/>
    <col min="11529" max="11529" width="12.140625" customWidth="1"/>
    <col min="11530" max="11530" width="10.7109375" bestFit="1" customWidth="1"/>
    <col min="11531" max="11531" width="9.28515625" customWidth="1"/>
    <col min="11533" max="11533" width="10.7109375" bestFit="1" customWidth="1"/>
    <col min="11534" max="11534" width="11.85546875" customWidth="1"/>
    <col min="11777" max="11777" width="23.85546875" customWidth="1"/>
    <col min="11778" max="11778" width="10.7109375" customWidth="1"/>
    <col min="11780" max="11781" width="10.7109375" bestFit="1" customWidth="1"/>
    <col min="11782" max="11784" width="9.5703125" bestFit="1" customWidth="1"/>
    <col min="11785" max="11785" width="12.140625" customWidth="1"/>
    <col min="11786" max="11786" width="10.7109375" bestFit="1" customWidth="1"/>
    <col min="11787" max="11787" width="9.28515625" customWidth="1"/>
    <col min="11789" max="11789" width="10.7109375" bestFit="1" customWidth="1"/>
    <col min="11790" max="11790" width="11.85546875" customWidth="1"/>
    <col min="12033" max="12033" width="23.85546875" customWidth="1"/>
    <col min="12034" max="12034" width="10.7109375" customWidth="1"/>
    <col min="12036" max="12037" width="10.7109375" bestFit="1" customWidth="1"/>
    <col min="12038" max="12040" width="9.5703125" bestFit="1" customWidth="1"/>
    <col min="12041" max="12041" width="12.140625" customWidth="1"/>
    <col min="12042" max="12042" width="10.7109375" bestFit="1" customWidth="1"/>
    <col min="12043" max="12043" width="9.28515625" customWidth="1"/>
    <col min="12045" max="12045" width="10.7109375" bestFit="1" customWidth="1"/>
    <col min="12046" max="12046" width="11.85546875" customWidth="1"/>
    <col min="12289" max="12289" width="23.85546875" customWidth="1"/>
    <col min="12290" max="12290" width="10.7109375" customWidth="1"/>
    <col min="12292" max="12293" width="10.7109375" bestFit="1" customWidth="1"/>
    <col min="12294" max="12296" width="9.5703125" bestFit="1" customWidth="1"/>
    <col min="12297" max="12297" width="12.140625" customWidth="1"/>
    <col min="12298" max="12298" width="10.7109375" bestFit="1" customWidth="1"/>
    <col min="12299" max="12299" width="9.28515625" customWidth="1"/>
    <col min="12301" max="12301" width="10.7109375" bestFit="1" customWidth="1"/>
    <col min="12302" max="12302" width="11.85546875" customWidth="1"/>
    <col min="12545" max="12545" width="23.85546875" customWidth="1"/>
    <col min="12546" max="12546" width="10.7109375" customWidth="1"/>
    <col min="12548" max="12549" width="10.7109375" bestFit="1" customWidth="1"/>
    <col min="12550" max="12552" width="9.5703125" bestFit="1" customWidth="1"/>
    <col min="12553" max="12553" width="12.140625" customWidth="1"/>
    <col min="12554" max="12554" width="10.7109375" bestFit="1" customWidth="1"/>
    <col min="12555" max="12555" width="9.28515625" customWidth="1"/>
    <col min="12557" max="12557" width="10.7109375" bestFit="1" customWidth="1"/>
    <col min="12558" max="12558" width="11.85546875" customWidth="1"/>
    <col min="12801" max="12801" width="23.85546875" customWidth="1"/>
    <col min="12802" max="12802" width="10.7109375" customWidth="1"/>
    <col min="12804" max="12805" width="10.7109375" bestFit="1" customWidth="1"/>
    <col min="12806" max="12808" width="9.5703125" bestFit="1" customWidth="1"/>
    <col min="12809" max="12809" width="12.140625" customWidth="1"/>
    <col min="12810" max="12810" width="10.7109375" bestFit="1" customWidth="1"/>
    <col min="12811" max="12811" width="9.28515625" customWidth="1"/>
    <col min="12813" max="12813" width="10.7109375" bestFit="1" customWidth="1"/>
    <col min="12814" max="12814" width="11.85546875" customWidth="1"/>
    <col min="13057" max="13057" width="23.85546875" customWidth="1"/>
    <col min="13058" max="13058" width="10.7109375" customWidth="1"/>
    <col min="13060" max="13061" width="10.7109375" bestFit="1" customWidth="1"/>
    <col min="13062" max="13064" width="9.5703125" bestFit="1" customWidth="1"/>
    <col min="13065" max="13065" width="12.140625" customWidth="1"/>
    <col min="13066" max="13066" width="10.7109375" bestFit="1" customWidth="1"/>
    <col min="13067" max="13067" width="9.28515625" customWidth="1"/>
    <col min="13069" max="13069" width="10.7109375" bestFit="1" customWidth="1"/>
    <col min="13070" max="13070" width="11.85546875" customWidth="1"/>
    <col min="13313" max="13313" width="23.85546875" customWidth="1"/>
    <col min="13314" max="13314" width="10.7109375" customWidth="1"/>
    <col min="13316" max="13317" width="10.7109375" bestFit="1" customWidth="1"/>
    <col min="13318" max="13320" width="9.5703125" bestFit="1" customWidth="1"/>
    <col min="13321" max="13321" width="12.140625" customWidth="1"/>
    <col min="13322" max="13322" width="10.7109375" bestFit="1" customWidth="1"/>
    <col min="13323" max="13323" width="9.28515625" customWidth="1"/>
    <col min="13325" max="13325" width="10.7109375" bestFit="1" customWidth="1"/>
    <col min="13326" max="13326" width="11.85546875" customWidth="1"/>
    <col min="13569" max="13569" width="23.85546875" customWidth="1"/>
    <col min="13570" max="13570" width="10.7109375" customWidth="1"/>
    <col min="13572" max="13573" width="10.7109375" bestFit="1" customWidth="1"/>
    <col min="13574" max="13576" width="9.5703125" bestFit="1" customWidth="1"/>
    <col min="13577" max="13577" width="12.140625" customWidth="1"/>
    <col min="13578" max="13578" width="10.7109375" bestFit="1" customWidth="1"/>
    <col min="13579" max="13579" width="9.28515625" customWidth="1"/>
    <col min="13581" max="13581" width="10.7109375" bestFit="1" customWidth="1"/>
    <col min="13582" max="13582" width="11.85546875" customWidth="1"/>
    <col min="13825" max="13825" width="23.85546875" customWidth="1"/>
    <col min="13826" max="13826" width="10.7109375" customWidth="1"/>
    <col min="13828" max="13829" width="10.7109375" bestFit="1" customWidth="1"/>
    <col min="13830" max="13832" width="9.5703125" bestFit="1" customWidth="1"/>
    <col min="13833" max="13833" width="12.140625" customWidth="1"/>
    <col min="13834" max="13834" width="10.7109375" bestFit="1" customWidth="1"/>
    <col min="13835" max="13835" width="9.28515625" customWidth="1"/>
    <col min="13837" max="13837" width="10.7109375" bestFit="1" customWidth="1"/>
    <col min="13838" max="13838" width="11.85546875" customWidth="1"/>
    <col min="14081" max="14081" width="23.85546875" customWidth="1"/>
    <col min="14082" max="14082" width="10.7109375" customWidth="1"/>
    <col min="14084" max="14085" width="10.7109375" bestFit="1" customWidth="1"/>
    <col min="14086" max="14088" width="9.5703125" bestFit="1" customWidth="1"/>
    <col min="14089" max="14089" width="12.140625" customWidth="1"/>
    <col min="14090" max="14090" width="10.7109375" bestFit="1" customWidth="1"/>
    <col min="14091" max="14091" width="9.28515625" customWidth="1"/>
    <col min="14093" max="14093" width="10.7109375" bestFit="1" customWidth="1"/>
    <col min="14094" max="14094" width="11.85546875" customWidth="1"/>
    <col min="14337" max="14337" width="23.85546875" customWidth="1"/>
    <col min="14338" max="14338" width="10.7109375" customWidth="1"/>
    <col min="14340" max="14341" width="10.7109375" bestFit="1" customWidth="1"/>
    <col min="14342" max="14344" width="9.5703125" bestFit="1" customWidth="1"/>
    <col min="14345" max="14345" width="12.140625" customWidth="1"/>
    <col min="14346" max="14346" width="10.7109375" bestFit="1" customWidth="1"/>
    <col min="14347" max="14347" width="9.28515625" customWidth="1"/>
    <col min="14349" max="14349" width="10.7109375" bestFit="1" customWidth="1"/>
    <col min="14350" max="14350" width="11.85546875" customWidth="1"/>
    <col min="14593" max="14593" width="23.85546875" customWidth="1"/>
    <col min="14594" max="14594" width="10.7109375" customWidth="1"/>
    <col min="14596" max="14597" width="10.7109375" bestFit="1" customWidth="1"/>
    <col min="14598" max="14600" width="9.5703125" bestFit="1" customWidth="1"/>
    <col min="14601" max="14601" width="12.140625" customWidth="1"/>
    <col min="14602" max="14602" width="10.7109375" bestFit="1" customWidth="1"/>
    <col min="14603" max="14603" width="9.28515625" customWidth="1"/>
    <col min="14605" max="14605" width="10.7109375" bestFit="1" customWidth="1"/>
    <col min="14606" max="14606" width="11.85546875" customWidth="1"/>
    <col min="14849" max="14849" width="23.85546875" customWidth="1"/>
    <col min="14850" max="14850" width="10.7109375" customWidth="1"/>
    <col min="14852" max="14853" width="10.7109375" bestFit="1" customWidth="1"/>
    <col min="14854" max="14856" width="9.5703125" bestFit="1" customWidth="1"/>
    <col min="14857" max="14857" width="12.140625" customWidth="1"/>
    <col min="14858" max="14858" width="10.7109375" bestFit="1" customWidth="1"/>
    <col min="14859" max="14859" width="9.28515625" customWidth="1"/>
    <col min="14861" max="14861" width="10.7109375" bestFit="1" customWidth="1"/>
    <col min="14862" max="14862" width="11.85546875" customWidth="1"/>
    <col min="15105" max="15105" width="23.85546875" customWidth="1"/>
    <col min="15106" max="15106" width="10.7109375" customWidth="1"/>
    <col min="15108" max="15109" width="10.7109375" bestFit="1" customWidth="1"/>
    <col min="15110" max="15112" width="9.5703125" bestFit="1" customWidth="1"/>
    <col min="15113" max="15113" width="12.140625" customWidth="1"/>
    <col min="15114" max="15114" width="10.7109375" bestFit="1" customWidth="1"/>
    <col min="15115" max="15115" width="9.28515625" customWidth="1"/>
    <col min="15117" max="15117" width="10.7109375" bestFit="1" customWidth="1"/>
    <col min="15118" max="15118" width="11.85546875" customWidth="1"/>
    <col min="15361" max="15361" width="23.85546875" customWidth="1"/>
    <col min="15362" max="15362" width="10.7109375" customWidth="1"/>
    <col min="15364" max="15365" width="10.7109375" bestFit="1" customWidth="1"/>
    <col min="15366" max="15368" width="9.5703125" bestFit="1" customWidth="1"/>
    <col min="15369" max="15369" width="12.140625" customWidth="1"/>
    <col min="15370" max="15370" width="10.7109375" bestFit="1" customWidth="1"/>
    <col min="15371" max="15371" width="9.28515625" customWidth="1"/>
    <col min="15373" max="15373" width="10.7109375" bestFit="1" customWidth="1"/>
    <col min="15374" max="15374" width="11.85546875" customWidth="1"/>
    <col min="15617" max="15617" width="23.85546875" customWidth="1"/>
    <col min="15618" max="15618" width="10.7109375" customWidth="1"/>
    <col min="15620" max="15621" width="10.7109375" bestFit="1" customWidth="1"/>
    <col min="15622" max="15624" width="9.5703125" bestFit="1" customWidth="1"/>
    <col min="15625" max="15625" width="12.140625" customWidth="1"/>
    <col min="15626" max="15626" width="10.7109375" bestFit="1" customWidth="1"/>
    <col min="15627" max="15627" width="9.28515625" customWidth="1"/>
    <col min="15629" max="15629" width="10.7109375" bestFit="1" customWidth="1"/>
    <col min="15630" max="15630" width="11.85546875" customWidth="1"/>
    <col min="15873" max="15873" width="23.85546875" customWidth="1"/>
    <col min="15874" max="15874" width="10.7109375" customWidth="1"/>
    <col min="15876" max="15877" width="10.7109375" bestFit="1" customWidth="1"/>
    <col min="15878" max="15880" width="9.5703125" bestFit="1" customWidth="1"/>
    <col min="15881" max="15881" width="12.140625" customWidth="1"/>
    <col min="15882" max="15882" width="10.7109375" bestFit="1" customWidth="1"/>
    <col min="15883" max="15883" width="9.28515625" customWidth="1"/>
    <col min="15885" max="15885" width="10.7109375" bestFit="1" customWidth="1"/>
    <col min="15886" max="15886" width="11.85546875" customWidth="1"/>
    <col min="16129" max="16129" width="23.85546875" customWidth="1"/>
    <col min="16130" max="16130" width="10.7109375" customWidth="1"/>
    <col min="16132" max="16133" width="10.7109375" bestFit="1" customWidth="1"/>
    <col min="16134" max="16136" width="9.5703125" bestFit="1" customWidth="1"/>
    <col min="16137" max="16137" width="12.140625" customWidth="1"/>
    <col min="16138" max="16138" width="10.7109375" bestFit="1" customWidth="1"/>
    <col min="16139" max="16139" width="9.28515625" customWidth="1"/>
    <col min="16141" max="16141" width="10.7109375" bestFit="1" customWidth="1"/>
    <col min="16142" max="16142" width="11.85546875" customWidth="1"/>
  </cols>
  <sheetData>
    <row r="1" spans="1:14" s="8" customFormat="1" ht="15.75">
      <c r="A1" s="954" t="s">
        <v>826</v>
      </c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</row>
    <row r="2" spans="1:14" s="8" customFormat="1" ht="15.75">
      <c r="A2" s="954" t="s">
        <v>827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</row>
    <row r="3" spans="1:14" s="8" customFormat="1">
      <c r="A3" s="808" t="s">
        <v>4176</v>
      </c>
      <c r="B3" s="808"/>
      <c r="C3" s="808"/>
    </row>
    <row r="4" spans="1:14" s="8" customFormat="1">
      <c r="A4" s="9" t="s">
        <v>828</v>
      </c>
      <c r="B4" s="945" t="s">
        <v>894</v>
      </c>
      <c r="C4" s="945"/>
      <c r="D4" s="945"/>
      <c r="E4" s="945" t="s">
        <v>830</v>
      </c>
      <c r="F4" s="945"/>
      <c r="G4" s="945">
        <v>903140103</v>
      </c>
      <c r="H4" s="945"/>
      <c r="I4" s="9" t="s">
        <v>5</v>
      </c>
      <c r="J4" s="9"/>
      <c r="K4" s="9">
        <v>505.67899999999997</v>
      </c>
      <c r="L4" s="9" t="s">
        <v>831</v>
      </c>
      <c r="M4" s="9"/>
      <c r="N4" s="9">
        <v>80</v>
      </c>
    </row>
    <row r="5" spans="1:14" s="8" customForma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</row>
    <row r="6" spans="1:14" s="8" customFormat="1">
      <c r="A6" s="9" t="s">
        <v>832</v>
      </c>
      <c r="B6" s="945" t="s">
        <v>895</v>
      </c>
      <c r="C6" s="945"/>
      <c r="D6" s="945"/>
      <c r="E6" s="945" t="s">
        <v>176</v>
      </c>
      <c r="F6" s="945"/>
      <c r="G6" s="945" t="s">
        <v>896</v>
      </c>
      <c r="H6" s="945"/>
      <c r="I6" s="945"/>
      <c r="J6" s="11"/>
      <c r="K6" s="11"/>
      <c r="L6" s="11"/>
      <c r="M6" s="11"/>
      <c r="N6" s="11"/>
    </row>
    <row r="7" spans="1:14" s="8" customFormat="1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 s="8" customFormat="1" ht="23.25" customHeight="1">
      <c r="A8" s="9" t="s">
        <v>835</v>
      </c>
      <c r="B8" s="945" t="s">
        <v>897</v>
      </c>
      <c r="C8" s="945"/>
      <c r="D8" s="945"/>
      <c r="E8" s="959" t="s">
        <v>898</v>
      </c>
      <c r="F8" s="959"/>
      <c r="G8" s="959"/>
      <c r="H8" s="959"/>
      <c r="I8" s="959"/>
      <c r="J8" s="39">
        <v>8763456048</v>
      </c>
      <c r="K8" s="40"/>
      <c r="L8" s="40"/>
      <c r="M8" s="40"/>
      <c r="N8" s="41"/>
    </row>
    <row r="9" spans="1:14" s="8" customFormat="1">
      <c r="A9" s="11"/>
      <c r="B9" s="11"/>
      <c r="C9" s="11"/>
      <c r="D9" s="11"/>
      <c r="E9" s="11"/>
      <c r="F9" s="11"/>
      <c r="G9" s="12"/>
      <c r="H9" s="12"/>
      <c r="I9" s="12"/>
      <c r="J9" s="12"/>
      <c r="K9" s="12"/>
      <c r="L9" s="11"/>
      <c r="M9" s="11"/>
      <c r="N9" s="11"/>
    </row>
    <row r="10" spans="1:14" s="8" customForma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8" customFormat="1">
      <c r="A11" s="9" t="s">
        <v>838</v>
      </c>
      <c r="B11" s="945" t="s">
        <v>899</v>
      </c>
      <c r="C11" s="945"/>
      <c r="D11" s="945"/>
      <c r="E11" s="945"/>
      <c r="F11" s="945"/>
      <c r="G11" s="945"/>
      <c r="H11" s="945"/>
      <c r="I11" s="945"/>
      <c r="J11" s="945"/>
      <c r="K11" s="945"/>
      <c r="L11" s="945"/>
      <c r="M11" s="945"/>
      <c r="N11" s="11"/>
    </row>
    <row r="12" spans="1:14" s="8" customFormat="1">
      <c r="A12" s="9" t="s">
        <v>840</v>
      </c>
      <c r="B12" s="945" t="s">
        <v>900</v>
      </c>
      <c r="C12" s="945"/>
      <c r="D12" s="945" t="s">
        <v>901</v>
      </c>
      <c r="E12" s="945"/>
      <c r="F12" s="945"/>
      <c r="G12" s="945" t="s">
        <v>902</v>
      </c>
      <c r="H12" s="945"/>
      <c r="I12" s="945"/>
      <c r="J12" s="945" t="s">
        <v>903</v>
      </c>
      <c r="K12" s="945"/>
      <c r="L12" s="945"/>
      <c r="M12" s="945"/>
      <c r="N12" s="11"/>
    </row>
    <row r="13" spans="1:14" s="8" customFormat="1">
      <c r="A13" s="9" t="s">
        <v>844</v>
      </c>
      <c r="B13" s="945" t="s">
        <v>904</v>
      </c>
      <c r="C13" s="945"/>
      <c r="D13" s="945" t="s">
        <v>905</v>
      </c>
      <c r="E13" s="945"/>
      <c r="F13" s="945"/>
      <c r="G13" s="945" t="s">
        <v>906</v>
      </c>
      <c r="H13" s="945"/>
      <c r="I13" s="945"/>
      <c r="J13" s="945"/>
      <c r="K13" s="945"/>
      <c r="L13" s="945"/>
      <c r="M13" s="945"/>
      <c r="N13" s="11"/>
    </row>
    <row r="14" spans="1:14" s="8" customFormat="1">
      <c r="A14" s="9"/>
      <c r="B14" s="945"/>
      <c r="C14" s="945"/>
      <c r="D14" s="529"/>
      <c r="E14" s="529"/>
      <c r="F14" s="529"/>
      <c r="G14" s="529"/>
      <c r="H14" s="529"/>
      <c r="I14" s="529"/>
      <c r="J14" s="529"/>
      <c r="K14" s="529"/>
      <c r="L14" s="529"/>
      <c r="M14" s="529"/>
      <c r="N14" s="11"/>
    </row>
    <row r="15" spans="1:14" s="8" customFormat="1">
      <c r="A15" s="9" t="s">
        <v>850</v>
      </c>
      <c r="B15" s="945" t="s">
        <v>907</v>
      </c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5"/>
      <c r="N15" s="11"/>
    </row>
    <row r="16" spans="1:14" s="8" customForma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</row>
    <row r="17" spans="1:14" s="8" customFormat="1">
      <c r="A17" s="9" t="s">
        <v>852</v>
      </c>
      <c r="B17" s="9">
        <v>3</v>
      </c>
      <c r="C17" s="9" t="s">
        <v>853</v>
      </c>
      <c r="D17" s="9"/>
      <c r="E17" s="529">
        <v>3</v>
      </c>
      <c r="F17" s="13"/>
      <c r="G17" s="9" t="s">
        <v>643</v>
      </c>
      <c r="H17" s="529">
        <v>10</v>
      </c>
      <c r="I17" s="9" t="s">
        <v>644</v>
      </c>
      <c r="J17" s="9">
        <v>1</v>
      </c>
      <c r="K17" s="9" t="s">
        <v>645</v>
      </c>
      <c r="L17" s="9">
        <v>12</v>
      </c>
      <c r="M17" s="9"/>
      <c r="N17" s="11"/>
    </row>
    <row r="18" spans="1:14" s="8" customForma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</row>
    <row r="19" spans="1:14" s="8" customForma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</row>
    <row r="20" spans="1:14" s="8" customFormat="1">
      <c r="A20" s="9" t="s">
        <v>854</v>
      </c>
      <c r="B20" s="9" t="s">
        <v>204</v>
      </c>
      <c r="C20" s="9">
        <v>122</v>
      </c>
      <c r="D20" s="9" t="s">
        <v>205</v>
      </c>
      <c r="E20" s="9"/>
      <c r="F20" s="15" t="s">
        <v>206</v>
      </c>
      <c r="G20" s="9"/>
      <c r="H20" s="9" t="s">
        <v>230</v>
      </c>
      <c r="I20" s="9">
        <v>122</v>
      </c>
      <c r="J20" s="9" t="s">
        <v>207</v>
      </c>
      <c r="K20" s="9">
        <v>22</v>
      </c>
      <c r="L20" s="9" t="s">
        <v>855</v>
      </c>
      <c r="M20" s="9"/>
      <c r="N20" s="9">
        <v>15</v>
      </c>
    </row>
    <row r="21" spans="1:14" s="8" customFormat="1">
      <c r="A21" s="9" t="s">
        <v>209</v>
      </c>
      <c r="B21" s="9" t="s">
        <v>210</v>
      </c>
      <c r="C21" s="9">
        <v>288</v>
      </c>
      <c r="D21" s="9" t="s">
        <v>211</v>
      </c>
      <c r="E21" s="9"/>
      <c r="F21" s="15" t="s">
        <v>212</v>
      </c>
      <c r="G21" s="9"/>
      <c r="H21" s="9" t="s">
        <v>411</v>
      </c>
      <c r="I21" s="9">
        <f>C21</f>
        <v>288</v>
      </c>
      <c r="J21" s="9"/>
      <c r="K21" s="9" t="s">
        <v>856</v>
      </c>
      <c r="L21" s="9">
        <v>65</v>
      </c>
      <c r="M21" s="9" t="s">
        <v>857</v>
      </c>
      <c r="N21" s="9">
        <v>2</v>
      </c>
    </row>
    <row r="22" spans="1:14" s="8" customFormat="1">
      <c r="A22" s="11"/>
      <c r="B22" s="9" t="s">
        <v>858</v>
      </c>
      <c r="C22" s="9">
        <v>304</v>
      </c>
      <c r="D22" s="9" t="s">
        <v>214</v>
      </c>
      <c r="E22" s="9"/>
      <c r="F22" s="9" t="s">
        <v>215</v>
      </c>
      <c r="G22" s="9"/>
      <c r="H22" s="9" t="s">
        <v>410</v>
      </c>
      <c r="I22" s="9">
        <f>C22</f>
        <v>304</v>
      </c>
      <c r="J22" s="9"/>
      <c r="K22" s="9" t="s">
        <v>859</v>
      </c>
      <c r="L22" s="9">
        <v>55</v>
      </c>
      <c r="M22" s="9" t="s">
        <v>860</v>
      </c>
      <c r="N22" s="9">
        <f>C20-(L21+L22+N21)</f>
        <v>0</v>
      </c>
    </row>
    <row r="23" spans="1:14" s="8" customForma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</row>
    <row r="24" spans="1:14" s="8" customFormat="1">
      <c r="A24" s="16" t="s">
        <v>216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</row>
    <row r="25" spans="1:14" s="8" customFormat="1" ht="30" customHeight="1">
      <c r="A25" s="946" t="s">
        <v>861</v>
      </c>
      <c r="B25" s="948" t="s">
        <v>862</v>
      </c>
      <c r="C25" s="948" t="s">
        <v>219</v>
      </c>
      <c r="D25" s="948" t="s">
        <v>863</v>
      </c>
      <c r="E25" s="948" t="s">
        <v>864</v>
      </c>
      <c r="F25" s="942" t="s">
        <v>865</v>
      </c>
      <c r="G25" s="943"/>
      <c r="H25" s="943"/>
      <c r="I25" s="943"/>
      <c r="J25" s="943"/>
      <c r="K25" s="943"/>
      <c r="L25" s="943"/>
      <c r="M25" s="943"/>
      <c r="N25" s="944"/>
    </row>
    <row r="26" spans="1:14" s="8" customFormat="1" ht="38.450000000000003" customHeight="1">
      <c r="A26" s="947"/>
      <c r="B26" s="949"/>
      <c r="C26" s="949"/>
      <c r="D26" s="949"/>
      <c r="E26" s="949"/>
      <c r="F26" s="17" t="s">
        <v>866</v>
      </c>
      <c r="G26" s="17" t="s">
        <v>867</v>
      </c>
      <c r="H26" s="17" t="s">
        <v>868</v>
      </c>
      <c r="I26" s="17" t="s">
        <v>869</v>
      </c>
      <c r="J26" s="17" t="s">
        <v>870</v>
      </c>
      <c r="K26" s="17" t="s">
        <v>871</v>
      </c>
      <c r="L26" s="17" t="s">
        <v>872</v>
      </c>
      <c r="M26" s="17" t="s">
        <v>230</v>
      </c>
      <c r="N26" s="17" t="s">
        <v>231</v>
      </c>
    </row>
    <row r="27" spans="1:14" s="8" customFormat="1">
      <c r="A27" s="9" t="s">
        <v>232</v>
      </c>
      <c r="B27" s="9">
        <v>8000</v>
      </c>
      <c r="C27" s="18" t="s">
        <v>873</v>
      </c>
      <c r="D27" s="42">
        <f>B27*K4/100000</f>
        <v>40.454320000000003</v>
      </c>
      <c r="E27" s="10">
        <f>4045432/100000</f>
        <v>40.454320000000003</v>
      </c>
      <c r="F27" s="10">
        <f>50206/100000</f>
        <v>0.50205999999999995</v>
      </c>
      <c r="G27" s="10">
        <f>586270/100000</f>
        <v>5.8627000000000002</v>
      </c>
      <c r="H27" s="10">
        <f>758675/100000</f>
        <v>7.5867500000000003</v>
      </c>
      <c r="I27" s="10">
        <f>2334628/100000</f>
        <v>23.34628</v>
      </c>
      <c r="J27" s="10">
        <f>369136/100000</f>
        <v>3.69136</v>
      </c>
      <c r="K27" s="10">
        <f>54000/100000</f>
        <v>0.54</v>
      </c>
      <c r="L27" s="10"/>
      <c r="M27" s="43">
        <f t="shared" ref="M27:M34" si="0">SUM(F27:L27)</f>
        <v>41.529150000000001</v>
      </c>
      <c r="N27" s="10">
        <f>+M27*100/E27</f>
        <v>102.65689795304925</v>
      </c>
    </row>
    <row r="28" spans="1:14" s="8" customFormat="1">
      <c r="A28" s="9" t="s">
        <v>874</v>
      </c>
      <c r="B28" s="9">
        <v>7000</v>
      </c>
      <c r="C28" s="18" t="s">
        <v>873</v>
      </c>
      <c r="D28" s="42">
        <f>B28*N4/100000</f>
        <v>5.6</v>
      </c>
      <c r="E28" s="10">
        <f>560000/100000</f>
        <v>5.6</v>
      </c>
      <c r="F28" s="10"/>
      <c r="G28" s="10"/>
      <c r="H28" s="10"/>
      <c r="I28" s="10">
        <f>115700/100000</f>
        <v>1.157</v>
      </c>
      <c r="J28" s="10">
        <f>165120/100000</f>
        <v>1.6512</v>
      </c>
      <c r="K28" s="10">
        <f>278390/100000</f>
        <v>2.7839</v>
      </c>
      <c r="L28" s="10"/>
      <c r="M28" s="43">
        <f t="shared" si="0"/>
        <v>5.5921000000000003</v>
      </c>
      <c r="N28" s="10">
        <f t="shared" ref="N28:N35" si="1">+M28*100/E28</f>
        <v>99.858928571428578</v>
      </c>
    </row>
    <row r="29" spans="1:14" s="8" customFormat="1">
      <c r="A29" s="9" t="s">
        <v>235</v>
      </c>
      <c r="B29" s="9">
        <v>43000</v>
      </c>
      <c r="C29" s="529" t="s">
        <v>236</v>
      </c>
      <c r="D29" s="42">
        <f>143000/100000</f>
        <v>1.43</v>
      </c>
      <c r="E29" s="10">
        <f>63000/100000</f>
        <v>0.63</v>
      </c>
      <c r="F29" s="10"/>
      <c r="G29" s="10"/>
      <c r="H29" s="10">
        <f>16000/100000</f>
        <v>0.16</v>
      </c>
      <c r="I29" s="10">
        <f>27000/100000</f>
        <v>0.27</v>
      </c>
      <c r="J29" s="10">
        <f>-7000/100000</f>
        <v>-7.0000000000000007E-2</v>
      </c>
      <c r="K29" s="10">
        <f>10000/100000</f>
        <v>0.1</v>
      </c>
      <c r="L29" s="10"/>
      <c r="M29" s="43">
        <f t="shared" si="0"/>
        <v>0.46000000000000008</v>
      </c>
      <c r="N29" s="10">
        <f t="shared" si="1"/>
        <v>73.015873015873026</v>
      </c>
    </row>
    <row r="30" spans="1:14" s="8" customFormat="1">
      <c r="A30" s="9" t="s">
        <v>875</v>
      </c>
      <c r="B30" s="9">
        <v>34000</v>
      </c>
      <c r="C30" s="529" t="s">
        <v>236</v>
      </c>
      <c r="D30" s="10">
        <f>34000/100000</f>
        <v>0.34</v>
      </c>
      <c r="E30" s="10">
        <f>34000/100000</f>
        <v>0.34</v>
      </c>
      <c r="F30" s="10"/>
      <c r="G30" s="10"/>
      <c r="H30" s="10"/>
      <c r="I30" s="10">
        <f>34000/100000</f>
        <v>0.34</v>
      </c>
      <c r="J30" s="10">
        <f>-29000/100000</f>
        <v>-0.28999999999999998</v>
      </c>
      <c r="K30" s="10"/>
      <c r="L30" s="10"/>
      <c r="M30" s="43">
        <f t="shared" si="0"/>
        <v>5.0000000000000044E-2</v>
      </c>
      <c r="N30" s="10">
        <f t="shared" si="1"/>
        <v>14.705882352941188</v>
      </c>
    </row>
    <row r="31" spans="1:14" s="8" customFormat="1">
      <c r="A31" s="9" t="s">
        <v>238</v>
      </c>
      <c r="B31" s="9">
        <v>1200</v>
      </c>
      <c r="C31" s="18" t="s">
        <v>873</v>
      </c>
      <c r="D31" s="42">
        <f>ROUND((B31*K4),0)/100000</f>
        <v>6.0681500000000002</v>
      </c>
      <c r="E31" s="10">
        <f>606815/100000</f>
        <v>6.0681500000000002</v>
      </c>
      <c r="F31" s="10"/>
      <c r="G31" s="10"/>
      <c r="H31" s="10"/>
      <c r="I31" s="10"/>
      <c r="J31" s="10">
        <f>541206/100000</f>
        <v>5.4120600000000003</v>
      </c>
      <c r="K31" s="10">
        <f>54250/100000</f>
        <v>0.54249999999999998</v>
      </c>
      <c r="L31" s="10"/>
      <c r="M31" s="43">
        <f t="shared" si="0"/>
        <v>5.9545600000000007</v>
      </c>
      <c r="N31" s="10">
        <f t="shared" si="1"/>
        <v>98.128095053681946</v>
      </c>
    </row>
    <row r="32" spans="1:14" s="8" customFormat="1">
      <c r="A32" s="9" t="s">
        <v>667</v>
      </c>
      <c r="B32" s="9">
        <v>565</v>
      </c>
      <c r="C32" s="18" t="s">
        <v>873</v>
      </c>
      <c r="D32" s="42">
        <f>ROUND((B32*K4),0)/100000</f>
        <v>2.8570899999999999</v>
      </c>
      <c r="E32" s="10">
        <f>285709/100000</f>
        <v>2.8570899999999999</v>
      </c>
      <c r="F32" s="10"/>
      <c r="G32" s="10">
        <f>50000/100000</f>
        <v>0.5</v>
      </c>
      <c r="H32" s="10">
        <f>3269/100000</f>
        <v>3.2689999999999997E-2</v>
      </c>
      <c r="I32" s="10">
        <f>232440/100000</f>
        <v>2.3243999999999998</v>
      </c>
      <c r="J32" s="10"/>
      <c r="K32" s="10"/>
      <c r="L32" s="10"/>
      <c r="M32" s="10">
        <f t="shared" si="0"/>
        <v>2.8570899999999999</v>
      </c>
      <c r="N32" s="10">
        <f t="shared" si="1"/>
        <v>100</v>
      </c>
    </row>
    <row r="33" spans="1:17" s="8" customFormat="1">
      <c r="A33" s="9" t="s">
        <v>876</v>
      </c>
      <c r="B33" s="9">
        <v>1000</v>
      </c>
      <c r="C33" s="18" t="s">
        <v>873</v>
      </c>
      <c r="D33" s="42">
        <f>B33*K4/100000</f>
        <v>5.0567900000000003</v>
      </c>
      <c r="E33" s="10">
        <f>505679/100000</f>
        <v>5.0567900000000003</v>
      </c>
      <c r="F33" s="10"/>
      <c r="G33" s="10">
        <f>49251/100000</f>
        <v>0.49251</v>
      </c>
      <c r="H33" s="10">
        <f>49199/100000</f>
        <v>0.49198999999999998</v>
      </c>
      <c r="I33" s="10">
        <f>1550/100000</f>
        <v>1.55E-2</v>
      </c>
      <c r="J33" s="10">
        <f>180563/100000</f>
        <v>1.8056300000000001</v>
      </c>
      <c r="K33" s="10">
        <f>183300/100000</f>
        <v>1.833</v>
      </c>
      <c r="L33" s="10"/>
      <c r="M33" s="43">
        <f t="shared" si="0"/>
        <v>4.63863</v>
      </c>
      <c r="N33" s="10">
        <f t="shared" si="1"/>
        <v>91.730722454363331</v>
      </c>
    </row>
    <row r="34" spans="1:17" s="8" customFormat="1">
      <c r="A34" s="9" t="s">
        <v>394</v>
      </c>
      <c r="B34" s="9">
        <v>2750</v>
      </c>
      <c r="C34" s="529" t="s">
        <v>877</v>
      </c>
      <c r="D34" s="10">
        <f>192000/100000</f>
        <v>1.92</v>
      </c>
      <c r="E34" s="10">
        <f>192000/100000</f>
        <v>1.92</v>
      </c>
      <c r="F34" s="10">
        <f>10000/100000</f>
        <v>0.1</v>
      </c>
      <c r="G34" s="10">
        <f>43701/100000</f>
        <v>0.43701000000000001</v>
      </c>
      <c r="H34" s="10">
        <f>30930/100000</f>
        <v>0.30930000000000002</v>
      </c>
      <c r="I34" s="10">
        <f>41369/100000</f>
        <v>0.41369</v>
      </c>
      <c r="J34" s="10">
        <f>17773/100000</f>
        <v>0.17773</v>
      </c>
      <c r="K34" s="10">
        <f>41550/100000</f>
        <v>0.41549999999999998</v>
      </c>
      <c r="L34" s="10"/>
      <c r="M34" s="43">
        <f t="shared" si="0"/>
        <v>1.8532299999999999</v>
      </c>
      <c r="N34" s="10">
        <f t="shared" si="1"/>
        <v>96.52239583333332</v>
      </c>
    </row>
    <row r="35" spans="1:17" s="8" customFormat="1">
      <c r="A35" s="13"/>
      <c r="B35" s="44">
        <f>SUM(B27:B34)</f>
        <v>97515</v>
      </c>
      <c r="C35" s="44"/>
      <c r="D35" s="45">
        <f>SUM(D27:D34)</f>
        <v>63.726350000000011</v>
      </c>
      <c r="E35" s="45">
        <f t="shared" ref="E35:K35" si="2">SUM(E27:E34)</f>
        <v>62.926350000000014</v>
      </c>
      <c r="F35" s="45">
        <f t="shared" si="2"/>
        <v>0.60205999999999993</v>
      </c>
      <c r="G35" s="45">
        <f t="shared" si="2"/>
        <v>7.2922200000000004</v>
      </c>
      <c r="H35" s="45">
        <f t="shared" si="2"/>
        <v>8.5807300000000009</v>
      </c>
      <c r="I35" s="45">
        <f t="shared" si="2"/>
        <v>27.866869999999999</v>
      </c>
      <c r="J35" s="45">
        <f t="shared" si="2"/>
        <v>12.377980000000001</v>
      </c>
      <c r="K35" s="45">
        <f t="shared" si="2"/>
        <v>6.2149000000000001</v>
      </c>
      <c r="L35" s="45"/>
      <c r="M35" s="45">
        <f>SUM(M27:M34)</f>
        <v>62.934759999999997</v>
      </c>
      <c r="N35" s="43">
        <f t="shared" si="1"/>
        <v>100.01336483047243</v>
      </c>
    </row>
    <row r="36" spans="1:17">
      <c r="Q36" s="8"/>
    </row>
    <row r="37" spans="1:17" s="33" customFormat="1">
      <c r="Q37" s="8"/>
    </row>
    <row r="38" spans="1:17" s="33" customFormat="1"/>
    <row r="39" spans="1:17" s="33" customFormat="1"/>
    <row r="40" spans="1:17" s="33" customFormat="1"/>
    <row r="41" spans="1:17" s="33" customFormat="1"/>
    <row r="42" spans="1:17" s="33" customFormat="1"/>
    <row r="43" spans="1:17" s="33" customFormat="1"/>
    <row r="44" spans="1:17" s="33" customFormat="1"/>
    <row r="45" spans="1:17" s="33" customFormat="1"/>
    <row r="46" spans="1:17" s="33" customFormat="1"/>
    <row r="47" spans="1:17" s="33" customFormat="1"/>
    <row r="48" spans="1:17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pans="1:13" s="33" customFormat="1"/>
    <row r="66" spans="1:13" s="33" customFormat="1"/>
    <row r="67" spans="1:13" s="33" customFormat="1"/>
    <row r="68" spans="1:13" s="33" customFormat="1"/>
    <row r="69" spans="1:13" s="33" customFormat="1"/>
    <row r="70" spans="1:13" s="33" customFormat="1"/>
    <row r="71" spans="1:13" s="33" customFormat="1"/>
    <row r="72" spans="1:13" s="33" customFormat="1"/>
    <row r="73" spans="1:13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</row>
    <row r="74" spans="1:13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</row>
    <row r="75" spans="1:13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</row>
    <row r="76" spans="1:13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</row>
    <row r="77" spans="1:1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</row>
    <row r="78" spans="1:1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</row>
    <row r="79" spans="1:1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</row>
    <row r="80" spans="1:13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</row>
    <row r="81" spans="1:13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</row>
    <row r="82" spans="1:13" s="33" customFormat="1"/>
    <row r="83" spans="1:13" s="33" customFormat="1"/>
    <row r="84" spans="1:13" s="33" customFormat="1"/>
    <row r="85" spans="1:13" s="33" customFormat="1"/>
    <row r="86" spans="1:13" s="33" customFormat="1"/>
    <row r="87" spans="1:13" s="33" customFormat="1"/>
    <row r="88" spans="1:13" s="33" customFormat="1"/>
    <row r="89" spans="1:13" s="33" customFormat="1"/>
    <row r="90" spans="1:13" s="33" customFormat="1"/>
    <row r="91" spans="1:13" s="33" customFormat="1"/>
    <row r="92" spans="1:13" s="33" customFormat="1"/>
    <row r="93" spans="1:13" s="33" customFormat="1"/>
    <row r="94" spans="1:13" s="33" customFormat="1"/>
    <row r="95" spans="1:13" s="33" customFormat="1"/>
    <row r="96" spans="1:13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</sheetData>
  <mergeCells count="34">
    <mergeCell ref="J11:M11"/>
    <mergeCell ref="A1:N1"/>
    <mergeCell ref="A2:N2"/>
    <mergeCell ref="B4:D4"/>
    <mergeCell ref="E4:F4"/>
    <mergeCell ref="G4:H4"/>
    <mergeCell ref="B6:D6"/>
    <mergeCell ref="E6:F6"/>
    <mergeCell ref="G6:I6"/>
    <mergeCell ref="B8:D8"/>
    <mergeCell ref="E8:I8"/>
    <mergeCell ref="B11:C11"/>
    <mergeCell ref="D11:F11"/>
    <mergeCell ref="G11:I11"/>
    <mergeCell ref="A3:C3"/>
    <mergeCell ref="B12:C12"/>
    <mergeCell ref="D12:F12"/>
    <mergeCell ref="G12:I12"/>
    <mergeCell ref="J12:M12"/>
    <mergeCell ref="B13:C13"/>
    <mergeCell ref="D13:F13"/>
    <mergeCell ref="G13:I13"/>
    <mergeCell ref="J13:M13"/>
    <mergeCell ref="A25:A26"/>
    <mergeCell ref="B25:B26"/>
    <mergeCell ref="C25:C26"/>
    <mergeCell ref="D25:D26"/>
    <mergeCell ref="E25:E26"/>
    <mergeCell ref="F25:N25"/>
    <mergeCell ref="B14:C14"/>
    <mergeCell ref="B15:C15"/>
    <mergeCell ref="D15:F15"/>
    <mergeCell ref="G15:I15"/>
    <mergeCell ref="J15:M15"/>
  </mergeCells>
  <hyperlinks>
    <hyperlink ref="A3" location="'Fact Sheet of VDC'!A1" display="&lt;&lt;Back"/>
  </hyperlinks>
  <printOptions horizontalCentered="1" verticalCentered="1"/>
  <pageMargins left="0.51181102362204722" right="0.11811023622047245" top="0.31496062992125984" bottom="7.874015748031496E-2" header="0.31496062992125984" footer="7.874015748031496E-2"/>
  <pageSetup paperSize="9" scale="88" orientation="landscape" horizontalDpi="300" verticalDpi="300"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78"/>
  <sheetViews>
    <sheetView workbookViewId="0">
      <selection activeCell="A3" sqref="A3:C3"/>
    </sheetView>
  </sheetViews>
  <sheetFormatPr defaultRowHeight="15"/>
  <cols>
    <col min="1" max="1" width="19" customWidth="1"/>
    <col min="4" max="5" width="9.5703125" bestFit="1" customWidth="1"/>
    <col min="6" max="6" width="9.28515625" bestFit="1" customWidth="1"/>
    <col min="7" max="9" width="9.5703125" bestFit="1" customWidth="1"/>
    <col min="10" max="11" width="9.28515625" bestFit="1" customWidth="1"/>
    <col min="13" max="13" width="9.5703125" bestFit="1" customWidth="1"/>
    <col min="14" max="14" width="9.42578125" bestFit="1" customWidth="1"/>
    <col min="257" max="257" width="19" customWidth="1"/>
    <col min="260" max="261" width="9.5703125" bestFit="1" customWidth="1"/>
    <col min="262" max="262" width="9.28515625" bestFit="1" customWidth="1"/>
    <col min="263" max="265" width="9.5703125" bestFit="1" customWidth="1"/>
    <col min="266" max="267" width="9.28515625" bestFit="1" customWidth="1"/>
    <col min="269" max="269" width="9.5703125" bestFit="1" customWidth="1"/>
    <col min="270" max="270" width="9.42578125" bestFit="1" customWidth="1"/>
    <col min="513" max="513" width="19" customWidth="1"/>
    <col min="516" max="517" width="9.5703125" bestFit="1" customWidth="1"/>
    <col min="518" max="518" width="9.28515625" bestFit="1" customWidth="1"/>
    <col min="519" max="521" width="9.5703125" bestFit="1" customWidth="1"/>
    <col min="522" max="523" width="9.28515625" bestFit="1" customWidth="1"/>
    <col min="525" max="525" width="9.5703125" bestFit="1" customWidth="1"/>
    <col min="526" max="526" width="9.42578125" bestFit="1" customWidth="1"/>
    <col min="769" max="769" width="19" customWidth="1"/>
    <col min="772" max="773" width="9.5703125" bestFit="1" customWidth="1"/>
    <col min="774" max="774" width="9.28515625" bestFit="1" customWidth="1"/>
    <col min="775" max="777" width="9.5703125" bestFit="1" customWidth="1"/>
    <col min="778" max="779" width="9.28515625" bestFit="1" customWidth="1"/>
    <col min="781" max="781" width="9.5703125" bestFit="1" customWidth="1"/>
    <col min="782" max="782" width="9.42578125" bestFit="1" customWidth="1"/>
    <col min="1025" max="1025" width="19" customWidth="1"/>
    <col min="1028" max="1029" width="9.5703125" bestFit="1" customWidth="1"/>
    <col min="1030" max="1030" width="9.28515625" bestFit="1" customWidth="1"/>
    <col min="1031" max="1033" width="9.5703125" bestFit="1" customWidth="1"/>
    <col min="1034" max="1035" width="9.28515625" bestFit="1" customWidth="1"/>
    <col min="1037" max="1037" width="9.5703125" bestFit="1" customWidth="1"/>
    <col min="1038" max="1038" width="9.42578125" bestFit="1" customWidth="1"/>
    <col min="1281" max="1281" width="19" customWidth="1"/>
    <col min="1284" max="1285" width="9.5703125" bestFit="1" customWidth="1"/>
    <col min="1286" max="1286" width="9.28515625" bestFit="1" customWidth="1"/>
    <col min="1287" max="1289" width="9.5703125" bestFit="1" customWidth="1"/>
    <col min="1290" max="1291" width="9.28515625" bestFit="1" customWidth="1"/>
    <col min="1293" max="1293" width="9.5703125" bestFit="1" customWidth="1"/>
    <col min="1294" max="1294" width="9.42578125" bestFit="1" customWidth="1"/>
    <col min="1537" max="1537" width="19" customWidth="1"/>
    <col min="1540" max="1541" width="9.5703125" bestFit="1" customWidth="1"/>
    <col min="1542" max="1542" width="9.28515625" bestFit="1" customWidth="1"/>
    <col min="1543" max="1545" width="9.5703125" bestFit="1" customWidth="1"/>
    <col min="1546" max="1547" width="9.28515625" bestFit="1" customWidth="1"/>
    <col min="1549" max="1549" width="9.5703125" bestFit="1" customWidth="1"/>
    <col min="1550" max="1550" width="9.42578125" bestFit="1" customWidth="1"/>
    <col min="1793" max="1793" width="19" customWidth="1"/>
    <col min="1796" max="1797" width="9.5703125" bestFit="1" customWidth="1"/>
    <col min="1798" max="1798" width="9.28515625" bestFit="1" customWidth="1"/>
    <col min="1799" max="1801" width="9.5703125" bestFit="1" customWidth="1"/>
    <col min="1802" max="1803" width="9.28515625" bestFit="1" customWidth="1"/>
    <col min="1805" max="1805" width="9.5703125" bestFit="1" customWidth="1"/>
    <col min="1806" max="1806" width="9.42578125" bestFit="1" customWidth="1"/>
    <col min="2049" max="2049" width="19" customWidth="1"/>
    <col min="2052" max="2053" width="9.5703125" bestFit="1" customWidth="1"/>
    <col min="2054" max="2054" width="9.28515625" bestFit="1" customWidth="1"/>
    <col min="2055" max="2057" width="9.5703125" bestFit="1" customWidth="1"/>
    <col min="2058" max="2059" width="9.28515625" bestFit="1" customWidth="1"/>
    <col min="2061" max="2061" width="9.5703125" bestFit="1" customWidth="1"/>
    <col min="2062" max="2062" width="9.42578125" bestFit="1" customWidth="1"/>
    <col min="2305" max="2305" width="19" customWidth="1"/>
    <col min="2308" max="2309" width="9.5703125" bestFit="1" customWidth="1"/>
    <col min="2310" max="2310" width="9.28515625" bestFit="1" customWidth="1"/>
    <col min="2311" max="2313" width="9.5703125" bestFit="1" customWidth="1"/>
    <col min="2314" max="2315" width="9.28515625" bestFit="1" customWidth="1"/>
    <col min="2317" max="2317" width="9.5703125" bestFit="1" customWidth="1"/>
    <col min="2318" max="2318" width="9.42578125" bestFit="1" customWidth="1"/>
    <col min="2561" max="2561" width="19" customWidth="1"/>
    <col min="2564" max="2565" width="9.5703125" bestFit="1" customWidth="1"/>
    <col min="2566" max="2566" width="9.28515625" bestFit="1" customWidth="1"/>
    <col min="2567" max="2569" width="9.5703125" bestFit="1" customWidth="1"/>
    <col min="2570" max="2571" width="9.28515625" bestFit="1" customWidth="1"/>
    <col min="2573" max="2573" width="9.5703125" bestFit="1" customWidth="1"/>
    <col min="2574" max="2574" width="9.42578125" bestFit="1" customWidth="1"/>
    <col min="2817" max="2817" width="19" customWidth="1"/>
    <col min="2820" max="2821" width="9.5703125" bestFit="1" customWidth="1"/>
    <col min="2822" max="2822" width="9.28515625" bestFit="1" customWidth="1"/>
    <col min="2823" max="2825" width="9.5703125" bestFit="1" customWidth="1"/>
    <col min="2826" max="2827" width="9.28515625" bestFit="1" customWidth="1"/>
    <col min="2829" max="2829" width="9.5703125" bestFit="1" customWidth="1"/>
    <col min="2830" max="2830" width="9.42578125" bestFit="1" customWidth="1"/>
    <col min="3073" max="3073" width="19" customWidth="1"/>
    <col min="3076" max="3077" width="9.5703125" bestFit="1" customWidth="1"/>
    <col min="3078" max="3078" width="9.28515625" bestFit="1" customWidth="1"/>
    <col min="3079" max="3081" width="9.5703125" bestFit="1" customWidth="1"/>
    <col min="3082" max="3083" width="9.28515625" bestFit="1" customWidth="1"/>
    <col min="3085" max="3085" width="9.5703125" bestFit="1" customWidth="1"/>
    <col min="3086" max="3086" width="9.42578125" bestFit="1" customWidth="1"/>
    <col min="3329" max="3329" width="19" customWidth="1"/>
    <col min="3332" max="3333" width="9.5703125" bestFit="1" customWidth="1"/>
    <col min="3334" max="3334" width="9.28515625" bestFit="1" customWidth="1"/>
    <col min="3335" max="3337" width="9.5703125" bestFit="1" customWidth="1"/>
    <col min="3338" max="3339" width="9.28515625" bestFit="1" customWidth="1"/>
    <col min="3341" max="3341" width="9.5703125" bestFit="1" customWidth="1"/>
    <col min="3342" max="3342" width="9.42578125" bestFit="1" customWidth="1"/>
    <col min="3585" max="3585" width="19" customWidth="1"/>
    <col min="3588" max="3589" width="9.5703125" bestFit="1" customWidth="1"/>
    <col min="3590" max="3590" width="9.28515625" bestFit="1" customWidth="1"/>
    <col min="3591" max="3593" width="9.5703125" bestFit="1" customWidth="1"/>
    <col min="3594" max="3595" width="9.28515625" bestFit="1" customWidth="1"/>
    <col min="3597" max="3597" width="9.5703125" bestFit="1" customWidth="1"/>
    <col min="3598" max="3598" width="9.42578125" bestFit="1" customWidth="1"/>
    <col min="3841" max="3841" width="19" customWidth="1"/>
    <col min="3844" max="3845" width="9.5703125" bestFit="1" customWidth="1"/>
    <col min="3846" max="3846" width="9.28515625" bestFit="1" customWidth="1"/>
    <col min="3847" max="3849" width="9.5703125" bestFit="1" customWidth="1"/>
    <col min="3850" max="3851" width="9.28515625" bestFit="1" customWidth="1"/>
    <col min="3853" max="3853" width="9.5703125" bestFit="1" customWidth="1"/>
    <col min="3854" max="3854" width="9.42578125" bestFit="1" customWidth="1"/>
    <col min="4097" max="4097" width="19" customWidth="1"/>
    <col min="4100" max="4101" width="9.5703125" bestFit="1" customWidth="1"/>
    <col min="4102" max="4102" width="9.28515625" bestFit="1" customWidth="1"/>
    <col min="4103" max="4105" width="9.5703125" bestFit="1" customWidth="1"/>
    <col min="4106" max="4107" width="9.28515625" bestFit="1" customWidth="1"/>
    <col min="4109" max="4109" width="9.5703125" bestFit="1" customWidth="1"/>
    <col min="4110" max="4110" width="9.42578125" bestFit="1" customWidth="1"/>
    <col min="4353" max="4353" width="19" customWidth="1"/>
    <col min="4356" max="4357" width="9.5703125" bestFit="1" customWidth="1"/>
    <col min="4358" max="4358" width="9.28515625" bestFit="1" customWidth="1"/>
    <col min="4359" max="4361" width="9.5703125" bestFit="1" customWidth="1"/>
    <col min="4362" max="4363" width="9.28515625" bestFit="1" customWidth="1"/>
    <col min="4365" max="4365" width="9.5703125" bestFit="1" customWidth="1"/>
    <col min="4366" max="4366" width="9.42578125" bestFit="1" customWidth="1"/>
    <col min="4609" max="4609" width="19" customWidth="1"/>
    <col min="4612" max="4613" width="9.5703125" bestFit="1" customWidth="1"/>
    <col min="4614" max="4614" width="9.28515625" bestFit="1" customWidth="1"/>
    <col min="4615" max="4617" width="9.5703125" bestFit="1" customWidth="1"/>
    <col min="4618" max="4619" width="9.28515625" bestFit="1" customWidth="1"/>
    <col min="4621" max="4621" width="9.5703125" bestFit="1" customWidth="1"/>
    <col min="4622" max="4622" width="9.42578125" bestFit="1" customWidth="1"/>
    <col min="4865" max="4865" width="19" customWidth="1"/>
    <col min="4868" max="4869" width="9.5703125" bestFit="1" customWidth="1"/>
    <col min="4870" max="4870" width="9.28515625" bestFit="1" customWidth="1"/>
    <col min="4871" max="4873" width="9.5703125" bestFit="1" customWidth="1"/>
    <col min="4874" max="4875" width="9.28515625" bestFit="1" customWidth="1"/>
    <col min="4877" max="4877" width="9.5703125" bestFit="1" customWidth="1"/>
    <col min="4878" max="4878" width="9.42578125" bestFit="1" customWidth="1"/>
    <col min="5121" max="5121" width="19" customWidth="1"/>
    <col min="5124" max="5125" width="9.5703125" bestFit="1" customWidth="1"/>
    <col min="5126" max="5126" width="9.28515625" bestFit="1" customWidth="1"/>
    <col min="5127" max="5129" width="9.5703125" bestFit="1" customWidth="1"/>
    <col min="5130" max="5131" width="9.28515625" bestFit="1" customWidth="1"/>
    <col min="5133" max="5133" width="9.5703125" bestFit="1" customWidth="1"/>
    <col min="5134" max="5134" width="9.42578125" bestFit="1" customWidth="1"/>
    <col min="5377" max="5377" width="19" customWidth="1"/>
    <col min="5380" max="5381" width="9.5703125" bestFit="1" customWidth="1"/>
    <col min="5382" max="5382" width="9.28515625" bestFit="1" customWidth="1"/>
    <col min="5383" max="5385" width="9.5703125" bestFit="1" customWidth="1"/>
    <col min="5386" max="5387" width="9.28515625" bestFit="1" customWidth="1"/>
    <col min="5389" max="5389" width="9.5703125" bestFit="1" customWidth="1"/>
    <col min="5390" max="5390" width="9.42578125" bestFit="1" customWidth="1"/>
    <col min="5633" max="5633" width="19" customWidth="1"/>
    <col min="5636" max="5637" width="9.5703125" bestFit="1" customWidth="1"/>
    <col min="5638" max="5638" width="9.28515625" bestFit="1" customWidth="1"/>
    <col min="5639" max="5641" width="9.5703125" bestFit="1" customWidth="1"/>
    <col min="5642" max="5643" width="9.28515625" bestFit="1" customWidth="1"/>
    <col min="5645" max="5645" width="9.5703125" bestFit="1" customWidth="1"/>
    <col min="5646" max="5646" width="9.42578125" bestFit="1" customWidth="1"/>
    <col min="5889" max="5889" width="19" customWidth="1"/>
    <col min="5892" max="5893" width="9.5703125" bestFit="1" customWidth="1"/>
    <col min="5894" max="5894" width="9.28515625" bestFit="1" customWidth="1"/>
    <col min="5895" max="5897" width="9.5703125" bestFit="1" customWidth="1"/>
    <col min="5898" max="5899" width="9.28515625" bestFit="1" customWidth="1"/>
    <col min="5901" max="5901" width="9.5703125" bestFit="1" customWidth="1"/>
    <col min="5902" max="5902" width="9.42578125" bestFit="1" customWidth="1"/>
    <col min="6145" max="6145" width="19" customWidth="1"/>
    <col min="6148" max="6149" width="9.5703125" bestFit="1" customWidth="1"/>
    <col min="6150" max="6150" width="9.28515625" bestFit="1" customWidth="1"/>
    <col min="6151" max="6153" width="9.5703125" bestFit="1" customWidth="1"/>
    <col min="6154" max="6155" width="9.28515625" bestFit="1" customWidth="1"/>
    <col min="6157" max="6157" width="9.5703125" bestFit="1" customWidth="1"/>
    <col min="6158" max="6158" width="9.42578125" bestFit="1" customWidth="1"/>
    <col min="6401" max="6401" width="19" customWidth="1"/>
    <col min="6404" max="6405" width="9.5703125" bestFit="1" customWidth="1"/>
    <col min="6406" max="6406" width="9.28515625" bestFit="1" customWidth="1"/>
    <col min="6407" max="6409" width="9.5703125" bestFit="1" customWidth="1"/>
    <col min="6410" max="6411" width="9.28515625" bestFit="1" customWidth="1"/>
    <col min="6413" max="6413" width="9.5703125" bestFit="1" customWidth="1"/>
    <col min="6414" max="6414" width="9.42578125" bestFit="1" customWidth="1"/>
    <col min="6657" max="6657" width="19" customWidth="1"/>
    <col min="6660" max="6661" width="9.5703125" bestFit="1" customWidth="1"/>
    <col min="6662" max="6662" width="9.28515625" bestFit="1" customWidth="1"/>
    <col min="6663" max="6665" width="9.5703125" bestFit="1" customWidth="1"/>
    <col min="6666" max="6667" width="9.28515625" bestFit="1" customWidth="1"/>
    <col min="6669" max="6669" width="9.5703125" bestFit="1" customWidth="1"/>
    <col min="6670" max="6670" width="9.42578125" bestFit="1" customWidth="1"/>
    <col min="6913" max="6913" width="19" customWidth="1"/>
    <col min="6916" max="6917" width="9.5703125" bestFit="1" customWidth="1"/>
    <col min="6918" max="6918" width="9.28515625" bestFit="1" customWidth="1"/>
    <col min="6919" max="6921" width="9.5703125" bestFit="1" customWidth="1"/>
    <col min="6922" max="6923" width="9.28515625" bestFit="1" customWidth="1"/>
    <col min="6925" max="6925" width="9.5703125" bestFit="1" customWidth="1"/>
    <col min="6926" max="6926" width="9.42578125" bestFit="1" customWidth="1"/>
    <col min="7169" max="7169" width="19" customWidth="1"/>
    <col min="7172" max="7173" width="9.5703125" bestFit="1" customWidth="1"/>
    <col min="7174" max="7174" width="9.28515625" bestFit="1" customWidth="1"/>
    <col min="7175" max="7177" width="9.5703125" bestFit="1" customWidth="1"/>
    <col min="7178" max="7179" width="9.28515625" bestFit="1" customWidth="1"/>
    <col min="7181" max="7181" width="9.5703125" bestFit="1" customWidth="1"/>
    <col min="7182" max="7182" width="9.42578125" bestFit="1" customWidth="1"/>
    <col min="7425" max="7425" width="19" customWidth="1"/>
    <col min="7428" max="7429" width="9.5703125" bestFit="1" customWidth="1"/>
    <col min="7430" max="7430" width="9.28515625" bestFit="1" customWidth="1"/>
    <col min="7431" max="7433" width="9.5703125" bestFit="1" customWidth="1"/>
    <col min="7434" max="7435" width="9.28515625" bestFit="1" customWidth="1"/>
    <col min="7437" max="7437" width="9.5703125" bestFit="1" customWidth="1"/>
    <col min="7438" max="7438" width="9.42578125" bestFit="1" customWidth="1"/>
    <col min="7681" max="7681" width="19" customWidth="1"/>
    <col min="7684" max="7685" width="9.5703125" bestFit="1" customWidth="1"/>
    <col min="7686" max="7686" width="9.28515625" bestFit="1" customWidth="1"/>
    <col min="7687" max="7689" width="9.5703125" bestFit="1" customWidth="1"/>
    <col min="7690" max="7691" width="9.28515625" bestFit="1" customWidth="1"/>
    <col min="7693" max="7693" width="9.5703125" bestFit="1" customWidth="1"/>
    <col min="7694" max="7694" width="9.42578125" bestFit="1" customWidth="1"/>
    <col min="7937" max="7937" width="19" customWidth="1"/>
    <col min="7940" max="7941" width="9.5703125" bestFit="1" customWidth="1"/>
    <col min="7942" max="7942" width="9.28515625" bestFit="1" customWidth="1"/>
    <col min="7943" max="7945" width="9.5703125" bestFit="1" customWidth="1"/>
    <col min="7946" max="7947" width="9.28515625" bestFit="1" customWidth="1"/>
    <col min="7949" max="7949" width="9.5703125" bestFit="1" customWidth="1"/>
    <col min="7950" max="7950" width="9.42578125" bestFit="1" customWidth="1"/>
    <col min="8193" max="8193" width="19" customWidth="1"/>
    <col min="8196" max="8197" width="9.5703125" bestFit="1" customWidth="1"/>
    <col min="8198" max="8198" width="9.28515625" bestFit="1" customWidth="1"/>
    <col min="8199" max="8201" width="9.5703125" bestFit="1" customWidth="1"/>
    <col min="8202" max="8203" width="9.28515625" bestFit="1" customWidth="1"/>
    <col min="8205" max="8205" width="9.5703125" bestFit="1" customWidth="1"/>
    <col min="8206" max="8206" width="9.42578125" bestFit="1" customWidth="1"/>
    <col min="8449" max="8449" width="19" customWidth="1"/>
    <col min="8452" max="8453" width="9.5703125" bestFit="1" customWidth="1"/>
    <col min="8454" max="8454" width="9.28515625" bestFit="1" customWidth="1"/>
    <col min="8455" max="8457" width="9.5703125" bestFit="1" customWidth="1"/>
    <col min="8458" max="8459" width="9.28515625" bestFit="1" customWidth="1"/>
    <col min="8461" max="8461" width="9.5703125" bestFit="1" customWidth="1"/>
    <col min="8462" max="8462" width="9.42578125" bestFit="1" customWidth="1"/>
    <col min="8705" max="8705" width="19" customWidth="1"/>
    <col min="8708" max="8709" width="9.5703125" bestFit="1" customWidth="1"/>
    <col min="8710" max="8710" width="9.28515625" bestFit="1" customWidth="1"/>
    <col min="8711" max="8713" width="9.5703125" bestFit="1" customWidth="1"/>
    <col min="8714" max="8715" width="9.28515625" bestFit="1" customWidth="1"/>
    <col min="8717" max="8717" width="9.5703125" bestFit="1" customWidth="1"/>
    <col min="8718" max="8718" width="9.42578125" bestFit="1" customWidth="1"/>
    <col min="8961" max="8961" width="19" customWidth="1"/>
    <col min="8964" max="8965" width="9.5703125" bestFit="1" customWidth="1"/>
    <col min="8966" max="8966" width="9.28515625" bestFit="1" customWidth="1"/>
    <col min="8967" max="8969" width="9.5703125" bestFit="1" customWidth="1"/>
    <col min="8970" max="8971" width="9.28515625" bestFit="1" customWidth="1"/>
    <col min="8973" max="8973" width="9.5703125" bestFit="1" customWidth="1"/>
    <col min="8974" max="8974" width="9.42578125" bestFit="1" customWidth="1"/>
    <col min="9217" max="9217" width="19" customWidth="1"/>
    <col min="9220" max="9221" width="9.5703125" bestFit="1" customWidth="1"/>
    <col min="9222" max="9222" width="9.28515625" bestFit="1" customWidth="1"/>
    <col min="9223" max="9225" width="9.5703125" bestFit="1" customWidth="1"/>
    <col min="9226" max="9227" width="9.28515625" bestFit="1" customWidth="1"/>
    <col min="9229" max="9229" width="9.5703125" bestFit="1" customWidth="1"/>
    <col min="9230" max="9230" width="9.42578125" bestFit="1" customWidth="1"/>
    <col min="9473" max="9473" width="19" customWidth="1"/>
    <col min="9476" max="9477" width="9.5703125" bestFit="1" customWidth="1"/>
    <col min="9478" max="9478" width="9.28515625" bestFit="1" customWidth="1"/>
    <col min="9479" max="9481" width="9.5703125" bestFit="1" customWidth="1"/>
    <col min="9482" max="9483" width="9.28515625" bestFit="1" customWidth="1"/>
    <col min="9485" max="9485" width="9.5703125" bestFit="1" customWidth="1"/>
    <col min="9486" max="9486" width="9.42578125" bestFit="1" customWidth="1"/>
    <col min="9729" max="9729" width="19" customWidth="1"/>
    <col min="9732" max="9733" width="9.5703125" bestFit="1" customWidth="1"/>
    <col min="9734" max="9734" width="9.28515625" bestFit="1" customWidth="1"/>
    <col min="9735" max="9737" width="9.5703125" bestFit="1" customWidth="1"/>
    <col min="9738" max="9739" width="9.28515625" bestFit="1" customWidth="1"/>
    <col min="9741" max="9741" width="9.5703125" bestFit="1" customWidth="1"/>
    <col min="9742" max="9742" width="9.42578125" bestFit="1" customWidth="1"/>
    <col min="9985" max="9985" width="19" customWidth="1"/>
    <col min="9988" max="9989" width="9.5703125" bestFit="1" customWidth="1"/>
    <col min="9990" max="9990" width="9.28515625" bestFit="1" customWidth="1"/>
    <col min="9991" max="9993" width="9.5703125" bestFit="1" customWidth="1"/>
    <col min="9994" max="9995" width="9.28515625" bestFit="1" customWidth="1"/>
    <col min="9997" max="9997" width="9.5703125" bestFit="1" customWidth="1"/>
    <col min="9998" max="9998" width="9.42578125" bestFit="1" customWidth="1"/>
    <col min="10241" max="10241" width="19" customWidth="1"/>
    <col min="10244" max="10245" width="9.5703125" bestFit="1" customWidth="1"/>
    <col min="10246" max="10246" width="9.28515625" bestFit="1" customWidth="1"/>
    <col min="10247" max="10249" width="9.5703125" bestFit="1" customWidth="1"/>
    <col min="10250" max="10251" width="9.28515625" bestFit="1" customWidth="1"/>
    <col min="10253" max="10253" width="9.5703125" bestFit="1" customWidth="1"/>
    <col min="10254" max="10254" width="9.42578125" bestFit="1" customWidth="1"/>
    <col min="10497" max="10497" width="19" customWidth="1"/>
    <col min="10500" max="10501" width="9.5703125" bestFit="1" customWidth="1"/>
    <col min="10502" max="10502" width="9.28515625" bestFit="1" customWidth="1"/>
    <col min="10503" max="10505" width="9.5703125" bestFit="1" customWidth="1"/>
    <col min="10506" max="10507" width="9.28515625" bestFit="1" customWidth="1"/>
    <col min="10509" max="10509" width="9.5703125" bestFit="1" customWidth="1"/>
    <col min="10510" max="10510" width="9.42578125" bestFit="1" customWidth="1"/>
    <col min="10753" max="10753" width="19" customWidth="1"/>
    <col min="10756" max="10757" width="9.5703125" bestFit="1" customWidth="1"/>
    <col min="10758" max="10758" width="9.28515625" bestFit="1" customWidth="1"/>
    <col min="10759" max="10761" width="9.5703125" bestFit="1" customWidth="1"/>
    <col min="10762" max="10763" width="9.28515625" bestFit="1" customWidth="1"/>
    <col min="10765" max="10765" width="9.5703125" bestFit="1" customWidth="1"/>
    <col min="10766" max="10766" width="9.42578125" bestFit="1" customWidth="1"/>
    <col min="11009" max="11009" width="19" customWidth="1"/>
    <col min="11012" max="11013" width="9.5703125" bestFit="1" customWidth="1"/>
    <col min="11014" max="11014" width="9.28515625" bestFit="1" customWidth="1"/>
    <col min="11015" max="11017" width="9.5703125" bestFit="1" customWidth="1"/>
    <col min="11018" max="11019" width="9.28515625" bestFit="1" customWidth="1"/>
    <col min="11021" max="11021" width="9.5703125" bestFit="1" customWidth="1"/>
    <col min="11022" max="11022" width="9.42578125" bestFit="1" customWidth="1"/>
    <col min="11265" max="11265" width="19" customWidth="1"/>
    <col min="11268" max="11269" width="9.5703125" bestFit="1" customWidth="1"/>
    <col min="11270" max="11270" width="9.28515625" bestFit="1" customWidth="1"/>
    <col min="11271" max="11273" width="9.5703125" bestFit="1" customWidth="1"/>
    <col min="11274" max="11275" width="9.28515625" bestFit="1" customWidth="1"/>
    <col min="11277" max="11277" width="9.5703125" bestFit="1" customWidth="1"/>
    <col min="11278" max="11278" width="9.42578125" bestFit="1" customWidth="1"/>
    <col min="11521" max="11521" width="19" customWidth="1"/>
    <col min="11524" max="11525" width="9.5703125" bestFit="1" customWidth="1"/>
    <col min="11526" max="11526" width="9.28515625" bestFit="1" customWidth="1"/>
    <col min="11527" max="11529" width="9.5703125" bestFit="1" customWidth="1"/>
    <col min="11530" max="11531" width="9.28515625" bestFit="1" customWidth="1"/>
    <col min="11533" max="11533" width="9.5703125" bestFit="1" customWidth="1"/>
    <col min="11534" max="11534" width="9.42578125" bestFit="1" customWidth="1"/>
    <col min="11777" max="11777" width="19" customWidth="1"/>
    <col min="11780" max="11781" width="9.5703125" bestFit="1" customWidth="1"/>
    <col min="11782" max="11782" width="9.28515625" bestFit="1" customWidth="1"/>
    <col min="11783" max="11785" width="9.5703125" bestFit="1" customWidth="1"/>
    <col min="11786" max="11787" width="9.28515625" bestFit="1" customWidth="1"/>
    <col min="11789" max="11789" width="9.5703125" bestFit="1" customWidth="1"/>
    <col min="11790" max="11790" width="9.42578125" bestFit="1" customWidth="1"/>
    <col min="12033" max="12033" width="19" customWidth="1"/>
    <col min="12036" max="12037" width="9.5703125" bestFit="1" customWidth="1"/>
    <col min="12038" max="12038" width="9.28515625" bestFit="1" customWidth="1"/>
    <col min="12039" max="12041" width="9.5703125" bestFit="1" customWidth="1"/>
    <col min="12042" max="12043" width="9.28515625" bestFit="1" customWidth="1"/>
    <col min="12045" max="12045" width="9.5703125" bestFit="1" customWidth="1"/>
    <col min="12046" max="12046" width="9.42578125" bestFit="1" customWidth="1"/>
    <col min="12289" max="12289" width="19" customWidth="1"/>
    <col min="12292" max="12293" width="9.5703125" bestFit="1" customWidth="1"/>
    <col min="12294" max="12294" width="9.28515625" bestFit="1" customWidth="1"/>
    <col min="12295" max="12297" width="9.5703125" bestFit="1" customWidth="1"/>
    <col min="12298" max="12299" width="9.28515625" bestFit="1" customWidth="1"/>
    <col min="12301" max="12301" width="9.5703125" bestFit="1" customWidth="1"/>
    <col min="12302" max="12302" width="9.42578125" bestFit="1" customWidth="1"/>
    <col min="12545" max="12545" width="19" customWidth="1"/>
    <col min="12548" max="12549" width="9.5703125" bestFit="1" customWidth="1"/>
    <col min="12550" max="12550" width="9.28515625" bestFit="1" customWidth="1"/>
    <col min="12551" max="12553" width="9.5703125" bestFit="1" customWidth="1"/>
    <col min="12554" max="12555" width="9.28515625" bestFit="1" customWidth="1"/>
    <col min="12557" max="12557" width="9.5703125" bestFit="1" customWidth="1"/>
    <col min="12558" max="12558" width="9.42578125" bestFit="1" customWidth="1"/>
    <col min="12801" max="12801" width="19" customWidth="1"/>
    <col min="12804" max="12805" width="9.5703125" bestFit="1" customWidth="1"/>
    <col min="12806" max="12806" width="9.28515625" bestFit="1" customWidth="1"/>
    <col min="12807" max="12809" width="9.5703125" bestFit="1" customWidth="1"/>
    <col min="12810" max="12811" width="9.28515625" bestFit="1" customWidth="1"/>
    <col min="12813" max="12813" width="9.5703125" bestFit="1" customWidth="1"/>
    <col min="12814" max="12814" width="9.42578125" bestFit="1" customWidth="1"/>
    <col min="13057" max="13057" width="19" customWidth="1"/>
    <col min="13060" max="13061" width="9.5703125" bestFit="1" customWidth="1"/>
    <col min="13062" max="13062" width="9.28515625" bestFit="1" customWidth="1"/>
    <col min="13063" max="13065" width="9.5703125" bestFit="1" customWidth="1"/>
    <col min="13066" max="13067" width="9.28515625" bestFit="1" customWidth="1"/>
    <col min="13069" max="13069" width="9.5703125" bestFit="1" customWidth="1"/>
    <col min="13070" max="13070" width="9.42578125" bestFit="1" customWidth="1"/>
    <col min="13313" max="13313" width="19" customWidth="1"/>
    <col min="13316" max="13317" width="9.5703125" bestFit="1" customWidth="1"/>
    <col min="13318" max="13318" width="9.28515625" bestFit="1" customWidth="1"/>
    <col min="13319" max="13321" width="9.5703125" bestFit="1" customWidth="1"/>
    <col min="13322" max="13323" width="9.28515625" bestFit="1" customWidth="1"/>
    <col min="13325" max="13325" width="9.5703125" bestFit="1" customWidth="1"/>
    <col min="13326" max="13326" width="9.42578125" bestFit="1" customWidth="1"/>
    <col min="13569" max="13569" width="19" customWidth="1"/>
    <col min="13572" max="13573" width="9.5703125" bestFit="1" customWidth="1"/>
    <col min="13574" max="13574" width="9.28515625" bestFit="1" customWidth="1"/>
    <col min="13575" max="13577" width="9.5703125" bestFit="1" customWidth="1"/>
    <col min="13578" max="13579" width="9.28515625" bestFit="1" customWidth="1"/>
    <col min="13581" max="13581" width="9.5703125" bestFit="1" customWidth="1"/>
    <col min="13582" max="13582" width="9.42578125" bestFit="1" customWidth="1"/>
    <col min="13825" max="13825" width="19" customWidth="1"/>
    <col min="13828" max="13829" width="9.5703125" bestFit="1" customWidth="1"/>
    <col min="13830" max="13830" width="9.28515625" bestFit="1" customWidth="1"/>
    <col min="13831" max="13833" width="9.5703125" bestFit="1" customWidth="1"/>
    <col min="13834" max="13835" width="9.28515625" bestFit="1" customWidth="1"/>
    <col min="13837" max="13837" width="9.5703125" bestFit="1" customWidth="1"/>
    <col min="13838" max="13838" width="9.42578125" bestFit="1" customWidth="1"/>
    <col min="14081" max="14081" width="19" customWidth="1"/>
    <col min="14084" max="14085" width="9.5703125" bestFit="1" customWidth="1"/>
    <col min="14086" max="14086" width="9.28515625" bestFit="1" customWidth="1"/>
    <col min="14087" max="14089" width="9.5703125" bestFit="1" customWidth="1"/>
    <col min="14090" max="14091" width="9.28515625" bestFit="1" customWidth="1"/>
    <col min="14093" max="14093" width="9.5703125" bestFit="1" customWidth="1"/>
    <col min="14094" max="14094" width="9.42578125" bestFit="1" customWidth="1"/>
    <col min="14337" max="14337" width="19" customWidth="1"/>
    <col min="14340" max="14341" width="9.5703125" bestFit="1" customWidth="1"/>
    <col min="14342" max="14342" width="9.28515625" bestFit="1" customWidth="1"/>
    <col min="14343" max="14345" width="9.5703125" bestFit="1" customWidth="1"/>
    <col min="14346" max="14347" width="9.28515625" bestFit="1" customWidth="1"/>
    <col min="14349" max="14349" width="9.5703125" bestFit="1" customWidth="1"/>
    <col min="14350" max="14350" width="9.42578125" bestFit="1" customWidth="1"/>
    <col min="14593" max="14593" width="19" customWidth="1"/>
    <col min="14596" max="14597" width="9.5703125" bestFit="1" customWidth="1"/>
    <col min="14598" max="14598" width="9.28515625" bestFit="1" customWidth="1"/>
    <col min="14599" max="14601" width="9.5703125" bestFit="1" customWidth="1"/>
    <col min="14602" max="14603" width="9.28515625" bestFit="1" customWidth="1"/>
    <col min="14605" max="14605" width="9.5703125" bestFit="1" customWidth="1"/>
    <col min="14606" max="14606" width="9.42578125" bestFit="1" customWidth="1"/>
    <col min="14849" max="14849" width="19" customWidth="1"/>
    <col min="14852" max="14853" width="9.5703125" bestFit="1" customWidth="1"/>
    <col min="14854" max="14854" width="9.28515625" bestFit="1" customWidth="1"/>
    <col min="14855" max="14857" width="9.5703125" bestFit="1" customWidth="1"/>
    <col min="14858" max="14859" width="9.28515625" bestFit="1" customWidth="1"/>
    <col min="14861" max="14861" width="9.5703125" bestFit="1" customWidth="1"/>
    <col min="14862" max="14862" width="9.42578125" bestFit="1" customWidth="1"/>
    <col min="15105" max="15105" width="19" customWidth="1"/>
    <col min="15108" max="15109" width="9.5703125" bestFit="1" customWidth="1"/>
    <col min="15110" max="15110" width="9.28515625" bestFit="1" customWidth="1"/>
    <col min="15111" max="15113" width="9.5703125" bestFit="1" customWidth="1"/>
    <col min="15114" max="15115" width="9.28515625" bestFit="1" customWidth="1"/>
    <col min="15117" max="15117" width="9.5703125" bestFit="1" customWidth="1"/>
    <col min="15118" max="15118" width="9.42578125" bestFit="1" customWidth="1"/>
    <col min="15361" max="15361" width="19" customWidth="1"/>
    <col min="15364" max="15365" width="9.5703125" bestFit="1" customWidth="1"/>
    <col min="15366" max="15366" width="9.28515625" bestFit="1" customWidth="1"/>
    <col min="15367" max="15369" width="9.5703125" bestFit="1" customWidth="1"/>
    <col min="15370" max="15371" width="9.28515625" bestFit="1" customWidth="1"/>
    <col min="15373" max="15373" width="9.5703125" bestFit="1" customWidth="1"/>
    <col min="15374" max="15374" width="9.42578125" bestFit="1" customWidth="1"/>
    <col min="15617" max="15617" width="19" customWidth="1"/>
    <col min="15620" max="15621" width="9.5703125" bestFit="1" customWidth="1"/>
    <col min="15622" max="15622" width="9.28515625" bestFit="1" customWidth="1"/>
    <col min="15623" max="15625" width="9.5703125" bestFit="1" customWidth="1"/>
    <col min="15626" max="15627" width="9.28515625" bestFit="1" customWidth="1"/>
    <col min="15629" max="15629" width="9.5703125" bestFit="1" customWidth="1"/>
    <col min="15630" max="15630" width="9.42578125" bestFit="1" customWidth="1"/>
    <col min="15873" max="15873" width="19" customWidth="1"/>
    <col min="15876" max="15877" width="9.5703125" bestFit="1" customWidth="1"/>
    <col min="15878" max="15878" width="9.28515625" bestFit="1" customWidth="1"/>
    <col min="15879" max="15881" width="9.5703125" bestFit="1" customWidth="1"/>
    <col min="15882" max="15883" width="9.28515625" bestFit="1" customWidth="1"/>
    <col min="15885" max="15885" width="9.5703125" bestFit="1" customWidth="1"/>
    <col min="15886" max="15886" width="9.42578125" bestFit="1" customWidth="1"/>
    <col min="16129" max="16129" width="19" customWidth="1"/>
    <col min="16132" max="16133" width="9.5703125" bestFit="1" customWidth="1"/>
    <col min="16134" max="16134" width="9.28515625" bestFit="1" customWidth="1"/>
    <col min="16135" max="16137" width="9.5703125" bestFit="1" customWidth="1"/>
    <col min="16138" max="16139" width="9.28515625" bestFit="1" customWidth="1"/>
    <col min="16141" max="16141" width="9.5703125" bestFit="1" customWidth="1"/>
    <col min="16142" max="16142" width="9.42578125" bestFit="1" customWidth="1"/>
  </cols>
  <sheetData>
    <row r="1" spans="1:14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</row>
    <row r="2" spans="1:14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</row>
    <row r="3" spans="1:14">
      <c r="A3" s="808" t="s">
        <v>4176</v>
      </c>
      <c r="B3" s="808"/>
      <c r="C3" s="808"/>
    </row>
    <row r="4" spans="1:14">
      <c r="A4" s="46" t="s">
        <v>828</v>
      </c>
      <c r="B4" s="854" t="s">
        <v>908</v>
      </c>
      <c r="C4" s="854"/>
      <c r="D4" s="854"/>
      <c r="E4" s="854" t="s">
        <v>830</v>
      </c>
      <c r="F4" s="854"/>
      <c r="G4" s="854">
        <v>904060103</v>
      </c>
      <c r="H4" s="854"/>
      <c r="I4" s="46" t="s">
        <v>5</v>
      </c>
      <c r="J4" s="46"/>
      <c r="K4" s="47">
        <v>473.59100000000001</v>
      </c>
      <c r="L4" s="46" t="s">
        <v>831</v>
      </c>
      <c r="M4" s="46"/>
      <c r="N4" s="47">
        <v>80</v>
      </c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54" t="s">
        <v>909</v>
      </c>
      <c r="C6" s="854"/>
      <c r="D6" s="854"/>
      <c r="E6" s="854" t="s">
        <v>176</v>
      </c>
      <c r="F6" s="854"/>
      <c r="G6" s="854" t="s">
        <v>910</v>
      </c>
      <c r="H6" s="854"/>
      <c r="I6" s="854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 ht="23.25" customHeight="1">
      <c r="A8" s="46" t="s">
        <v>835</v>
      </c>
      <c r="B8" s="854" t="s">
        <v>911</v>
      </c>
      <c r="C8" s="854"/>
      <c r="D8" s="854"/>
      <c r="E8" s="967" t="s">
        <v>912</v>
      </c>
      <c r="F8" s="940"/>
      <c r="G8" s="843">
        <v>9438431537</v>
      </c>
      <c r="H8" s="870"/>
      <c r="I8" s="870"/>
      <c r="J8" s="870"/>
      <c r="K8" s="844"/>
      <c r="L8" s="46"/>
      <c r="M8" s="46"/>
      <c r="N8" s="46"/>
    </row>
    <row r="9" spans="1:14">
      <c r="A9" s="46"/>
      <c r="B9" s="46"/>
      <c r="C9" s="46"/>
      <c r="D9" s="46"/>
      <c r="E9" s="46"/>
      <c r="F9" s="46"/>
      <c r="G9" s="48"/>
      <c r="H9" s="48"/>
      <c r="I9" s="48"/>
      <c r="J9" s="48"/>
      <c r="K9" s="48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47" t="s">
        <v>838</v>
      </c>
      <c r="B11" s="854" t="s">
        <v>913</v>
      </c>
      <c r="C11" s="854"/>
      <c r="D11" s="854"/>
      <c r="E11" s="854"/>
      <c r="F11" s="854"/>
      <c r="G11" s="854"/>
      <c r="H11" s="854"/>
      <c r="I11" s="854"/>
      <c r="J11" s="854"/>
      <c r="K11" s="854"/>
      <c r="L11" s="854"/>
      <c r="M11" s="854"/>
      <c r="N11" s="46"/>
    </row>
    <row r="12" spans="1:14">
      <c r="A12" s="47" t="s">
        <v>840</v>
      </c>
      <c r="B12" s="854" t="s">
        <v>914</v>
      </c>
      <c r="C12" s="854"/>
      <c r="D12" s="854" t="s">
        <v>915</v>
      </c>
      <c r="E12" s="854"/>
      <c r="F12" s="854"/>
      <c r="G12" s="854" t="s">
        <v>916</v>
      </c>
      <c r="H12" s="854"/>
      <c r="I12" s="854"/>
      <c r="J12" s="854" t="s">
        <v>917</v>
      </c>
      <c r="K12" s="854"/>
      <c r="L12" s="854"/>
      <c r="M12" s="854"/>
      <c r="N12" s="46"/>
    </row>
    <row r="13" spans="1:14">
      <c r="A13" s="47" t="s">
        <v>844</v>
      </c>
      <c r="B13" s="843" t="s">
        <v>918</v>
      </c>
      <c r="C13" s="870"/>
      <c r="D13" s="843" t="s">
        <v>919</v>
      </c>
      <c r="E13" s="870"/>
      <c r="F13" s="844"/>
      <c r="G13" s="854" t="s">
        <v>920</v>
      </c>
      <c r="H13" s="854"/>
      <c r="I13" s="854"/>
      <c r="J13" s="854" t="s">
        <v>921</v>
      </c>
      <c r="K13" s="854"/>
      <c r="L13" s="854"/>
      <c r="M13" s="854"/>
      <c r="N13" s="46"/>
    </row>
    <row r="14" spans="1:14">
      <c r="A14" s="47"/>
      <c r="B14" s="843" t="s">
        <v>922</v>
      </c>
      <c r="C14" s="870"/>
      <c r="D14" s="520"/>
      <c r="E14" s="525"/>
      <c r="F14" s="521"/>
      <c r="G14" s="522"/>
      <c r="H14" s="522"/>
      <c r="I14" s="522"/>
      <c r="J14" s="522"/>
      <c r="K14" s="522"/>
      <c r="L14" s="522"/>
      <c r="M14" s="522"/>
      <c r="N14" s="46"/>
    </row>
    <row r="15" spans="1:14">
      <c r="A15" s="47" t="s">
        <v>850</v>
      </c>
      <c r="B15" s="854" t="s">
        <v>923</v>
      </c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4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>
      <c r="A17" s="46" t="s">
        <v>852</v>
      </c>
      <c r="B17" s="47">
        <v>5</v>
      </c>
      <c r="C17" s="46" t="s">
        <v>853</v>
      </c>
      <c r="D17" s="46"/>
      <c r="E17" s="522">
        <v>4</v>
      </c>
      <c r="G17" s="46" t="s">
        <v>643</v>
      </c>
      <c r="H17" s="522">
        <v>12</v>
      </c>
      <c r="I17" s="46" t="s">
        <v>644</v>
      </c>
      <c r="J17" s="47">
        <v>1</v>
      </c>
      <c r="K17" s="46" t="s">
        <v>645</v>
      </c>
      <c r="L17" s="47">
        <v>8</v>
      </c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46" t="s">
        <v>854</v>
      </c>
      <c r="B20" s="46" t="s">
        <v>204</v>
      </c>
      <c r="C20" s="47">
        <v>236</v>
      </c>
      <c r="D20" s="46" t="s">
        <v>205</v>
      </c>
      <c r="E20" s="47"/>
      <c r="F20" s="49" t="s">
        <v>206</v>
      </c>
      <c r="G20" s="47"/>
      <c r="H20" s="46" t="s">
        <v>230</v>
      </c>
      <c r="I20" s="47">
        <v>236</v>
      </c>
      <c r="J20" s="46" t="s">
        <v>207</v>
      </c>
      <c r="K20" s="47">
        <v>23</v>
      </c>
      <c r="L20" s="46" t="s">
        <v>855</v>
      </c>
      <c r="M20" s="46"/>
      <c r="N20" s="47">
        <v>23</v>
      </c>
    </row>
    <row r="21" spans="1:14">
      <c r="A21" s="46" t="s">
        <v>209</v>
      </c>
      <c r="B21" s="46" t="s">
        <v>210</v>
      </c>
      <c r="C21" s="47">
        <v>698</v>
      </c>
      <c r="D21" s="46" t="s">
        <v>211</v>
      </c>
      <c r="E21" s="47"/>
      <c r="F21" s="49" t="s">
        <v>212</v>
      </c>
      <c r="G21" s="47"/>
      <c r="H21" s="46" t="s">
        <v>411</v>
      </c>
      <c r="I21" s="47">
        <f>C21</f>
        <v>698</v>
      </c>
      <c r="J21" s="46"/>
      <c r="K21" s="46"/>
      <c r="L21" s="46"/>
      <c r="M21" s="46"/>
      <c r="N21" s="46"/>
    </row>
    <row r="22" spans="1:14">
      <c r="A22" s="46"/>
      <c r="B22" s="46" t="s">
        <v>858</v>
      </c>
      <c r="C22" s="47">
        <v>732</v>
      </c>
      <c r="D22" s="46" t="s">
        <v>214</v>
      </c>
      <c r="E22" s="47"/>
      <c r="F22" s="46" t="s">
        <v>215</v>
      </c>
      <c r="G22" s="47"/>
      <c r="H22" s="46" t="s">
        <v>410</v>
      </c>
      <c r="I22" s="47">
        <f>C22</f>
        <v>732</v>
      </c>
      <c r="J22" s="46"/>
      <c r="K22" s="46"/>
      <c r="L22" s="46"/>
      <c r="M22" s="46"/>
      <c r="N22" s="46"/>
    </row>
    <row r="23" spans="1:14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>
      <c r="A24" s="50" t="s">
        <v>216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4" ht="30" customHeight="1">
      <c r="A25" s="963" t="s">
        <v>861</v>
      </c>
      <c r="B25" s="965" t="s">
        <v>862</v>
      </c>
      <c r="C25" s="965" t="s">
        <v>219</v>
      </c>
      <c r="D25" s="965" t="s">
        <v>863</v>
      </c>
      <c r="E25" s="965" t="s">
        <v>864</v>
      </c>
      <c r="F25" s="960" t="s">
        <v>865</v>
      </c>
      <c r="G25" s="961"/>
      <c r="H25" s="961"/>
      <c r="I25" s="961"/>
      <c r="J25" s="961"/>
      <c r="K25" s="961"/>
      <c r="L25" s="961"/>
      <c r="M25" s="961"/>
      <c r="N25" s="962"/>
    </row>
    <row r="26" spans="1:14" ht="38.450000000000003" customHeight="1">
      <c r="A26" s="964"/>
      <c r="B26" s="966"/>
      <c r="C26" s="966"/>
      <c r="D26" s="966"/>
      <c r="E26" s="966"/>
      <c r="F26" s="51" t="s">
        <v>866</v>
      </c>
      <c r="G26" s="51" t="s">
        <v>867</v>
      </c>
      <c r="H26" s="51" t="s">
        <v>868</v>
      </c>
      <c r="I26" s="51" t="s">
        <v>869</v>
      </c>
      <c r="J26" s="51" t="s">
        <v>870</v>
      </c>
      <c r="K26" s="51" t="s">
        <v>871</v>
      </c>
      <c r="L26" s="51" t="s">
        <v>872</v>
      </c>
      <c r="M26" s="51" t="s">
        <v>230</v>
      </c>
      <c r="N26" s="51" t="s">
        <v>231</v>
      </c>
    </row>
    <row r="27" spans="1:14">
      <c r="A27" s="52" t="s">
        <v>232</v>
      </c>
      <c r="B27" s="52">
        <v>8000</v>
      </c>
      <c r="C27" s="547" t="s">
        <v>873</v>
      </c>
      <c r="D27" s="53">
        <f>B27*K4/100000</f>
        <v>37.887279999999997</v>
      </c>
      <c r="E27" s="54">
        <f>3788728/100000</f>
        <v>37.887279999999997</v>
      </c>
      <c r="F27" s="55">
        <f>28846/100000</f>
        <v>0.28845999999999999</v>
      </c>
      <c r="G27" s="55">
        <f>858809/100000</f>
        <v>8.5880899999999993</v>
      </c>
      <c r="H27" s="55">
        <f>1412280/100000</f>
        <v>14.1228</v>
      </c>
      <c r="I27" s="55">
        <f>1488793/100000</f>
        <v>14.887930000000001</v>
      </c>
      <c r="J27" s="55">
        <f>-4450/100000</f>
        <v>-4.4499999999999998E-2</v>
      </c>
      <c r="K27" s="55">
        <f>4450/100000</f>
        <v>4.4499999999999998E-2</v>
      </c>
      <c r="L27" s="55"/>
      <c r="M27" s="55">
        <f t="shared" ref="M27:M34" si="0">SUM(F27:L27)</f>
        <v>37.887280000000004</v>
      </c>
      <c r="N27" s="55">
        <f>+M27*100/E27</f>
        <v>100.00000000000003</v>
      </c>
    </row>
    <row r="28" spans="1:14">
      <c r="A28" s="52" t="s">
        <v>874</v>
      </c>
      <c r="B28" s="52">
        <v>7000</v>
      </c>
      <c r="C28" s="547" t="s">
        <v>873</v>
      </c>
      <c r="D28" s="53">
        <f>B28*N4/100000</f>
        <v>5.6</v>
      </c>
      <c r="E28" s="54">
        <f>560000/100000</f>
        <v>5.6</v>
      </c>
      <c r="F28" s="55"/>
      <c r="G28" s="55"/>
      <c r="H28" s="55"/>
      <c r="I28" s="55">
        <f>122060/100000</f>
        <v>1.2205999999999999</v>
      </c>
      <c r="J28" s="55">
        <f>156240/100000</f>
        <v>1.5624</v>
      </c>
      <c r="K28" s="55">
        <f>281700/100000</f>
        <v>2.8170000000000002</v>
      </c>
      <c r="L28" s="55"/>
      <c r="M28" s="55">
        <f t="shared" si="0"/>
        <v>5.6</v>
      </c>
      <c r="N28" s="55">
        <f t="shared" ref="N28:N35" si="1">+M28*100/E28</f>
        <v>100</v>
      </c>
    </row>
    <row r="29" spans="1:14">
      <c r="A29" s="52" t="s">
        <v>235</v>
      </c>
      <c r="B29" s="52">
        <v>43000</v>
      </c>
      <c r="C29" s="548" t="s">
        <v>236</v>
      </c>
      <c r="D29" s="53">
        <f>143000/100000</f>
        <v>1.43</v>
      </c>
      <c r="E29" s="55">
        <f>63000/100000</f>
        <v>0.63</v>
      </c>
      <c r="F29" s="55"/>
      <c r="G29" s="55"/>
      <c r="H29" s="55">
        <f>28000/100000</f>
        <v>0.28000000000000003</v>
      </c>
      <c r="I29" s="55">
        <f>15000/100000</f>
        <v>0.15</v>
      </c>
      <c r="J29" s="55">
        <f>-31250/100000</f>
        <v>-0.3125</v>
      </c>
      <c r="K29" s="55">
        <f>51250/100000</f>
        <v>0.51249999999999996</v>
      </c>
      <c r="L29" s="55"/>
      <c r="M29" s="55">
        <f t="shared" si="0"/>
        <v>0.63</v>
      </c>
      <c r="N29" s="55">
        <f t="shared" si="1"/>
        <v>100</v>
      </c>
    </row>
    <row r="30" spans="1:14">
      <c r="A30" s="52" t="s">
        <v>875</v>
      </c>
      <c r="B30" s="52">
        <v>37000</v>
      </c>
      <c r="C30" s="548" t="s">
        <v>236</v>
      </c>
      <c r="D30" s="54">
        <f>34000/100000</f>
        <v>0.34</v>
      </c>
      <c r="E30" s="54">
        <f>34000/100000</f>
        <v>0.34</v>
      </c>
      <c r="F30" s="55"/>
      <c r="G30" s="55"/>
      <c r="H30" s="55">
        <f>16200/100000</f>
        <v>0.16200000000000001</v>
      </c>
      <c r="I30" s="55">
        <f>17800/100000</f>
        <v>0.17799999999999999</v>
      </c>
      <c r="J30" s="55">
        <f>-12800/100000</f>
        <v>-0.128</v>
      </c>
      <c r="K30" s="55">
        <f>12800/100000</f>
        <v>0.128</v>
      </c>
      <c r="L30" s="55"/>
      <c r="M30" s="55">
        <f t="shared" si="0"/>
        <v>0.33999999999999997</v>
      </c>
      <c r="N30" s="55">
        <f t="shared" si="1"/>
        <v>99.999999999999986</v>
      </c>
    </row>
    <row r="31" spans="1:14">
      <c r="A31" s="52" t="s">
        <v>238</v>
      </c>
      <c r="B31" s="52">
        <v>1200</v>
      </c>
      <c r="C31" s="547" t="s">
        <v>873</v>
      </c>
      <c r="D31" s="53">
        <f>ROUND((B31*K4),0)/100000</f>
        <v>5.68309</v>
      </c>
      <c r="E31" s="54">
        <f>568309/100000</f>
        <v>5.68309</v>
      </c>
      <c r="F31" s="55"/>
      <c r="G31" s="55"/>
      <c r="H31" s="55"/>
      <c r="I31" s="55"/>
      <c r="J31" s="55">
        <f>422694/100000</f>
        <v>4.2269399999999999</v>
      </c>
      <c r="K31" s="55">
        <f>167586/100000</f>
        <v>1.6758599999999999</v>
      </c>
      <c r="L31" s="55"/>
      <c r="M31" s="55">
        <f t="shared" si="0"/>
        <v>5.9028</v>
      </c>
      <c r="N31" s="55">
        <f t="shared" si="1"/>
        <v>103.86603062770429</v>
      </c>
    </row>
    <row r="32" spans="1:14">
      <c r="A32" s="52" t="s">
        <v>667</v>
      </c>
      <c r="B32" s="52">
        <v>565</v>
      </c>
      <c r="C32" s="547" t="s">
        <v>873</v>
      </c>
      <c r="D32" s="53">
        <f>ROUND((B32*K4),0)/100000</f>
        <v>2.6757900000000001</v>
      </c>
      <c r="E32" s="54">
        <f>267579/100000</f>
        <v>2.6757900000000001</v>
      </c>
      <c r="F32" s="55"/>
      <c r="G32" s="55">
        <f>80000/100000</f>
        <v>0.8</v>
      </c>
      <c r="H32" s="55">
        <f>5844/100000</f>
        <v>5.8439999999999999E-2</v>
      </c>
      <c r="I32" s="55">
        <f>181735/100000</f>
        <v>1.81735</v>
      </c>
      <c r="J32" s="55"/>
      <c r="K32" s="55"/>
      <c r="L32" s="55"/>
      <c r="M32" s="54">
        <f t="shared" si="0"/>
        <v>2.6757900000000001</v>
      </c>
      <c r="N32" s="55">
        <f t="shared" si="1"/>
        <v>100</v>
      </c>
    </row>
    <row r="33" spans="1:14">
      <c r="A33" s="52" t="s">
        <v>876</v>
      </c>
      <c r="B33" s="52">
        <v>1000</v>
      </c>
      <c r="C33" s="547" t="s">
        <v>873</v>
      </c>
      <c r="D33" s="53">
        <f>B33*K4/100000</f>
        <v>4.7359099999999996</v>
      </c>
      <c r="E33" s="55">
        <f>473591/100000</f>
        <v>4.7359099999999996</v>
      </c>
      <c r="F33" s="55"/>
      <c r="G33" s="55">
        <f>98426/100000</f>
        <v>0.98426000000000002</v>
      </c>
      <c r="H33" s="55">
        <f>1574/100000</f>
        <v>1.5740000000000001E-2</v>
      </c>
      <c r="I33" s="55"/>
      <c r="J33" s="55">
        <f>21140/100000</f>
        <v>0.2114</v>
      </c>
      <c r="K33" s="55">
        <f>352526/100000</f>
        <v>3.5252599999999998</v>
      </c>
      <c r="L33" s="55"/>
      <c r="M33" s="55">
        <f t="shared" si="0"/>
        <v>4.7366599999999996</v>
      </c>
      <c r="N33" s="55">
        <f t="shared" si="1"/>
        <v>100.01583644959469</v>
      </c>
    </row>
    <row r="34" spans="1:14">
      <c r="A34" s="52" t="s">
        <v>394</v>
      </c>
      <c r="B34" s="52">
        <v>2750</v>
      </c>
      <c r="C34" s="548" t="s">
        <v>877</v>
      </c>
      <c r="D34" s="54">
        <f>192000/100000</f>
        <v>1.92</v>
      </c>
      <c r="E34" s="54">
        <f>192000/100000</f>
        <v>1.92</v>
      </c>
      <c r="F34" s="55">
        <f>11023/100000</f>
        <v>0.11022999999999999</v>
      </c>
      <c r="G34" s="55">
        <f>34616/100000</f>
        <v>0.34616000000000002</v>
      </c>
      <c r="H34" s="55">
        <f>45021/100000</f>
        <v>0.45021</v>
      </c>
      <c r="I34" s="55">
        <f>35340/100000</f>
        <v>0.35339999999999999</v>
      </c>
      <c r="J34" s="55">
        <f>10293/100000</f>
        <v>0.10292999999999999</v>
      </c>
      <c r="K34" s="55">
        <f>13700/100000</f>
        <v>0.13700000000000001</v>
      </c>
      <c r="L34" s="55"/>
      <c r="M34" s="54">
        <f t="shared" si="0"/>
        <v>1.49993</v>
      </c>
      <c r="N34" s="55">
        <f t="shared" si="1"/>
        <v>78.121354166666663</v>
      </c>
    </row>
    <row r="35" spans="1:14">
      <c r="A35" s="56" t="s">
        <v>230</v>
      </c>
      <c r="B35" s="30"/>
      <c r="C35" s="30"/>
      <c r="D35" s="54">
        <f t="shared" ref="D35:M35" si="2">SUM(D27:D34)</f>
        <v>60.272069999999999</v>
      </c>
      <c r="E35" s="54">
        <f t="shared" si="2"/>
        <v>59.472070000000002</v>
      </c>
      <c r="F35" s="54">
        <f t="shared" si="2"/>
        <v>0.39868999999999999</v>
      </c>
      <c r="G35" s="54">
        <f t="shared" si="2"/>
        <v>10.71851</v>
      </c>
      <c r="H35" s="54">
        <f t="shared" si="2"/>
        <v>15.089189999999999</v>
      </c>
      <c r="I35" s="54">
        <f t="shared" si="2"/>
        <v>18.607280000000003</v>
      </c>
      <c r="J35" s="54">
        <f t="shared" si="2"/>
        <v>5.6186699999999998</v>
      </c>
      <c r="K35" s="54">
        <f t="shared" si="2"/>
        <v>8.8401200000000006</v>
      </c>
      <c r="L35" s="54"/>
      <c r="M35" s="54">
        <f t="shared" si="2"/>
        <v>59.272460000000009</v>
      </c>
      <c r="N35" s="54">
        <f t="shared" si="1"/>
        <v>99.664363456661263</v>
      </c>
    </row>
    <row r="37" spans="1:14" s="33" customFormat="1"/>
    <row r="38" spans="1:14" s="33" customFormat="1"/>
    <row r="39" spans="1:14" s="33" customFormat="1"/>
    <row r="40" spans="1:14" s="33" customFormat="1"/>
    <row r="41" spans="1:14" s="33" customFormat="1"/>
    <row r="42" spans="1:14" s="33" customFormat="1"/>
    <row r="43" spans="1:14" s="33" customFormat="1"/>
    <row r="44" spans="1:14" s="33" customFormat="1"/>
    <row r="45" spans="1:14" s="33" customFormat="1"/>
    <row r="46" spans="1:14" s="33" customFormat="1"/>
    <row r="47" spans="1:14" s="33" customFormat="1"/>
    <row r="48" spans="1:14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pans="1:13" s="33" customFormat="1"/>
    <row r="66" spans="1:13" s="33" customFormat="1"/>
    <row r="67" spans="1:13" s="33" customFormat="1"/>
    <row r="68" spans="1:13" s="33" customFormat="1"/>
    <row r="69" spans="1:13" s="33" customFormat="1"/>
    <row r="70" spans="1:13" s="33" customFormat="1"/>
    <row r="71" spans="1:13" s="33" customFormat="1"/>
    <row r="72" spans="1:13" s="33" customFormat="1"/>
    <row r="73" spans="1:13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</row>
    <row r="74" spans="1:13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</row>
    <row r="75" spans="1:13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</row>
    <row r="76" spans="1:13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</row>
    <row r="77" spans="1:1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</row>
    <row r="78" spans="1:1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</row>
    <row r="79" spans="1:1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</row>
    <row r="80" spans="1:13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</row>
    <row r="81" spans="1:13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</row>
    <row r="82" spans="1:13" s="33" customFormat="1"/>
    <row r="83" spans="1:13" s="33" customFormat="1"/>
    <row r="84" spans="1:13" s="33" customFormat="1"/>
    <row r="85" spans="1:13" s="33" customFormat="1"/>
    <row r="86" spans="1:13" s="33" customFormat="1"/>
    <row r="87" spans="1:13" s="33" customFormat="1"/>
    <row r="88" spans="1:13" s="33" customFormat="1"/>
    <row r="89" spans="1:13" s="33" customFormat="1"/>
    <row r="90" spans="1:13" s="33" customFormat="1"/>
    <row r="91" spans="1:13" s="33" customFormat="1"/>
    <row r="92" spans="1:13" s="33" customFormat="1"/>
    <row r="93" spans="1:13" s="33" customFormat="1"/>
    <row r="94" spans="1:13" s="33" customFormat="1"/>
    <row r="95" spans="1:13" s="33" customFormat="1"/>
    <row r="96" spans="1:13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</sheetData>
  <mergeCells count="35">
    <mergeCell ref="B6:D6"/>
    <mergeCell ref="E6:F6"/>
    <mergeCell ref="G6:I6"/>
    <mergeCell ref="A1:N1"/>
    <mergeCell ref="A2:N2"/>
    <mergeCell ref="B4:D4"/>
    <mergeCell ref="E4:F4"/>
    <mergeCell ref="G4:H4"/>
    <mergeCell ref="A3:C3"/>
    <mergeCell ref="B8:D8"/>
    <mergeCell ref="E8:F8"/>
    <mergeCell ref="G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A25:A26"/>
    <mergeCell ref="B25:B26"/>
    <mergeCell ref="C25:C26"/>
    <mergeCell ref="D25:D26"/>
    <mergeCell ref="E25:E26"/>
    <mergeCell ref="F25:N25"/>
    <mergeCell ref="B14:C14"/>
    <mergeCell ref="B15:C15"/>
    <mergeCell ref="D15:F15"/>
    <mergeCell ref="G15:I15"/>
    <mergeCell ref="J15:M15"/>
  </mergeCells>
  <hyperlinks>
    <hyperlink ref="A3" location="'Fact Sheet of VDC'!A1" display="&lt;&lt;Back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86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N148"/>
  <sheetViews>
    <sheetView workbookViewId="0">
      <selection activeCell="A3" sqref="A3:C3"/>
    </sheetView>
  </sheetViews>
  <sheetFormatPr defaultRowHeight="15"/>
  <cols>
    <col min="1" max="1" width="32.5703125" customWidth="1"/>
    <col min="4" max="5" width="9.5703125" bestFit="1" customWidth="1"/>
    <col min="6" max="7" width="9.28515625" bestFit="1" customWidth="1"/>
    <col min="8" max="10" width="9.5703125" bestFit="1" customWidth="1"/>
    <col min="11" max="11" width="9.28515625" bestFit="1" customWidth="1"/>
    <col min="13" max="13" width="9.5703125" bestFit="1" customWidth="1"/>
    <col min="14" max="14" width="9.42578125" bestFit="1" customWidth="1"/>
    <col min="257" max="257" width="32.5703125" customWidth="1"/>
    <col min="260" max="261" width="9.5703125" bestFit="1" customWidth="1"/>
    <col min="262" max="263" width="9.28515625" bestFit="1" customWidth="1"/>
    <col min="264" max="266" width="9.5703125" bestFit="1" customWidth="1"/>
    <col min="267" max="267" width="9.28515625" bestFit="1" customWidth="1"/>
    <col min="269" max="269" width="9.5703125" bestFit="1" customWidth="1"/>
    <col min="270" max="270" width="9.42578125" bestFit="1" customWidth="1"/>
    <col min="513" max="513" width="32.5703125" customWidth="1"/>
    <col min="516" max="517" width="9.5703125" bestFit="1" customWidth="1"/>
    <col min="518" max="519" width="9.28515625" bestFit="1" customWidth="1"/>
    <col min="520" max="522" width="9.5703125" bestFit="1" customWidth="1"/>
    <col min="523" max="523" width="9.28515625" bestFit="1" customWidth="1"/>
    <col min="525" max="525" width="9.5703125" bestFit="1" customWidth="1"/>
    <col min="526" max="526" width="9.42578125" bestFit="1" customWidth="1"/>
    <col min="769" max="769" width="32.5703125" customWidth="1"/>
    <col min="772" max="773" width="9.5703125" bestFit="1" customWidth="1"/>
    <col min="774" max="775" width="9.28515625" bestFit="1" customWidth="1"/>
    <col min="776" max="778" width="9.5703125" bestFit="1" customWidth="1"/>
    <col min="779" max="779" width="9.28515625" bestFit="1" customWidth="1"/>
    <col min="781" max="781" width="9.5703125" bestFit="1" customWidth="1"/>
    <col min="782" max="782" width="9.42578125" bestFit="1" customWidth="1"/>
    <col min="1025" max="1025" width="32.5703125" customWidth="1"/>
    <col min="1028" max="1029" width="9.5703125" bestFit="1" customWidth="1"/>
    <col min="1030" max="1031" width="9.28515625" bestFit="1" customWidth="1"/>
    <col min="1032" max="1034" width="9.5703125" bestFit="1" customWidth="1"/>
    <col min="1035" max="1035" width="9.28515625" bestFit="1" customWidth="1"/>
    <col min="1037" max="1037" width="9.5703125" bestFit="1" customWidth="1"/>
    <col min="1038" max="1038" width="9.42578125" bestFit="1" customWidth="1"/>
    <col min="1281" max="1281" width="32.5703125" customWidth="1"/>
    <col min="1284" max="1285" width="9.5703125" bestFit="1" customWidth="1"/>
    <col min="1286" max="1287" width="9.28515625" bestFit="1" customWidth="1"/>
    <col min="1288" max="1290" width="9.5703125" bestFit="1" customWidth="1"/>
    <col min="1291" max="1291" width="9.28515625" bestFit="1" customWidth="1"/>
    <col min="1293" max="1293" width="9.5703125" bestFit="1" customWidth="1"/>
    <col min="1294" max="1294" width="9.42578125" bestFit="1" customWidth="1"/>
    <col min="1537" max="1537" width="32.5703125" customWidth="1"/>
    <col min="1540" max="1541" width="9.5703125" bestFit="1" customWidth="1"/>
    <col min="1542" max="1543" width="9.28515625" bestFit="1" customWidth="1"/>
    <col min="1544" max="1546" width="9.5703125" bestFit="1" customWidth="1"/>
    <col min="1547" max="1547" width="9.28515625" bestFit="1" customWidth="1"/>
    <col min="1549" max="1549" width="9.5703125" bestFit="1" customWidth="1"/>
    <col min="1550" max="1550" width="9.42578125" bestFit="1" customWidth="1"/>
    <col min="1793" max="1793" width="32.5703125" customWidth="1"/>
    <col min="1796" max="1797" width="9.5703125" bestFit="1" customWidth="1"/>
    <col min="1798" max="1799" width="9.28515625" bestFit="1" customWidth="1"/>
    <col min="1800" max="1802" width="9.5703125" bestFit="1" customWidth="1"/>
    <col min="1803" max="1803" width="9.28515625" bestFit="1" customWidth="1"/>
    <col min="1805" max="1805" width="9.5703125" bestFit="1" customWidth="1"/>
    <col min="1806" max="1806" width="9.42578125" bestFit="1" customWidth="1"/>
    <col min="2049" max="2049" width="32.5703125" customWidth="1"/>
    <col min="2052" max="2053" width="9.5703125" bestFit="1" customWidth="1"/>
    <col min="2054" max="2055" width="9.28515625" bestFit="1" customWidth="1"/>
    <col min="2056" max="2058" width="9.5703125" bestFit="1" customWidth="1"/>
    <col min="2059" max="2059" width="9.28515625" bestFit="1" customWidth="1"/>
    <col min="2061" max="2061" width="9.5703125" bestFit="1" customWidth="1"/>
    <col min="2062" max="2062" width="9.42578125" bestFit="1" customWidth="1"/>
    <col min="2305" max="2305" width="32.5703125" customWidth="1"/>
    <col min="2308" max="2309" width="9.5703125" bestFit="1" customWidth="1"/>
    <col min="2310" max="2311" width="9.28515625" bestFit="1" customWidth="1"/>
    <col min="2312" max="2314" width="9.5703125" bestFit="1" customWidth="1"/>
    <col min="2315" max="2315" width="9.28515625" bestFit="1" customWidth="1"/>
    <col min="2317" max="2317" width="9.5703125" bestFit="1" customWidth="1"/>
    <col min="2318" max="2318" width="9.42578125" bestFit="1" customWidth="1"/>
    <col min="2561" max="2561" width="32.5703125" customWidth="1"/>
    <col min="2564" max="2565" width="9.5703125" bestFit="1" customWidth="1"/>
    <col min="2566" max="2567" width="9.28515625" bestFit="1" customWidth="1"/>
    <col min="2568" max="2570" width="9.5703125" bestFit="1" customWidth="1"/>
    <col min="2571" max="2571" width="9.28515625" bestFit="1" customWidth="1"/>
    <col min="2573" max="2573" width="9.5703125" bestFit="1" customWidth="1"/>
    <col min="2574" max="2574" width="9.42578125" bestFit="1" customWidth="1"/>
    <col min="2817" max="2817" width="32.5703125" customWidth="1"/>
    <col min="2820" max="2821" width="9.5703125" bestFit="1" customWidth="1"/>
    <col min="2822" max="2823" width="9.28515625" bestFit="1" customWidth="1"/>
    <col min="2824" max="2826" width="9.5703125" bestFit="1" customWidth="1"/>
    <col min="2827" max="2827" width="9.28515625" bestFit="1" customWidth="1"/>
    <col min="2829" max="2829" width="9.5703125" bestFit="1" customWidth="1"/>
    <col min="2830" max="2830" width="9.42578125" bestFit="1" customWidth="1"/>
    <col min="3073" max="3073" width="32.5703125" customWidth="1"/>
    <col min="3076" max="3077" width="9.5703125" bestFit="1" customWidth="1"/>
    <col min="3078" max="3079" width="9.28515625" bestFit="1" customWidth="1"/>
    <col min="3080" max="3082" width="9.5703125" bestFit="1" customWidth="1"/>
    <col min="3083" max="3083" width="9.28515625" bestFit="1" customWidth="1"/>
    <col min="3085" max="3085" width="9.5703125" bestFit="1" customWidth="1"/>
    <col min="3086" max="3086" width="9.42578125" bestFit="1" customWidth="1"/>
    <col min="3329" max="3329" width="32.5703125" customWidth="1"/>
    <col min="3332" max="3333" width="9.5703125" bestFit="1" customWidth="1"/>
    <col min="3334" max="3335" width="9.28515625" bestFit="1" customWidth="1"/>
    <col min="3336" max="3338" width="9.5703125" bestFit="1" customWidth="1"/>
    <col min="3339" max="3339" width="9.28515625" bestFit="1" customWidth="1"/>
    <col min="3341" max="3341" width="9.5703125" bestFit="1" customWidth="1"/>
    <col min="3342" max="3342" width="9.42578125" bestFit="1" customWidth="1"/>
    <col min="3585" max="3585" width="32.5703125" customWidth="1"/>
    <col min="3588" max="3589" width="9.5703125" bestFit="1" customWidth="1"/>
    <col min="3590" max="3591" width="9.28515625" bestFit="1" customWidth="1"/>
    <col min="3592" max="3594" width="9.5703125" bestFit="1" customWidth="1"/>
    <col min="3595" max="3595" width="9.28515625" bestFit="1" customWidth="1"/>
    <col min="3597" max="3597" width="9.5703125" bestFit="1" customWidth="1"/>
    <col min="3598" max="3598" width="9.42578125" bestFit="1" customWidth="1"/>
    <col min="3841" max="3841" width="32.5703125" customWidth="1"/>
    <col min="3844" max="3845" width="9.5703125" bestFit="1" customWidth="1"/>
    <col min="3846" max="3847" width="9.28515625" bestFit="1" customWidth="1"/>
    <col min="3848" max="3850" width="9.5703125" bestFit="1" customWidth="1"/>
    <col min="3851" max="3851" width="9.28515625" bestFit="1" customWidth="1"/>
    <col min="3853" max="3853" width="9.5703125" bestFit="1" customWidth="1"/>
    <col min="3854" max="3854" width="9.42578125" bestFit="1" customWidth="1"/>
    <col min="4097" max="4097" width="32.5703125" customWidth="1"/>
    <col min="4100" max="4101" width="9.5703125" bestFit="1" customWidth="1"/>
    <col min="4102" max="4103" width="9.28515625" bestFit="1" customWidth="1"/>
    <col min="4104" max="4106" width="9.5703125" bestFit="1" customWidth="1"/>
    <col min="4107" max="4107" width="9.28515625" bestFit="1" customWidth="1"/>
    <col min="4109" max="4109" width="9.5703125" bestFit="1" customWidth="1"/>
    <col min="4110" max="4110" width="9.42578125" bestFit="1" customWidth="1"/>
    <col min="4353" max="4353" width="32.5703125" customWidth="1"/>
    <col min="4356" max="4357" width="9.5703125" bestFit="1" customWidth="1"/>
    <col min="4358" max="4359" width="9.28515625" bestFit="1" customWidth="1"/>
    <col min="4360" max="4362" width="9.5703125" bestFit="1" customWidth="1"/>
    <col min="4363" max="4363" width="9.28515625" bestFit="1" customWidth="1"/>
    <col min="4365" max="4365" width="9.5703125" bestFit="1" customWidth="1"/>
    <col min="4366" max="4366" width="9.42578125" bestFit="1" customWidth="1"/>
    <col min="4609" max="4609" width="32.5703125" customWidth="1"/>
    <col min="4612" max="4613" width="9.5703125" bestFit="1" customWidth="1"/>
    <col min="4614" max="4615" width="9.28515625" bestFit="1" customWidth="1"/>
    <col min="4616" max="4618" width="9.5703125" bestFit="1" customWidth="1"/>
    <col min="4619" max="4619" width="9.28515625" bestFit="1" customWidth="1"/>
    <col min="4621" max="4621" width="9.5703125" bestFit="1" customWidth="1"/>
    <col min="4622" max="4622" width="9.42578125" bestFit="1" customWidth="1"/>
    <col min="4865" max="4865" width="32.5703125" customWidth="1"/>
    <col min="4868" max="4869" width="9.5703125" bestFit="1" customWidth="1"/>
    <col min="4870" max="4871" width="9.28515625" bestFit="1" customWidth="1"/>
    <col min="4872" max="4874" width="9.5703125" bestFit="1" customWidth="1"/>
    <col min="4875" max="4875" width="9.28515625" bestFit="1" customWidth="1"/>
    <col min="4877" max="4877" width="9.5703125" bestFit="1" customWidth="1"/>
    <col min="4878" max="4878" width="9.42578125" bestFit="1" customWidth="1"/>
    <col min="5121" max="5121" width="32.5703125" customWidth="1"/>
    <col min="5124" max="5125" width="9.5703125" bestFit="1" customWidth="1"/>
    <col min="5126" max="5127" width="9.28515625" bestFit="1" customWidth="1"/>
    <col min="5128" max="5130" width="9.5703125" bestFit="1" customWidth="1"/>
    <col min="5131" max="5131" width="9.28515625" bestFit="1" customWidth="1"/>
    <col min="5133" max="5133" width="9.5703125" bestFit="1" customWidth="1"/>
    <col min="5134" max="5134" width="9.42578125" bestFit="1" customWidth="1"/>
    <col min="5377" max="5377" width="32.5703125" customWidth="1"/>
    <col min="5380" max="5381" width="9.5703125" bestFit="1" customWidth="1"/>
    <col min="5382" max="5383" width="9.28515625" bestFit="1" customWidth="1"/>
    <col min="5384" max="5386" width="9.5703125" bestFit="1" customWidth="1"/>
    <col min="5387" max="5387" width="9.28515625" bestFit="1" customWidth="1"/>
    <col min="5389" max="5389" width="9.5703125" bestFit="1" customWidth="1"/>
    <col min="5390" max="5390" width="9.42578125" bestFit="1" customWidth="1"/>
    <col min="5633" max="5633" width="32.5703125" customWidth="1"/>
    <col min="5636" max="5637" width="9.5703125" bestFit="1" customWidth="1"/>
    <col min="5638" max="5639" width="9.28515625" bestFit="1" customWidth="1"/>
    <col min="5640" max="5642" width="9.5703125" bestFit="1" customWidth="1"/>
    <col min="5643" max="5643" width="9.28515625" bestFit="1" customWidth="1"/>
    <col min="5645" max="5645" width="9.5703125" bestFit="1" customWidth="1"/>
    <col min="5646" max="5646" width="9.42578125" bestFit="1" customWidth="1"/>
    <col min="5889" max="5889" width="32.5703125" customWidth="1"/>
    <col min="5892" max="5893" width="9.5703125" bestFit="1" customWidth="1"/>
    <col min="5894" max="5895" width="9.28515625" bestFit="1" customWidth="1"/>
    <col min="5896" max="5898" width="9.5703125" bestFit="1" customWidth="1"/>
    <col min="5899" max="5899" width="9.28515625" bestFit="1" customWidth="1"/>
    <col min="5901" max="5901" width="9.5703125" bestFit="1" customWidth="1"/>
    <col min="5902" max="5902" width="9.42578125" bestFit="1" customWidth="1"/>
    <col min="6145" max="6145" width="32.5703125" customWidth="1"/>
    <col min="6148" max="6149" width="9.5703125" bestFit="1" customWidth="1"/>
    <col min="6150" max="6151" width="9.28515625" bestFit="1" customWidth="1"/>
    <col min="6152" max="6154" width="9.5703125" bestFit="1" customWidth="1"/>
    <col min="6155" max="6155" width="9.28515625" bestFit="1" customWidth="1"/>
    <col min="6157" max="6157" width="9.5703125" bestFit="1" customWidth="1"/>
    <col min="6158" max="6158" width="9.42578125" bestFit="1" customWidth="1"/>
    <col min="6401" max="6401" width="32.5703125" customWidth="1"/>
    <col min="6404" max="6405" width="9.5703125" bestFit="1" customWidth="1"/>
    <col min="6406" max="6407" width="9.28515625" bestFit="1" customWidth="1"/>
    <col min="6408" max="6410" width="9.5703125" bestFit="1" customWidth="1"/>
    <col min="6411" max="6411" width="9.28515625" bestFit="1" customWidth="1"/>
    <col min="6413" max="6413" width="9.5703125" bestFit="1" customWidth="1"/>
    <col min="6414" max="6414" width="9.42578125" bestFit="1" customWidth="1"/>
    <col min="6657" max="6657" width="32.5703125" customWidth="1"/>
    <col min="6660" max="6661" width="9.5703125" bestFit="1" customWidth="1"/>
    <col min="6662" max="6663" width="9.28515625" bestFit="1" customWidth="1"/>
    <col min="6664" max="6666" width="9.5703125" bestFit="1" customWidth="1"/>
    <col min="6667" max="6667" width="9.28515625" bestFit="1" customWidth="1"/>
    <col min="6669" max="6669" width="9.5703125" bestFit="1" customWidth="1"/>
    <col min="6670" max="6670" width="9.42578125" bestFit="1" customWidth="1"/>
    <col min="6913" max="6913" width="32.5703125" customWidth="1"/>
    <col min="6916" max="6917" width="9.5703125" bestFit="1" customWidth="1"/>
    <col min="6918" max="6919" width="9.28515625" bestFit="1" customWidth="1"/>
    <col min="6920" max="6922" width="9.5703125" bestFit="1" customWidth="1"/>
    <col min="6923" max="6923" width="9.28515625" bestFit="1" customWidth="1"/>
    <col min="6925" max="6925" width="9.5703125" bestFit="1" customWidth="1"/>
    <col min="6926" max="6926" width="9.42578125" bestFit="1" customWidth="1"/>
    <col min="7169" max="7169" width="32.5703125" customWidth="1"/>
    <col min="7172" max="7173" width="9.5703125" bestFit="1" customWidth="1"/>
    <col min="7174" max="7175" width="9.28515625" bestFit="1" customWidth="1"/>
    <col min="7176" max="7178" width="9.5703125" bestFit="1" customWidth="1"/>
    <col min="7179" max="7179" width="9.28515625" bestFit="1" customWidth="1"/>
    <col min="7181" max="7181" width="9.5703125" bestFit="1" customWidth="1"/>
    <col min="7182" max="7182" width="9.42578125" bestFit="1" customWidth="1"/>
    <col min="7425" max="7425" width="32.5703125" customWidth="1"/>
    <col min="7428" max="7429" width="9.5703125" bestFit="1" customWidth="1"/>
    <col min="7430" max="7431" width="9.28515625" bestFit="1" customWidth="1"/>
    <col min="7432" max="7434" width="9.5703125" bestFit="1" customWidth="1"/>
    <col min="7435" max="7435" width="9.28515625" bestFit="1" customWidth="1"/>
    <col min="7437" max="7437" width="9.5703125" bestFit="1" customWidth="1"/>
    <col min="7438" max="7438" width="9.42578125" bestFit="1" customWidth="1"/>
    <col min="7681" max="7681" width="32.5703125" customWidth="1"/>
    <col min="7684" max="7685" width="9.5703125" bestFit="1" customWidth="1"/>
    <col min="7686" max="7687" width="9.28515625" bestFit="1" customWidth="1"/>
    <col min="7688" max="7690" width="9.5703125" bestFit="1" customWidth="1"/>
    <col min="7691" max="7691" width="9.28515625" bestFit="1" customWidth="1"/>
    <col min="7693" max="7693" width="9.5703125" bestFit="1" customWidth="1"/>
    <col min="7694" max="7694" width="9.42578125" bestFit="1" customWidth="1"/>
    <col min="7937" max="7937" width="32.5703125" customWidth="1"/>
    <col min="7940" max="7941" width="9.5703125" bestFit="1" customWidth="1"/>
    <col min="7942" max="7943" width="9.28515625" bestFit="1" customWidth="1"/>
    <col min="7944" max="7946" width="9.5703125" bestFit="1" customWidth="1"/>
    <col min="7947" max="7947" width="9.28515625" bestFit="1" customWidth="1"/>
    <col min="7949" max="7949" width="9.5703125" bestFit="1" customWidth="1"/>
    <col min="7950" max="7950" width="9.42578125" bestFit="1" customWidth="1"/>
    <col min="8193" max="8193" width="32.5703125" customWidth="1"/>
    <col min="8196" max="8197" width="9.5703125" bestFit="1" customWidth="1"/>
    <col min="8198" max="8199" width="9.28515625" bestFit="1" customWidth="1"/>
    <col min="8200" max="8202" width="9.5703125" bestFit="1" customWidth="1"/>
    <col min="8203" max="8203" width="9.28515625" bestFit="1" customWidth="1"/>
    <col min="8205" max="8205" width="9.5703125" bestFit="1" customWidth="1"/>
    <col min="8206" max="8206" width="9.42578125" bestFit="1" customWidth="1"/>
    <col min="8449" max="8449" width="32.5703125" customWidth="1"/>
    <col min="8452" max="8453" width="9.5703125" bestFit="1" customWidth="1"/>
    <col min="8454" max="8455" width="9.28515625" bestFit="1" customWidth="1"/>
    <col min="8456" max="8458" width="9.5703125" bestFit="1" customWidth="1"/>
    <col min="8459" max="8459" width="9.28515625" bestFit="1" customWidth="1"/>
    <col min="8461" max="8461" width="9.5703125" bestFit="1" customWidth="1"/>
    <col min="8462" max="8462" width="9.42578125" bestFit="1" customWidth="1"/>
    <col min="8705" max="8705" width="32.5703125" customWidth="1"/>
    <col min="8708" max="8709" width="9.5703125" bestFit="1" customWidth="1"/>
    <col min="8710" max="8711" width="9.28515625" bestFit="1" customWidth="1"/>
    <col min="8712" max="8714" width="9.5703125" bestFit="1" customWidth="1"/>
    <col min="8715" max="8715" width="9.28515625" bestFit="1" customWidth="1"/>
    <col min="8717" max="8717" width="9.5703125" bestFit="1" customWidth="1"/>
    <col min="8718" max="8718" width="9.42578125" bestFit="1" customWidth="1"/>
    <col min="8961" max="8961" width="32.5703125" customWidth="1"/>
    <col min="8964" max="8965" width="9.5703125" bestFit="1" customWidth="1"/>
    <col min="8966" max="8967" width="9.28515625" bestFit="1" customWidth="1"/>
    <col min="8968" max="8970" width="9.5703125" bestFit="1" customWidth="1"/>
    <col min="8971" max="8971" width="9.28515625" bestFit="1" customWidth="1"/>
    <col min="8973" max="8973" width="9.5703125" bestFit="1" customWidth="1"/>
    <col min="8974" max="8974" width="9.42578125" bestFit="1" customWidth="1"/>
    <col min="9217" max="9217" width="32.5703125" customWidth="1"/>
    <col min="9220" max="9221" width="9.5703125" bestFit="1" customWidth="1"/>
    <col min="9222" max="9223" width="9.28515625" bestFit="1" customWidth="1"/>
    <col min="9224" max="9226" width="9.5703125" bestFit="1" customWidth="1"/>
    <col min="9227" max="9227" width="9.28515625" bestFit="1" customWidth="1"/>
    <col min="9229" max="9229" width="9.5703125" bestFit="1" customWidth="1"/>
    <col min="9230" max="9230" width="9.42578125" bestFit="1" customWidth="1"/>
    <col min="9473" max="9473" width="32.5703125" customWidth="1"/>
    <col min="9476" max="9477" width="9.5703125" bestFit="1" customWidth="1"/>
    <col min="9478" max="9479" width="9.28515625" bestFit="1" customWidth="1"/>
    <col min="9480" max="9482" width="9.5703125" bestFit="1" customWidth="1"/>
    <col min="9483" max="9483" width="9.28515625" bestFit="1" customWidth="1"/>
    <col min="9485" max="9485" width="9.5703125" bestFit="1" customWidth="1"/>
    <col min="9486" max="9486" width="9.42578125" bestFit="1" customWidth="1"/>
    <col min="9729" max="9729" width="32.5703125" customWidth="1"/>
    <col min="9732" max="9733" width="9.5703125" bestFit="1" customWidth="1"/>
    <col min="9734" max="9735" width="9.28515625" bestFit="1" customWidth="1"/>
    <col min="9736" max="9738" width="9.5703125" bestFit="1" customWidth="1"/>
    <col min="9739" max="9739" width="9.28515625" bestFit="1" customWidth="1"/>
    <col min="9741" max="9741" width="9.5703125" bestFit="1" customWidth="1"/>
    <col min="9742" max="9742" width="9.42578125" bestFit="1" customWidth="1"/>
    <col min="9985" max="9985" width="32.5703125" customWidth="1"/>
    <col min="9988" max="9989" width="9.5703125" bestFit="1" customWidth="1"/>
    <col min="9990" max="9991" width="9.28515625" bestFit="1" customWidth="1"/>
    <col min="9992" max="9994" width="9.5703125" bestFit="1" customWidth="1"/>
    <col min="9995" max="9995" width="9.28515625" bestFit="1" customWidth="1"/>
    <col min="9997" max="9997" width="9.5703125" bestFit="1" customWidth="1"/>
    <col min="9998" max="9998" width="9.42578125" bestFit="1" customWidth="1"/>
    <col min="10241" max="10241" width="32.5703125" customWidth="1"/>
    <col min="10244" max="10245" width="9.5703125" bestFit="1" customWidth="1"/>
    <col min="10246" max="10247" width="9.28515625" bestFit="1" customWidth="1"/>
    <col min="10248" max="10250" width="9.5703125" bestFit="1" customWidth="1"/>
    <col min="10251" max="10251" width="9.28515625" bestFit="1" customWidth="1"/>
    <col min="10253" max="10253" width="9.5703125" bestFit="1" customWidth="1"/>
    <col min="10254" max="10254" width="9.42578125" bestFit="1" customWidth="1"/>
    <col min="10497" max="10497" width="32.5703125" customWidth="1"/>
    <col min="10500" max="10501" width="9.5703125" bestFit="1" customWidth="1"/>
    <col min="10502" max="10503" width="9.28515625" bestFit="1" customWidth="1"/>
    <col min="10504" max="10506" width="9.5703125" bestFit="1" customWidth="1"/>
    <col min="10507" max="10507" width="9.28515625" bestFit="1" customWidth="1"/>
    <col min="10509" max="10509" width="9.5703125" bestFit="1" customWidth="1"/>
    <col min="10510" max="10510" width="9.42578125" bestFit="1" customWidth="1"/>
    <col min="10753" max="10753" width="32.5703125" customWidth="1"/>
    <col min="10756" max="10757" width="9.5703125" bestFit="1" customWidth="1"/>
    <col min="10758" max="10759" width="9.28515625" bestFit="1" customWidth="1"/>
    <col min="10760" max="10762" width="9.5703125" bestFit="1" customWidth="1"/>
    <col min="10763" max="10763" width="9.28515625" bestFit="1" customWidth="1"/>
    <col min="10765" max="10765" width="9.5703125" bestFit="1" customWidth="1"/>
    <col min="10766" max="10766" width="9.42578125" bestFit="1" customWidth="1"/>
    <col min="11009" max="11009" width="32.5703125" customWidth="1"/>
    <col min="11012" max="11013" width="9.5703125" bestFit="1" customWidth="1"/>
    <col min="11014" max="11015" width="9.28515625" bestFit="1" customWidth="1"/>
    <col min="11016" max="11018" width="9.5703125" bestFit="1" customWidth="1"/>
    <col min="11019" max="11019" width="9.28515625" bestFit="1" customWidth="1"/>
    <col min="11021" max="11021" width="9.5703125" bestFit="1" customWidth="1"/>
    <col min="11022" max="11022" width="9.42578125" bestFit="1" customWidth="1"/>
    <col min="11265" max="11265" width="32.5703125" customWidth="1"/>
    <col min="11268" max="11269" width="9.5703125" bestFit="1" customWidth="1"/>
    <col min="11270" max="11271" width="9.28515625" bestFit="1" customWidth="1"/>
    <col min="11272" max="11274" width="9.5703125" bestFit="1" customWidth="1"/>
    <col min="11275" max="11275" width="9.28515625" bestFit="1" customWidth="1"/>
    <col min="11277" max="11277" width="9.5703125" bestFit="1" customWidth="1"/>
    <col min="11278" max="11278" width="9.42578125" bestFit="1" customWidth="1"/>
    <col min="11521" max="11521" width="32.5703125" customWidth="1"/>
    <col min="11524" max="11525" width="9.5703125" bestFit="1" customWidth="1"/>
    <col min="11526" max="11527" width="9.28515625" bestFit="1" customWidth="1"/>
    <col min="11528" max="11530" width="9.5703125" bestFit="1" customWidth="1"/>
    <col min="11531" max="11531" width="9.28515625" bestFit="1" customWidth="1"/>
    <col min="11533" max="11533" width="9.5703125" bestFit="1" customWidth="1"/>
    <col min="11534" max="11534" width="9.42578125" bestFit="1" customWidth="1"/>
    <col min="11777" max="11777" width="32.5703125" customWidth="1"/>
    <col min="11780" max="11781" width="9.5703125" bestFit="1" customWidth="1"/>
    <col min="11782" max="11783" width="9.28515625" bestFit="1" customWidth="1"/>
    <col min="11784" max="11786" width="9.5703125" bestFit="1" customWidth="1"/>
    <col min="11787" max="11787" width="9.28515625" bestFit="1" customWidth="1"/>
    <col min="11789" max="11789" width="9.5703125" bestFit="1" customWidth="1"/>
    <col min="11790" max="11790" width="9.42578125" bestFit="1" customWidth="1"/>
    <col min="12033" max="12033" width="32.5703125" customWidth="1"/>
    <col min="12036" max="12037" width="9.5703125" bestFit="1" customWidth="1"/>
    <col min="12038" max="12039" width="9.28515625" bestFit="1" customWidth="1"/>
    <col min="12040" max="12042" width="9.5703125" bestFit="1" customWidth="1"/>
    <col min="12043" max="12043" width="9.28515625" bestFit="1" customWidth="1"/>
    <col min="12045" max="12045" width="9.5703125" bestFit="1" customWidth="1"/>
    <col min="12046" max="12046" width="9.42578125" bestFit="1" customWidth="1"/>
    <col min="12289" max="12289" width="32.5703125" customWidth="1"/>
    <col min="12292" max="12293" width="9.5703125" bestFit="1" customWidth="1"/>
    <col min="12294" max="12295" width="9.28515625" bestFit="1" customWidth="1"/>
    <col min="12296" max="12298" width="9.5703125" bestFit="1" customWidth="1"/>
    <col min="12299" max="12299" width="9.28515625" bestFit="1" customWidth="1"/>
    <col min="12301" max="12301" width="9.5703125" bestFit="1" customWidth="1"/>
    <col min="12302" max="12302" width="9.42578125" bestFit="1" customWidth="1"/>
    <col min="12545" max="12545" width="32.5703125" customWidth="1"/>
    <col min="12548" max="12549" width="9.5703125" bestFit="1" customWidth="1"/>
    <col min="12550" max="12551" width="9.28515625" bestFit="1" customWidth="1"/>
    <col min="12552" max="12554" width="9.5703125" bestFit="1" customWidth="1"/>
    <col min="12555" max="12555" width="9.28515625" bestFit="1" customWidth="1"/>
    <col min="12557" max="12557" width="9.5703125" bestFit="1" customWidth="1"/>
    <col min="12558" max="12558" width="9.42578125" bestFit="1" customWidth="1"/>
    <col min="12801" max="12801" width="32.5703125" customWidth="1"/>
    <col min="12804" max="12805" width="9.5703125" bestFit="1" customWidth="1"/>
    <col min="12806" max="12807" width="9.28515625" bestFit="1" customWidth="1"/>
    <col min="12808" max="12810" width="9.5703125" bestFit="1" customWidth="1"/>
    <col min="12811" max="12811" width="9.28515625" bestFit="1" customWidth="1"/>
    <col min="12813" max="12813" width="9.5703125" bestFit="1" customWidth="1"/>
    <col min="12814" max="12814" width="9.42578125" bestFit="1" customWidth="1"/>
    <col min="13057" max="13057" width="32.5703125" customWidth="1"/>
    <col min="13060" max="13061" width="9.5703125" bestFit="1" customWidth="1"/>
    <col min="13062" max="13063" width="9.28515625" bestFit="1" customWidth="1"/>
    <col min="13064" max="13066" width="9.5703125" bestFit="1" customWidth="1"/>
    <col min="13067" max="13067" width="9.28515625" bestFit="1" customWidth="1"/>
    <col min="13069" max="13069" width="9.5703125" bestFit="1" customWidth="1"/>
    <col min="13070" max="13070" width="9.42578125" bestFit="1" customWidth="1"/>
    <col min="13313" max="13313" width="32.5703125" customWidth="1"/>
    <col min="13316" max="13317" width="9.5703125" bestFit="1" customWidth="1"/>
    <col min="13318" max="13319" width="9.28515625" bestFit="1" customWidth="1"/>
    <col min="13320" max="13322" width="9.5703125" bestFit="1" customWidth="1"/>
    <col min="13323" max="13323" width="9.28515625" bestFit="1" customWidth="1"/>
    <col min="13325" max="13325" width="9.5703125" bestFit="1" customWidth="1"/>
    <col min="13326" max="13326" width="9.42578125" bestFit="1" customWidth="1"/>
    <col min="13569" max="13569" width="32.5703125" customWidth="1"/>
    <col min="13572" max="13573" width="9.5703125" bestFit="1" customWidth="1"/>
    <col min="13574" max="13575" width="9.28515625" bestFit="1" customWidth="1"/>
    <col min="13576" max="13578" width="9.5703125" bestFit="1" customWidth="1"/>
    <col min="13579" max="13579" width="9.28515625" bestFit="1" customWidth="1"/>
    <col min="13581" max="13581" width="9.5703125" bestFit="1" customWidth="1"/>
    <col min="13582" max="13582" width="9.42578125" bestFit="1" customWidth="1"/>
    <col min="13825" max="13825" width="32.5703125" customWidth="1"/>
    <col min="13828" max="13829" width="9.5703125" bestFit="1" customWidth="1"/>
    <col min="13830" max="13831" width="9.28515625" bestFit="1" customWidth="1"/>
    <col min="13832" max="13834" width="9.5703125" bestFit="1" customWidth="1"/>
    <col min="13835" max="13835" width="9.28515625" bestFit="1" customWidth="1"/>
    <col min="13837" max="13837" width="9.5703125" bestFit="1" customWidth="1"/>
    <col min="13838" max="13838" width="9.42578125" bestFit="1" customWidth="1"/>
    <col min="14081" max="14081" width="32.5703125" customWidth="1"/>
    <col min="14084" max="14085" width="9.5703125" bestFit="1" customWidth="1"/>
    <col min="14086" max="14087" width="9.28515625" bestFit="1" customWidth="1"/>
    <col min="14088" max="14090" width="9.5703125" bestFit="1" customWidth="1"/>
    <col min="14091" max="14091" width="9.28515625" bestFit="1" customWidth="1"/>
    <col min="14093" max="14093" width="9.5703125" bestFit="1" customWidth="1"/>
    <col min="14094" max="14094" width="9.42578125" bestFit="1" customWidth="1"/>
    <col min="14337" max="14337" width="32.5703125" customWidth="1"/>
    <col min="14340" max="14341" width="9.5703125" bestFit="1" customWidth="1"/>
    <col min="14342" max="14343" width="9.28515625" bestFit="1" customWidth="1"/>
    <col min="14344" max="14346" width="9.5703125" bestFit="1" customWidth="1"/>
    <col min="14347" max="14347" width="9.28515625" bestFit="1" customWidth="1"/>
    <col min="14349" max="14349" width="9.5703125" bestFit="1" customWidth="1"/>
    <col min="14350" max="14350" width="9.42578125" bestFit="1" customWidth="1"/>
    <col min="14593" max="14593" width="32.5703125" customWidth="1"/>
    <col min="14596" max="14597" width="9.5703125" bestFit="1" customWidth="1"/>
    <col min="14598" max="14599" width="9.28515625" bestFit="1" customWidth="1"/>
    <col min="14600" max="14602" width="9.5703125" bestFit="1" customWidth="1"/>
    <col min="14603" max="14603" width="9.28515625" bestFit="1" customWidth="1"/>
    <col min="14605" max="14605" width="9.5703125" bestFit="1" customWidth="1"/>
    <col min="14606" max="14606" width="9.42578125" bestFit="1" customWidth="1"/>
    <col min="14849" max="14849" width="32.5703125" customWidth="1"/>
    <col min="14852" max="14853" width="9.5703125" bestFit="1" customWidth="1"/>
    <col min="14854" max="14855" width="9.28515625" bestFit="1" customWidth="1"/>
    <col min="14856" max="14858" width="9.5703125" bestFit="1" customWidth="1"/>
    <col min="14859" max="14859" width="9.28515625" bestFit="1" customWidth="1"/>
    <col min="14861" max="14861" width="9.5703125" bestFit="1" customWidth="1"/>
    <col min="14862" max="14862" width="9.42578125" bestFit="1" customWidth="1"/>
    <col min="15105" max="15105" width="32.5703125" customWidth="1"/>
    <col min="15108" max="15109" width="9.5703125" bestFit="1" customWidth="1"/>
    <col min="15110" max="15111" width="9.28515625" bestFit="1" customWidth="1"/>
    <col min="15112" max="15114" width="9.5703125" bestFit="1" customWidth="1"/>
    <col min="15115" max="15115" width="9.28515625" bestFit="1" customWidth="1"/>
    <col min="15117" max="15117" width="9.5703125" bestFit="1" customWidth="1"/>
    <col min="15118" max="15118" width="9.42578125" bestFit="1" customWidth="1"/>
    <col min="15361" max="15361" width="32.5703125" customWidth="1"/>
    <col min="15364" max="15365" width="9.5703125" bestFit="1" customWidth="1"/>
    <col min="15366" max="15367" width="9.28515625" bestFit="1" customWidth="1"/>
    <col min="15368" max="15370" width="9.5703125" bestFit="1" customWidth="1"/>
    <col min="15371" max="15371" width="9.28515625" bestFit="1" customWidth="1"/>
    <col min="15373" max="15373" width="9.5703125" bestFit="1" customWidth="1"/>
    <col min="15374" max="15374" width="9.42578125" bestFit="1" customWidth="1"/>
    <col min="15617" max="15617" width="32.5703125" customWidth="1"/>
    <col min="15620" max="15621" width="9.5703125" bestFit="1" customWidth="1"/>
    <col min="15622" max="15623" width="9.28515625" bestFit="1" customWidth="1"/>
    <col min="15624" max="15626" width="9.5703125" bestFit="1" customWidth="1"/>
    <col min="15627" max="15627" width="9.28515625" bestFit="1" customWidth="1"/>
    <col min="15629" max="15629" width="9.5703125" bestFit="1" customWidth="1"/>
    <col min="15630" max="15630" width="9.42578125" bestFit="1" customWidth="1"/>
    <col min="15873" max="15873" width="32.5703125" customWidth="1"/>
    <col min="15876" max="15877" width="9.5703125" bestFit="1" customWidth="1"/>
    <col min="15878" max="15879" width="9.28515625" bestFit="1" customWidth="1"/>
    <col min="15880" max="15882" width="9.5703125" bestFit="1" customWidth="1"/>
    <col min="15883" max="15883" width="9.28515625" bestFit="1" customWidth="1"/>
    <col min="15885" max="15885" width="9.5703125" bestFit="1" customWidth="1"/>
    <col min="15886" max="15886" width="9.42578125" bestFit="1" customWidth="1"/>
    <col min="16129" max="16129" width="32.5703125" customWidth="1"/>
    <col min="16132" max="16133" width="9.5703125" bestFit="1" customWidth="1"/>
    <col min="16134" max="16135" width="9.28515625" bestFit="1" customWidth="1"/>
    <col min="16136" max="16138" width="9.5703125" bestFit="1" customWidth="1"/>
    <col min="16139" max="16139" width="9.28515625" bestFit="1" customWidth="1"/>
    <col min="16141" max="16141" width="9.5703125" bestFit="1" customWidth="1"/>
    <col min="16142" max="16142" width="9.42578125" bestFit="1" customWidth="1"/>
  </cols>
  <sheetData>
    <row r="1" spans="1:14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</row>
    <row r="2" spans="1:14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</row>
    <row r="3" spans="1:14">
      <c r="A3" s="808" t="s">
        <v>4176</v>
      </c>
      <c r="B3" s="808"/>
      <c r="C3" s="808"/>
    </row>
    <row r="4" spans="1:14">
      <c r="A4" s="46" t="s">
        <v>828</v>
      </c>
      <c r="B4" s="854" t="s">
        <v>924</v>
      </c>
      <c r="C4" s="854"/>
      <c r="D4" s="854"/>
      <c r="E4" s="854" t="s">
        <v>830</v>
      </c>
      <c r="F4" s="854"/>
      <c r="G4" s="854">
        <v>904060103</v>
      </c>
      <c r="H4" s="854"/>
      <c r="I4" s="46" t="s">
        <v>5</v>
      </c>
      <c r="J4" s="46"/>
      <c r="K4" s="47">
        <v>615.59199999999998</v>
      </c>
      <c r="L4" s="46" t="s">
        <v>831</v>
      </c>
      <c r="M4" s="46"/>
      <c r="N4" s="47">
        <v>0</v>
      </c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54" t="s">
        <v>925</v>
      </c>
      <c r="C6" s="854"/>
      <c r="D6" s="854"/>
      <c r="E6" s="854" t="s">
        <v>176</v>
      </c>
      <c r="F6" s="854"/>
      <c r="G6" s="854" t="s">
        <v>926</v>
      </c>
      <c r="H6" s="854"/>
      <c r="I6" s="854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 ht="23.25" customHeight="1">
      <c r="A8" s="46" t="s">
        <v>835</v>
      </c>
      <c r="B8" s="854" t="s">
        <v>927</v>
      </c>
      <c r="C8" s="854"/>
      <c r="D8" s="854"/>
      <c r="E8" s="967" t="s">
        <v>912</v>
      </c>
      <c r="F8" s="940"/>
      <c r="G8" s="843">
        <v>8895380406</v>
      </c>
      <c r="H8" s="870"/>
      <c r="I8" s="870"/>
      <c r="J8" s="870"/>
      <c r="K8" s="844"/>
      <c r="L8" s="46"/>
      <c r="M8" s="46"/>
      <c r="N8" s="46"/>
    </row>
    <row r="9" spans="1:14">
      <c r="A9" s="46"/>
      <c r="B9" s="46"/>
      <c r="C9" s="46"/>
      <c r="D9" s="46"/>
      <c r="E9" s="46"/>
      <c r="F9" s="46"/>
      <c r="G9" s="48"/>
      <c r="H9" s="48"/>
      <c r="I9" s="48"/>
      <c r="J9" s="48"/>
      <c r="K9" s="48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47" t="s">
        <v>838</v>
      </c>
      <c r="B11" s="854" t="s">
        <v>928</v>
      </c>
      <c r="C11" s="854"/>
      <c r="D11" s="854"/>
      <c r="E11" s="854"/>
      <c r="F11" s="854"/>
      <c r="G11" s="854"/>
      <c r="H11" s="854"/>
      <c r="I11" s="854"/>
      <c r="J11" s="854"/>
      <c r="K11" s="854"/>
      <c r="L11" s="854"/>
      <c r="M11" s="854"/>
      <c r="N11" s="46"/>
    </row>
    <row r="12" spans="1:14">
      <c r="A12" s="47" t="s">
        <v>840</v>
      </c>
      <c r="B12" s="854" t="s">
        <v>929</v>
      </c>
      <c r="C12" s="854"/>
      <c r="D12" s="854" t="s">
        <v>930</v>
      </c>
      <c r="E12" s="854"/>
      <c r="F12" s="854"/>
      <c r="G12" s="854"/>
      <c r="H12" s="854"/>
      <c r="I12" s="854"/>
      <c r="J12" s="854"/>
      <c r="K12" s="854"/>
      <c r="L12" s="854"/>
      <c r="M12" s="854"/>
      <c r="N12" s="46"/>
    </row>
    <row r="13" spans="1:14">
      <c r="A13" s="47" t="s">
        <v>844</v>
      </c>
      <c r="B13" s="843" t="s">
        <v>931</v>
      </c>
      <c r="C13" s="870"/>
      <c r="D13" s="843" t="s">
        <v>932</v>
      </c>
      <c r="E13" s="870"/>
      <c r="F13" s="844"/>
      <c r="G13" s="854" t="s">
        <v>933</v>
      </c>
      <c r="H13" s="854"/>
      <c r="I13" s="854"/>
      <c r="J13" s="854" t="s">
        <v>934</v>
      </c>
      <c r="K13" s="854"/>
      <c r="L13" s="854"/>
      <c r="M13" s="854"/>
      <c r="N13" s="46"/>
    </row>
    <row r="14" spans="1:14">
      <c r="A14" s="47"/>
      <c r="B14" s="843" t="s">
        <v>935</v>
      </c>
      <c r="C14" s="870"/>
      <c r="D14" s="520"/>
      <c r="E14" s="525"/>
      <c r="F14" s="521"/>
      <c r="G14" s="522"/>
      <c r="H14" s="522"/>
      <c r="I14" s="522"/>
      <c r="J14" s="522"/>
      <c r="K14" s="522"/>
      <c r="L14" s="522"/>
      <c r="M14" s="522"/>
      <c r="N14" s="46"/>
    </row>
    <row r="15" spans="1:14">
      <c r="A15" s="47" t="s">
        <v>850</v>
      </c>
      <c r="B15" s="854" t="s">
        <v>936</v>
      </c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4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>
      <c r="A17" s="46" t="s">
        <v>852</v>
      </c>
      <c r="B17" s="47">
        <v>2</v>
      </c>
      <c r="C17" s="46" t="s">
        <v>853</v>
      </c>
      <c r="D17" s="46"/>
      <c r="E17" s="522">
        <v>2</v>
      </c>
      <c r="G17" s="46" t="s">
        <v>643</v>
      </c>
      <c r="H17" s="522">
        <v>15</v>
      </c>
      <c r="I17" s="46" t="s">
        <v>644</v>
      </c>
      <c r="J17" s="47">
        <v>0</v>
      </c>
      <c r="K17" s="46" t="s">
        <v>645</v>
      </c>
      <c r="L17" s="47">
        <v>8</v>
      </c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46" t="s">
        <v>854</v>
      </c>
      <c r="B20" s="46" t="s">
        <v>204</v>
      </c>
      <c r="C20" s="47">
        <v>251</v>
      </c>
      <c r="D20" s="46" t="s">
        <v>205</v>
      </c>
      <c r="E20" s="47"/>
      <c r="F20" s="49" t="s">
        <v>206</v>
      </c>
      <c r="G20" s="47"/>
      <c r="H20" s="46" t="s">
        <v>230</v>
      </c>
      <c r="I20" s="47">
        <v>251</v>
      </c>
      <c r="J20" s="46" t="s">
        <v>207</v>
      </c>
      <c r="K20" s="47">
        <v>11</v>
      </c>
      <c r="L20" s="46" t="s">
        <v>855</v>
      </c>
      <c r="M20" s="46"/>
      <c r="N20" s="47">
        <v>20</v>
      </c>
    </row>
    <row r="21" spans="1:14">
      <c r="A21" s="46" t="s">
        <v>209</v>
      </c>
      <c r="B21" s="46" t="s">
        <v>210</v>
      </c>
      <c r="C21" s="47">
        <v>695</v>
      </c>
      <c r="D21" s="46" t="s">
        <v>211</v>
      </c>
      <c r="E21" s="47"/>
      <c r="F21" s="49" t="s">
        <v>212</v>
      </c>
      <c r="G21" s="47"/>
      <c r="H21" s="46" t="s">
        <v>411</v>
      </c>
      <c r="I21" s="47">
        <f>C21</f>
        <v>695</v>
      </c>
      <c r="J21" s="46"/>
      <c r="K21" s="46"/>
      <c r="L21" s="46"/>
      <c r="M21" s="46"/>
      <c r="N21" s="46"/>
    </row>
    <row r="22" spans="1:14">
      <c r="A22" s="46"/>
      <c r="B22" s="46" t="s">
        <v>858</v>
      </c>
      <c r="C22" s="47">
        <v>745</v>
      </c>
      <c r="D22" s="46" t="s">
        <v>214</v>
      </c>
      <c r="E22" s="47"/>
      <c r="F22" s="46" t="s">
        <v>215</v>
      </c>
      <c r="G22" s="47"/>
      <c r="H22" s="46" t="s">
        <v>410</v>
      </c>
      <c r="I22" s="47">
        <f>C22</f>
        <v>745</v>
      </c>
      <c r="J22" s="46"/>
      <c r="K22" s="46"/>
      <c r="L22" s="46"/>
      <c r="M22" s="46"/>
      <c r="N22" s="46"/>
    </row>
    <row r="23" spans="1:14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>
      <c r="A24" s="50" t="s">
        <v>216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4" ht="30" customHeight="1">
      <c r="A25" s="969" t="s">
        <v>861</v>
      </c>
      <c r="B25" s="948" t="s">
        <v>862</v>
      </c>
      <c r="C25" s="971" t="s">
        <v>219</v>
      </c>
      <c r="D25" s="971" t="s">
        <v>863</v>
      </c>
      <c r="E25" s="971" t="s">
        <v>864</v>
      </c>
      <c r="F25" s="843" t="s">
        <v>865</v>
      </c>
      <c r="G25" s="870"/>
      <c r="H25" s="870"/>
      <c r="I25" s="870"/>
      <c r="J25" s="870"/>
      <c r="K25" s="870"/>
      <c r="L25" s="870"/>
      <c r="M25" s="870"/>
      <c r="N25" s="844"/>
    </row>
    <row r="26" spans="1:14" ht="38.450000000000003" customHeight="1">
      <c r="A26" s="970"/>
      <c r="B26" s="949"/>
      <c r="C26" s="972"/>
      <c r="D26" s="972"/>
      <c r="E26" s="972"/>
      <c r="F26" s="17" t="s">
        <v>866</v>
      </c>
      <c r="G26" s="17" t="s">
        <v>867</v>
      </c>
      <c r="H26" s="17" t="s">
        <v>868</v>
      </c>
      <c r="I26" s="17" t="s">
        <v>869</v>
      </c>
      <c r="J26" s="17" t="s">
        <v>870</v>
      </c>
      <c r="K26" s="17" t="s">
        <v>871</v>
      </c>
      <c r="L26" s="17" t="s">
        <v>872</v>
      </c>
      <c r="M26" s="17" t="s">
        <v>230</v>
      </c>
      <c r="N26" s="17" t="s">
        <v>231</v>
      </c>
    </row>
    <row r="27" spans="1:14">
      <c r="A27" s="52" t="s">
        <v>232</v>
      </c>
      <c r="B27" s="52">
        <v>8000</v>
      </c>
      <c r="C27" s="547" t="s">
        <v>873</v>
      </c>
      <c r="D27" s="53">
        <f>B27*K4/100000</f>
        <v>49.24736</v>
      </c>
      <c r="E27" s="54">
        <f>4924736/100000</f>
        <v>49.24736</v>
      </c>
      <c r="F27" s="55">
        <f>6312/100000</f>
        <v>6.3119999999999996E-2</v>
      </c>
      <c r="G27" s="55">
        <f>907613/100000</f>
        <v>9.0761299999999991</v>
      </c>
      <c r="H27" s="55">
        <f>985612/100000</f>
        <v>9.8561200000000007</v>
      </c>
      <c r="I27" s="55">
        <f>2202206/100000</f>
        <v>22.02206</v>
      </c>
      <c r="J27" s="55">
        <f>464573/100000</f>
        <v>4.6457300000000004</v>
      </c>
      <c r="K27" s="55">
        <f>341048/100000</f>
        <v>3.4104800000000002</v>
      </c>
      <c r="L27" s="55"/>
      <c r="M27" s="55">
        <f>SUM(F27:L27)</f>
        <v>49.073640000000005</v>
      </c>
      <c r="N27" s="55">
        <f>+M27*100/E27</f>
        <v>99.647250126707306</v>
      </c>
    </row>
    <row r="28" spans="1:14">
      <c r="A28" s="52" t="s">
        <v>874</v>
      </c>
      <c r="B28" s="52">
        <v>7000</v>
      </c>
      <c r="C28" s="547" t="s">
        <v>873</v>
      </c>
      <c r="D28" s="53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>
      <c r="A29" s="52" t="s">
        <v>235</v>
      </c>
      <c r="B29" s="52">
        <v>43000</v>
      </c>
      <c r="C29" s="548" t="s">
        <v>236</v>
      </c>
      <c r="D29" s="53">
        <f>143000/100000</f>
        <v>1.43</v>
      </c>
      <c r="E29" s="55">
        <f>63000/100000</f>
        <v>0.63</v>
      </c>
      <c r="F29" s="55"/>
      <c r="G29" s="55"/>
      <c r="H29" s="55">
        <f>21560/100000</f>
        <v>0.21560000000000001</v>
      </c>
      <c r="I29" s="55">
        <f>21440/100000</f>
        <v>0.21440000000000001</v>
      </c>
      <c r="J29" s="55">
        <f>-10000/100000</f>
        <v>-0.1</v>
      </c>
      <c r="K29" s="55">
        <f>9200/100000</f>
        <v>9.1999999999999998E-2</v>
      </c>
      <c r="L29" s="55"/>
      <c r="M29" s="55">
        <f t="shared" ref="M29:M34" si="0">SUM(F29:L29)</f>
        <v>0.42200000000000004</v>
      </c>
      <c r="N29" s="55">
        <f t="shared" ref="N29:N35" si="1">+M29*100/E29</f>
        <v>66.984126984126988</v>
      </c>
    </row>
    <row r="30" spans="1:14">
      <c r="A30" s="52" t="s">
        <v>875</v>
      </c>
      <c r="B30" s="52">
        <v>34000</v>
      </c>
      <c r="C30" s="548" t="s">
        <v>236</v>
      </c>
      <c r="D30" s="54">
        <f>34000/100000</f>
        <v>0.34</v>
      </c>
      <c r="E30" s="54">
        <f>34000/100000</f>
        <v>0.34</v>
      </c>
      <c r="F30" s="55"/>
      <c r="G30" s="55"/>
      <c r="H30" s="55">
        <f>16200/100000</f>
        <v>0.16200000000000001</v>
      </c>
      <c r="I30" s="55">
        <f>17800/100000</f>
        <v>0.17799999999999999</v>
      </c>
      <c r="J30" s="55">
        <v>8.5999999999999993E-2</v>
      </c>
      <c r="K30" s="55"/>
      <c r="L30" s="55"/>
      <c r="M30" s="55">
        <f t="shared" si="0"/>
        <v>0.42599999999999993</v>
      </c>
      <c r="N30" s="55">
        <f t="shared" si="1"/>
        <v>125.2941176470588</v>
      </c>
    </row>
    <row r="31" spans="1:14">
      <c r="A31" s="52" t="s">
        <v>238</v>
      </c>
      <c r="B31" s="52">
        <v>1200</v>
      </c>
      <c r="C31" s="547" t="s">
        <v>873</v>
      </c>
      <c r="D31" s="53">
        <f>ROUND((B31*K4),0)/100000</f>
        <v>7.3871000000000002</v>
      </c>
      <c r="E31" s="54">
        <f>738710/100000</f>
        <v>7.3871000000000002</v>
      </c>
      <c r="F31" s="55"/>
      <c r="G31" s="55"/>
      <c r="H31" s="55"/>
      <c r="I31" s="55"/>
      <c r="J31" s="55">
        <f>845506/100000</f>
        <v>8.4550599999999996</v>
      </c>
      <c r="K31" s="55"/>
      <c r="L31" s="55"/>
      <c r="M31" s="55">
        <f t="shared" si="0"/>
        <v>8.4550599999999996</v>
      </c>
      <c r="N31" s="55">
        <f t="shared" si="1"/>
        <v>114.45709412353968</v>
      </c>
    </row>
    <row r="32" spans="1:14">
      <c r="A32" s="52" t="s">
        <v>667</v>
      </c>
      <c r="B32" s="52">
        <v>565</v>
      </c>
      <c r="C32" s="547" t="s">
        <v>873</v>
      </c>
      <c r="D32" s="53">
        <f>ROUND((B32*K4),0)/100000</f>
        <v>3.4780899999999999</v>
      </c>
      <c r="E32" s="54">
        <f>347809/100000</f>
        <v>3.4780899999999999</v>
      </c>
      <c r="F32" s="55"/>
      <c r="G32" s="55"/>
      <c r="H32" s="55">
        <f>54103/100000</f>
        <v>0.54103000000000001</v>
      </c>
      <c r="I32" s="55">
        <f>293706/100000</f>
        <v>2.9370599999999998</v>
      </c>
      <c r="J32" s="55"/>
      <c r="K32" s="55"/>
      <c r="L32" s="55"/>
      <c r="M32" s="54">
        <f t="shared" si="0"/>
        <v>3.4780899999999999</v>
      </c>
      <c r="N32" s="55">
        <f t="shared" si="1"/>
        <v>100</v>
      </c>
    </row>
    <row r="33" spans="1:14">
      <c r="A33" s="52" t="s">
        <v>876</v>
      </c>
      <c r="B33" s="52">
        <v>1000</v>
      </c>
      <c r="C33" s="547" t="s">
        <v>873</v>
      </c>
      <c r="D33" s="53">
        <f>B33*K4/100000</f>
        <v>6.1559200000000001</v>
      </c>
      <c r="E33" s="54">
        <f>615592/100000</f>
        <v>6.1559200000000001</v>
      </c>
      <c r="F33" s="55"/>
      <c r="G33" s="55"/>
      <c r="H33" s="55">
        <f>100000/100000</f>
        <v>1</v>
      </c>
      <c r="I33" s="55"/>
      <c r="J33" s="55">
        <f>26681/100000</f>
        <v>0.26680999999999999</v>
      </c>
      <c r="K33" s="55">
        <f>336465/100000</f>
        <v>3.3646500000000001</v>
      </c>
      <c r="L33" s="55"/>
      <c r="M33" s="55">
        <f t="shared" si="0"/>
        <v>4.6314600000000006</v>
      </c>
      <c r="N33" s="55">
        <f t="shared" si="1"/>
        <v>75.235870511637586</v>
      </c>
    </row>
    <row r="34" spans="1:14">
      <c r="A34" s="52" t="s">
        <v>394</v>
      </c>
      <c r="B34" s="52">
        <v>2750</v>
      </c>
      <c r="C34" s="548" t="s">
        <v>877</v>
      </c>
      <c r="D34" s="54">
        <f>192000/100000</f>
        <v>1.92</v>
      </c>
      <c r="E34" s="54">
        <f>192000/100000</f>
        <v>1.92</v>
      </c>
      <c r="F34" s="55">
        <f>10035/100000</f>
        <v>0.10034999999999999</v>
      </c>
      <c r="G34" s="55">
        <f>35182/100000</f>
        <v>0.35182000000000002</v>
      </c>
      <c r="H34" s="55">
        <f>43496/100000</f>
        <v>0.43496000000000001</v>
      </c>
      <c r="I34" s="55">
        <f>37287/100000</f>
        <v>0.37286999999999998</v>
      </c>
      <c r="J34" s="55">
        <f>-4547/100000</f>
        <v>-4.5469999999999997E-2</v>
      </c>
      <c r="K34" s="55">
        <f>49500/100000</f>
        <v>0.495</v>
      </c>
      <c r="L34" s="55"/>
      <c r="M34" s="55">
        <f t="shared" si="0"/>
        <v>1.70953</v>
      </c>
      <c r="N34" s="55">
        <f t="shared" si="1"/>
        <v>89.038020833333334</v>
      </c>
    </row>
    <row r="35" spans="1:14">
      <c r="A35" s="56" t="s">
        <v>230</v>
      </c>
      <c r="B35" s="30"/>
      <c r="C35" s="30"/>
      <c r="D35" s="54">
        <f t="shared" ref="D35:M35" si="2">SUM(D27:D34)</f>
        <v>69.958470000000005</v>
      </c>
      <c r="E35" s="54">
        <f t="shared" si="2"/>
        <v>69.158470000000008</v>
      </c>
      <c r="F35" s="54">
        <f t="shared" si="2"/>
        <v>0.16347</v>
      </c>
      <c r="G35" s="54">
        <f t="shared" si="2"/>
        <v>9.4279499999999992</v>
      </c>
      <c r="H35" s="54">
        <f t="shared" si="2"/>
        <v>12.209710000000001</v>
      </c>
      <c r="I35" s="54">
        <f t="shared" si="2"/>
        <v>25.72439</v>
      </c>
      <c r="J35" s="54">
        <f t="shared" si="2"/>
        <v>13.30813</v>
      </c>
      <c r="K35" s="54">
        <f t="shared" si="2"/>
        <v>7.3621300000000005</v>
      </c>
      <c r="L35" s="54"/>
      <c r="M35" s="54">
        <f t="shared" si="2"/>
        <v>68.195779999999999</v>
      </c>
      <c r="N35" s="54">
        <f t="shared" si="1"/>
        <v>98.60799407505688</v>
      </c>
    </row>
    <row r="37" spans="1:14" s="33" customFormat="1"/>
    <row r="38" spans="1:14" s="33" customFormat="1"/>
    <row r="39" spans="1:14" s="33" customFormat="1"/>
    <row r="40" spans="1:14" s="33" customFormat="1"/>
    <row r="41" spans="1:14" s="33" customFormat="1"/>
    <row r="42" spans="1:14" s="33" customFormat="1"/>
    <row r="43" spans="1:14" s="33" customFormat="1"/>
    <row r="44" spans="1:14" s="33" customFormat="1"/>
    <row r="45" spans="1:14" s="33" customFormat="1"/>
    <row r="46" spans="1:14" s="33" customFormat="1"/>
    <row r="47" spans="1:14" s="33" customFormat="1"/>
    <row r="48" spans="1:14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pans="1:13" s="33" customFormat="1"/>
    <row r="66" spans="1:13" s="33" customFormat="1"/>
    <row r="67" spans="1:13" s="33" customFormat="1"/>
    <row r="68" spans="1:13" s="33" customFormat="1"/>
    <row r="69" spans="1:13" s="33" customFormat="1"/>
    <row r="70" spans="1:13" s="33" customFormat="1"/>
    <row r="71" spans="1:13" s="33" customFormat="1"/>
    <row r="72" spans="1:13" s="33" customFormat="1"/>
    <row r="73" spans="1:13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</row>
    <row r="74" spans="1:13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</row>
    <row r="75" spans="1:13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</row>
    <row r="76" spans="1:13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</row>
    <row r="77" spans="1:1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</row>
    <row r="78" spans="1:1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</row>
    <row r="79" spans="1:1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</row>
    <row r="80" spans="1:13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</row>
    <row r="81" spans="1:13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</row>
    <row r="82" spans="1:13" s="33" customFormat="1"/>
    <row r="83" spans="1:13" s="33" customFormat="1"/>
    <row r="84" spans="1:13" s="33" customFormat="1"/>
    <row r="85" spans="1:13" s="33" customFormat="1"/>
    <row r="86" spans="1:13" s="33" customFormat="1"/>
    <row r="87" spans="1:13" s="33" customFormat="1"/>
    <row r="88" spans="1:13" s="33" customFormat="1"/>
    <row r="89" spans="1:13" s="33" customFormat="1"/>
    <row r="90" spans="1:13" s="33" customFormat="1"/>
    <row r="91" spans="1:13" s="33" customFormat="1"/>
    <row r="92" spans="1:13" s="33" customFormat="1"/>
    <row r="93" spans="1:13" s="33" customFormat="1"/>
    <row r="94" spans="1:13" s="33" customFormat="1"/>
    <row r="95" spans="1:13" s="33" customFormat="1"/>
    <row r="96" spans="1:13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</sheetData>
  <mergeCells count="35">
    <mergeCell ref="B6:D6"/>
    <mergeCell ref="E6:F6"/>
    <mergeCell ref="G6:I6"/>
    <mergeCell ref="A1:N1"/>
    <mergeCell ref="A2:N2"/>
    <mergeCell ref="B4:D4"/>
    <mergeCell ref="E4:F4"/>
    <mergeCell ref="G4:H4"/>
    <mergeCell ref="A3:C3"/>
    <mergeCell ref="B8:D8"/>
    <mergeCell ref="E8:F8"/>
    <mergeCell ref="G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A25:A26"/>
    <mergeCell ref="B25:B26"/>
    <mergeCell ref="C25:C26"/>
    <mergeCell ref="D25:D26"/>
    <mergeCell ref="E25:E26"/>
    <mergeCell ref="F25:N25"/>
    <mergeCell ref="B14:C14"/>
    <mergeCell ref="B15:C15"/>
    <mergeCell ref="D15:F15"/>
    <mergeCell ref="G15:I15"/>
    <mergeCell ref="J15:M15"/>
  </mergeCells>
  <hyperlinks>
    <hyperlink ref="A3" location="'Fact Sheet of VDC'!A1" display="&lt;&lt;Back"/>
  </hyperlinks>
  <pageMargins left="0.7" right="0.7" top="0.75" bottom="0.75" header="0.3" footer="0.3"/>
  <pageSetup scale="75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N51"/>
  <sheetViews>
    <sheetView workbookViewId="0">
      <selection activeCell="A3" sqref="A3:C3"/>
    </sheetView>
  </sheetViews>
  <sheetFormatPr defaultRowHeight="15"/>
  <cols>
    <col min="1" max="1" width="30.42578125" customWidth="1"/>
    <col min="2" max="2" width="12.28515625" customWidth="1"/>
    <col min="4" max="4" width="10.140625" customWidth="1"/>
    <col min="5" max="5" width="11" customWidth="1"/>
    <col min="6" max="6" width="9.28515625" customWidth="1"/>
    <col min="7" max="7" width="8.85546875" customWidth="1"/>
    <col min="8" max="8" width="8.7109375" customWidth="1"/>
    <col min="9" max="9" width="10.28515625" customWidth="1"/>
    <col min="10" max="10" width="10.7109375" customWidth="1"/>
    <col min="11" max="11" width="9.85546875" customWidth="1"/>
    <col min="12" max="12" width="10.28515625" customWidth="1"/>
    <col min="13" max="13" width="9.28515625" customWidth="1"/>
    <col min="257" max="257" width="30.42578125" customWidth="1"/>
    <col min="258" max="258" width="12.28515625" customWidth="1"/>
    <col min="260" max="260" width="10.140625" customWidth="1"/>
    <col min="261" max="261" width="11" customWidth="1"/>
    <col min="262" max="262" width="9.28515625" customWidth="1"/>
    <col min="263" max="263" width="8.85546875" customWidth="1"/>
    <col min="264" max="264" width="8.7109375" customWidth="1"/>
    <col min="265" max="265" width="10.28515625" customWidth="1"/>
    <col min="266" max="266" width="10.7109375" customWidth="1"/>
    <col min="267" max="267" width="9.85546875" customWidth="1"/>
    <col min="268" max="268" width="10.28515625" customWidth="1"/>
    <col min="269" max="269" width="9.28515625" customWidth="1"/>
    <col min="513" max="513" width="30.42578125" customWidth="1"/>
    <col min="514" max="514" width="12.28515625" customWidth="1"/>
    <col min="516" max="516" width="10.140625" customWidth="1"/>
    <col min="517" max="517" width="11" customWidth="1"/>
    <col min="518" max="518" width="9.28515625" customWidth="1"/>
    <col min="519" max="519" width="8.85546875" customWidth="1"/>
    <col min="520" max="520" width="8.7109375" customWidth="1"/>
    <col min="521" max="521" width="10.28515625" customWidth="1"/>
    <col min="522" max="522" width="10.7109375" customWidth="1"/>
    <col min="523" max="523" width="9.85546875" customWidth="1"/>
    <col min="524" max="524" width="10.28515625" customWidth="1"/>
    <col min="525" max="525" width="9.28515625" customWidth="1"/>
    <col min="769" max="769" width="30.42578125" customWidth="1"/>
    <col min="770" max="770" width="12.28515625" customWidth="1"/>
    <col min="772" max="772" width="10.140625" customWidth="1"/>
    <col min="773" max="773" width="11" customWidth="1"/>
    <col min="774" max="774" width="9.28515625" customWidth="1"/>
    <col min="775" max="775" width="8.85546875" customWidth="1"/>
    <col min="776" max="776" width="8.7109375" customWidth="1"/>
    <col min="777" max="777" width="10.28515625" customWidth="1"/>
    <col min="778" max="778" width="10.7109375" customWidth="1"/>
    <col min="779" max="779" width="9.85546875" customWidth="1"/>
    <col min="780" max="780" width="10.28515625" customWidth="1"/>
    <col min="781" max="781" width="9.28515625" customWidth="1"/>
    <col min="1025" max="1025" width="30.42578125" customWidth="1"/>
    <col min="1026" max="1026" width="12.28515625" customWidth="1"/>
    <col min="1028" max="1028" width="10.140625" customWidth="1"/>
    <col min="1029" max="1029" width="11" customWidth="1"/>
    <col min="1030" max="1030" width="9.28515625" customWidth="1"/>
    <col min="1031" max="1031" width="8.85546875" customWidth="1"/>
    <col min="1032" max="1032" width="8.7109375" customWidth="1"/>
    <col min="1033" max="1033" width="10.28515625" customWidth="1"/>
    <col min="1034" max="1034" width="10.7109375" customWidth="1"/>
    <col min="1035" max="1035" width="9.85546875" customWidth="1"/>
    <col min="1036" max="1036" width="10.28515625" customWidth="1"/>
    <col min="1037" max="1037" width="9.28515625" customWidth="1"/>
    <col min="1281" max="1281" width="30.42578125" customWidth="1"/>
    <col min="1282" max="1282" width="12.28515625" customWidth="1"/>
    <col min="1284" max="1284" width="10.140625" customWidth="1"/>
    <col min="1285" max="1285" width="11" customWidth="1"/>
    <col min="1286" max="1286" width="9.28515625" customWidth="1"/>
    <col min="1287" max="1287" width="8.85546875" customWidth="1"/>
    <col min="1288" max="1288" width="8.7109375" customWidth="1"/>
    <col min="1289" max="1289" width="10.28515625" customWidth="1"/>
    <col min="1290" max="1290" width="10.7109375" customWidth="1"/>
    <col min="1291" max="1291" width="9.85546875" customWidth="1"/>
    <col min="1292" max="1292" width="10.28515625" customWidth="1"/>
    <col min="1293" max="1293" width="9.28515625" customWidth="1"/>
    <col min="1537" max="1537" width="30.42578125" customWidth="1"/>
    <col min="1538" max="1538" width="12.28515625" customWidth="1"/>
    <col min="1540" max="1540" width="10.140625" customWidth="1"/>
    <col min="1541" max="1541" width="11" customWidth="1"/>
    <col min="1542" max="1542" width="9.28515625" customWidth="1"/>
    <col min="1543" max="1543" width="8.85546875" customWidth="1"/>
    <col min="1544" max="1544" width="8.7109375" customWidth="1"/>
    <col min="1545" max="1545" width="10.28515625" customWidth="1"/>
    <col min="1546" max="1546" width="10.7109375" customWidth="1"/>
    <col min="1547" max="1547" width="9.85546875" customWidth="1"/>
    <col min="1548" max="1548" width="10.28515625" customWidth="1"/>
    <col min="1549" max="1549" width="9.28515625" customWidth="1"/>
    <col min="1793" max="1793" width="30.42578125" customWidth="1"/>
    <col min="1794" max="1794" width="12.28515625" customWidth="1"/>
    <col min="1796" max="1796" width="10.140625" customWidth="1"/>
    <col min="1797" max="1797" width="11" customWidth="1"/>
    <col min="1798" max="1798" width="9.28515625" customWidth="1"/>
    <col min="1799" max="1799" width="8.85546875" customWidth="1"/>
    <col min="1800" max="1800" width="8.7109375" customWidth="1"/>
    <col min="1801" max="1801" width="10.28515625" customWidth="1"/>
    <col min="1802" max="1802" width="10.7109375" customWidth="1"/>
    <col min="1803" max="1803" width="9.85546875" customWidth="1"/>
    <col min="1804" max="1804" width="10.28515625" customWidth="1"/>
    <col min="1805" max="1805" width="9.28515625" customWidth="1"/>
    <col min="2049" max="2049" width="30.42578125" customWidth="1"/>
    <col min="2050" max="2050" width="12.28515625" customWidth="1"/>
    <col min="2052" max="2052" width="10.140625" customWidth="1"/>
    <col min="2053" max="2053" width="11" customWidth="1"/>
    <col min="2054" max="2054" width="9.28515625" customWidth="1"/>
    <col min="2055" max="2055" width="8.85546875" customWidth="1"/>
    <col min="2056" max="2056" width="8.7109375" customWidth="1"/>
    <col min="2057" max="2057" width="10.28515625" customWidth="1"/>
    <col min="2058" max="2058" width="10.7109375" customWidth="1"/>
    <col min="2059" max="2059" width="9.85546875" customWidth="1"/>
    <col min="2060" max="2060" width="10.28515625" customWidth="1"/>
    <col min="2061" max="2061" width="9.28515625" customWidth="1"/>
    <col min="2305" max="2305" width="30.42578125" customWidth="1"/>
    <col min="2306" max="2306" width="12.28515625" customWidth="1"/>
    <col min="2308" max="2308" width="10.140625" customWidth="1"/>
    <col min="2309" max="2309" width="11" customWidth="1"/>
    <col min="2310" max="2310" width="9.28515625" customWidth="1"/>
    <col min="2311" max="2311" width="8.85546875" customWidth="1"/>
    <col min="2312" max="2312" width="8.7109375" customWidth="1"/>
    <col min="2313" max="2313" width="10.28515625" customWidth="1"/>
    <col min="2314" max="2314" width="10.7109375" customWidth="1"/>
    <col min="2315" max="2315" width="9.85546875" customWidth="1"/>
    <col min="2316" max="2316" width="10.28515625" customWidth="1"/>
    <col min="2317" max="2317" width="9.28515625" customWidth="1"/>
    <col min="2561" max="2561" width="30.42578125" customWidth="1"/>
    <col min="2562" max="2562" width="12.28515625" customWidth="1"/>
    <col min="2564" max="2564" width="10.140625" customWidth="1"/>
    <col min="2565" max="2565" width="11" customWidth="1"/>
    <col min="2566" max="2566" width="9.28515625" customWidth="1"/>
    <col min="2567" max="2567" width="8.85546875" customWidth="1"/>
    <col min="2568" max="2568" width="8.7109375" customWidth="1"/>
    <col min="2569" max="2569" width="10.28515625" customWidth="1"/>
    <col min="2570" max="2570" width="10.7109375" customWidth="1"/>
    <col min="2571" max="2571" width="9.85546875" customWidth="1"/>
    <col min="2572" max="2572" width="10.28515625" customWidth="1"/>
    <col min="2573" max="2573" width="9.28515625" customWidth="1"/>
    <col min="2817" max="2817" width="30.42578125" customWidth="1"/>
    <col min="2818" max="2818" width="12.28515625" customWidth="1"/>
    <col min="2820" max="2820" width="10.140625" customWidth="1"/>
    <col min="2821" max="2821" width="11" customWidth="1"/>
    <col min="2822" max="2822" width="9.28515625" customWidth="1"/>
    <col min="2823" max="2823" width="8.85546875" customWidth="1"/>
    <col min="2824" max="2824" width="8.7109375" customWidth="1"/>
    <col min="2825" max="2825" width="10.28515625" customWidth="1"/>
    <col min="2826" max="2826" width="10.7109375" customWidth="1"/>
    <col min="2827" max="2827" width="9.85546875" customWidth="1"/>
    <col min="2828" max="2828" width="10.28515625" customWidth="1"/>
    <col min="2829" max="2829" width="9.28515625" customWidth="1"/>
    <col min="3073" max="3073" width="30.42578125" customWidth="1"/>
    <col min="3074" max="3074" width="12.28515625" customWidth="1"/>
    <col min="3076" max="3076" width="10.140625" customWidth="1"/>
    <col min="3077" max="3077" width="11" customWidth="1"/>
    <col min="3078" max="3078" width="9.28515625" customWidth="1"/>
    <col min="3079" max="3079" width="8.85546875" customWidth="1"/>
    <col min="3080" max="3080" width="8.7109375" customWidth="1"/>
    <col min="3081" max="3081" width="10.28515625" customWidth="1"/>
    <col min="3082" max="3082" width="10.7109375" customWidth="1"/>
    <col min="3083" max="3083" width="9.85546875" customWidth="1"/>
    <col min="3084" max="3084" width="10.28515625" customWidth="1"/>
    <col min="3085" max="3085" width="9.28515625" customWidth="1"/>
    <col min="3329" max="3329" width="30.42578125" customWidth="1"/>
    <col min="3330" max="3330" width="12.28515625" customWidth="1"/>
    <col min="3332" max="3332" width="10.140625" customWidth="1"/>
    <col min="3333" max="3333" width="11" customWidth="1"/>
    <col min="3334" max="3334" width="9.28515625" customWidth="1"/>
    <col min="3335" max="3335" width="8.85546875" customWidth="1"/>
    <col min="3336" max="3336" width="8.7109375" customWidth="1"/>
    <col min="3337" max="3337" width="10.28515625" customWidth="1"/>
    <col min="3338" max="3338" width="10.7109375" customWidth="1"/>
    <col min="3339" max="3339" width="9.85546875" customWidth="1"/>
    <col min="3340" max="3340" width="10.28515625" customWidth="1"/>
    <col min="3341" max="3341" width="9.28515625" customWidth="1"/>
    <col min="3585" max="3585" width="30.42578125" customWidth="1"/>
    <col min="3586" max="3586" width="12.28515625" customWidth="1"/>
    <col min="3588" max="3588" width="10.140625" customWidth="1"/>
    <col min="3589" max="3589" width="11" customWidth="1"/>
    <col min="3590" max="3590" width="9.28515625" customWidth="1"/>
    <col min="3591" max="3591" width="8.85546875" customWidth="1"/>
    <col min="3592" max="3592" width="8.7109375" customWidth="1"/>
    <col min="3593" max="3593" width="10.28515625" customWidth="1"/>
    <col min="3594" max="3594" width="10.7109375" customWidth="1"/>
    <col min="3595" max="3595" width="9.85546875" customWidth="1"/>
    <col min="3596" max="3596" width="10.28515625" customWidth="1"/>
    <col min="3597" max="3597" width="9.28515625" customWidth="1"/>
    <col min="3841" max="3841" width="30.42578125" customWidth="1"/>
    <col min="3842" max="3842" width="12.28515625" customWidth="1"/>
    <col min="3844" max="3844" width="10.140625" customWidth="1"/>
    <col min="3845" max="3845" width="11" customWidth="1"/>
    <col min="3846" max="3846" width="9.28515625" customWidth="1"/>
    <col min="3847" max="3847" width="8.85546875" customWidth="1"/>
    <col min="3848" max="3848" width="8.7109375" customWidth="1"/>
    <col min="3849" max="3849" width="10.28515625" customWidth="1"/>
    <col min="3850" max="3850" width="10.7109375" customWidth="1"/>
    <col min="3851" max="3851" width="9.85546875" customWidth="1"/>
    <col min="3852" max="3852" width="10.28515625" customWidth="1"/>
    <col min="3853" max="3853" width="9.28515625" customWidth="1"/>
    <col min="4097" max="4097" width="30.42578125" customWidth="1"/>
    <col min="4098" max="4098" width="12.28515625" customWidth="1"/>
    <col min="4100" max="4100" width="10.140625" customWidth="1"/>
    <col min="4101" max="4101" width="11" customWidth="1"/>
    <col min="4102" max="4102" width="9.28515625" customWidth="1"/>
    <col min="4103" max="4103" width="8.85546875" customWidth="1"/>
    <col min="4104" max="4104" width="8.7109375" customWidth="1"/>
    <col min="4105" max="4105" width="10.28515625" customWidth="1"/>
    <col min="4106" max="4106" width="10.7109375" customWidth="1"/>
    <col min="4107" max="4107" width="9.85546875" customWidth="1"/>
    <col min="4108" max="4108" width="10.28515625" customWidth="1"/>
    <col min="4109" max="4109" width="9.28515625" customWidth="1"/>
    <col min="4353" max="4353" width="30.42578125" customWidth="1"/>
    <col min="4354" max="4354" width="12.28515625" customWidth="1"/>
    <col min="4356" max="4356" width="10.140625" customWidth="1"/>
    <col min="4357" max="4357" width="11" customWidth="1"/>
    <col min="4358" max="4358" width="9.28515625" customWidth="1"/>
    <col min="4359" max="4359" width="8.85546875" customWidth="1"/>
    <col min="4360" max="4360" width="8.7109375" customWidth="1"/>
    <col min="4361" max="4361" width="10.28515625" customWidth="1"/>
    <col min="4362" max="4362" width="10.7109375" customWidth="1"/>
    <col min="4363" max="4363" width="9.85546875" customWidth="1"/>
    <col min="4364" max="4364" width="10.28515625" customWidth="1"/>
    <col min="4365" max="4365" width="9.28515625" customWidth="1"/>
    <col min="4609" max="4609" width="30.42578125" customWidth="1"/>
    <col min="4610" max="4610" width="12.28515625" customWidth="1"/>
    <col min="4612" max="4612" width="10.140625" customWidth="1"/>
    <col min="4613" max="4613" width="11" customWidth="1"/>
    <col min="4614" max="4614" width="9.28515625" customWidth="1"/>
    <col min="4615" max="4615" width="8.85546875" customWidth="1"/>
    <col min="4616" max="4616" width="8.7109375" customWidth="1"/>
    <col min="4617" max="4617" width="10.28515625" customWidth="1"/>
    <col min="4618" max="4618" width="10.7109375" customWidth="1"/>
    <col min="4619" max="4619" width="9.85546875" customWidth="1"/>
    <col min="4620" max="4620" width="10.28515625" customWidth="1"/>
    <col min="4621" max="4621" width="9.28515625" customWidth="1"/>
    <col min="4865" max="4865" width="30.42578125" customWidth="1"/>
    <col min="4866" max="4866" width="12.28515625" customWidth="1"/>
    <col min="4868" max="4868" width="10.140625" customWidth="1"/>
    <col min="4869" max="4869" width="11" customWidth="1"/>
    <col min="4870" max="4870" width="9.28515625" customWidth="1"/>
    <col min="4871" max="4871" width="8.85546875" customWidth="1"/>
    <col min="4872" max="4872" width="8.7109375" customWidth="1"/>
    <col min="4873" max="4873" width="10.28515625" customWidth="1"/>
    <col min="4874" max="4874" width="10.7109375" customWidth="1"/>
    <col min="4875" max="4875" width="9.85546875" customWidth="1"/>
    <col min="4876" max="4876" width="10.28515625" customWidth="1"/>
    <col min="4877" max="4877" width="9.28515625" customWidth="1"/>
    <col min="5121" max="5121" width="30.42578125" customWidth="1"/>
    <col min="5122" max="5122" width="12.28515625" customWidth="1"/>
    <col min="5124" max="5124" width="10.140625" customWidth="1"/>
    <col min="5125" max="5125" width="11" customWidth="1"/>
    <col min="5126" max="5126" width="9.28515625" customWidth="1"/>
    <col min="5127" max="5127" width="8.85546875" customWidth="1"/>
    <col min="5128" max="5128" width="8.7109375" customWidth="1"/>
    <col min="5129" max="5129" width="10.28515625" customWidth="1"/>
    <col min="5130" max="5130" width="10.7109375" customWidth="1"/>
    <col min="5131" max="5131" width="9.85546875" customWidth="1"/>
    <col min="5132" max="5132" width="10.28515625" customWidth="1"/>
    <col min="5133" max="5133" width="9.28515625" customWidth="1"/>
    <col min="5377" max="5377" width="30.42578125" customWidth="1"/>
    <col min="5378" max="5378" width="12.28515625" customWidth="1"/>
    <col min="5380" max="5380" width="10.140625" customWidth="1"/>
    <col min="5381" max="5381" width="11" customWidth="1"/>
    <col min="5382" max="5382" width="9.28515625" customWidth="1"/>
    <col min="5383" max="5383" width="8.85546875" customWidth="1"/>
    <col min="5384" max="5384" width="8.7109375" customWidth="1"/>
    <col min="5385" max="5385" width="10.28515625" customWidth="1"/>
    <col min="5386" max="5386" width="10.7109375" customWidth="1"/>
    <col min="5387" max="5387" width="9.85546875" customWidth="1"/>
    <col min="5388" max="5388" width="10.28515625" customWidth="1"/>
    <col min="5389" max="5389" width="9.28515625" customWidth="1"/>
    <col min="5633" max="5633" width="30.42578125" customWidth="1"/>
    <col min="5634" max="5634" width="12.28515625" customWidth="1"/>
    <col min="5636" max="5636" width="10.140625" customWidth="1"/>
    <col min="5637" max="5637" width="11" customWidth="1"/>
    <col min="5638" max="5638" width="9.28515625" customWidth="1"/>
    <col min="5639" max="5639" width="8.85546875" customWidth="1"/>
    <col min="5640" max="5640" width="8.7109375" customWidth="1"/>
    <col min="5641" max="5641" width="10.28515625" customWidth="1"/>
    <col min="5642" max="5642" width="10.7109375" customWidth="1"/>
    <col min="5643" max="5643" width="9.85546875" customWidth="1"/>
    <col min="5644" max="5644" width="10.28515625" customWidth="1"/>
    <col min="5645" max="5645" width="9.28515625" customWidth="1"/>
    <col min="5889" max="5889" width="30.42578125" customWidth="1"/>
    <col min="5890" max="5890" width="12.28515625" customWidth="1"/>
    <col min="5892" max="5892" width="10.140625" customWidth="1"/>
    <col min="5893" max="5893" width="11" customWidth="1"/>
    <col min="5894" max="5894" width="9.28515625" customWidth="1"/>
    <col min="5895" max="5895" width="8.85546875" customWidth="1"/>
    <col min="5896" max="5896" width="8.7109375" customWidth="1"/>
    <col min="5897" max="5897" width="10.28515625" customWidth="1"/>
    <col min="5898" max="5898" width="10.7109375" customWidth="1"/>
    <col min="5899" max="5899" width="9.85546875" customWidth="1"/>
    <col min="5900" max="5900" width="10.28515625" customWidth="1"/>
    <col min="5901" max="5901" width="9.28515625" customWidth="1"/>
    <col min="6145" max="6145" width="30.42578125" customWidth="1"/>
    <col min="6146" max="6146" width="12.28515625" customWidth="1"/>
    <col min="6148" max="6148" width="10.140625" customWidth="1"/>
    <col min="6149" max="6149" width="11" customWidth="1"/>
    <col min="6150" max="6150" width="9.28515625" customWidth="1"/>
    <col min="6151" max="6151" width="8.85546875" customWidth="1"/>
    <col min="6152" max="6152" width="8.7109375" customWidth="1"/>
    <col min="6153" max="6153" width="10.28515625" customWidth="1"/>
    <col min="6154" max="6154" width="10.7109375" customWidth="1"/>
    <col min="6155" max="6155" width="9.85546875" customWidth="1"/>
    <col min="6156" max="6156" width="10.28515625" customWidth="1"/>
    <col min="6157" max="6157" width="9.28515625" customWidth="1"/>
    <col min="6401" max="6401" width="30.42578125" customWidth="1"/>
    <col min="6402" max="6402" width="12.28515625" customWidth="1"/>
    <col min="6404" max="6404" width="10.140625" customWidth="1"/>
    <col min="6405" max="6405" width="11" customWidth="1"/>
    <col min="6406" max="6406" width="9.28515625" customWidth="1"/>
    <col min="6407" max="6407" width="8.85546875" customWidth="1"/>
    <col min="6408" max="6408" width="8.7109375" customWidth="1"/>
    <col min="6409" max="6409" width="10.28515625" customWidth="1"/>
    <col min="6410" max="6410" width="10.7109375" customWidth="1"/>
    <col min="6411" max="6411" width="9.85546875" customWidth="1"/>
    <col min="6412" max="6412" width="10.28515625" customWidth="1"/>
    <col min="6413" max="6413" width="9.28515625" customWidth="1"/>
    <col min="6657" max="6657" width="30.42578125" customWidth="1"/>
    <col min="6658" max="6658" width="12.28515625" customWidth="1"/>
    <col min="6660" max="6660" width="10.140625" customWidth="1"/>
    <col min="6661" max="6661" width="11" customWidth="1"/>
    <col min="6662" max="6662" width="9.28515625" customWidth="1"/>
    <col min="6663" max="6663" width="8.85546875" customWidth="1"/>
    <col min="6664" max="6664" width="8.7109375" customWidth="1"/>
    <col min="6665" max="6665" width="10.28515625" customWidth="1"/>
    <col min="6666" max="6666" width="10.7109375" customWidth="1"/>
    <col min="6667" max="6667" width="9.85546875" customWidth="1"/>
    <col min="6668" max="6668" width="10.28515625" customWidth="1"/>
    <col min="6669" max="6669" width="9.28515625" customWidth="1"/>
    <col min="6913" max="6913" width="30.42578125" customWidth="1"/>
    <col min="6914" max="6914" width="12.28515625" customWidth="1"/>
    <col min="6916" max="6916" width="10.140625" customWidth="1"/>
    <col min="6917" max="6917" width="11" customWidth="1"/>
    <col min="6918" max="6918" width="9.28515625" customWidth="1"/>
    <col min="6919" max="6919" width="8.85546875" customWidth="1"/>
    <col min="6920" max="6920" width="8.7109375" customWidth="1"/>
    <col min="6921" max="6921" width="10.28515625" customWidth="1"/>
    <col min="6922" max="6922" width="10.7109375" customWidth="1"/>
    <col min="6923" max="6923" width="9.85546875" customWidth="1"/>
    <col min="6924" max="6924" width="10.28515625" customWidth="1"/>
    <col min="6925" max="6925" width="9.28515625" customWidth="1"/>
    <col min="7169" max="7169" width="30.42578125" customWidth="1"/>
    <col min="7170" max="7170" width="12.28515625" customWidth="1"/>
    <col min="7172" max="7172" width="10.140625" customWidth="1"/>
    <col min="7173" max="7173" width="11" customWidth="1"/>
    <col min="7174" max="7174" width="9.28515625" customWidth="1"/>
    <col min="7175" max="7175" width="8.85546875" customWidth="1"/>
    <col min="7176" max="7176" width="8.7109375" customWidth="1"/>
    <col min="7177" max="7177" width="10.28515625" customWidth="1"/>
    <col min="7178" max="7178" width="10.7109375" customWidth="1"/>
    <col min="7179" max="7179" width="9.85546875" customWidth="1"/>
    <col min="7180" max="7180" width="10.28515625" customWidth="1"/>
    <col min="7181" max="7181" width="9.28515625" customWidth="1"/>
    <col min="7425" max="7425" width="30.42578125" customWidth="1"/>
    <col min="7426" max="7426" width="12.28515625" customWidth="1"/>
    <col min="7428" max="7428" width="10.140625" customWidth="1"/>
    <col min="7429" max="7429" width="11" customWidth="1"/>
    <col min="7430" max="7430" width="9.28515625" customWidth="1"/>
    <col min="7431" max="7431" width="8.85546875" customWidth="1"/>
    <col min="7432" max="7432" width="8.7109375" customWidth="1"/>
    <col min="7433" max="7433" width="10.28515625" customWidth="1"/>
    <col min="7434" max="7434" width="10.7109375" customWidth="1"/>
    <col min="7435" max="7435" width="9.85546875" customWidth="1"/>
    <col min="7436" max="7436" width="10.28515625" customWidth="1"/>
    <col min="7437" max="7437" width="9.28515625" customWidth="1"/>
    <col min="7681" max="7681" width="30.42578125" customWidth="1"/>
    <col min="7682" max="7682" width="12.28515625" customWidth="1"/>
    <col min="7684" max="7684" width="10.140625" customWidth="1"/>
    <col min="7685" max="7685" width="11" customWidth="1"/>
    <col min="7686" max="7686" width="9.28515625" customWidth="1"/>
    <col min="7687" max="7687" width="8.85546875" customWidth="1"/>
    <col min="7688" max="7688" width="8.7109375" customWidth="1"/>
    <col min="7689" max="7689" width="10.28515625" customWidth="1"/>
    <col min="7690" max="7690" width="10.7109375" customWidth="1"/>
    <col min="7691" max="7691" width="9.85546875" customWidth="1"/>
    <col min="7692" max="7692" width="10.28515625" customWidth="1"/>
    <col min="7693" max="7693" width="9.28515625" customWidth="1"/>
    <col min="7937" max="7937" width="30.42578125" customWidth="1"/>
    <col min="7938" max="7938" width="12.28515625" customWidth="1"/>
    <col min="7940" max="7940" width="10.140625" customWidth="1"/>
    <col min="7941" max="7941" width="11" customWidth="1"/>
    <col min="7942" max="7942" width="9.28515625" customWidth="1"/>
    <col min="7943" max="7943" width="8.85546875" customWidth="1"/>
    <col min="7944" max="7944" width="8.7109375" customWidth="1"/>
    <col min="7945" max="7945" width="10.28515625" customWidth="1"/>
    <col min="7946" max="7946" width="10.7109375" customWidth="1"/>
    <col min="7947" max="7947" width="9.85546875" customWidth="1"/>
    <col min="7948" max="7948" width="10.28515625" customWidth="1"/>
    <col min="7949" max="7949" width="9.28515625" customWidth="1"/>
    <col min="8193" max="8193" width="30.42578125" customWidth="1"/>
    <col min="8194" max="8194" width="12.28515625" customWidth="1"/>
    <col min="8196" max="8196" width="10.140625" customWidth="1"/>
    <col min="8197" max="8197" width="11" customWidth="1"/>
    <col min="8198" max="8198" width="9.28515625" customWidth="1"/>
    <col min="8199" max="8199" width="8.85546875" customWidth="1"/>
    <col min="8200" max="8200" width="8.7109375" customWidth="1"/>
    <col min="8201" max="8201" width="10.28515625" customWidth="1"/>
    <col min="8202" max="8202" width="10.7109375" customWidth="1"/>
    <col min="8203" max="8203" width="9.85546875" customWidth="1"/>
    <col min="8204" max="8204" width="10.28515625" customWidth="1"/>
    <col min="8205" max="8205" width="9.28515625" customWidth="1"/>
    <col min="8449" max="8449" width="30.42578125" customWidth="1"/>
    <col min="8450" max="8450" width="12.28515625" customWidth="1"/>
    <col min="8452" max="8452" width="10.140625" customWidth="1"/>
    <col min="8453" max="8453" width="11" customWidth="1"/>
    <col min="8454" max="8454" width="9.28515625" customWidth="1"/>
    <col min="8455" max="8455" width="8.85546875" customWidth="1"/>
    <col min="8456" max="8456" width="8.7109375" customWidth="1"/>
    <col min="8457" max="8457" width="10.28515625" customWidth="1"/>
    <col min="8458" max="8458" width="10.7109375" customWidth="1"/>
    <col min="8459" max="8459" width="9.85546875" customWidth="1"/>
    <col min="8460" max="8460" width="10.28515625" customWidth="1"/>
    <col min="8461" max="8461" width="9.28515625" customWidth="1"/>
    <col min="8705" max="8705" width="30.42578125" customWidth="1"/>
    <col min="8706" max="8706" width="12.28515625" customWidth="1"/>
    <col min="8708" max="8708" width="10.140625" customWidth="1"/>
    <col min="8709" max="8709" width="11" customWidth="1"/>
    <col min="8710" max="8710" width="9.28515625" customWidth="1"/>
    <col min="8711" max="8711" width="8.85546875" customWidth="1"/>
    <col min="8712" max="8712" width="8.7109375" customWidth="1"/>
    <col min="8713" max="8713" width="10.28515625" customWidth="1"/>
    <col min="8714" max="8714" width="10.7109375" customWidth="1"/>
    <col min="8715" max="8715" width="9.85546875" customWidth="1"/>
    <col min="8716" max="8716" width="10.28515625" customWidth="1"/>
    <col min="8717" max="8717" width="9.28515625" customWidth="1"/>
    <col min="8961" max="8961" width="30.42578125" customWidth="1"/>
    <col min="8962" max="8962" width="12.28515625" customWidth="1"/>
    <col min="8964" max="8964" width="10.140625" customWidth="1"/>
    <col min="8965" max="8965" width="11" customWidth="1"/>
    <col min="8966" max="8966" width="9.28515625" customWidth="1"/>
    <col min="8967" max="8967" width="8.85546875" customWidth="1"/>
    <col min="8968" max="8968" width="8.7109375" customWidth="1"/>
    <col min="8969" max="8969" width="10.28515625" customWidth="1"/>
    <col min="8970" max="8970" width="10.7109375" customWidth="1"/>
    <col min="8971" max="8971" width="9.85546875" customWidth="1"/>
    <col min="8972" max="8972" width="10.28515625" customWidth="1"/>
    <col min="8973" max="8973" width="9.28515625" customWidth="1"/>
    <col min="9217" max="9217" width="30.42578125" customWidth="1"/>
    <col min="9218" max="9218" width="12.28515625" customWidth="1"/>
    <col min="9220" max="9220" width="10.140625" customWidth="1"/>
    <col min="9221" max="9221" width="11" customWidth="1"/>
    <col min="9222" max="9222" width="9.28515625" customWidth="1"/>
    <col min="9223" max="9223" width="8.85546875" customWidth="1"/>
    <col min="9224" max="9224" width="8.7109375" customWidth="1"/>
    <col min="9225" max="9225" width="10.28515625" customWidth="1"/>
    <col min="9226" max="9226" width="10.7109375" customWidth="1"/>
    <col min="9227" max="9227" width="9.85546875" customWidth="1"/>
    <col min="9228" max="9228" width="10.28515625" customWidth="1"/>
    <col min="9229" max="9229" width="9.28515625" customWidth="1"/>
    <col min="9473" max="9473" width="30.42578125" customWidth="1"/>
    <col min="9474" max="9474" width="12.28515625" customWidth="1"/>
    <col min="9476" max="9476" width="10.140625" customWidth="1"/>
    <col min="9477" max="9477" width="11" customWidth="1"/>
    <col min="9478" max="9478" width="9.28515625" customWidth="1"/>
    <col min="9479" max="9479" width="8.85546875" customWidth="1"/>
    <col min="9480" max="9480" width="8.7109375" customWidth="1"/>
    <col min="9481" max="9481" width="10.28515625" customWidth="1"/>
    <col min="9482" max="9482" width="10.7109375" customWidth="1"/>
    <col min="9483" max="9483" width="9.85546875" customWidth="1"/>
    <col min="9484" max="9484" width="10.28515625" customWidth="1"/>
    <col min="9485" max="9485" width="9.28515625" customWidth="1"/>
    <col min="9729" max="9729" width="30.42578125" customWidth="1"/>
    <col min="9730" max="9730" width="12.28515625" customWidth="1"/>
    <col min="9732" max="9732" width="10.140625" customWidth="1"/>
    <col min="9733" max="9733" width="11" customWidth="1"/>
    <col min="9734" max="9734" width="9.28515625" customWidth="1"/>
    <col min="9735" max="9735" width="8.85546875" customWidth="1"/>
    <col min="9736" max="9736" width="8.7109375" customWidth="1"/>
    <col min="9737" max="9737" width="10.28515625" customWidth="1"/>
    <col min="9738" max="9738" width="10.7109375" customWidth="1"/>
    <col min="9739" max="9739" width="9.85546875" customWidth="1"/>
    <col min="9740" max="9740" width="10.28515625" customWidth="1"/>
    <col min="9741" max="9741" width="9.28515625" customWidth="1"/>
    <col min="9985" max="9985" width="30.42578125" customWidth="1"/>
    <col min="9986" max="9986" width="12.28515625" customWidth="1"/>
    <col min="9988" max="9988" width="10.140625" customWidth="1"/>
    <col min="9989" max="9989" width="11" customWidth="1"/>
    <col min="9990" max="9990" width="9.28515625" customWidth="1"/>
    <col min="9991" max="9991" width="8.85546875" customWidth="1"/>
    <col min="9992" max="9992" width="8.7109375" customWidth="1"/>
    <col min="9993" max="9993" width="10.28515625" customWidth="1"/>
    <col min="9994" max="9994" width="10.7109375" customWidth="1"/>
    <col min="9995" max="9995" width="9.85546875" customWidth="1"/>
    <col min="9996" max="9996" width="10.28515625" customWidth="1"/>
    <col min="9997" max="9997" width="9.28515625" customWidth="1"/>
    <col min="10241" max="10241" width="30.42578125" customWidth="1"/>
    <col min="10242" max="10242" width="12.28515625" customWidth="1"/>
    <col min="10244" max="10244" width="10.140625" customWidth="1"/>
    <col min="10245" max="10245" width="11" customWidth="1"/>
    <col min="10246" max="10246" width="9.28515625" customWidth="1"/>
    <col min="10247" max="10247" width="8.85546875" customWidth="1"/>
    <col min="10248" max="10248" width="8.7109375" customWidth="1"/>
    <col min="10249" max="10249" width="10.28515625" customWidth="1"/>
    <col min="10250" max="10250" width="10.7109375" customWidth="1"/>
    <col min="10251" max="10251" width="9.85546875" customWidth="1"/>
    <col min="10252" max="10252" width="10.28515625" customWidth="1"/>
    <col min="10253" max="10253" width="9.28515625" customWidth="1"/>
    <col min="10497" max="10497" width="30.42578125" customWidth="1"/>
    <col min="10498" max="10498" width="12.28515625" customWidth="1"/>
    <col min="10500" max="10500" width="10.140625" customWidth="1"/>
    <col min="10501" max="10501" width="11" customWidth="1"/>
    <col min="10502" max="10502" width="9.28515625" customWidth="1"/>
    <col min="10503" max="10503" width="8.85546875" customWidth="1"/>
    <col min="10504" max="10504" width="8.7109375" customWidth="1"/>
    <col min="10505" max="10505" width="10.28515625" customWidth="1"/>
    <col min="10506" max="10506" width="10.7109375" customWidth="1"/>
    <col min="10507" max="10507" width="9.85546875" customWidth="1"/>
    <col min="10508" max="10508" width="10.28515625" customWidth="1"/>
    <col min="10509" max="10509" width="9.28515625" customWidth="1"/>
    <col min="10753" max="10753" width="30.42578125" customWidth="1"/>
    <col min="10754" max="10754" width="12.28515625" customWidth="1"/>
    <col min="10756" max="10756" width="10.140625" customWidth="1"/>
    <col min="10757" max="10757" width="11" customWidth="1"/>
    <col min="10758" max="10758" width="9.28515625" customWidth="1"/>
    <col min="10759" max="10759" width="8.85546875" customWidth="1"/>
    <col min="10760" max="10760" width="8.7109375" customWidth="1"/>
    <col min="10761" max="10761" width="10.28515625" customWidth="1"/>
    <col min="10762" max="10762" width="10.7109375" customWidth="1"/>
    <col min="10763" max="10763" width="9.85546875" customWidth="1"/>
    <col min="10764" max="10764" width="10.28515625" customWidth="1"/>
    <col min="10765" max="10765" width="9.28515625" customWidth="1"/>
    <col min="11009" max="11009" width="30.42578125" customWidth="1"/>
    <col min="11010" max="11010" width="12.28515625" customWidth="1"/>
    <col min="11012" max="11012" width="10.140625" customWidth="1"/>
    <col min="11013" max="11013" width="11" customWidth="1"/>
    <col min="11014" max="11014" width="9.28515625" customWidth="1"/>
    <col min="11015" max="11015" width="8.85546875" customWidth="1"/>
    <col min="11016" max="11016" width="8.7109375" customWidth="1"/>
    <col min="11017" max="11017" width="10.28515625" customWidth="1"/>
    <col min="11018" max="11018" width="10.7109375" customWidth="1"/>
    <col min="11019" max="11019" width="9.85546875" customWidth="1"/>
    <col min="11020" max="11020" width="10.28515625" customWidth="1"/>
    <col min="11021" max="11021" width="9.28515625" customWidth="1"/>
    <col min="11265" max="11265" width="30.42578125" customWidth="1"/>
    <col min="11266" max="11266" width="12.28515625" customWidth="1"/>
    <col min="11268" max="11268" width="10.140625" customWidth="1"/>
    <col min="11269" max="11269" width="11" customWidth="1"/>
    <col min="11270" max="11270" width="9.28515625" customWidth="1"/>
    <col min="11271" max="11271" width="8.85546875" customWidth="1"/>
    <col min="11272" max="11272" width="8.7109375" customWidth="1"/>
    <col min="11273" max="11273" width="10.28515625" customWidth="1"/>
    <col min="11274" max="11274" width="10.7109375" customWidth="1"/>
    <col min="11275" max="11275" width="9.85546875" customWidth="1"/>
    <col min="11276" max="11276" width="10.28515625" customWidth="1"/>
    <col min="11277" max="11277" width="9.28515625" customWidth="1"/>
    <col min="11521" max="11521" width="30.42578125" customWidth="1"/>
    <col min="11522" max="11522" width="12.28515625" customWidth="1"/>
    <col min="11524" max="11524" width="10.140625" customWidth="1"/>
    <col min="11525" max="11525" width="11" customWidth="1"/>
    <col min="11526" max="11526" width="9.28515625" customWidth="1"/>
    <col min="11527" max="11527" width="8.85546875" customWidth="1"/>
    <col min="11528" max="11528" width="8.7109375" customWidth="1"/>
    <col min="11529" max="11529" width="10.28515625" customWidth="1"/>
    <col min="11530" max="11530" width="10.7109375" customWidth="1"/>
    <col min="11531" max="11531" width="9.85546875" customWidth="1"/>
    <col min="11532" max="11532" width="10.28515625" customWidth="1"/>
    <col min="11533" max="11533" width="9.28515625" customWidth="1"/>
    <col min="11777" max="11777" width="30.42578125" customWidth="1"/>
    <col min="11778" max="11778" width="12.28515625" customWidth="1"/>
    <col min="11780" max="11780" width="10.140625" customWidth="1"/>
    <col min="11781" max="11781" width="11" customWidth="1"/>
    <col min="11782" max="11782" width="9.28515625" customWidth="1"/>
    <col min="11783" max="11783" width="8.85546875" customWidth="1"/>
    <col min="11784" max="11784" width="8.7109375" customWidth="1"/>
    <col min="11785" max="11785" width="10.28515625" customWidth="1"/>
    <col min="11786" max="11786" width="10.7109375" customWidth="1"/>
    <col min="11787" max="11787" width="9.85546875" customWidth="1"/>
    <col min="11788" max="11788" width="10.28515625" customWidth="1"/>
    <col min="11789" max="11789" width="9.28515625" customWidth="1"/>
    <col min="12033" max="12033" width="30.42578125" customWidth="1"/>
    <col min="12034" max="12034" width="12.28515625" customWidth="1"/>
    <col min="12036" max="12036" width="10.140625" customWidth="1"/>
    <col min="12037" max="12037" width="11" customWidth="1"/>
    <col min="12038" max="12038" width="9.28515625" customWidth="1"/>
    <col min="12039" max="12039" width="8.85546875" customWidth="1"/>
    <col min="12040" max="12040" width="8.7109375" customWidth="1"/>
    <col min="12041" max="12041" width="10.28515625" customWidth="1"/>
    <col min="12042" max="12042" width="10.7109375" customWidth="1"/>
    <col min="12043" max="12043" width="9.85546875" customWidth="1"/>
    <col min="12044" max="12044" width="10.28515625" customWidth="1"/>
    <col min="12045" max="12045" width="9.28515625" customWidth="1"/>
    <col min="12289" max="12289" width="30.42578125" customWidth="1"/>
    <col min="12290" max="12290" width="12.28515625" customWidth="1"/>
    <col min="12292" max="12292" width="10.140625" customWidth="1"/>
    <col min="12293" max="12293" width="11" customWidth="1"/>
    <col min="12294" max="12294" width="9.28515625" customWidth="1"/>
    <col min="12295" max="12295" width="8.85546875" customWidth="1"/>
    <col min="12296" max="12296" width="8.7109375" customWidth="1"/>
    <col min="12297" max="12297" width="10.28515625" customWidth="1"/>
    <col min="12298" max="12298" width="10.7109375" customWidth="1"/>
    <col min="12299" max="12299" width="9.85546875" customWidth="1"/>
    <col min="12300" max="12300" width="10.28515625" customWidth="1"/>
    <col min="12301" max="12301" width="9.28515625" customWidth="1"/>
    <col min="12545" max="12545" width="30.42578125" customWidth="1"/>
    <col min="12546" max="12546" width="12.28515625" customWidth="1"/>
    <col min="12548" max="12548" width="10.140625" customWidth="1"/>
    <col min="12549" max="12549" width="11" customWidth="1"/>
    <col min="12550" max="12550" width="9.28515625" customWidth="1"/>
    <col min="12551" max="12551" width="8.85546875" customWidth="1"/>
    <col min="12552" max="12552" width="8.7109375" customWidth="1"/>
    <col min="12553" max="12553" width="10.28515625" customWidth="1"/>
    <col min="12554" max="12554" width="10.7109375" customWidth="1"/>
    <col min="12555" max="12555" width="9.85546875" customWidth="1"/>
    <col min="12556" max="12556" width="10.28515625" customWidth="1"/>
    <col min="12557" max="12557" width="9.28515625" customWidth="1"/>
    <col min="12801" max="12801" width="30.42578125" customWidth="1"/>
    <col min="12802" max="12802" width="12.28515625" customWidth="1"/>
    <col min="12804" max="12804" width="10.140625" customWidth="1"/>
    <col min="12805" max="12805" width="11" customWidth="1"/>
    <col min="12806" max="12806" width="9.28515625" customWidth="1"/>
    <col min="12807" max="12807" width="8.85546875" customWidth="1"/>
    <col min="12808" max="12808" width="8.7109375" customWidth="1"/>
    <col min="12809" max="12809" width="10.28515625" customWidth="1"/>
    <col min="12810" max="12810" width="10.7109375" customWidth="1"/>
    <col min="12811" max="12811" width="9.85546875" customWidth="1"/>
    <col min="12812" max="12812" width="10.28515625" customWidth="1"/>
    <col min="12813" max="12813" width="9.28515625" customWidth="1"/>
    <col min="13057" max="13057" width="30.42578125" customWidth="1"/>
    <col min="13058" max="13058" width="12.28515625" customWidth="1"/>
    <col min="13060" max="13060" width="10.140625" customWidth="1"/>
    <col min="13061" max="13061" width="11" customWidth="1"/>
    <col min="13062" max="13062" width="9.28515625" customWidth="1"/>
    <col min="13063" max="13063" width="8.85546875" customWidth="1"/>
    <col min="13064" max="13064" width="8.7109375" customWidth="1"/>
    <col min="13065" max="13065" width="10.28515625" customWidth="1"/>
    <col min="13066" max="13066" width="10.7109375" customWidth="1"/>
    <col min="13067" max="13067" width="9.85546875" customWidth="1"/>
    <col min="13068" max="13068" width="10.28515625" customWidth="1"/>
    <col min="13069" max="13069" width="9.28515625" customWidth="1"/>
    <col min="13313" max="13313" width="30.42578125" customWidth="1"/>
    <col min="13314" max="13314" width="12.28515625" customWidth="1"/>
    <col min="13316" max="13316" width="10.140625" customWidth="1"/>
    <col min="13317" max="13317" width="11" customWidth="1"/>
    <col min="13318" max="13318" width="9.28515625" customWidth="1"/>
    <col min="13319" max="13319" width="8.85546875" customWidth="1"/>
    <col min="13320" max="13320" width="8.7109375" customWidth="1"/>
    <col min="13321" max="13321" width="10.28515625" customWidth="1"/>
    <col min="13322" max="13322" width="10.7109375" customWidth="1"/>
    <col min="13323" max="13323" width="9.85546875" customWidth="1"/>
    <col min="13324" max="13324" width="10.28515625" customWidth="1"/>
    <col min="13325" max="13325" width="9.28515625" customWidth="1"/>
    <col min="13569" max="13569" width="30.42578125" customWidth="1"/>
    <col min="13570" max="13570" width="12.28515625" customWidth="1"/>
    <col min="13572" max="13572" width="10.140625" customWidth="1"/>
    <col min="13573" max="13573" width="11" customWidth="1"/>
    <col min="13574" max="13574" width="9.28515625" customWidth="1"/>
    <col min="13575" max="13575" width="8.85546875" customWidth="1"/>
    <col min="13576" max="13576" width="8.7109375" customWidth="1"/>
    <col min="13577" max="13577" width="10.28515625" customWidth="1"/>
    <col min="13578" max="13578" width="10.7109375" customWidth="1"/>
    <col min="13579" max="13579" width="9.85546875" customWidth="1"/>
    <col min="13580" max="13580" width="10.28515625" customWidth="1"/>
    <col min="13581" max="13581" width="9.28515625" customWidth="1"/>
    <col min="13825" max="13825" width="30.42578125" customWidth="1"/>
    <col min="13826" max="13826" width="12.28515625" customWidth="1"/>
    <col min="13828" max="13828" width="10.140625" customWidth="1"/>
    <col min="13829" max="13829" width="11" customWidth="1"/>
    <col min="13830" max="13830" width="9.28515625" customWidth="1"/>
    <col min="13831" max="13831" width="8.85546875" customWidth="1"/>
    <col min="13832" max="13832" width="8.7109375" customWidth="1"/>
    <col min="13833" max="13833" width="10.28515625" customWidth="1"/>
    <col min="13834" max="13834" width="10.7109375" customWidth="1"/>
    <col min="13835" max="13835" width="9.85546875" customWidth="1"/>
    <col min="13836" max="13836" width="10.28515625" customWidth="1"/>
    <col min="13837" max="13837" width="9.28515625" customWidth="1"/>
    <col min="14081" max="14081" width="30.42578125" customWidth="1"/>
    <col min="14082" max="14082" width="12.28515625" customWidth="1"/>
    <col min="14084" max="14084" width="10.140625" customWidth="1"/>
    <col min="14085" max="14085" width="11" customWidth="1"/>
    <col min="14086" max="14086" width="9.28515625" customWidth="1"/>
    <col min="14087" max="14087" width="8.85546875" customWidth="1"/>
    <col min="14088" max="14088" width="8.7109375" customWidth="1"/>
    <col min="14089" max="14089" width="10.28515625" customWidth="1"/>
    <col min="14090" max="14090" width="10.7109375" customWidth="1"/>
    <col min="14091" max="14091" width="9.85546875" customWidth="1"/>
    <col min="14092" max="14092" width="10.28515625" customWidth="1"/>
    <col min="14093" max="14093" width="9.28515625" customWidth="1"/>
    <col min="14337" max="14337" width="30.42578125" customWidth="1"/>
    <col min="14338" max="14338" width="12.28515625" customWidth="1"/>
    <col min="14340" max="14340" width="10.140625" customWidth="1"/>
    <col min="14341" max="14341" width="11" customWidth="1"/>
    <col min="14342" max="14342" width="9.28515625" customWidth="1"/>
    <col min="14343" max="14343" width="8.85546875" customWidth="1"/>
    <col min="14344" max="14344" width="8.7109375" customWidth="1"/>
    <col min="14345" max="14345" width="10.28515625" customWidth="1"/>
    <col min="14346" max="14346" width="10.7109375" customWidth="1"/>
    <col min="14347" max="14347" width="9.85546875" customWidth="1"/>
    <col min="14348" max="14348" width="10.28515625" customWidth="1"/>
    <col min="14349" max="14349" width="9.28515625" customWidth="1"/>
    <col min="14593" max="14593" width="30.42578125" customWidth="1"/>
    <col min="14594" max="14594" width="12.28515625" customWidth="1"/>
    <col min="14596" max="14596" width="10.140625" customWidth="1"/>
    <col min="14597" max="14597" width="11" customWidth="1"/>
    <col min="14598" max="14598" width="9.28515625" customWidth="1"/>
    <col min="14599" max="14599" width="8.85546875" customWidth="1"/>
    <col min="14600" max="14600" width="8.7109375" customWidth="1"/>
    <col min="14601" max="14601" width="10.28515625" customWidth="1"/>
    <col min="14602" max="14602" width="10.7109375" customWidth="1"/>
    <col min="14603" max="14603" width="9.85546875" customWidth="1"/>
    <col min="14604" max="14604" width="10.28515625" customWidth="1"/>
    <col min="14605" max="14605" width="9.28515625" customWidth="1"/>
    <col min="14849" max="14849" width="30.42578125" customWidth="1"/>
    <col min="14850" max="14850" width="12.28515625" customWidth="1"/>
    <col min="14852" max="14852" width="10.140625" customWidth="1"/>
    <col min="14853" max="14853" width="11" customWidth="1"/>
    <col min="14854" max="14854" width="9.28515625" customWidth="1"/>
    <col min="14855" max="14855" width="8.85546875" customWidth="1"/>
    <col min="14856" max="14856" width="8.7109375" customWidth="1"/>
    <col min="14857" max="14857" width="10.28515625" customWidth="1"/>
    <col min="14858" max="14858" width="10.7109375" customWidth="1"/>
    <col min="14859" max="14859" width="9.85546875" customWidth="1"/>
    <col min="14860" max="14860" width="10.28515625" customWidth="1"/>
    <col min="14861" max="14861" width="9.28515625" customWidth="1"/>
    <col min="15105" max="15105" width="30.42578125" customWidth="1"/>
    <col min="15106" max="15106" width="12.28515625" customWidth="1"/>
    <col min="15108" max="15108" width="10.140625" customWidth="1"/>
    <col min="15109" max="15109" width="11" customWidth="1"/>
    <col min="15110" max="15110" width="9.28515625" customWidth="1"/>
    <col min="15111" max="15111" width="8.85546875" customWidth="1"/>
    <col min="15112" max="15112" width="8.7109375" customWidth="1"/>
    <col min="15113" max="15113" width="10.28515625" customWidth="1"/>
    <col min="15114" max="15114" width="10.7109375" customWidth="1"/>
    <col min="15115" max="15115" width="9.85546875" customWidth="1"/>
    <col min="15116" max="15116" width="10.28515625" customWidth="1"/>
    <col min="15117" max="15117" width="9.28515625" customWidth="1"/>
    <col min="15361" max="15361" width="30.42578125" customWidth="1"/>
    <col min="15362" max="15362" width="12.28515625" customWidth="1"/>
    <col min="15364" max="15364" width="10.140625" customWidth="1"/>
    <col min="15365" max="15365" width="11" customWidth="1"/>
    <col min="15366" max="15366" width="9.28515625" customWidth="1"/>
    <col min="15367" max="15367" width="8.85546875" customWidth="1"/>
    <col min="15368" max="15368" width="8.7109375" customWidth="1"/>
    <col min="15369" max="15369" width="10.28515625" customWidth="1"/>
    <col min="15370" max="15370" width="10.7109375" customWidth="1"/>
    <col min="15371" max="15371" width="9.85546875" customWidth="1"/>
    <col min="15372" max="15372" width="10.28515625" customWidth="1"/>
    <col min="15373" max="15373" width="9.28515625" customWidth="1"/>
    <col min="15617" max="15617" width="30.42578125" customWidth="1"/>
    <col min="15618" max="15618" width="12.28515625" customWidth="1"/>
    <col min="15620" max="15620" width="10.140625" customWidth="1"/>
    <col min="15621" max="15621" width="11" customWidth="1"/>
    <col min="15622" max="15622" width="9.28515625" customWidth="1"/>
    <col min="15623" max="15623" width="8.85546875" customWidth="1"/>
    <col min="15624" max="15624" width="8.7109375" customWidth="1"/>
    <col min="15625" max="15625" width="10.28515625" customWidth="1"/>
    <col min="15626" max="15626" width="10.7109375" customWidth="1"/>
    <col min="15627" max="15627" width="9.85546875" customWidth="1"/>
    <col min="15628" max="15628" width="10.28515625" customWidth="1"/>
    <col min="15629" max="15629" width="9.28515625" customWidth="1"/>
    <col min="15873" max="15873" width="30.42578125" customWidth="1"/>
    <col min="15874" max="15874" width="12.28515625" customWidth="1"/>
    <col min="15876" max="15876" width="10.140625" customWidth="1"/>
    <col min="15877" max="15877" width="11" customWidth="1"/>
    <col min="15878" max="15878" width="9.28515625" customWidth="1"/>
    <col min="15879" max="15879" width="8.85546875" customWidth="1"/>
    <col min="15880" max="15880" width="8.7109375" customWidth="1"/>
    <col min="15881" max="15881" width="10.28515625" customWidth="1"/>
    <col min="15882" max="15882" width="10.7109375" customWidth="1"/>
    <col min="15883" max="15883" width="9.85546875" customWidth="1"/>
    <col min="15884" max="15884" width="10.28515625" customWidth="1"/>
    <col min="15885" max="15885" width="9.28515625" customWidth="1"/>
    <col min="16129" max="16129" width="30.42578125" customWidth="1"/>
    <col min="16130" max="16130" width="12.28515625" customWidth="1"/>
    <col min="16132" max="16132" width="10.140625" customWidth="1"/>
    <col min="16133" max="16133" width="11" customWidth="1"/>
    <col min="16134" max="16134" width="9.28515625" customWidth="1"/>
    <col min="16135" max="16135" width="8.85546875" customWidth="1"/>
    <col min="16136" max="16136" width="8.7109375" customWidth="1"/>
    <col min="16137" max="16137" width="10.28515625" customWidth="1"/>
    <col min="16138" max="16138" width="10.7109375" customWidth="1"/>
    <col min="16139" max="16139" width="9.85546875" customWidth="1"/>
    <col min="16140" max="16140" width="10.28515625" customWidth="1"/>
    <col min="16141" max="16141" width="9.28515625" customWidth="1"/>
  </cols>
  <sheetData>
    <row r="1" spans="1:14" s="32" customFormat="1" ht="15.75">
      <c r="A1" s="979" t="s">
        <v>826</v>
      </c>
      <c r="B1" s="979"/>
      <c r="C1" s="979"/>
      <c r="D1" s="979"/>
      <c r="E1" s="979"/>
      <c r="F1" s="979"/>
      <c r="G1" s="979"/>
      <c r="H1" s="979"/>
      <c r="I1" s="979"/>
      <c r="J1" s="979"/>
      <c r="K1" s="979"/>
      <c r="L1" s="979"/>
      <c r="M1" s="979"/>
      <c r="N1" s="979"/>
    </row>
    <row r="2" spans="1:14" s="32" customFormat="1" ht="15.75">
      <c r="A2" s="979" t="s">
        <v>827</v>
      </c>
      <c r="B2" s="979"/>
      <c r="C2" s="979"/>
      <c r="D2" s="979"/>
      <c r="E2" s="979"/>
      <c r="F2" s="979"/>
      <c r="G2" s="979"/>
      <c r="H2" s="979"/>
      <c r="I2" s="979"/>
      <c r="J2" s="979"/>
      <c r="K2" s="979"/>
      <c r="L2" s="979"/>
      <c r="M2" s="979"/>
      <c r="N2" s="979"/>
    </row>
    <row r="3" spans="1:14" s="32" customFormat="1">
      <c r="A3" s="808" t="s">
        <v>4176</v>
      </c>
      <c r="B3" s="808"/>
      <c r="C3" s="808"/>
    </row>
    <row r="4" spans="1:14" s="32" customFormat="1" ht="33.75" customHeight="1">
      <c r="A4" s="533" t="s">
        <v>828</v>
      </c>
      <c r="B4" s="976" t="s">
        <v>937</v>
      </c>
      <c r="C4" s="976"/>
      <c r="D4" s="976"/>
      <c r="E4" s="976" t="s">
        <v>830</v>
      </c>
      <c r="F4" s="976"/>
      <c r="G4" s="976">
        <v>904170201</v>
      </c>
      <c r="H4" s="976"/>
      <c r="I4" s="976" t="s">
        <v>5</v>
      </c>
      <c r="J4" s="976"/>
      <c r="K4" s="533">
        <v>563.952</v>
      </c>
      <c r="L4" s="958" t="s">
        <v>831</v>
      </c>
      <c r="M4" s="958"/>
      <c r="N4" s="533"/>
    </row>
    <row r="5" spans="1:14" s="32" customFormat="1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 s="32" customFormat="1">
      <c r="A6" s="533" t="s">
        <v>832</v>
      </c>
      <c r="B6" s="976" t="s">
        <v>938</v>
      </c>
      <c r="C6" s="976"/>
      <c r="D6" s="976"/>
      <c r="E6" s="976" t="s">
        <v>176</v>
      </c>
      <c r="F6" s="976"/>
      <c r="G6" s="976" t="s">
        <v>939</v>
      </c>
      <c r="H6" s="976"/>
      <c r="I6" s="976"/>
      <c r="J6" s="57"/>
      <c r="K6" s="57"/>
      <c r="L6" s="57"/>
      <c r="M6" s="57"/>
      <c r="N6" s="57"/>
    </row>
    <row r="7" spans="1:14" s="32" customFormat="1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14" s="32" customFormat="1" ht="23.25" customHeight="1">
      <c r="A8" s="533" t="s">
        <v>835</v>
      </c>
      <c r="B8" s="976" t="s">
        <v>940</v>
      </c>
      <c r="C8" s="976"/>
      <c r="D8" s="976"/>
      <c r="E8" s="959" t="s">
        <v>941</v>
      </c>
      <c r="F8" s="959"/>
      <c r="G8" s="959"/>
      <c r="H8" s="959"/>
      <c r="I8" s="958">
        <v>9438189744</v>
      </c>
      <c r="J8" s="958"/>
      <c r="K8" s="958"/>
      <c r="L8" s="57"/>
      <c r="M8" s="57"/>
      <c r="N8" s="57"/>
    </row>
    <row r="9" spans="1:14" s="32" customFormat="1">
      <c r="A9" s="57"/>
      <c r="B9" s="57"/>
      <c r="C9" s="57"/>
      <c r="D9" s="57"/>
      <c r="E9" s="57"/>
      <c r="F9" s="57"/>
      <c r="G9" s="58"/>
      <c r="H9" s="58"/>
      <c r="I9" s="58"/>
      <c r="J9" s="58"/>
      <c r="K9" s="58"/>
      <c r="L9" s="57"/>
      <c r="M9" s="57"/>
      <c r="N9" s="57"/>
    </row>
    <row r="10" spans="1:14" s="32" customFormat="1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</row>
    <row r="11" spans="1:14" s="32" customFormat="1">
      <c r="A11" s="533" t="s">
        <v>838</v>
      </c>
      <c r="B11" s="976" t="s">
        <v>942</v>
      </c>
      <c r="C11" s="976"/>
      <c r="D11" s="976"/>
      <c r="E11" s="976"/>
      <c r="F11" s="976"/>
      <c r="G11" s="976"/>
      <c r="H11" s="976"/>
      <c r="I11" s="976"/>
      <c r="J11" s="976"/>
      <c r="K11" s="976"/>
      <c r="L11" s="976"/>
      <c r="M11" s="976"/>
      <c r="N11" s="57"/>
    </row>
    <row r="12" spans="1:14" s="32" customFormat="1">
      <c r="A12" s="533" t="s">
        <v>840</v>
      </c>
      <c r="B12" s="976" t="s">
        <v>943</v>
      </c>
      <c r="C12" s="976"/>
      <c r="D12" s="976" t="s">
        <v>944</v>
      </c>
      <c r="E12" s="976"/>
      <c r="F12" s="976"/>
      <c r="G12" s="976" t="s">
        <v>945</v>
      </c>
      <c r="H12" s="976"/>
      <c r="I12" s="976"/>
      <c r="J12" s="976"/>
      <c r="K12" s="976"/>
      <c r="L12" s="976"/>
      <c r="M12" s="976"/>
      <c r="N12" s="57"/>
    </row>
    <row r="13" spans="1:14" s="32" customFormat="1">
      <c r="A13" s="533" t="s">
        <v>844</v>
      </c>
      <c r="B13" s="973" t="s">
        <v>946</v>
      </c>
      <c r="C13" s="974"/>
      <c r="D13" s="973" t="s">
        <v>947</v>
      </c>
      <c r="E13" s="974"/>
      <c r="F13" s="975"/>
      <c r="G13" s="976" t="s">
        <v>948</v>
      </c>
      <c r="H13" s="976"/>
      <c r="I13" s="976"/>
      <c r="J13" s="976" t="s">
        <v>949</v>
      </c>
      <c r="K13" s="976"/>
      <c r="L13" s="976"/>
      <c r="M13" s="976"/>
      <c r="N13" s="57"/>
    </row>
    <row r="14" spans="1:14" s="32" customFormat="1">
      <c r="A14" s="533"/>
      <c r="B14" s="973" t="s">
        <v>950</v>
      </c>
      <c r="C14" s="974"/>
      <c r="D14" s="530"/>
      <c r="E14" s="531"/>
      <c r="F14" s="532"/>
      <c r="G14" s="533"/>
      <c r="H14" s="533"/>
      <c r="I14" s="533"/>
      <c r="J14" s="533"/>
      <c r="K14" s="533"/>
      <c r="L14" s="533"/>
      <c r="M14" s="533"/>
      <c r="N14" s="57"/>
    </row>
    <row r="15" spans="1:14" s="32" customFormat="1">
      <c r="A15" s="533" t="s">
        <v>850</v>
      </c>
      <c r="B15" s="976" t="s">
        <v>951</v>
      </c>
      <c r="C15" s="976"/>
      <c r="D15" s="976"/>
      <c r="E15" s="976"/>
      <c r="F15" s="976"/>
      <c r="G15" s="976"/>
      <c r="H15" s="976"/>
      <c r="I15" s="976"/>
      <c r="J15" s="976"/>
      <c r="K15" s="976"/>
      <c r="L15" s="976"/>
      <c r="M15" s="976"/>
      <c r="N15" s="57"/>
    </row>
    <row r="16" spans="1:14" s="32" customFormat="1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</row>
    <row r="17" spans="1:14" s="32" customFormat="1" ht="33.75" customHeight="1">
      <c r="A17" s="533" t="s">
        <v>852</v>
      </c>
      <c r="B17" s="533">
        <v>3</v>
      </c>
      <c r="C17" s="958" t="s">
        <v>853</v>
      </c>
      <c r="D17" s="958"/>
      <c r="E17" s="533">
        <v>3</v>
      </c>
      <c r="F17" s="59"/>
      <c r="G17" s="533" t="s">
        <v>643</v>
      </c>
      <c r="H17" s="533">
        <v>15</v>
      </c>
      <c r="I17" s="533" t="s">
        <v>644</v>
      </c>
      <c r="J17" s="533">
        <v>0</v>
      </c>
      <c r="K17" s="533" t="s">
        <v>645</v>
      </c>
      <c r="L17" s="533">
        <v>8</v>
      </c>
      <c r="M17" s="533"/>
      <c r="N17" s="57"/>
    </row>
    <row r="18" spans="1:14" s="32" customFormat="1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</row>
    <row r="19" spans="1:14" s="32" customForma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</row>
    <row r="20" spans="1:14" s="32" customFormat="1" ht="22.5">
      <c r="A20" s="530" t="s">
        <v>854</v>
      </c>
      <c r="B20" s="533" t="s">
        <v>204</v>
      </c>
      <c r="C20" s="533">
        <v>280</v>
      </c>
      <c r="D20" s="533" t="s">
        <v>205</v>
      </c>
      <c r="E20" s="533"/>
      <c r="F20" s="60" t="s">
        <v>206</v>
      </c>
      <c r="G20" s="533"/>
      <c r="H20" s="533" t="s">
        <v>230</v>
      </c>
      <c r="I20" s="533">
        <v>280</v>
      </c>
      <c r="J20" s="533" t="s">
        <v>207</v>
      </c>
      <c r="K20" s="533">
        <v>28</v>
      </c>
      <c r="L20" s="533" t="s">
        <v>855</v>
      </c>
      <c r="M20" s="57"/>
      <c r="N20" s="533">
        <v>34</v>
      </c>
    </row>
    <row r="21" spans="1:14" s="32" customFormat="1">
      <c r="A21" s="530" t="s">
        <v>209</v>
      </c>
      <c r="B21" s="533" t="s">
        <v>210</v>
      </c>
      <c r="C21" s="533">
        <v>714</v>
      </c>
      <c r="D21" s="533" t="s">
        <v>211</v>
      </c>
      <c r="E21" s="533"/>
      <c r="F21" s="60" t="s">
        <v>212</v>
      </c>
      <c r="G21" s="533"/>
      <c r="H21" s="533" t="s">
        <v>411</v>
      </c>
      <c r="I21" s="533">
        <v>714</v>
      </c>
      <c r="J21" s="57"/>
      <c r="K21" s="57"/>
      <c r="L21" s="57"/>
      <c r="M21" s="57"/>
      <c r="N21" s="57"/>
    </row>
    <row r="22" spans="1:14" s="32" customFormat="1" ht="22.5">
      <c r="A22" s="57"/>
      <c r="B22" s="533" t="s">
        <v>858</v>
      </c>
      <c r="C22" s="533">
        <v>732</v>
      </c>
      <c r="D22" s="533" t="s">
        <v>214</v>
      </c>
      <c r="E22" s="533"/>
      <c r="F22" s="533" t="s">
        <v>215</v>
      </c>
      <c r="G22" s="533"/>
      <c r="H22" s="533" t="s">
        <v>410</v>
      </c>
      <c r="I22" s="533">
        <v>732</v>
      </c>
      <c r="J22" s="57"/>
      <c r="K22" s="57"/>
      <c r="L22" s="57"/>
      <c r="M22" s="57"/>
      <c r="N22" s="57"/>
    </row>
    <row r="23" spans="1:14" s="32" customForma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</row>
    <row r="24" spans="1:14" s="32" customFormat="1">
      <c r="A24" s="61" t="s">
        <v>216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</row>
    <row r="25" spans="1:14" s="32" customFormat="1" ht="30" customHeight="1">
      <c r="A25" s="977" t="s">
        <v>861</v>
      </c>
      <c r="B25" s="948" t="s">
        <v>862</v>
      </c>
      <c r="C25" s="977" t="s">
        <v>219</v>
      </c>
      <c r="D25" s="977" t="s">
        <v>863</v>
      </c>
      <c r="E25" s="977" t="s">
        <v>864</v>
      </c>
      <c r="F25" s="973" t="s">
        <v>865</v>
      </c>
      <c r="G25" s="974"/>
      <c r="H25" s="974"/>
      <c r="I25" s="974"/>
      <c r="J25" s="974"/>
      <c r="K25" s="974"/>
      <c r="L25" s="974"/>
      <c r="M25" s="974"/>
      <c r="N25" s="975"/>
    </row>
    <row r="26" spans="1:14" s="32" customFormat="1" ht="38.450000000000003" customHeight="1">
      <c r="A26" s="978"/>
      <c r="B26" s="949"/>
      <c r="C26" s="978"/>
      <c r="D26" s="978"/>
      <c r="E26" s="978"/>
      <c r="F26" s="62" t="s">
        <v>866</v>
      </c>
      <c r="G26" s="62" t="s">
        <v>867</v>
      </c>
      <c r="H26" s="62" t="s">
        <v>868</v>
      </c>
      <c r="I26" s="62" t="s">
        <v>869</v>
      </c>
      <c r="J26" s="62" t="s">
        <v>870</v>
      </c>
      <c r="K26" s="62" t="s">
        <v>871</v>
      </c>
      <c r="L26" s="62" t="s">
        <v>872</v>
      </c>
      <c r="M26" s="62" t="s">
        <v>230</v>
      </c>
      <c r="N26" s="62" t="s">
        <v>231</v>
      </c>
    </row>
    <row r="27" spans="1:14" s="32" customFormat="1">
      <c r="A27" s="533" t="s">
        <v>232</v>
      </c>
      <c r="B27" s="533">
        <v>8000</v>
      </c>
      <c r="C27" s="533" t="s">
        <v>873</v>
      </c>
      <c r="D27" s="63">
        <f>B27*K4/100000</f>
        <v>45.116160000000001</v>
      </c>
      <c r="E27" s="63">
        <f>4511616/100000</f>
        <v>45.116160000000001</v>
      </c>
      <c r="F27" s="63">
        <f>6261/100000</f>
        <v>6.2609999999999999E-2</v>
      </c>
      <c r="G27" s="63">
        <f>802715/100000</f>
        <v>8.0271500000000007</v>
      </c>
      <c r="H27" s="63">
        <f>918899/100000</f>
        <v>9.1889900000000004</v>
      </c>
      <c r="I27" s="63">
        <f>2089893/100000</f>
        <v>20.89893</v>
      </c>
      <c r="J27" s="63">
        <f>944106/100000</f>
        <v>9.4410600000000002</v>
      </c>
      <c r="K27" s="63">
        <f>-146800/100000</f>
        <v>-1.468</v>
      </c>
      <c r="L27" s="63"/>
      <c r="M27" s="64">
        <f>SUM(F27:L27)</f>
        <v>46.150739999999999</v>
      </c>
      <c r="N27" s="63">
        <f>+M27*100/E27</f>
        <v>102.29314728913099</v>
      </c>
    </row>
    <row r="28" spans="1:14" s="32" customFormat="1">
      <c r="A28" s="533" t="s">
        <v>874</v>
      </c>
      <c r="B28" s="533">
        <v>7000</v>
      </c>
      <c r="C28" s="533" t="s">
        <v>873</v>
      </c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>
        <v>0</v>
      </c>
    </row>
    <row r="29" spans="1:14" s="32" customFormat="1">
      <c r="A29" s="533" t="s">
        <v>235</v>
      </c>
      <c r="B29" s="533">
        <v>43000</v>
      </c>
      <c r="C29" s="533" t="s">
        <v>236</v>
      </c>
      <c r="D29" s="63">
        <f>143000/100000</f>
        <v>1.43</v>
      </c>
      <c r="E29" s="10">
        <f>63000/100000</f>
        <v>0.63</v>
      </c>
      <c r="F29" s="63"/>
      <c r="G29" s="63"/>
      <c r="H29" s="63">
        <f>19299/100000</f>
        <v>0.19298999999999999</v>
      </c>
      <c r="I29" s="63">
        <f>23701/100000</f>
        <v>0.23701</v>
      </c>
      <c r="J29" s="63">
        <f>4099/100000</f>
        <v>4.0989999999999999E-2</v>
      </c>
      <c r="K29" s="63">
        <f>31651/100000</f>
        <v>0.31651000000000001</v>
      </c>
      <c r="L29" s="63"/>
      <c r="M29" s="64">
        <f t="shared" ref="M29:M34" si="0">SUM(F29:L29)</f>
        <v>0.78750000000000009</v>
      </c>
      <c r="N29" s="63">
        <f t="shared" ref="N29:N35" si="1">+M29*100/E29</f>
        <v>125.00000000000003</v>
      </c>
    </row>
    <row r="30" spans="1:14" s="32" customFormat="1">
      <c r="A30" s="533" t="s">
        <v>875</v>
      </c>
      <c r="B30" s="533">
        <v>34000</v>
      </c>
      <c r="C30" s="533" t="s">
        <v>236</v>
      </c>
      <c r="D30" s="63">
        <f>34000/100000</f>
        <v>0.34</v>
      </c>
      <c r="E30" s="63">
        <f>34000/100000</f>
        <v>0.34</v>
      </c>
      <c r="F30" s="63"/>
      <c r="G30" s="63"/>
      <c r="H30" s="63">
        <f>16200/100000</f>
        <v>0.16200000000000001</v>
      </c>
      <c r="I30" s="63">
        <f>17800/100000</f>
        <v>0.17799999999999999</v>
      </c>
      <c r="J30" s="63">
        <f>-12800/100000</f>
        <v>-0.128</v>
      </c>
      <c r="K30" s="63">
        <f>12800/100000</f>
        <v>0.128</v>
      </c>
      <c r="L30" s="63"/>
      <c r="M30" s="64">
        <f t="shared" si="0"/>
        <v>0.33999999999999997</v>
      </c>
      <c r="N30" s="63">
        <f t="shared" si="1"/>
        <v>99.999999999999986</v>
      </c>
    </row>
    <row r="31" spans="1:14" s="32" customFormat="1">
      <c r="A31" s="533" t="s">
        <v>238</v>
      </c>
      <c r="B31" s="533">
        <v>1200</v>
      </c>
      <c r="C31" s="533" t="s">
        <v>873</v>
      </c>
      <c r="D31" s="63">
        <f>ROUND((B31*K4),0)/100000</f>
        <v>6.7674200000000004</v>
      </c>
      <c r="E31" s="63">
        <f>676742/100000</f>
        <v>6.7674200000000004</v>
      </c>
      <c r="F31" s="63"/>
      <c r="G31" s="63"/>
      <c r="H31" s="63"/>
      <c r="I31" s="63"/>
      <c r="J31" s="63">
        <f>401700/100000</f>
        <v>4.0170000000000003</v>
      </c>
      <c r="K31" s="63">
        <f>196800/100000</f>
        <v>1.968</v>
      </c>
      <c r="L31" s="63"/>
      <c r="M31" s="64">
        <f t="shared" si="0"/>
        <v>5.9850000000000003</v>
      </c>
      <c r="N31" s="63">
        <f t="shared" si="1"/>
        <v>88.438430007299672</v>
      </c>
    </row>
    <row r="32" spans="1:14" s="32" customFormat="1">
      <c r="A32" s="533" t="s">
        <v>667</v>
      </c>
      <c r="B32" s="533">
        <v>565</v>
      </c>
      <c r="C32" s="533" t="s">
        <v>873</v>
      </c>
      <c r="D32" s="63">
        <f>ROUND((B32*K4),0)/100000</f>
        <v>3.1863299999999999</v>
      </c>
      <c r="E32" s="63">
        <f>318632/100000</f>
        <v>3.1863199999999998</v>
      </c>
      <c r="F32" s="63"/>
      <c r="G32" s="63"/>
      <c r="H32" s="63">
        <f>54103/100000</f>
        <v>0.54103000000000001</v>
      </c>
      <c r="I32" s="63">
        <f>293706/100000</f>
        <v>2.9370599999999998</v>
      </c>
      <c r="J32" s="63"/>
      <c r="K32" s="63"/>
      <c r="L32" s="63"/>
      <c r="M32" s="63">
        <f t="shared" si="0"/>
        <v>3.4780899999999999</v>
      </c>
      <c r="N32" s="63">
        <f t="shared" si="1"/>
        <v>109.15695849757714</v>
      </c>
    </row>
    <row r="33" spans="1:14" s="32" customFormat="1">
      <c r="A33" s="533" t="s">
        <v>876</v>
      </c>
      <c r="B33" s="533">
        <v>1000</v>
      </c>
      <c r="C33" s="533" t="s">
        <v>873</v>
      </c>
      <c r="D33" s="63">
        <f>B33*K4/100000</f>
        <v>5.6395200000000001</v>
      </c>
      <c r="E33" s="63">
        <f>563952/100000</f>
        <v>5.6395200000000001</v>
      </c>
      <c r="F33" s="63">
        <f>23/100000</f>
        <v>2.3000000000000001E-4</v>
      </c>
      <c r="G33" s="63">
        <f>71977/100000</f>
        <v>0.71977000000000002</v>
      </c>
      <c r="H33" s="63">
        <f>23860/100000</f>
        <v>0.23860000000000001</v>
      </c>
      <c r="I33" s="63">
        <f>4140/100000</f>
        <v>4.1399999999999999E-2</v>
      </c>
      <c r="J33" s="63">
        <f>21971/100000</f>
        <v>0.21970999999999999</v>
      </c>
      <c r="K33" s="63">
        <f>253500/100000</f>
        <v>2.5350000000000001</v>
      </c>
      <c r="L33" s="63"/>
      <c r="M33" s="64">
        <f t="shared" si="0"/>
        <v>3.7547100000000002</v>
      </c>
      <c r="N33" s="63">
        <f t="shared" si="1"/>
        <v>66.578538599029699</v>
      </c>
    </row>
    <row r="34" spans="1:14" s="32" customFormat="1">
      <c r="A34" s="533" t="s">
        <v>394</v>
      </c>
      <c r="B34" s="533">
        <v>2750</v>
      </c>
      <c r="C34" s="533" t="s">
        <v>877</v>
      </c>
      <c r="D34" s="10">
        <f>192000/100000</f>
        <v>1.92</v>
      </c>
      <c r="E34" s="10">
        <f>192000/100000</f>
        <v>1.92</v>
      </c>
      <c r="F34" s="63">
        <f>10000/100000</f>
        <v>0.1</v>
      </c>
      <c r="G34" s="63">
        <f>50000/100000</f>
        <v>0.5</v>
      </c>
      <c r="H34" s="63">
        <f>25350/100000</f>
        <v>0.2535</v>
      </c>
      <c r="I34" s="63">
        <f>40650/100000</f>
        <v>0.40649999999999997</v>
      </c>
      <c r="J34" s="63">
        <f>10194/100000</f>
        <v>0.10194</v>
      </c>
      <c r="K34" s="63">
        <f>29000/100000</f>
        <v>0.28999999999999998</v>
      </c>
      <c r="L34" s="63"/>
      <c r="M34" s="64">
        <f t="shared" si="0"/>
        <v>1.6519399999999997</v>
      </c>
      <c r="N34" s="63">
        <f t="shared" si="1"/>
        <v>86.038541666666646</v>
      </c>
    </row>
    <row r="35" spans="1:14" s="32" customFormat="1">
      <c r="A35" s="65" t="s">
        <v>230</v>
      </c>
      <c r="B35" s="66">
        <f>SUM(B27:B34)</f>
        <v>97515</v>
      </c>
      <c r="C35" s="66"/>
      <c r="D35" s="67">
        <f>SUM(D27:D34)</f>
        <v>64.399429999999995</v>
      </c>
      <c r="E35" s="67">
        <f>SUM(E27:E34)</f>
        <v>63.599420000000009</v>
      </c>
      <c r="F35" s="67">
        <f t="shared" ref="F35:M35" si="2">SUM(F27:F34)</f>
        <v>0.16283999999999998</v>
      </c>
      <c r="G35" s="67">
        <f>SUM(G27:G34)</f>
        <v>9.2469200000000011</v>
      </c>
      <c r="H35" s="67">
        <f>SUM(H27:H34)</f>
        <v>10.577110000000001</v>
      </c>
      <c r="I35" s="67">
        <f t="shared" si="2"/>
        <v>24.698900000000002</v>
      </c>
      <c r="J35" s="67">
        <f>SUM(J27:J34)</f>
        <v>13.6927</v>
      </c>
      <c r="K35" s="67">
        <f t="shared" si="2"/>
        <v>3.7695100000000004</v>
      </c>
      <c r="L35" s="68">
        <f t="shared" si="2"/>
        <v>0</v>
      </c>
      <c r="M35" s="67">
        <f t="shared" si="2"/>
        <v>62.147980000000004</v>
      </c>
      <c r="N35" s="63">
        <f t="shared" si="1"/>
        <v>97.717840823076685</v>
      </c>
    </row>
    <row r="36" spans="1:14" s="32" customFormat="1"/>
    <row r="37" spans="1:14" s="32" customFormat="1"/>
    <row r="38" spans="1:14" s="32" customFormat="1"/>
    <row r="39" spans="1:14" s="32" customFormat="1"/>
    <row r="40" spans="1:14" s="32" customFormat="1"/>
    <row r="41" spans="1:14" s="32" customFormat="1"/>
    <row r="42" spans="1:14" s="32" customFormat="1"/>
    <row r="43" spans="1:14" s="32" customFormat="1"/>
    <row r="44" spans="1:14" s="32" customFormat="1"/>
    <row r="45" spans="1:14" s="32" customFormat="1"/>
    <row r="46" spans="1:14" s="33" customFormat="1"/>
    <row r="47" spans="1:14" s="33" customFormat="1"/>
    <row r="48" spans="1:14" s="33" customFormat="1"/>
    <row r="49" s="33" customFormat="1"/>
    <row r="50" s="33" customFormat="1"/>
    <row r="51" s="33" customFormat="1"/>
  </sheetData>
  <mergeCells count="38">
    <mergeCell ref="A1:N1"/>
    <mergeCell ref="A2:N2"/>
    <mergeCell ref="B4:D4"/>
    <mergeCell ref="E4:F4"/>
    <mergeCell ref="G4:H4"/>
    <mergeCell ref="I4:J4"/>
    <mergeCell ref="L4:M4"/>
    <mergeCell ref="A3:C3"/>
    <mergeCell ref="B11:C11"/>
    <mergeCell ref="D11:F11"/>
    <mergeCell ref="G11:I11"/>
    <mergeCell ref="J11:M11"/>
    <mergeCell ref="B12:C12"/>
    <mergeCell ref="D12:F12"/>
    <mergeCell ref="G12:I12"/>
    <mergeCell ref="J12:M12"/>
    <mergeCell ref="B6:D6"/>
    <mergeCell ref="E6:F6"/>
    <mergeCell ref="G6:I6"/>
    <mergeCell ref="B8:D8"/>
    <mergeCell ref="E8:H8"/>
    <mergeCell ref="I8:K8"/>
    <mergeCell ref="B13:C13"/>
    <mergeCell ref="D13:F13"/>
    <mergeCell ref="G13:I13"/>
    <mergeCell ref="J13:M13"/>
    <mergeCell ref="A25:A26"/>
    <mergeCell ref="B25:B26"/>
    <mergeCell ref="C25:C26"/>
    <mergeCell ref="D25:D26"/>
    <mergeCell ref="E25:E26"/>
    <mergeCell ref="B14:C14"/>
    <mergeCell ref="F25:N25"/>
    <mergeCell ref="C17:D17"/>
    <mergeCell ref="B15:C15"/>
    <mergeCell ref="D15:F15"/>
    <mergeCell ref="G15:I15"/>
    <mergeCell ref="J15:M15"/>
  </mergeCells>
  <hyperlinks>
    <hyperlink ref="A3" location="'Fact Sheet of VDC'!A1" display="&lt;&lt;Back"/>
  </hyperlinks>
  <pageMargins left="0.22" right="0.22" top="0.48" bottom="0.23" header="0.3" footer="0.3"/>
  <pageSetup scale="79" orientation="landscape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N134"/>
  <sheetViews>
    <sheetView workbookViewId="0">
      <selection activeCell="A3" sqref="A3:C3"/>
    </sheetView>
  </sheetViews>
  <sheetFormatPr defaultRowHeight="15"/>
  <cols>
    <col min="1" max="1" width="25.7109375" customWidth="1"/>
    <col min="2" max="3" width="9.28515625" bestFit="1" customWidth="1"/>
    <col min="4" max="5" width="9.7109375" bestFit="1" customWidth="1"/>
    <col min="6" max="8" width="9.28515625" bestFit="1" customWidth="1"/>
    <col min="9" max="9" width="9.7109375" bestFit="1" customWidth="1"/>
    <col min="10" max="12" width="9.28515625" bestFit="1" customWidth="1"/>
    <col min="13" max="14" width="9.42578125" bestFit="1" customWidth="1"/>
    <col min="257" max="257" width="25.7109375" customWidth="1"/>
    <col min="258" max="259" width="9.28515625" bestFit="1" customWidth="1"/>
    <col min="260" max="261" width="9.7109375" bestFit="1" customWidth="1"/>
    <col min="262" max="264" width="9.28515625" bestFit="1" customWidth="1"/>
    <col min="265" max="265" width="9.7109375" bestFit="1" customWidth="1"/>
    <col min="266" max="268" width="9.28515625" bestFit="1" customWidth="1"/>
    <col min="269" max="270" width="9.42578125" bestFit="1" customWidth="1"/>
    <col min="513" max="513" width="25.7109375" customWidth="1"/>
    <col min="514" max="515" width="9.28515625" bestFit="1" customWidth="1"/>
    <col min="516" max="517" width="9.7109375" bestFit="1" customWidth="1"/>
    <col min="518" max="520" width="9.28515625" bestFit="1" customWidth="1"/>
    <col min="521" max="521" width="9.7109375" bestFit="1" customWidth="1"/>
    <col min="522" max="524" width="9.28515625" bestFit="1" customWidth="1"/>
    <col min="525" max="526" width="9.42578125" bestFit="1" customWidth="1"/>
    <col min="769" max="769" width="25.7109375" customWidth="1"/>
    <col min="770" max="771" width="9.28515625" bestFit="1" customWidth="1"/>
    <col min="772" max="773" width="9.7109375" bestFit="1" customWidth="1"/>
    <col min="774" max="776" width="9.28515625" bestFit="1" customWidth="1"/>
    <col min="777" max="777" width="9.7109375" bestFit="1" customWidth="1"/>
    <col min="778" max="780" width="9.28515625" bestFit="1" customWidth="1"/>
    <col min="781" max="782" width="9.42578125" bestFit="1" customWidth="1"/>
    <col min="1025" max="1025" width="25.7109375" customWidth="1"/>
    <col min="1026" max="1027" width="9.28515625" bestFit="1" customWidth="1"/>
    <col min="1028" max="1029" width="9.7109375" bestFit="1" customWidth="1"/>
    <col min="1030" max="1032" width="9.28515625" bestFit="1" customWidth="1"/>
    <col min="1033" max="1033" width="9.7109375" bestFit="1" customWidth="1"/>
    <col min="1034" max="1036" width="9.28515625" bestFit="1" customWidth="1"/>
    <col min="1037" max="1038" width="9.42578125" bestFit="1" customWidth="1"/>
    <col min="1281" max="1281" width="25.7109375" customWidth="1"/>
    <col min="1282" max="1283" width="9.28515625" bestFit="1" customWidth="1"/>
    <col min="1284" max="1285" width="9.7109375" bestFit="1" customWidth="1"/>
    <col min="1286" max="1288" width="9.28515625" bestFit="1" customWidth="1"/>
    <col min="1289" max="1289" width="9.7109375" bestFit="1" customWidth="1"/>
    <col min="1290" max="1292" width="9.28515625" bestFit="1" customWidth="1"/>
    <col min="1293" max="1294" width="9.42578125" bestFit="1" customWidth="1"/>
    <col min="1537" max="1537" width="25.7109375" customWidth="1"/>
    <col min="1538" max="1539" width="9.28515625" bestFit="1" customWidth="1"/>
    <col min="1540" max="1541" width="9.7109375" bestFit="1" customWidth="1"/>
    <col min="1542" max="1544" width="9.28515625" bestFit="1" customWidth="1"/>
    <col min="1545" max="1545" width="9.7109375" bestFit="1" customWidth="1"/>
    <col min="1546" max="1548" width="9.28515625" bestFit="1" customWidth="1"/>
    <col min="1549" max="1550" width="9.42578125" bestFit="1" customWidth="1"/>
    <col min="1793" max="1793" width="25.7109375" customWidth="1"/>
    <col min="1794" max="1795" width="9.28515625" bestFit="1" customWidth="1"/>
    <col min="1796" max="1797" width="9.7109375" bestFit="1" customWidth="1"/>
    <col min="1798" max="1800" width="9.28515625" bestFit="1" customWidth="1"/>
    <col min="1801" max="1801" width="9.7109375" bestFit="1" customWidth="1"/>
    <col min="1802" max="1804" width="9.28515625" bestFit="1" customWidth="1"/>
    <col min="1805" max="1806" width="9.42578125" bestFit="1" customWidth="1"/>
    <col min="2049" max="2049" width="25.7109375" customWidth="1"/>
    <col min="2050" max="2051" width="9.28515625" bestFit="1" customWidth="1"/>
    <col min="2052" max="2053" width="9.7109375" bestFit="1" customWidth="1"/>
    <col min="2054" max="2056" width="9.28515625" bestFit="1" customWidth="1"/>
    <col min="2057" max="2057" width="9.7109375" bestFit="1" customWidth="1"/>
    <col min="2058" max="2060" width="9.28515625" bestFit="1" customWidth="1"/>
    <col min="2061" max="2062" width="9.42578125" bestFit="1" customWidth="1"/>
    <col min="2305" max="2305" width="25.7109375" customWidth="1"/>
    <col min="2306" max="2307" width="9.28515625" bestFit="1" customWidth="1"/>
    <col min="2308" max="2309" width="9.7109375" bestFit="1" customWidth="1"/>
    <col min="2310" max="2312" width="9.28515625" bestFit="1" customWidth="1"/>
    <col min="2313" max="2313" width="9.7109375" bestFit="1" customWidth="1"/>
    <col min="2314" max="2316" width="9.28515625" bestFit="1" customWidth="1"/>
    <col min="2317" max="2318" width="9.42578125" bestFit="1" customWidth="1"/>
    <col min="2561" max="2561" width="25.7109375" customWidth="1"/>
    <col min="2562" max="2563" width="9.28515625" bestFit="1" customWidth="1"/>
    <col min="2564" max="2565" width="9.7109375" bestFit="1" customWidth="1"/>
    <col min="2566" max="2568" width="9.28515625" bestFit="1" customWidth="1"/>
    <col min="2569" max="2569" width="9.7109375" bestFit="1" customWidth="1"/>
    <col min="2570" max="2572" width="9.28515625" bestFit="1" customWidth="1"/>
    <col min="2573" max="2574" width="9.42578125" bestFit="1" customWidth="1"/>
    <col min="2817" max="2817" width="25.7109375" customWidth="1"/>
    <col min="2818" max="2819" width="9.28515625" bestFit="1" customWidth="1"/>
    <col min="2820" max="2821" width="9.7109375" bestFit="1" customWidth="1"/>
    <col min="2822" max="2824" width="9.28515625" bestFit="1" customWidth="1"/>
    <col min="2825" max="2825" width="9.7109375" bestFit="1" customWidth="1"/>
    <col min="2826" max="2828" width="9.28515625" bestFit="1" customWidth="1"/>
    <col min="2829" max="2830" width="9.42578125" bestFit="1" customWidth="1"/>
    <col min="3073" max="3073" width="25.7109375" customWidth="1"/>
    <col min="3074" max="3075" width="9.28515625" bestFit="1" customWidth="1"/>
    <col min="3076" max="3077" width="9.7109375" bestFit="1" customWidth="1"/>
    <col min="3078" max="3080" width="9.28515625" bestFit="1" customWidth="1"/>
    <col min="3081" max="3081" width="9.7109375" bestFit="1" customWidth="1"/>
    <col min="3082" max="3084" width="9.28515625" bestFit="1" customWidth="1"/>
    <col min="3085" max="3086" width="9.42578125" bestFit="1" customWidth="1"/>
    <col min="3329" max="3329" width="25.7109375" customWidth="1"/>
    <col min="3330" max="3331" width="9.28515625" bestFit="1" customWidth="1"/>
    <col min="3332" max="3333" width="9.7109375" bestFit="1" customWidth="1"/>
    <col min="3334" max="3336" width="9.28515625" bestFit="1" customWidth="1"/>
    <col min="3337" max="3337" width="9.7109375" bestFit="1" customWidth="1"/>
    <col min="3338" max="3340" width="9.28515625" bestFit="1" customWidth="1"/>
    <col min="3341" max="3342" width="9.42578125" bestFit="1" customWidth="1"/>
    <col min="3585" max="3585" width="25.7109375" customWidth="1"/>
    <col min="3586" max="3587" width="9.28515625" bestFit="1" customWidth="1"/>
    <col min="3588" max="3589" width="9.7109375" bestFit="1" customWidth="1"/>
    <col min="3590" max="3592" width="9.28515625" bestFit="1" customWidth="1"/>
    <col min="3593" max="3593" width="9.7109375" bestFit="1" customWidth="1"/>
    <col min="3594" max="3596" width="9.28515625" bestFit="1" customWidth="1"/>
    <col min="3597" max="3598" width="9.42578125" bestFit="1" customWidth="1"/>
    <col min="3841" max="3841" width="25.7109375" customWidth="1"/>
    <col min="3842" max="3843" width="9.28515625" bestFit="1" customWidth="1"/>
    <col min="3844" max="3845" width="9.7109375" bestFit="1" customWidth="1"/>
    <col min="3846" max="3848" width="9.28515625" bestFit="1" customWidth="1"/>
    <col min="3849" max="3849" width="9.7109375" bestFit="1" customWidth="1"/>
    <col min="3850" max="3852" width="9.28515625" bestFit="1" customWidth="1"/>
    <col min="3853" max="3854" width="9.42578125" bestFit="1" customWidth="1"/>
    <col min="4097" max="4097" width="25.7109375" customWidth="1"/>
    <col min="4098" max="4099" width="9.28515625" bestFit="1" customWidth="1"/>
    <col min="4100" max="4101" width="9.7109375" bestFit="1" customWidth="1"/>
    <col min="4102" max="4104" width="9.28515625" bestFit="1" customWidth="1"/>
    <col min="4105" max="4105" width="9.7109375" bestFit="1" customWidth="1"/>
    <col min="4106" max="4108" width="9.28515625" bestFit="1" customWidth="1"/>
    <col min="4109" max="4110" width="9.42578125" bestFit="1" customWidth="1"/>
    <col min="4353" max="4353" width="25.7109375" customWidth="1"/>
    <col min="4354" max="4355" width="9.28515625" bestFit="1" customWidth="1"/>
    <col min="4356" max="4357" width="9.7109375" bestFit="1" customWidth="1"/>
    <col min="4358" max="4360" width="9.28515625" bestFit="1" customWidth="1"/>
    <col min="4361" max="4361" width="9.7109375" bestFit="1" customWidth="1"/>
    <col min="4362" max="4364" width="9.28515625" bestFit="1" customWidth="1"/>
    <col min="4365" max="4366" width="9.42578125" bestFit="1" customWidth="1"/>
    <col min="4609" max="4609" width="25.7109375" customWidth="1"/>
    <col min="4610" max="4611" width="9.28515625" bestFit="1" customWidth="1"/>
    <col min="4612" max="4613" width="9.7109375" bestFit="1" customWidth="1"/>
    <col min="4614" max="4616" width="9.28515625" bestFit="1" customWidth="1"/>
    <col min="4617" max="4617" width="9.7109375" bestFit="1" customWidth="1"/>
    <col min="4618" max="4620" width="9.28515625" bestFit="1" customWidth="1"/>
    <col min="4621" max="4622" width="9.42578125" bestFit="1" customWidth="1"/>
    <col min="4865" max="4865" width="25.7109375" customWidth="1"/>
    <col min="4866" max="4867" width="9.28515625" bestFit="1" customWidth="1"/>
    <col min="4868" max="4869" width="9.7109375" bestFit="1" customWidth="1"/>
    <col min="4870" max="4872" width="9.28515625" bestFit="1" customWidth="1"/>
    <col min="4873" max="4873" width="9.7109375" bestFit="1" customWidth="1"/>
    <col min="4874" max="4876" width="9.28515625" bestFit="1" customWidth="1"/>
    <col min="4877" max="4878" width="9.42578125" bestFit="1" customWidth="1"/>
    <col min="5121" max="5121" width="25.7109375" customWidth="1"/>
    <col min="5122" max="5123" width="9.28515625" bestFit="1" customWidth="1"/>
    <col min="5124" max="5125" width="9.7109375" bestFit="1" customWidth="1"/>
    <col min="5126" max="5128" width="9.28515625" bestFit="1" customWidth="1"/>
    <col min="5129" max="5129" width="9.7109375" bestFit="1" customWidth="1"/>
    <col min="5130" max="5132" width="9.28515625" bestFit="1" customWidth="1"/>
    <col min="5133" max="5134" width="9.42578125" bestFit="1" customWidth="1"/>
    <col min="5377" max="5377" width="25.7109375" customWidth="1"/>
    <col min="5378" max="5379" width="9.28515625" bestFit="1" customWidth="1"/>
    <col min="5380" max="5381" width="9.7109375" bestFit="1" customWidth="1"/>
    <col min="5382" max="5384" width="9.28515625" bestFit="1" customWidth="1"/>
    <col min="5385" max="5385" width="9.7109375" bestFit="1" customWidth="1"/>
    <col min="5386" max="5388" width="9.28515625" bestFit="1" customWidth="1"/>
    <col min="5389" max="5390" width="9.42578125" bestFit="1" customWidth="1"/>
    <col min="5633" max="5633" width="25.7109375" customWidth="1"/>
    <col min="5634" max="5635" width="9.28515625" bestFit="1" customWidth="1"/>
    <col min="5636" max="5637" width="9.7109375" bestFit="1" customWidth="1"/>
    <col min="5638" max="5640" width="9.28515625" bestFit="1" customWidth="1"/>
    <col min="5641" max="5641" width="9.7109375" bestFit="1" customWidth="1"/>
    <col min="5642" max="5644" width="9.28515625" bestFit="1" customWidth="1"/>
    <col min="5645" max="5646" width="9.42578125" bestFit="1" customWidth="1"/>
    <col min="5889" max="5889" width="25.7109375" customWidth="1"/>
    <col min="5890" max="5891" width="9.28515625" bestFit="1" customWidth="1"/>
    <col min="5892" max="5893" width="9.7109375" bestFit="1" customWidth="1"/>
    <col min="5894" max="5896" width="9.28515625" bestFit="1" customWidth="1"/>
    <col min="5897" max="5897" width="9.7109375" bestFit="1" customWidth="1"/>
    <col min="5898" max="5900" width="9.28515625" bestFit="1" customWidth="1"/>
    <col min="5901" max="5902" width="9.42578125" bestFit="1" customWidth="1"/>
    <col min="6145" max="6145" width="25.7109375" customWidth="1"/>
    <col min="6146" max="6147" width="9.28515625" bestFit="1" customWidth="1"/>
    <col min="6148" max="6149" width="9.7109375" bestFit="1" customWidth="1"/>
    <col min="6150" max="6152" width="9.28515625" bestFit="1" customWidth="1"/>
    <col min="6153" max="6153" width="9.7109375" bestFit="1" customWidth="1"/>
    <col min="6154" max="6156" width="9.28515625" bestFit="1" customWidth="1"/>
    <col min="6157" max="6158" width="9.42578125" bestFit="1" customWidth="1"/>
    <col min="6401" max="6401" width="25.7109375" customWidth="1"/>
    <col min="6402" max="6403" width="9.28515625" bestFit="1" customWidth="1"/>
    <col min="6404" max="6405" width="9.7109375" bestFit="1" customWidth="1"/>
    <col min="6406" max="6408" width="9.28515625" bestFit="1" customWidth="1"/>
    <col min="6409" max="6409" width="9.7109375" bestFit="1" customWidth="1"/>
    <col min="6410" max="6412" width="9.28515625" bestFit="1" customWidth="1"/>
    <col min="6413" max="6414" width="9.42578125" bestFit="1" customWidth="1"/>
    <col min="6657" max="6657" width="25.7109375" customWidth="1"/>
    <col min="6658" max="6659" width="9.28515625" bestFit="1" customWidth="1"/>
    <col min="6660" max="6661" width="9.7109375" bestFit="1" customWidth="1"/>
    <col min="6662" max="6664" width="9.28515625" bestFit="1" customWidth="1"/>
    <col min="6665" max="6665" width="9.7109375" bestFit="1" customWidth="1"/>
    <col min="6666" max="6668" width="9.28515625" bestFit="1" customWidth="1"/>
    <col min="6669" max="6670" width="9.42578125" bestFit="1" customWidth="1"/>
    <col min="6913" max="6913" width="25.7109375" customWidth="1"/>
    <col min="6914" max="6915" width="9.28515625" bestFit="1" customWidth="1"/>
    <col min="6916" max="6917" width="9.7109375" bestFit="1" customWidth="1"/>
    <col min="6918" max="6920" width="9.28515625" bestFit="1" customWidth="1"/>
    <col min="6921" max="6921" width="9.7109375" bestFit="1" customWidth="1"/>
    <col min="6922" max="6924" width="9.28515625" bestFit="1" customWidth="1"/>
    <col min="6925" max="6926" width="9.42578125" bestFit="1" customWidth="1"/>
    <col min="7169" max="7169" width="25.7109375" customWidth="1"/>
    <col min="7170" max="7171" width="9.28515625" bestFit="1" customWidth="1"/>
    <col min="7172" max="7173" width="9.7109375" bestFit="1" customWidth="1"/>
    <col min="7174" max="7176" width="9.28515625" bestFit="1" customWidth="1"/>
    <col min="7177" max="7177" width="9.7109375" bestFit="1" customWidth="1"/>
    <col min="7178" max="7180" width="9.28515625" bestFit="1" customWidth="1"/>
    <col min="7181" max="7182" width="9.42578125" bestFit="1" customWidth="1"/>
    <col min="7425" max="7425" width="25.7109375" customWidth="1"/>
    <col min="7426" max="7427" width="9.28515625" bestFit="1" customWidth="1"/>
    <col min="7428" max="7429" width="9.7109375" bestFit="1" customWidth="1"/>
    <col min="7430" max="7432" width="9.28515625" bestFit="1" customWidth="1"/>
    <col min="7433" max="7433" width="9.7109375" bestFit="1" customWidth="1"/>
    <col min="7434" max="7436" width="9.28515625" bestFit="1" customWidth="1"/>
    <col min="7437" max="7438" width="9.42578125" bestFit="1" customWidth="1"/>
    <col min="7681" max="7681" width="25.7109375" customWidth="1"/>
    <col min="7682" max="7683" width="9.28515625" bestFit="1" customWidth="1"/>
    <col min="7684" max="7685" width="9.7109375" bestFit="1" customWidth="1"/>
    <col min="7686" max="7688" width="9.28515625" bestFit="1" customWidth="1"/>
    <col min="7689" max="7689" width="9.7109375" bestFit="1" customWidth="1"/>
    <col min="7690" max="7692" width="9.28515625" bestFit="1" customWidth="1"/>
    <col min="7693" max="7694" width="9.42578125" bestFit="1" customWidth="1"/>
    <col min="7937" max="7937" width="25.7109375" customWidth="1"/>
    <col min="7938" max="7939" width="9.28515625" bestFit="1" customWidth="1"/>
    <col min="7940" max="7941" width="9.7109375" bestFit="1" customWidth="1"/>
    <col min="7942" max="7944" width="9.28515625" bestFit="1" customWidth="1"/>
    <col min="7945" max="7945" width="9.7109375" bestFit="1" customWidth="1"/>
    <col min="7946" max="7948" width="9.28515625" bestFit="1" customWidth="1"/>
    <col min="7949" max="7950" width="9.42578125" bestFit="1" customWidth="1"/>
    <col min="8193" max="8193" width="25.7109375" customWidth="1"/>
    <col min="8194" max="8195" width="9.28515625" bestFit="1" customWidth="1"/>
    <col min="8196" max="8197" width="9.7109375" bestFit="1" customWidth="1"/>
    <col min="8198" max="8200" width="9.28515625" bestFit="1" customWidth="1"/>
    <col min="8201" max="8201" width="9.7109375" bestFit="1" customWidth="1"/>
    <col min="8202" max="8204" width="9.28515625" bestFit="1" customWidth="1"/>
    <col min="8205" max="8206" width="9.42578125" bestFit="1" customWidth="1"/>
    <col min="8449" max="8449" width="25.7109375" customWidth="1"/>
    <col min="8450" max="8451" width="9.28515625" bestFit="1" customWidth="1"/>
    <col min="8452" max="8453" width="9.7109375" bestFit="1" customWidth="1"/>
    <col min="8454" max="8456" width="9.28515625" bestFit="1" customWidth="1"/>
    <col min="8457" max="8457" width="9.7109375" bestFit="1" customWidth="1"/>
    <col min="8458" max="8460" width="9.28515625" bestFit="1" customWidth="1"/>
    <col min="8461" max="8462" width="9.42578125" bestFit="1" customWidth="1"/>
    <col min="8705" max="8705" width="25.7109375" customWidth="1"/>
    <col min="8706" max="8707" width="9.28515625" bestFit="1" customWidth="1"/>
    <col min="8708" max="8709" width="9.7109375" bestFit="1" customWidth="1"/>
    <col min="8710" max="8712" width="9.28515625" bestFit="1" customWidth="1"/>
    <col min="8713" max="8713" width="9.7109375" bestFit="1" customWidth="1"/>
    <col min="8714" max="8716" width="9.28515625" bestFit="1" customWidth="1"/>
    <col min="8717" max="8718" width="9.42578125" bestFit="1" customWidth="1"/>
    <col min="8961" max="8961" width="25.7109375" customWidth="1"/>
    <col min="8962" max="8963" width="9.28515625" bestFit="1" customWidth="1"/>
    <col min="8964" max="8965" width="9.7109375" bestFit="1" customWidth="1"/>
    <col min="8966" max="8968" width="9.28515625" bestFit="1" customWidth="1"/>
    <col min="8969" max="8969" width="9.7109375" bestFit="1" customWidth="1"/>
    <col min="8970" max="8972" width="9.28515625" bestFit="1" customWidth="1"/>
    <col min="8973" max="8974" width="9.42578125" bestFit="1" customWidth="1"/>
    <col min="9217" max="9217" width="25.7109375" customWidth="1"/>
    <col min="9218" max="9219" width="9.28515625" bestFit="1" customWidth="1"/>
    <col min="9220" max="9221" width="9.7109375" bestFit="1" customWidth="1"/>
    <col min="9222" max="9224" width="9.28515625" bestFit="1" customWidth="1"/>
    <col min="9225" max="9225" width="9.7109375" bestFit="1" customWidth="1"/>
    <col min="9226" max="9228" width="9.28515625" bestFit="1" customWidth="1"/>
    <col min="9229" max="9230" width="9.42578125" bestFit="1" customWidth="1"/>
    <col min="9473" max="9473" width="25.7109375" customWidth="1"/>
    <col min="9474" max="9475" width="9.28515625" bestFit="1" customWidth="1"/>
    <col min="9476" max="9477" width="9.7109375" bestFit="1" customWidth="1"/>
    <col min="9478" max="9480" width="9.28515625" bestFit="1" customWidth="1"/>
    <col min="9481" max="9481" width="9.7109375" bestFit="1" customWidth="1"/>
    <col min="9482" max="9484" width="9.28515625" bestFit="1" customWidth="1"/>
    <col min="9485" max="9486" width="9.42578125" bestFit="1" customWidth="1"/>
    <col min="9729" max="9729" width="25.7109375" customWidth="1"/>
    <col min="9730" max="9731" width="9.28515625" bestFit="1" customWidth="1"/>
    <col min="9732" max="9733" width="9.7109375" bestFit="1" customWidth="1"/>
    <col min="9734" max="9736" width="9.28515625" bestFit="1" customWidth="1"/>
    <col min="9737" max="9737" width="9.7109375" bestFit="1" customWidth="1"/>
    <col min="9738" max="9740" width="9.28515625" bestFit="1" customWidth="1"/>
    <col min="9741" max="9742" width="9.42578125" bestFit="1" customWidth="1"/>
    <col min="9985" max="9985" width="25.7109375" customWidth="1"/>
    <col min="9986" max="9987" width="9.28515625" bestFit="1" customWidth="1"/>
    <col min="9988" max="9989" width="9.7109375" bestFit="1" customWidth="1"/>
    <col min="9990" max="9992" width="9.28515625" bestFit="1" customWidth="1"/>
    <col min="9993" max="9993" width="9.7109375" bestFit="1" customWidth="1"/>
    <col min="9994" max="9996" width="9.28515625" bestFit="1" customWidth="1"/>
    <col min="9997" max="9998" width="9.42578125" bestFit="1" customWidth="1"/>
    <col min="10241" max="10241" width="25.7109375" customWidth="1"/>
    <col min="10242" max="10243" width="9.28515625" bestFit="1" customWidth="1"/>
    <col min="10244" max="10245" width="9.7109375" bestFit="1" customWidth="1"/>
    <col min="10246" max="10248" width="9.28515625" bestFit="1" customWidth="1"/>
    <col min="10249" max="10249" width="9.7109375" bestFit="1" customWidth="1"/>
    <col min="10250" max="10252" width="9.28515625" bestFit="1" customWidth="1"/>
    <col min="10253" max="10254" width="9.42578125" bestFit="1" customWidth="1"/>
    <col min="10497" max="10497" width="25.7109375" customWidth="1"/>
    <col min="10498" max="10499" width="9.28515625" bestFit="1" customWidth="1"/>
    <col min="10500" max="10501" width="9.7109375" bestFit="1" customWidth="1"/>
    <col min="10502" max="10504" width="9.28515625" bestFit="1" customWidth="1"/>
    <col min="10505" max="10505" width="9.7109375" bestFit="1" customWidth="1"/>
    <col min="10506" max="10508" width="9.28515625" bestFit="1" customWidth="1"/>
    <col min="10509" max="10510" width="9.42578125" bestFit="1" customWidth="1"/>
    <col min="10753" max="10753" width="25.7109375" customWidth="1"/>
    <col min="10754" max="10755" width="9.28515625" bestFit="1" customWidth="1"/>
    <col min="10756" max="10757" width="9.7109375" bestFit="1" customWidth="1"/>
    <col min="10758" max="10760" width="9.28515625" bestFit="1" customWidth="1"/>
    <col min="10761" max="10761" width="9.7109375" bestFit="1" customWidth="1"/>
    <col min="10762" max="10764" width="9.28515625" bestFit="1" customWidth="1"/>
    <col min="10765" max="10766" width="9.42578125" bestFit="1" customWidth="1"/>
    <col min="11009" max="11009" width="25.7109375" customWidth="1"/>
    <col min="11010" max="11011" width="9.28515625" bestFit="1" customWidth="1"/>
    <col min="11012" max="11013" width="9.7109375" bestFit="1" customWidth="1"/>
    <col min="11014" max="11016" width="9.28515625" bestFit="1" customWidth="1"/>
    <col min="11017" max="11017" width="9.7109375" bestFit="1" customWidth="1"/>
    <col min="11018" max="11020" width="9.28515625" bestFit="1" customWidth="1"/>
    <col min="11021" max="11022" width="9.42578125" bestFit="1" customWidth="1"/>
    <col min="11265" max="11265" width="25.7109375" customWidth="1"/>
    <col min="11266" max="11267" width="9.28515625" bestFit="1" customWidth="1"/>
    <col min="11268" max="11269" width="9.7109375" bestFit="1" customWidth="1"/>
    <col min="11270" max="11272" width="9.28515625" bestFit="1" customWidth="1"/>
    <col min="11273" max="11273" width="9.7109375" bestFit="1" customWidth="1"/>
    <col min="11274" max="11276" width="9.28515625" bestFit="1" customWidth="1"/>
    <col min="11277" max="11278" width="9.42578125" bestFit="1" customWidth="1"/>
    <col min="11521" max="11521" width="25.7109375" customWidth="1"/>
    <col min="11522" max="11523" width="9.28515625" bestFit="1" customWidth="1"/>
    <col min="11524" max="11525" width="9.7109375" bestFit="1" customWidth="1"/>
    <col min="11526" max="11528" width="9.28515625" bestFit="1" customWidth="1"/>
    <col min="11529" max="11529" width="9.7109375" bestFit="1" customWidth="1"/>
    <col min="11530" max="11532" width="9.28515625" bestFit="1" customWidth="1"/>
    <col min="11533" max="11534" width="9.42578125" bestFit="1" customWidth="1"/>
    <col min="11777" max="11777" width="25.7109375" customWidth="1"/>
    <col min="11778" max="11779" width="9.28515625" bestFit="1" customWidth="1"/>
    <col min="11780" max="11781" width="9.7109375" bestFit="1" customWidth="1"/>
    <col min="11782" max="11784" width="9.28515625" bestFit="1" customWidth="1"/>
    <col min="11785" max="11785" width="9.7109375" bestFit="1" customWidth="1"/>
    <col min="11786" max="11788" width="9.28515625" bestFit="1" customWidth="1"/>
    <col min="11789" max="11790" width="9.42578125" bestFit="1" customWidth="1"/>
    <col min="12033" max="12033" width="25.7109375" customWidth="1"/>
    <col min="12034" max="12035" width="9.28515625" bestFit="1" customWidth="1"/>
    <col min="12036" max="12037" width="9.7109375" bestFit="1" customWidth="1"/>
    <col min="12038" max="12040" width="9.28515625" bestFit="1" customWidth="1"/>
    <col min="12041" max="12041" width="9.7109375" bestFit="1" customWidth="1"/>
    <col min="12042" max="12044" width="9.28515625" bestFit="1" customWidth="1"/>
    <col min="12045" max="12046" width="9.42578125" bestFit="1" customWidth="1"/>
    <col min="12289" max="12289" width="25.7109375" customWidth="1"/>
    <col min="12290" max="12291" width="9.28515625" bestFit="1" customWidth="1"/>
    <col min="12292" max="12293" width="9.7109375" bestFit="1" customWidth="1"/>
    <col min="12294" max="12296" width="9.28515625" bestFit="1" customWidth="1"/>
    <col min="12297" max="12297" width="9.7109375" bestFit="1" customWidth="1"/>
    <col min="12298" max="12300" width="9.28515625" bestFit="1" customWidth="1"/>
    <col min="12301" max="12302" width="9.42578125" bestFit="1" customWidth="1"/>
    <col min="12545" max="12545" width="25.7109375" customWidth="1"/>
    <col min="12546" max="12547" width="9.28515625" bestFit="1" customWidth="1"/>
    <col min="12548" max="12549" width="9.7109375" bestFit="1" customWidth="1"/>
    <col min="12550" max="12552" width="9.28515625" bestFit="1" customWidth="1"/>
    <col min="12553" max="12553" width="9.7109375" bestFit="1" customWidth="1"/>
    <col min="12554" max="12556" width="9.28515625" bestFit="1" customWidth="1"/>
    <col min="12557" max="12558" width="9.42578125" bestFit="1" customWidth="1"/>
    <col min="12801" max="12801" width="25.7109375" customWidth="1"/>
    <col min="12802" max="12803" width="9.28515625" bestFit="1" customWidth="1"/>
    <col min="12804" max="12805" width="9.7109375" bestFit="1" customWidth="1"/>
    <col min="12806" max="12808" width="9.28515625" bestFit="1" customWidth="1"/>
    <col min="12809" max="12809" width="9.7109375" bestFit="1" customWidth="1"/>
    <col min="12810" max="12812" width="9.28515625" bestFit="1" customWidth="1"/>
    <col min="12813" max="12814" width="9.42578125" bestFit="1" customWidth="1"/>
    <col min="13057" max="13057" width="25.7109375" customWidth="1"/>
    <col min="13058" max="13059" width="9.28515625" bestFit="1" customWidth="1"/>
    <col min="13060" max="13061" width="9.7109375" bestFit="1" customWidth="1"/>
    <col min="13062" max="13064" width="9.28515625" bestFit="1" customWidth="1"/>
    <col min="13065" max="13065" width="9.7109375" bestFit="1" customWidth="1"/>
    <col min="13066" max="13068" width="9.28515625" bestFit="1" customWidth="1"/>
    <col min="13069" max="13070" width="9.42578125" bestFit="1" customWidth="1"/>
    <col min="13313" max="13313" width="25.7109375" customWidth="1"/>
    <col min="13314" max="13315" width="9.28515625" bestFit="1" customWidth="1"/>
    <col min="13316" max="13317" width="9.7109375" bestFit="1" customWidth="1"/>
    <col min="13318" max="13320" width="9.28515625" bestFit="1" customWidth="1"/>
    <col min="13321" max="13321" width="9.7109375" bestFit="1" customWidth="1"/>
    <col min="13322" max="13324" width="9.28515625" bestFit="1" customWidth="1"/>
    <col min="13325" max="13326" width="9.42578125" bestFit="1" customWidth="1"/>
    <col min="13569" max="13569" width="25.7109375" customWidth="1"/>
    <col min="13570" max="13571" width="9.28515625" bestFit="1" customWidth="1"/>
    <col min="13572" max="13573" width="9.7109375" bestFit="1" customWidth="1"/>
    <col min="13574" max="13576" width="9.28515625" bestFit="1" customWidth="1"/>
    <col min="13577" max="13577" width="9.7109375" bestFit="1" customWidth="1"/>
    <col min="13578" max="13580" width="9.28515625" bestFit="1" customWidth="1"/>
    <col min="13581" max="13582" width="9.42578125" bestFit="1" customWidth="1"/>
    <col min="13825" max="13825" width="25.7109375" customWidth="1"/>
    <col min="13826" max="13827" width="9.28515625" bestFit="1" customWidth="1"/>
    <col min="13828" max="13829" width="9.7109375" bestFit="1" customWidth="1"/>
    <col min="13830" max="13832" width="9.28515625" bestFit="1" customWidth="1"/>
    <col min="13833" max="13833" width="9.7109375" bestFit="1" customWidth="1"/>
    <col min="13834" max="13836" width="9.28515625" bestFit="1" customWidth="1"/>
    <col min="13837" max="13838" width="9.42578125" bestFit="1" customWidth="1"/>
    <col min="14081" max="14081" width="25.7109375" customWidth="1"/>
    <col min="14082" max="14083" width="9.28515625" bestFit="1" customWidth="1"/>
    <col min="14084" max="14085" width="9.7109375" bestFit="1" customWidth="1"/>
    <col min="14086" max="14088" width="9.28515625" bestFit="1" customWidth="1"/>
    <col min="14089" max="14089" width="9.7109375" bestFit="1" customWidth="1"/>
    <col min="14090" max="14092" width="9.28515625" bestFit="1" customWidth="1"/>
    <col min="14093" max="14094" width="9.42578125" bestFit="1" customWidth="1"/>
    <col min="14337" max="14337" width="25.7109375" customWidth="1"/>
    <col min="14338" max="14339" width="9.28515625" bestFit="1" customWidth="1"/>
    <col min="14340" max="14341" width="9.7109375" bestFit="1" customWidth="1"/>
    <col min="14342" max="14344" width="9.28515625" bestFit="1" customWidth="1"/>
    <col min="14345" max="14345" width="9.7109375" bestFit="1" customWidth="1"/>
    <col min="14346" max="14348" width="9.28515625" bestFit="1" customWidth="1"/>
    <col min="14349" max="14350" width="9.42578125" bestFit="1" customWidth="1"/>
    <col min="14593" max="14593" width="25.7109375" customWidth="1"/>
    <col min="14594" max="14595" width="9.28515625" bestFit="1" customWidth="1"/>
    <col min="14596" max="14597" width="9.7109375" bestFit="1" customWidth="1"/>
    <col min="14598" max="14600" width="9.28515625" bestFit="1" customWidth="1"/>
    <col min="14601" max="14601" width="9.7109375" bestFit="1" customWidth="1"/>
    <col min="14602" max="14604" width="9.28515625" bestFit="1" customWidth="1"/>
    <col min="14605" max="14606" width="9.42578125" bestFit="1" customWidth="1"/>
    <col min="14849" max="14849" width="25.7109375" customWidth="1"/>
    <col min="14850" max="14851" width="9.28515625" bestFit="1" customWidth="1"/>
    <col min="14852" max="14853" width="9.7109375" bestFit="1" customWidth="1"/>
    <col min="14854" max="14856" width="9.28515625" bestFit="1" customWidth="1"/>
    <col min="14857" max="14857" width="9.7109375" bestFit="1" customWidth="1"/>
    <col min="14858" max="14860" width="9.28515625" bestFit="1" customWidth="1"/>
    <col min="14861" max="14862" width="9.42578125" bestFit="1" customWidth="1"/>
    <col min="15105" max="15105" width="25.7109375" customWidth="1"/>
    <col min="15106" max="15107" width="9.28515625" bestFit="1" customWidth="1"/>
    <col min="15108" max="15109" width="9.7109375" bestFit="1" customWidth="1"/>
    <col min="15110" max="15112" width="9.28515625" bestFit="1" customWidth="1"/>
    <col min="15113" max="15113" width="9.7109375" bestFit="1" customWidth="1"/>
    <col min="15114" max="15116" width="9.28515625" bestFit="1" customWidth="1"/>
    <col min="15117" max="15118" width="9.42578125" bestFit="1" customWidth="1"/>
    <col min="15361" max="15361" width="25.7109375" customWidth="1"/>
    <col min="15362" max="15363" width="9.28515625" bestFit="1" customWidth="1"/>
    <col min="15364" max="15365" width="9.7109375" bestFit="1" customWidth="1"/>
    <col min="15366" max="15368" width="9.28515625" bestFit="1" customWidth="1"/>
    <col min="15369" max="15369" width="9.7109375" bestFit="1" customWidth="1"/>
    <col min="15370" max="15372" width="9.28515625" bestFit="1" customWidth="1"/>
    <col min="15373" max="15374" width="9.42578125" bestFit="1" customWidth="1"/>
    <col min="15617" max="15617" width="25.7109375" customWidth="1"/>
    <col min="15618" max="15619" width="9.28515625" bestFit="1" customWidth="1"/>
    <col min="15620" max="15621" width="9.7109375" bestFit="1" customWidth="1"/>
    <col min="15622" max="15624" width="9.28515625" bestFit="1" customWidth="1"/>
    <col min="15625" max="15625" width="9.7109375" bestFit="1" customWidth="1"/>
    <col min="15626" max="15628" width="9.28515625" bestFit="1" customWidth="1"/>
    <col min="15629" max="15630" width="9.42578125" bestFit="1" customWidth="1"/>
    <col min="15873" max="15873" width="25.7109375" customWidth="1"/>
    <col min="15874" max="15875" width="9.28515625" bestFit="1" customWidth="1"/>
    <col min="15876" max="15877" width="9.7109375" bestFit="1" customWidth="1"/>
    <col min="15878" max="15880" width="9.28515625" bestFit="1" customWidth="1"/>
    <col min="15881" max="15881" width="9.7109375" bestFit="1" customWidth="1"/>
    <col min="15882" max="15884" width="9.28515625" bestFit="1" customWidth="1"/>
    <col min="15885" max="15886" width="9.42578125" bestFit="1" customWidth="1"/>
    <col min="16129" max="16129" width="25.7109375" customWidth="1"/>
    <col min="16130" max="16131" width="9.28515625" bestFit="1" customWidth="1"/>
    <col min="16132" max="16133" width="9.7109375" bestFit="1" customWidth="1"/>
    <col min="16134" max="16136" width="9.28515625" bestFit="1" customWidth="1"/>
    <col min="16137" max="16137" width="9.7109375" bestFit="1" customWidth="1"/>
    <col min="16138" max="16140" width="9.28515625" bestFit="1" customWidth="1"/>
    <col min="16141" max="16142" width="9.42578125" bestFit="1" customWidth="1"/>
  </cols>
  <sheetData>
    <row r="1" spans="1:14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</row>
    <row r="2" spans="1:14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</row>
    <row r="3" spans="1:14">
      <c r="A3" s="808" t="s">
        <v>4176</v>
      </c>
      <c r="B3" s="808"/>
      <c r="C3" s="808"/>
    </row>
    <row r="4" spans="1:14">
      <c r="A4" s="46" t="s">
        <v>828</v>
      </c>
      <c r="B4" s="854" t="s">
        <v>952</v>
      </c>
      <c r="C4" s="854"/>
      <c r="D4" s="854"/>
      <c r="E4" s="854" t="s">
        <v>830</v>
      </c>
      <c r="F4" s="854"/>
      <c r="G4" s="854">
        <v>904170201</v>
      </c>
      <c r="H4" s="854"/>
      <c r="I4" s="46" t="s">
        <v>5</v>
      </c>
      <c r="J4" s="46"/>
      <c r="K4" s="47">
        <v>501.39499999999998</v>
      </c>
      <c r="L4" s="46" t="s">
        <v>831</v>
      </c>
      <c r="M4" s="46"/>
      <c r="N4" s="47">
        <v>80</v>
      </c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54" t="s">
        <v>953</v>
      </c>
      <c r="C6" s="854"/>
      <c r="D6" s="854"/>
      <c r="E6" s="854" t="s">
        <v>176</v>
      </c>
      <c r="F6" s="854"/>
      <c r="G6" s="854" t="s">
        <v>954</v>
      </c>
      <c r="H6" s="854"/>
      <c r="I6" s="854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 ht="23.25" customHeight="1">
      <c r="A8" s="46" t="s">
        <v>835</v>
      </c>
      <c r="B8" s="854" t="s">
        <v>955</v>
      </c>
      <c r="C8" s="854"/>
      <c r="D8" s="854"/>
      <c r="E8" s="967" t="s">
        <v>912</v>
      </c>
      <c r="F8" s="940"/>
      <c r="G8" s="843">
        <v>9439420428</v>
      </c>
      <c r="H8" s="870"/>
      <c r="I8" s="870"/>
      <c r="J8" s="870"/>
      <c r="K8" s="844"/>
      <c r="L8" s="46"/>
      <c r="M8" s="46"/>
      <c r="N8" s="46"/>
    </row>
    <row r="9" spans="1:14">
      <c r="A9" s="46"/>
      <c r="B9" s="46"/>
      <c r="C9" s="46"/>
      <c r="D9" s="46"/>
      <c r="E9" s="46"/>
      <c r="F9" s="46"/>
      <c r="G9" s="48"/>
      <c r="H9" s="48"/>
      <c r="I9" s="48"/>
      <c r="J9" s="48"/>
      <c r="K9" s="48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47" t="s">
        <v>838</v>
      </c>
      <c r="B11" s="854" t="s">
        <v>956</v>
      </c>
      <c r="C11" s="854"/>
      <c r="D11" s="854"/>
      <c r="E11" s="854"/>
      <c r="F11" s="854"/>
      <c r="G11" s="854"/>
      <c r="H11" s="854"/>
      <c r="I11" s="854"/>
      <c r="J11" s="854"/>
      <c r="K11" s="854"/>
      <c r="L11" s="854"/>
      <c r="M11" s="854"/>
      <c r="N11" s="46"/>
    </row>
    <row r="12" spans="1:14">
      <c r="A12" s="47" t="s">
        <v>840</v>
      </c>
      <c r="B12" s="854" t="s">
        <v>957</v>
      </c>
      <c r="C12" s="854"/>
      <c r="D12" s="854" t="s">
        <v>944</v>
      </c>
      <c r="E12" s="854"/>
      <c r="F12" s="854"/>
      <c r="G12" s="854" t="s">
        <v>958</v>
      </c>
      <c r="H12" s="854"/>
      <c r="I12" s="854"/>
      <c r="J12" s="854"/>
      <c r="K12" s="854"/>
      <c r="L12" s="854"/>
      <c r="M12" s="854"/>
      <c r="N12" s="46"/>
    </row>
    <row r="13" spans="1:14">
      <c r="A13" s="47" t="s">
        <v>844</v>
      </c>
      <c r="B13" s="843" t="s">
        <v>959</v>
      </c>
      <c r="C13" s="870"/>
      <c r="D13" s="843" t="s">
        <v>960</v>
      </c>
      <c r="E13" s="870"/>
      <c r="F13" s="844"/>
      <c r="G13" s="854" t="s">
        <v>961</v>
      </c>
      <c r="H13" s="854"/>
      <c r="I13" s="854"/>
      <c r="J13" s="854" t="s">
        <v>962</v>
      </c>
      <c r="K13" s="854"/>
      <c r="L13" s="854"/>
      <c r="M13" s="854"/>
      <c r="N13" s="46"/>
    </row>
    <row r="14" spans="1:14">
      <c r="A14" s="47"/>
      <c r="B14" s="843" t="s">
        <v>963</v>
      </c>
      <c r="C14" s="870"/>
      <c r="D14" s="520"/>
      <c r="E14" s="525"/>
      <c r="F14" s="521"/>
      <c r="G14" s="522"/>
      <c r="H14" s="522"/>
      <c r="I14" s="522"/>
      <c r="J14" s="522"/>
      <c r="K14" s="522"/>
      <c r="L14" s="522"/>
      <c r="M14" s="522"/>
      <c r="N14" s="46"/>
    </row>
    <row r="15" spans="1:14">
      <c r="A15" s="47" t="s">
        <v>850</v>
      </c>
      <c r="B15" s="854" t="s">
        <v>964</v>
      </c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4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>
      <c r="A17" s="46" t="s">
        <v>852</v>
      </c>
      <c r="B17" s="47">
        <v>3</v>
      </c>
      <c r="C17" s="46" t="s">
        <v>853</v>
      </c>
      <c r="D17" s="46"/>
      <c r="E17" s="522">
        <v>3</v>
      </c>
      <c r="G17" s="46" t="s">
        <v>643</v>
      </c>
      <c r="H17" s="522">
        <v>11</v>
      </c>
      <c r="I17" s="46" t="s">
        <v>644</v>
      </c>
      <c r="J17" s="47">
        <v>1</v>
      </c>
      <c r="K17" s="46" t="s">
        <v>645</v>
      </c>
      <c r="L17" s="47">
        <v>12</v>
      </c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46" t="s">
        <v>854</v>
      </c>
      <c r="B20" s="46" t="s">
        <v>204</v>
      </c>
      <c r="C20" s="47">
        <v>197</v>
      </c>
      <c r="D20" s="46" t="s">
        <v>205</v>
      </c>
      <c r="E20" s="47"/>
      <c r="F20" s="49" t="s">
        <v>206</v>
      </c>
      <c r="G20" s="47"/>
      <c r="H20" s="46" t="s">
        <v>230</v>
      </c>
      <c r="I20" s="47">
        <v>197</v>
      </c>
      <c r="J20" s="46" t="s">
        <v>207</v>
      </c>
      <c r="K20" s="47">
        <v>10</v>
      </c>
      <c r="L20" s="46" t="s">
        <v>855</v>
      </c>
      <c r="M20" s="46"/>
      <c r="N20" s="47">
        <v>13</v>
      </c>
    </row>
    <row r="21" spans="1:14">
      <c r="A21" s="46" t="s">
        <v>209</v>
      </c>
      <c r="B21" s="46" t="s">
        <v>210</v>
      </c>
      <c r="C21" s="47">
        <v>533</v>
      </c>
      <c r="D21" s="46" t="s">
        <v>211</v>
      </c>
      <c r="E21" s="47"/>
      <c r="F21" s="49" t="s">
        <v>212</v>
      </c>
      <c r="G21" s="47"/>
      <c r="H21" s="46" t="s">
        <v>411</v>
      </c>
      <c r="I21" s="47">
        <f>C21</f>
        <v>533</v>
      </c>
      <c r="J21" s="46"/>
      <c r="K21" s="46"/>
      <c r="L21" s="46"/>
      <c r="M21" s="46"/>
      <c r="N21" s="46"/>
    </row>
    <row r="22" spans="1:14">
      <c r="A22" s="46"/>
      <c r="B22" s="46" t="s">
        <v>858</v>
      </c>
      <c r="C22" s="47">
        <v>361</v>
      </c>
      <c r="D22" s="46" t="s">
        <v>214</v>
      </c>
      <c r="E22" s="47"/>
      <c r="F22" s="46" t="s">
        <v>215</v>
      </c>
      <c r="G22" s="47"/>
      <c r="H22" s="46" t="s">
        <v>410</v>
      </c>
      <c r="I22" s="47">
        <f>C22</f>
        <v>361</v>
      </c>
      <c r="J22" s="46"/>
      <c r="K22" s="46"/>
      <c r="L22" s="46"/>
      <c r="M22" s="46"/>
      <c r="N22" s="46"/>
    </row>
    <row r="23" spans="1:14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>
      <c r="A24" s="50" t="s">
        <v>216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4" ht="30" customHeight="1">
      <c r="A25" s="969" t="s">
        <v>861</v>
      </c>
      <c r="B25" s="948" t="s">
        <v>862</v>
      </c>
      <c r="C25" s="971" t="s">
        <v>219</v>
      </c>
      <c r="D25" s="971" t="s">
        <v>863</v>
      </c>
      <c r="E25" s="971" t="s">
        <v>864</v>
      </c>
      <c r="F25" s="843" t="s">
        <v>865</v>
      </c>
      <c r="G25" s="870"/>
      <c r="H25" s="870"/>
      <c r="I25" s="870"/>
      <c r="J25" s="870"/>
      <c r="K25" s="870"/>
      <c r="L25" s="870"/>
      <c r="M25" s="870"/>
      <c r="N25" s="844"/>
    </row>
    <row r="26" spans="1:14" ht="38.450000000000003" customHeight="1">
      <c r="A26" s="970"/>
      <c r="B26" s="949"/>
      <c r="C26" s="972"/>
      <c r="D26" s="972"/>
      <c r="E26" s="972"/>
      <c r="F26" s="17" t="s">
        <v>866</v>
      </c>
      <c r="G26" s="17" t="s">
        <v>867</v>
      </c>
      <c r="H26" s="17" t="s">
        <v>868</v>
      </c>
      <c r="I26" s="17" t="s">
        <v>869</v>
      </c>
      <c r="J26" s="17" t="s">
        <v>870</v>
      </c>
      <c r="K26" s="17" t="s">
        <v>871</v>
      </c>
      <c r="L26" s="17" t="s">
        <v>872</v>
      </c>
      <c r="M26" s="17" t="s">
        <v>230</v>
      </c>
      <c r="N26" s="17" t="s">
        <v>231</v>
      </c>
    </row>
    <row r="27" spans="1:14">
      <c r="A27" s="47" t="s">
        <v>232</v>
      </c>
      <c r="B27" s="47">
        <v>8000</v>
      </c>
      <c r="C27" s="524" t="s">
        <v>873</v>
      </c>
      <c r="D27" s="53">
        <f>B27*K4/100000</f>
        <v>40.111600000000003</v>
      </c>
      <c r="E27" s="55">
        <f>4011160/100000</f>
        <v>40.111600000000003</v>
      </c>
      <c r="F27" s="55">
        <f>26566/100000</f>
        <v>0.26566000000000001</v>
      </c>
      <c r="G27" s="55">
        <f>838341/100000</f>
        <v>8.3834099999999996</v>
      </c>
      <c r="H27" s="55">
        <f>1409934/100000</f>
        <v>14.09934</v>
      </c>
      <c r="I27" s="55">
        <f>1736319/100000</f>
        <v>17.363189999999999</v>
      </c>
      <c r="J27" s="55">
        <f>4142/100000</f>
        <v>4.1419999999999998E-2</v>
      </c>
      <c r="K27" s="55"/>
      <c r="L27" s="55"/>
      <c r="M27" s="54">
        <f t="shared" ref="M27:M34" si="0">SUM(F27:L27)</f>
        <v>40.153019999999998</v>
      </c>
      <c r="N27" s="55">
        <f>+M27*100/E27</f>
        <v>100.10326189930093</v>
      </c>
    </row>
    <row r="28" spans="1:14">
      <c r="A28" s="47" t="s">
        <v>874</v>
      </c>
      <c r="B28" s="47">
        <v>7000</v>
      </c>
      <c r="C28" s="524" t="s">
        <v>873</v>
      </c>
      <c r="D28" s="53">
        <f>B28*N4/100000</f>
        <v>5.6</v>
      </c>
      <c r="E28" s="55">
        <f>560000/100000</f>
        <v>5.6</v>
      </c>
      <c r="F28" s="55"/>
      <c r="G28" s="55"/>
      <c r="H28" s="55"/>
      <c r="I28" s="55">
        <f>122940/100000</f>
        <v>1.2294</v>
      </c>
      <c r="J28" s="55">
        <f>153870/100000</f>
        <v>1.5387</v>
      </c>
      <c r="K28" s="55">
        <f>263810/100000</f>
        <v>2.6381000000000001</v>
      </c>
      <c r="L28" s="55"/>
      <c r="M28" s="54">
        <f t="shared" si="0"/>
        <v>5.4062000000000001</v>
      </c>
      <c r="N28" s="55">
        <f t="shared" ref="N28:N35" si="1">+M28*100/E28</f>
        <v>96.539285714285725</v>
      </c>
    </row>
    <row r="29" spans="1:14">
      <c r="A29" s="47" t="s">
        <v>235</v>
      </c>
      <c r="B29" s="47">
        <v>43000</v>
      </c>
      <c r="C29" s="522" t="s">
        <v>236</v>
      </c>
      <c r="D29" s="53">
        <f>143000/100000</f>
        <v>1.43</v>
      </c>
      <c r="E29" s="55">
        <f>63000/100000</f>
        <v>0.63</v>
      </c>
      <c r="F29" s="55"/>
      <c r="G29" s="55"/>
      <c r="H29" s="55">
        <f>14772/100000</f>
        <v>0.14771999999999999</v>
      </c>
      <c r="I29" s="55">
        <f>28228/100000</f>
        <v>0.28227999999999998</v>
      </c>
      <c r="J29" s="55">
        <f>-6200/100000</f>
        <v>-6.2E-2</v>
      </c>
      <c r="K29" s="55"/>
      <c r="L29" s="55"/>
      <c r="M29" s="54">
        <f t="shared" si="0"/>
        <v>0.36799999999999994</v>
      </c>
      <c r="N29" s="55">
        <f t="shared" si="1"/>
        <v>58.412698412698411</v>
      </c>
    </row>
    <row r="30" spans="1:14">
      <c r="A30" s="47" t="s">
        <v>875</v>
      </c>
      <c r="B30" s="47">
        <v>34000</v>
      </c>
      <c r="C30" s="522" t="s">
        <v>236</v>
      </c>
      <c r="D30" s="55">
        <f>34000/100000</f>
        <v>0.34</v>
      </c>
      <c r="E30" s="55">
        <f>34000/100000</f>
        <v>0.34</v>
      </c>
      <c r="F30" s="55"/>
      <c r="G30" s="55"/>
      <c r="H30" s="55">
        <f>16200/100000</f>
        <v>0.16200000000000001</v>
      </c>
      <c r="I30" s="55">
        <f>17800/100000</f>
        <v>0.17799999999999999</v>
      </c>
      <c r="J30" s="55">
        <f>-12800/100000</f>
        <v>-0.128</v>
      </c>
      <c r="K30" s="55"/>
      <c r="L30" s="55"/>
      <c r="M30" s="54">
        <f t="shared" si="0"/>
        <v>0.21199999999999997</v>
      </c>
      <c r="N30" s="55">
        <f t="shared" si="1"/>
        <v>62.352941176470573</v>
      </c>
    </row>
    <row r="31" spans="1:14">
      <c r="A31" s="47" t="s">
        <v>238</v>
      </c>
      <c r="B31" s="47">
        <v>1200</v>
      </c>
      <c r="C31" s="524" t="s">
        <v>873</v>
      </c>
      <c r="D31" s="53">
        <f>B31*K4/100000</f>
        <v>6.0167400000000004</v>
      </c>
      <c r="E31" s="55">
        <f>601674/100000</f>
        <v>6.0167400000000004</v>
      </c>
      <c r="F31" s="55"/>
      <c r="G31" s="55"/>
      <c r="H31" s="55"/>
      <c r="I31" s="55"/>
      <c r="J31" s="55">
        <f>243332/100000</f>
        <v>2.4333200000000001</v>
      </c>
      <c r="K31" s="55">
        <f>248355/100000</f>
        <v>2.4835500000000001</v>
      </c>
      <c r="L31" s="55"/>
      <c r="M31" s="54">
        <f t="shared" si="0"/>
        <v>4.9168700000000003</v>
      </c>
      <c r="N31" s="55">
        <f t="shared" si="1"/>
        <v>81.7198349937009</v>
      </c>
    </row>
    <row r="32" spans="1:14">
      <c r="A32" s="47" t="s">
        <v>667</v>
      </c>
      <c r="B32" s="47">
        <v>565</v>
      </c>
      <c r="C32" s="524" t="s">
        <v>873</v>
      </c>
      <c r="D32" s="53">
        <f>ROUND((B32*K4),0)/100000</f>
        <v>2.8328799999999998</v>
      </c>
      <c r="E32" s="55">
        <f>283289/100000</f>
        <v>2.8328899999999999</v>
      </c>
      <c r="F32" s="55"/>
      <c r="G32" s="55"/>
      <c r="H32" s="55">
        <f>43708/100000</f>
        <v>0.43708000000000002</v>
      </c>
      <c r="I32" s="55">
        <f>239581/100000</f>
        <v>2.39581</v>
      </c>
      <c r="J32" s="55"/>
      <c r="K32" s="55"/>
      <c r="L32" s="55"/>
      <c r="M32" s="54">
        <f t="shared" si="0"/>
        <v>2.8328899999999999</v>
      </c>
      <c r="N32" s="55">
        <f t="shared" si="1"/>
        <v>100</v>
      </c>
    </row>
    <row r="33" spans="1:14">
      <c r="A33" s="47" t="s">
        <v>876</v>
      </c>
      <c r="B33" s="47">
        <v>1000</v>
      </c>
      <c r="C33" s="524" t="s">
        <v>873</v>
      </c>
      <c r="D33" s="53">
        <f>B33*K4/100000</f>
        <v>5.0139500000000004</v>
      </c>
      <c r="E33" s="55">
        <f>501395/100000</f>
        <v>5.0139500000000004</v>
      </c>
      <c r="F33" s="55"/>
      <c r="G33" s="55">
        <f>92240/100000</f>
        <v>0.9224</v>
      </c>
      <c r="H33" s="55"/>
      <c r="I33" s="55">
        <f>7766/100000</f>
        <v>7.7660000000000007E-2</v>
      </c>
      <c r="J33" s="55">
        <f>142105/100000</f>
        <v>1.4210499999999999</v>
      </c>
      <c r="K33" s="55">
        <f>198595/100000</f>
        <v>1.9859500000000001</v>
      </c>
      <c r="L33" s="55"/>
      <c r="M33" s="54">
        <f t="shared" si="0"/>
        <v>4.4070599999999995</v>
      </c>
      <c r="N33" s="55">
        <f t="shared" si="1"/>
        <v>87.895970243021949</v>
      </c>
    </row>
    <row r="34" spans="1:14">
      <c r="A34" s="47" t="s">
        <v>394</v>
      </c>
      <c r="B34" s="47">
        <v>2750</v>
      </c>
      <c r="C34" s="522" t="s">
        <v>877</v>
      </c>
      <c r="D34" s="55">
        <f>192000/100000</f>
        <v>1.92</v>
      </c>
      <c r="E34" s="55">
        <f>192000/100000</f>
        <v>1.92</v>
      </c>
      <c r="F34" s="55">
        <f>10380/100000</f>
        <v>0.1038</v>
      </c>
      <c r="G34" s="55">
        <f>42418/100000</f>
        <v>0.42418</v>
      </c>
      <c r="H34" s="55">
        <f>18840/100000</f>
        <v>0.18840000000000001</v>
      </c>
      <c r="I34" s="55">
        <f>54362/100000</f>
        <v>0.54361999999999999</v>
      </c>
      <c r="J34" s="55">
        <f>25170/100000</f>
        <v>0.25169999999999998</v>
      </c>
      <c r="K34" s="55">
        <f>23375/100000</f>
        <v>0.23375000000000001</v>
      </c>
      <c r="L34" s="55"/>
      <c r="M34" s="54">
        <f t="shared" si="0"/>
        <v>1.7454499999999999</v>
      </c>
      <c r="N34" s="55">
        <f t="shared" si="1"/>
        <v>90.908854166666657</v>
      </c>
    </row>
    <row r="35" spans="1:14">
      <c r="A35" s="69" t="s">
        <v>230</v>
      </c>
      <c r="B35" s="70">
        <f>SUM(B27:B34)</f>
        <v>97515</v>
      </c>
      <c r="C35" s="70"/>
      <c r="D35" s="54">
        <f t="shared" ref="D35:K35" si="2">SUM(D27:D34)</f>
        <v>63.265170000000012</v>
      </c>
      <c r="E35" s="54">
        <f t="shared" si="2"/>
        <v>62.465180000000011</v>
      </c>
      <c r="F35" s="54">
        <f t="shared" si="2"/>
        <v>0.36946000000000001</v>
      </c>
      <c r="G35" s="54">
        <f t="shared" si="2"/>
        <v>9.729989999999999</v>
      </c>
      <c r="H35" s="54">
        <f t="shared" si="2"/>
        <v>15.03454</v>
      </c>
      <c r="I35" s="54">
        <f t="shared" si="2"/>
        <v>22.069960000000005</v>
      </c>
      <c r="J35" s="54">
        <f t="shared" si="2"/>
        <v>5.4961899999999995</v>
      </c>
      <c r="K35" s="54">
        <f t="shared" si="2"/>
        <v>7.3413500000000003</v>
      </c>
      <c r="L35" s="54"/>
      <c r="M35" s="54">
        <f>SUM(M27:M34)</f>
        <v>60.041490000000003</v>
      </c>
      <c r="N35" s="54">
        <f t="shared" si="1"/>
        <v>96.119934337818279</v>
      </c>
    </row>
    <row r="36" spans="1:14" s="33" customFormat="1"/>
    <row r="37" spans="1:14" s="33" customFormat="1"/>
    <row r="38" spans="1:14" s="33" customFormat="1"/>
    <row r="39" spans="1:14" s="33" customFormat="1"/>
    <row r="40" spans="1:14" s="33" customFormat="1"/>
    <row r="41" spans="1:14" s="33" customFormat="1"/>
    <row r="42" spans="1:14" s="33" customFormat="1"/>
    <row r="43" spans="1:14" s="33" customFormat="1"/>
    <row r="44" spans="1:14" s="33" customFormat="1"/>
    <row r="45" spans="1:14" s="33" customFormat="1"/>
    <row r="46" spans="1:14" s="33" customFormat="1"/>
    <row r="47" spans="1:14" s="33" customFormat="1"/>
    <row r="48" spans="1:14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="33" customFormat="1"/>
    <row r="66" s="33" customFormat="1"/>
    <row r="67" s="33" customFormat="1"/>
    <row r="68" s="33" customFormat="1"/>
    <row r="69" s="33" customFormat="1"/>
    <row r="70" s="33" customFormat="1"/>
    <row r="71" s="33" customFormat="1"/>
    <row r="72" s="33" customFormat="1"/>
    <row r="73" s="33" customFormat="1"/>
    <row r="74" s="33" customFormat="1"/>
    <row r="75" s="33" customFormat="1"/>
    <row r="76" s="33" customFormat="1"/>
    <row r="77" s="33" customFormat="1"/>
    <row r="78" s="33" customFormat="1"/>
    <row r="79" s="33" customFormat="1"/>
    <row r="80" s="33" customFormat="1"/>
    <row r="81" s="33" customFormat="1"/>
    <row r="82" s="33" customFormat="1"/>
    <row r="83" s="33" customFormat="1"/>
    <row r="84" s="33" customFormat="1"/>
    <row r="85" s="33" customFormat="1"/>
    <row r="86" s="33" customFormat="1"/>
    <row r="87" s="33" customFormat="1"/>
    <row r="88" s="33" customFormat="1"/>
    <row r="89" s="33" customFormat="1"/>
    <row r="90" s="33" customFormat="1"/>
    <row r="91" s="33" customFormat="1"/>
    <row r="92" s="33" customFormat="1"/>
    <row r="93" s="33" customFormat="1"/>
    <row r="94" s="33" customFormat="1"/>
    <row r="95" s="33" customFormat="1"/>
    <row r="96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</sheetData>
  <mergeCells count="35">
    <mergeCell ref="B6:D6"/>
    <mergeCell ref="E6:F6"/>
    <mergeCell ref="G6:I6"/>
    <mergeCell ref="A1:N1"/>
    <mergeCell ref="A2:N2"/>
    <mergeCell ref="B4:D4"/>
    <mergeCell ref="E4:F4"/>
    <mergeCell ref="G4:H4"/>
    <mergeCell ref="A3:C3"/>
    <mergeCell ref="B8:D8"/>
    <mergeCell ref="E8:F8"/>
    <mergeCell ref="G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A25:A26"/>
    <mergeCell ref="B25:B26"/>
    <mergeCell ref="C25:C26"/>
    <mergeCell ref="D25:D26"/>
    <mergeCell ref="E25:E26"/>
    <mergeCell ref="F25:N25"/>
    <mergeCell ref="B14:C14"/>
    <mergeCell ref="B15:C15"/>
    <mergeCell ref="D15:F15"/>
    <mergeCell ref="G15:I15"/>
    <mergeCell ref="J15:M15"/>
  </mergeCells>
  <hyperlinks>
    <hyperlink ref="A3" location="'Fact Sheet of VDC'!A1" display="&lt;&lt;Back"/>
  </hyperlinks>
  <pageMargins left="0.7" right="0.7" top="0.75" bottom="0.75" header="0.3" footer="0.3"/>
  <pageSetup scale="75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N212"/>
  <sheetViews>
    <sheetView workbookViewId="0">
      <selection activeCell="A3" sqref="A3:C3"/>
    </sheetView>
  </sheetViews>
  <sheetFormatPr defaultRowHeight="15"/>
  <cols>
    <col min="1" max="1" width="22.7109375" customWidth="1"/>
    <col min="4" max="4" width="10.5703125" bestFit="1" customWidth="1"/>
    <col min="5" max="5" width="9.5703125" bestFit="1" customWidth="1"/>
    <col min="6" max="6" width="9.28515625" bestFit="1" customWidth="1"/>
    <col min="7" max="9" width="9.5703125" bestFit="1" customWidth="1"/>
    <col min="10" max="11" width="9.28515625" bestFit="1" customWidth="1"/>
    <col min="13" max="13" width="9.5703125" bestFit="1" customWidth="1"/>
    <col min="14" max="14" width="10.42578125" bestFit="1" customWidth="1"/>
    <col min="257" max="257" width="22.7109375" customWidth="1"/>
    <col min="260" max="260" width="10.5703125" bestFit="1" customWidth="1"/>
    <col min="261" max="261" width="9.5703125" bestFit="1" customWidth="1"/>
    <col min="262" max="262" width="9.28515625" bestFit="1" customWidth="1"/>
    <col min="263" max="265" width="9.5703125" bestFit="1" customWidth="1"/>
    <col min="266" max="267" width="9.28515625" bestFit="1" customWidth="1"/>
    <col min="269" max="269" width="9.5703125" bestFit="1" customWidth="1"/>
    <col min="270" max="270" width="10.42578125" bestFit="1" customWidth="1"/>
    <col min="513" max="513" width="22.7109375" customWidth="1"/>
    <col min="516" max="516" width="10.5703125" bestFit="1" customWidth="1"/>
    <col min="517" max="517" width="9.5703125" bestFit="1" customWidth="1"/>
    <col min="518" max="518" width="9.28515625" bestFit="1" customWidth="1"/>
    <col min="519" max="521" width="9.5703125" bestFit="1" customWidth="1"/>
    <col min="522" max="523" width="9.28515625" bestFit="1" customWidth="1"/>
    <col min="525" max="525" width="9.5703125" bestFit="1" customWidth="1"/>
    <col min="526" max="526" width="10.42578125" bestFit="1" customWidth="1"/>
    <col min="769" max="769" width="22.7109375" customWidth="1"/>
    <col min="772" max="772" width="10.5703125" bestFit="1" customWidth="1"/>
    <col min="773" max="773" width="9.5703125" bestFit="1" customWidth="1"/>
    <col min="774" max="774" width="9.28515625" bestFit="1" customWidth="1"/>
    <col min="775" max="777" width="9.5703125" bestFit="1" customWidth="1"/>
    <col min="778" max="779" width="9.28515625" bestFit="1" customWidth="1"/>
    <col min="781" max="781" width="9.5703125" bestFit="1" customWidth="1"/>
    <col min="782" max="782" width="10.42578125" bestFit="1" customWidth="1"/>
    <col min="1025" max="1025" width="22.7109375" customWidth="1"/>
    <col min="1028" max="1028" width="10.5703125" bestFit="1" customWidth="1"/>
    <col min="1029" max="1029" width="9.5703125" bestFit="1" customWidth="1"/>
    <col min="1030" max="1030" width="9.28515625" bestFit="1" customWidth="1"/>
    <col min="1031" max="1033" width="9.5703125" bestFit="1" customWidth="1"/>
    <col min="1034" max="1035" width="9.28515625" bestFit="1" customWidth="1"/>
    <col min="1037" max="1037" width="9.5703125" bestFit="1" customWidth="1"/>
    <col min="1038" max="1038" width="10.42578125" bestFit="1" customWidth="1"/>
    <col min="1281" max="1281" width="22.7109375" customWidth="1"/>
    <col min="1284" max="1284" width="10.5703125" bestFit="1" customWidth="1"/>
    <col min="1285" max="1285" width="9.5703125" bestFit="1" customWidth="1"/>
    <col min="1286" max="1286" width="9.28515625" bestFit="1" customWidth="1"/>
    <col min="1287" max="1289" width="9.5703125" bestFit="1" customWidth="1"/>
    <col min="1290" max="1291" width="9.28515625" bestFit="1" customWidth="1"/>
    <col min="1293" max="1293" width="9.5703125" bestFit="1" customWidth="1"/>
    <col min="1294" max="1294" width="10.42578125" bestFit="1" customWidth="1"/>
    <col min="1537" max="1537" width="22.7109375" customWidth="1"/>
    <col min="1540" max="1540" width="10.5703125" bestFit="1" customWidth="1"/>
    <col min="1541" max="1541" width="9.5703125" bestFit="1" customWidth="1"/>
    <col min="1542" max="1542" width="9.28515625" bestFit="1" customWidth="1"/>
    <col min="1543" max="1545" width="9.5703125" bestFit="1" customWidth="1"/>
    <col min="1546" max="1547" width="9.28515625" bestFit="1" customWidth="1"/>
    <col min="1549" max="1549" width="9.5703125" bestFit="1" customWidth="1"/>
    <col min="1550" max="1550" width="10.42578125" bestFit="1" customWidth="1"/>
    <col min="1793" max="1793" width="22.7109375" customWidth="1"/>
    <col min="1796" max="1796" width="10.5703125" bestFit="1" customWidth="1"/>
    <col min="1797" max="1797" width="9.5703125" bestFit="1" customWidth="1"/>
    <col min="1798" max="1798" width="9.28515625" bestFit="1" customWidth="1"/>
    <col min="1799" max="1801" width="9.5703125" bestFit="1" customWidth="1"/>
    <col min="1802" max="1803" width="9.28515625" bestFit="1" customWidth="1"/>
    <col min="1805" max="1805" width="9.5703125" bestFit="1" customWidth="1"/>
    <col min="1806" max="1806" width="10.42578125" bestFit="1" customWidth="1"/>
    <col min="2049" max="2049" width="22.7109375" customWidth="1"/>
    <col min="2052" max="2052" width="10.5703125" bestFit="1" customWidth="1"/>
    <col min="2053" max="2053" width="9.5703125" bestFit="1" customWidth="1"/>
    <col min="2054" max="2054" width="9.28515625" bestFit="1" customWidth="1"/>
    <col min="2055" max="2057" width="9.5703125" bestFit="1" customWidth="1"/>
    <col min="2058" max="2059" width="9.28515625" bestFit="1" customWidth="1"/>
    <col min="2061" max="2061" width="9.5703125" bestFit="1" customWidth="1"/>
    <col min="2062" max="2062" width="10.42578125" bestFit="1" customWidth="1"/>
    <col min="2305" max="2305" width="22.7109375" customWidth="1"/>
    <col min="2308" max="2308" width="10.5703125" bestFit="1" customWidth="1"/>
    <col min="2309" max="2309" width="9.5703125" bestFit="1" customWidth="1"/>
    <col min="2310" max="2310" width="9.28515625" bestFit="1" customWidth="1"/>
    <col min="2311" max="2313" width="9.5703125" bestFit="1" customWidth="1"/>
    <col min="2314" max="2315" width="9.28515625" bestFit="1" customWidth="1"/>
    <col min="2317" max="2317" width="9.5703125" bestFit="1" customWidth="1"/>
    <col min="2318" max="2318" width="10.42578125" bestFit="1" customWidth="1"/>
    <col min="2561" max="2561" width="22.7109375" customWidth="1"/>
    <col min="2564" max="2564" width="10.5703125" bestFit="1" customWidth="1"/>
    <col min="2565" max="2565" width="9.5703125" bestFit="1" customWidth="1"/>
    <col min="2566" max="2566" width="9.28515625" bestFit="1" customWidth="1"/>
    <col min="2567" max="2569" width="9.5703125" bestFit="1" customWidth="1"/>
    <col min="2570" max="2571" width="9.28515625" bestFit="1" customWidth="1"/>
    <col min="2573" max="2573" width="9.5703125" bestFit="1" customWidth="1"/>
    <col min="2574" max="2574" width="10.42578125" bestFit="1" customWidth="1"/>
    <col min="2817" max="2817" width="22.7109375" customWidth="1"/>
    <col min="2820" max="2820" width="10.5703125" bestFit="1" customWidth="1"/>
    <col min="2821" max="2821" width="9.5703125" bestFit="1" customWidth="1"/>
    <col min="2822" max="2822" width="9.28515625" bestFit="1" customWidth="1"/>
    <col min="2823" max="2825" width="9.5703125" bestFit="1" customWidth="1"/>
    <col min="2826" max="2827" width="9.28515625" bestFit="1" customWidth="1"/>
    <col min="2829" max="2829" width="9.5703125" bestFit="1" customWidth="1"/>
    <col min="2830" max="2830" width="10.42578125" bestFit="1" customWidth="1"/>
    <col min="3073" max="3073" width="22.7109375" customWidth="1"/>
    <col min="3076" max="3076" width="10.5703125" bestFit="1" customWidth="1"/>
    <col min="3077" max="3077" width="9.5703125" bestFit="1" customWidth="1"/>
    <col min="3078" max="3078" width="9.28515625" bestFit="1" customWidth="1"/>
    <col min="3079" max="3081" width="9.5703125" bestFit="1" customWidth="1"/>
    <col min="3082" max="3083" width="9.28515625" bestFit="1" customWidth="1"/>
    <col min="3085" max="3085" width="9.5703125" bestFit="1" customWidth="1"/>
    <col min="3086" max="3086" width="10.42578125" bestFit="1" customWidth="1"/>
    <col min="3329" max="3329" width="22.7109375" customWidth="1"/>
    <col min="3332" max="3332" width="10.5703125" bestFit="1" customWidth="1"/>
    <col min="3333" max="3333" width="9.5703125" bestFit="1" customWidth="1"/>
    <col min="3334" max="3334" width="9.28515625" bestFit="1" customWidth="1"/>
    <col min="3335" max="3337" width="9.5703125" bestFit="1" customWidth="1"/>
    <col min="3338" max="3339" width="9.28515625" bestFit="1" customWidth="1"/>
    <col min="3341" max="3341" width="9.5703125" bestFit="1" customWidth="1"/>
    <col min="3342" max="3342" width="10.42578125" bestFit="1" customWidth="1"/>
    <col min="3585" max="3585" width="22.7109375" customWidth="1"/>
    <col min="3588" max="3588" width="10.5703125" bestFit="1" customWidth="1"/>
    <col min="3589" max="3589" width="9.5703125" bestFit="1" customWidth="1"/>
    <col min="3590" max="3590" width="9.28515625" bestFit="1" customWidth="1"/>
    <col min="3591" max="3593" width="9.5703125" bestFit="1" customWidth="1"/>
    <col min="3594" max="3595" width="9.28515625" bestFit="1" customWidth="1"/>
    <col min="3597" max="3597" width="9.5703125" bestFit="1" customWidth="1"/>
    <col min="3598" max="3598" width="10.42578125" bestFit="1" customWidth="1"/>
    <col min="3841" max="3841" width="22.7109375" customWidth="1"/>
    <col min="3844" max="3844" width="10.5703125" bestFit="1" customWidth="1"/>
    <col min="3845" max="3845" width="9.5703125" bestFit="1" customWidth="1"/>
    <col min="3846" max="3846" width="9.28515625" bestFit="1" customWidth="1"/>
    <col min="3847" max="3849" width="9.5703125" bestFit="1" customWidth="1"/>
    <col min="3850" max="3851" width="9.28515625" bestFit="1" customWidth="1"/>
    <col min="3853" max="3853" width="9.5703125" bestFit="1" customWidth="1"/>
    <col min="3854" max="3854" width="10.42578125" bestFit="1" customWidth="1"/>
    <col min="4097" max="4097" width="22.7109375" customWidth="1"/>
    <col min="4100" max="4100" width="10.5703125" bestFit="1" customWidth="1"/>
    <col min="4101" max="4101" width="9.5703125" bestFit="1" customWidth="1"/>
    <col min="4102" max="4102" width="9.28515625" bestFit="1" customWidth="1"/>
    <col min="4103" max="4105" width="9.5703125" bestFit="1" customWidth="1"/>
    <col min="4106" max="4107" width="9.28515625" bestFit="1" customWidth="1"/>
    <col min="4109" max="4109" width="9.5703125" bestFit="1" customWidth="1"/>
    <col min="4110" max="4110" width="10.42578125" bestFit="1" customWidth="1"/>
    <col min="4353" max="4353" width="22.7109375" customWidth="1"/>
    <col min="4356" max="4356" width="10.5703125" bestFit="1" customWidth="1"/>
    <col min="4357" max="4357" width="9.5703125" bestFit="1" customWidth="1"/>
    <col min="4358" max="4358" width="9.28515625" bestFit="1" customWidth="1"/>
    <col min="4359" max="4361" width="9.5703125" bestFit="1" customWidth="1"/>
    <col min="4362" max="4363" width="9.28515625" bestFit="1" customWidth="1"/>
    <col min="4365" max="4365" width="9.5703125" bestFit="1" customWidth="1"/>
    <col min="4366" max="4366" width="10.42578125" bestFit="1" customWidth="1"/>
    <col min="4609" max="4609" width="22.7109375" customWidth="1"/>
    <col min="4612" max="4612" width="10.5703125" bestFit="1" customWidth="1"/>
    <col min="4613" max="4613" width="9.5703125" bestFit="1" customWidth="1"/>
    <col min="4614" max="4614" width="9.28515625" bestFit="1" customWidth="1"/>
    <col min="4615" max="4617" width="9.5703125" bestFit="1" customWidth="1"/>
    <col min="4618" max="4619" width="9.28515625" bestFit="1" customWidth="1"/>
    <col min="4621" max="4621" width="9.5703125" bestFit="1" customWidth="1"/>
    <col min="4622" max="4622" width="10.42578125" bestFit="1" customWidth="1"/>
    <col min="4865" max="4865" width="22.7109375" customWidth="1"/>
    <col min="4868" max="4868" width="10.5703125" bestFit="1" customWidth="1"/>
    <col min="4869" max="4869" width="9.5703125" bestFit="1" customWidth="1"/>
    <col min="4870" max="4870" width="9.28515625" bestFit="1" customWidth="1"/>
    <col min="4871" max="4873" width="9.5703125" bestFit="1" customWidth="1"/>
    <col min="4874" max="4875" width="9.28515625" bestFit="1" customWidth="1"/>
    <col min="4877" max="4877" width="9.5703125" bestFit="1" customWidth="1"/>
    <col min="4878" max="4878" width="10.42578125" bestFit="1" customWidth="1"/>
    <col min="5121" max="5121" width="22.7109375" customWidth="1"/>
    <col min="5124" max="5124" width="10.5703125" bestFit="1" customWidth="1"/>
    <col min="5125" max="5125" width="9.5703125" bestFit="1" customWidth="1"/>
    <col min="5126" max="5126" width="9.28515625" bestFit="1" customWidth="1"/>
    <col min="5127" max="5129" width="9.5703125" bestFit="1" customWidth="1"/>
    <col min="5130" max="5131" width="9.28515625" bestFit="1" customWidth="1"/>
    <col min="5133" max="5133" width="9.5703125" bestFit="1" customWidth="1"/>
    <col min="5134" max="5134" width="10.42578125" bestFit="1" customWidth="1"/>
    <col min="5377" max="5377" width="22.7109375" customWidth="1"/>
    <col min="5380" max="5380" width="10.5703125" bestFit="1" customWidth="1"/>
    <col min="5381" max="5381" width="9.5703125" bestFit="1" customWidth="1"/>
    <col min="5382" max="5382" width="9.28515625" bestFit="1" customWidth="1"/>
    <col min="5383" max="5385" width="9.5703125" bestFit="1" customWidth="1"/>
    <col min="5386" max="5387" width="9.28515625" bestFit="1" customWidth="1"/>
    <col min="5389" max="5389" width="9.5703125" bestFit="1" customWidth="1"/>
    <col min="5390" max="5390" width="10.42578125" bestFit="1" customWidth="1"/>
    <col min="5633" max="5633" width="22.7109375" customWidth="1"/>
    <col min="5636" max="5636" width="10.5703125" bestFit="1" customWidth="1"/>
    <col min="5637" max="5637" width="9.5703125" bestFit="1" customWidth="1"/>
    <col min="5638" max="5638" width="9.28515625" bestFit="1" customWidth="1"/>
    <col min="5639" max="5641" width="9.5703125" bestFit="1" customWidth="1"/>
    <col min="5642" max="5643" width="9.28515625" bestFit="1" customWidth="1"/>
    <col min="5645" max="5645" width="9.5703125" bestFit="1" customWidth="1"/>
    <col min="5646" max="5646" width="10.42578125" bestFit="1" customWidth="1"/>
    <col min="5889" max="5889" width="22.7109375" customWidth="1"/>
    <col min="5892" max="5892" width="10.5703125" bestFit="1" customWidth="1"/>
    <col min="5893" max="5893" width="9.5703125" bestFit="1" customWidth="1"/>
    <col min="5894" max="5894" width="9.28515625" bestFit="1" customWidth="1"/>
    <col min="5895" max="5897" width="9.5703125" bestFit="1" customWidth="1"/>
    <col min="5898" max="5899" width="9.28515625" bestFit="1" customWidth="1"/>
    <col min="5901" max="5901" width="9.5703125" bestFit="1" customWidth="1"/>
    <col min="5902" max="5902" width="10.42578125" bestFit="1" customWidth="1"/>
    <col min="6145" max="6145" width="22.7109375" customWidth="1"/>
    <col min="6148" max="6148" width="10.5703125" bestFit="1" customWidth="1"/>
    <col min="6149" max="6149" width="9.5703125" bestFit="1" customWidth="1"/>
    <col min="6150" max="6150" width="9.28515625" bestFit="1" customWidth="1"/>
    <col min="6151" max="6153" width="9.5703125" bestFit="1" customWidth="1"/>
    <col min="6154" max="6155" width="9.28515625" bestFit="1" customWidth="1"/>
    <col min="6157" max="6157" width="9.5703125" bestFit="1" customWidth="1"/>
    <col min="6158" max="6158" width="10.42578125" bestFit="1" customWidth="1"/>
    <col min="6401" max="6401" width="22.7109375" customWidth="1"/>
    <col min="6404" max="6404" width="10.5703125" bestFit="1" customWidth="1"/>
    <col min="6405" max="6405" width="9.5703125" bestFit="1" customWidth="1"/>
    <col min="6406" max="6406" width="9.28515625" bestFit="1" customWidth="1"/>
    <col min="6407" max="6409" width="9.5703125" bestFit="1" customWidth="1"/>
    <col min="6410" max="6411" width="9.28515625" bestFit="1" customWidth="1"/>
    <col min="6413" max="6413" width="9.5703125" bestFit="1" customWidth="1"/>
    <col min="6414" max="6414" width="10.42578125" bestFit="1" customWidth="1"/>
    <col min="6657" max="6657" width="22.7109375" customWidth="1"/>
    <col min="6660" max="6660" width="10.5703125" bestFit="1" customWidth="1"/>
    <col min="6661" max="6661" width="9.5703125" bestFit="1" customWidth="1"/>
    <col min="6662" max="6662" width="9.28515625" bestFit="1" customWidth="1"/>
    <col min="6663" max="6665" width="9.5703125" bestFit="1" customWidth="1"/>
    <col min="6666" max="6667" width="9.28515625" bestFit="1" customWidth="1"/>
    <col min="6669" max="6669" width="9.5703125" bestFit="1" customWidth="1"/>
    <col min="6670" max="6670" width="10.42578125" bestFit="1" customWidth="1"/>
    <col min="6913" max="6913" width="22.7109375" customWidth="1"/>
    <col min="6916" max="6916" width="10.5703125" bestFit="1" customWidth="1"/>
    <col min="6917" max="6917" width="9.5703125" bestFit="1" customWidth="1"/>
    <col min="6918" max="6918" width="9.28515625" bestFit="1" customWidth="1"/>
    <col min="6919" max="6921" width="9.5703125" bestFit="1" customWidth="1"/>
    <col min="6922" max="6923" width="9.28515625" bestFit="1" customWidth="1"/>
    <col min="6925" max="6925" width="9.5703125" bestFit="1" customWidth="1"/>
    <col min="6926" max="6926" width="10.42578125" bestFit="1" customWidth="1"/>
    <col min="7169" max="7169" width="22.7109375" customWidth="1"/>
    <col min="7172" max="7172" width="10.5703125" bestFit="1" customWidth="1"/>
    <col min="7173" max="7173" width="9.5703125" bestFit="1" customWidth="1"/>
    <col min="7174" max="7174" width="9.28515625" bestFit="1" customWidth="1"/>
    <col min="7175" max="7177" width="9.5703125" bestFit="1" customWidth="1"/>
    <col min="7178" max="7179" width="9.28515625" bestFit="1" customWidth="1"/>
    <col min="7181" max="7181" width="9.5703125" bestFit="1" customWidth="1"/>
    <col min="7182" max="7182" width="10.42578125" bestFit="1" customWidth="1"/>
    <col min="7425" max="7425" width="22.7109375" customWidth="1"/>
    <col min="7428" max="7428" width="10.5703125" bestFit="1" customWidth="1"/>
    <col min="7429" max="7429" width="9.5703125" bestFit="1" customWidth="1"/>
    <col min="7430" max="7430" width="9.28515625" bestFit="1" customWidth="1"/>
    <col min="7431" max="7433" width="9.5703125" bestFit="1" customWidth="1"/>
    <col min="7434" max="7435" width="9.28515625" bestFit="1" customWidth="1"/>
    <col min="7437" max="7437" width="9.5703125" bestFit="1" customWidth="1"/>
    <col min="7438" max="7438" width="10.42578125" bestFit="1" customWidth="1"/>
    <col min="7681" max="7681" width="22.7109375" customWidth="1"/>
    <col min="7684" max="7684" width="10.5703125" bestFit="1" customWidth="1"/>
    <col min="7685" max="7685" width="9.5703125" bestFit="1" customWidth="1"/>
    <col min="7686" max="7686" width="9.28515625" bestFit="1" customWidth="1"/>
    <col min="7687" max="7689" width="9.5703125" bestFit="1" customWidth="1"/>
    <col min="7690" max="7691" width="9.28515625" bestFit="1" customWidth="1"/>
    <col min="7693" max="7693" width="9.5703125" bestFit="1" customWidth="1"/>
    <col min="7694" max="7694" width="10.42578125" bestFit="1" customWidth="1"/>
    <col min="7937" max="7937" width="22.7109375" customWidth="1"/>
    <col min="7940" max="7940" width="10.5703125" bestFit="1" customWidth="1"/>
    <col min="7941" max="7941" width="9.5703125" bestFit="1" customWidth="1"/>
    <col min="7942" max="7942" width="9.28515625" bestFit="1" customWidth="1"/>
    <col min="7943" max="7945" width="9.5703125" bestFit="1" customWidth="1"/>
    <col min="7946" max="7947" width="9.28515625" bestFit="1" customWidth="1"/>
    <col min="7949" max="7949" width="9.5703125" bestFit="1" customWidth="1"/>
    <col min="7950" max="7950" width="10.42578125" bestFit="1" customWidth="1"/>
    <col min="8193" max="8193" width="22.7109375" customWidth="1"/>
    <col min="8196" max="8196" width="10.5703125" bestFit="1" customWidth="1"/>
    <col min="8197" max="8197" width="9.5703125" bestFit="1" customWidth="1"/>
    <col min="8198" max="8198" width="9.28515625" bestFit="1" customWidth="1"/>
    <col min="8199" max="8201" width="9.5703125" bestFit="1" customWidth="1"/>
    <col min="8202" max="8203" width="9.28515625" bestFit="1" customWidth="1"/>
    <col min="8205" max="8205" width="9.5703125" bestFit="1" customWidth="1"/>
    <col min="8206" max="8206" width="10.42578125" bestFit="1" customWidth="1"/>
    <col min="8449" max="8449" width="22.7109375" customWidth="1"/>
    <col min="8452" max="8452" width="10.5703125" bestFit="1" customWidth="1"/>
    <col min="8453" max="8453" width="9.5703125" bestFit="1" customWidth="1"/>
    <col min="8454" max="8454" width="9.28515625" bestFit="1" customWidth="1"/>
    <col min="8455" max="8457" width="9.5703125" bestFit="1" customWidth="1"/>
    <col min="8458" max="8459" width="9.28515625" bestFit="1" customWidth="1"/>
    <col min="8461" max="8461" width="9.5703125" bestFit="1" customWidth="1"/>
    <col min="8462" max="8462" width="10.42578125" bestFit="1" customWidth="1"/>
    <col min="8705" max="8705" width="22.7109375" customWidth="1"/>
    <col min="8708" max="8708" width="10.5703125" bestFit="1" customWidth="1"/>
    <col min="8709" max="8709" width="9.5703125" bestFit="1" customWidth="1"/>
    <col min="8710" max="8710" width="9.28515625" bestFit="1" customWidth="1"/>
    <col min="8711" max="8713" width="9.5703125" bestFit="1" customWidth="1"/>
    <col min="8714" max="8715" width="9.28515625" bestFit="1" customWidth="1"/>
    <col min="8717" max="8717" width="9.5703125" bestFit="1" customWidth="1"/>
    <col min="8718" max="8718" width="10.42578125" bestFit="1" customWidth="1"/>
    <col min="8961" max="8961" width="22.7109375" customWidth="1"/>
    <col min="8964" max="8964" width="10.5703125" bestFit="1" customWidth="1"/>
    <col min="8965" max="8965" width="9.5703125" bestFit="1" customWidth="1"/>
    <col min="8966" max="8966" width="9.28515625" bestFit="1" customWidth="1"/>
    <col min="8967" max="8969" width="9.5703125" bestFit="1" customWidth="1"/>
    <col min="8970" max="8971" width="9.28515625" bestFit="1" customWidth="1"/>
    <col min="8973" max="8973" width="9.5703125" bestFit="1" customWidth="1"/>
    <col min="8974" max="8974" width="10.42578125" bestFit="1" customWidth="1"/>
    <col min="9217" max="9217" width="22.7109375" customWidth="1"/>
    <col min="9220" max="9220" width="10.5703125" bestFit="1" customWidth="1"/>
    <col min="9221" max="9221" width="9.5703125" bestFit="1" customWidth="1"/>
    <col min="9222" max="9222" width="9.28515625" bestFit="1" customWidth="1"/>
    <col min="9223" max="9225" width="9.5703125" bestFit="1" customWidth="1"/>
    <col min="9226" max="9227" width="9.28515625" bestFit="1" customWidth="1"/>
    <col min="9229" max="9229" width="9.5703125" bestFit="1" customWidth="1"/>
    <col min="9230" max="9230" width="10.42578125" bestFit="1" customWidth="1"/>
    <col min="9473" max="9473" width="22.7109375" customWidth="1"/>
    <col min="9476" max="9476" width="10.5703125" bestFit="1" customWidth="1"/>
    <col min="9477" max="9477" width="9.5703125" bestFit="1" customWidth="1"/>
    <col min="9478" max="9478" width="9.28515625" bestFit="1" customWidth="1"/>
    <col min="9479" max="9481" width="9.5703125" bestFit="1" customWidth="1"/>
    <col min="9482" max="9483" width="9.28515625" bestFit="1" customWidth="1"/>
    <col min="9485" max="9485" width="9.5703125" bestFit="1" customWidth="1"/>
    <col min="9486" max="9486" width="10.42578125" bestFit="1" customWidth="1"/>
    <col min="9729" max="9729" width="22.7109375" customWidth="1"/>
    <col min="9732" max="9732" width="10.5703125" bestFit="1" customWidth="1"/>
    <col min="9733" max="9733" width="9.5703125" bestFit="1" customWidth="1"/>
    <col min="9734" max="9734" width="9.28515625" bestFit="1" customWidth="1"/>
    <col min="9735" max="9737" width="9.5703125" bestFit="1" customWidth="1"/>
    <col min="9738" max="9739" width="9.28515625" bestFit="1" customWidth="1"/>
    <col min="9741" max="9741" width="9.5703125" bestFit="1" customWidth="1"/>
    <col min="9742" max="9742" width="10.42578125" bestFit="1" customWidth="1"/>
    <col min="9985" max="9985" width="22.7109375" customWidth="1"/>
    <col min="9988" max="9988" width="10.5703125" bestFit="1" customWidth="1"/>
    <col min="9989" max="9989" width="9.5703125" bestFit="1" customWidth="1"/>
    <col min="9990" max="9990" width="9.28515625" bestFit="1" customWidth="1"/>
    <col min="9991" max="9993" width="9.5703125" bestFit="1" customWidth="1"/>
    <col min="9994" max="9995" width="9.28515625" bestFit="1" customWidth="1"/>
    <col min="9997" max="9997" width="9.5703125" bestFit="1" customWidth="1"/>
    <col min="9998" max="9998" width="10.42578125" bestFit="1" customWidth="1"/>
    <col min="10241" max="10241" width="22.7109375" customWidth="1"/>
    <col min="10244" max="10244" width="10.5703125" bestFit="1" customWidth="1"/>
    <col min="10245" max="10245" width="9.5703125" bestFit="1" customWidth="1"/>
    <col min="10246" max="10246" width="9.28515625" bestFit="1" customWidth="1"/>
    <col min="10247" max="10249" width="9.5703125" bestFit="1" customWidth="1"/>
    <col min="10250" max="10251" width="9.28515625" bestFit="1" customWidth="1"/>
    <col min="10253" max="10253" width="9.5703125" bestFit="1" customWidth="1"/>
    <col min="10254" max="10254" width="10.42578125" bestFit="1" customWidth="1"/>
    <col min="10497" max="10497" width="22.7109375" customWidth="1"/>
    <col min="10500" max="10500" width="10.5703125" bestFit="1" customWidth="1"/>
    <col min="10501" max="10501" width="9.5703125" bestFit="1" customWidth="1"/>
    <col min="10502" max="10502" width="9.28515625" bestFit="1" customWidth="1"/>
    <col min="10503" max="10505" width="9.5703125" bestFit="1" customWidth="1"/>
    <col min="10506" max="10507" width="9.28515625" bestFit="1" customWidth="1"/>
    <col min="10509" max="10509" width="9.5703125" bestFit="1" customWidth="1"/>
    <col min="10510" max="10510" width="10.42578125" bestFit="1" customWidth="1"/>
    <col min="10753" max="10753" width="22.7109375" customWidth="1"/>
    <col min="10756" max="10756" width="10.5703125" bestFit="1" customWidth="1"/>
    <col min="10757" max="10757" width="9.5703125" bestFit="1" customWidth="1"/>
    <col min="10758" max="10758" width="9.28515625" bestFit="1" customWidth="1"/>
    <col min="10759" max="10761" width="9.5703125" bestFit="1" customWidth="1"/>
    <col min="10762" max="10763" width="9.28515625" bestFit="1" customWidth="1"/>
    <col min="10765" max="10765" width="9.5703125" bestFit="1" customWidth="1"/>
    <col min="10766" max="10766" width="10.42578125" bestFit="1" customWidth="1"/>
    <col min="11009" max="11009" width="22.7109375" customWidth="1"/>
    <col min="11012" max="11012" width="10.5703125" bestFit="1" customWidth="1"/>
    <col min="11013" max="11013" width="9.5703125" bestFit="1" customWidth="1"/>
    <col min="11014" max="11014" width="9.28515625" bestFit="1" customWidth="1"/>
    <col min="11015" max="11017" width="9.5703125" bestFit="1" customWidth="1"/>
    <col min="11018" max="11019" width="9.28515625" bestFit="1" customWidth="1"/>
    <col min="11021" max="11021" width="9.5703125" bestFit="1" customWidth="1"/>
    <col min="11022" max="11022" width="10.42578125" bestFit="1" customWidth="1"/>
    <col min="11265" max="11265" width="22.7109375" customWidth="1"/>
    <col min="11268" max="11268" width="10.5703125" bestFit="1" customWidth="1"/>
    <col min="11269" max="11269" width="9.5703125" bestFit="1" customWidth="1"/>
    <col min="11270" max="11270" width="9.28515625" bestFit="1" customWidth="1"/>
    <col min="11271" max="11273" width="9.5703125" bestFit="1" customWidth="1"/>
    <col min="11274" max="11275" width="9.28515625" bestFit="1" customWidth="1"/>
    <col min="11277" max="11277" width="9.5703125" bestFit="1" customWidth="1"/>
    <col min="11278" max="11278" width="10.42578125" bestFit="1" customWidth="1"/>
    <col min="11521" max="11521" width="22.7109375" customWidth="1"/>
    <col min="11524" max="11524" width="10.5703125" bestFit="1" customWidth="1"/>
    <col min="11525" max="11525" width="9.5703125" bestFit="1" customWidth="1"/>
    <col min="11526" max="11526" width="9.28515625" bestFit="1" customWidth="1"/>
    <col min="11527" max="11529" width="9.5703125" bestFit="1" customWidth="1"/>
    <col min="11530" max="11531" width="9.28515625" bestFit="1" customWidth="1"/>
    <col min="11533" max="11533" width="9.5703125" bestFit="1" customWidth="1"/>
    <col min="11534" max="11534" width="10.42578125" bestFit="1" customWidth="1"/>
    <col min="11777" max="11777" width="22.7109375" customWidth="1"/>
    <col min="11780" max="11780" width="10.5703125" bestFit="1" customWidth="1"/>
    <col min="11781" max="11781" width="9.5703125" bestFit="1" customWidth="1"/>
    <col min="11782" max="11782" width="9.28515625" bestFit="1" customWidth="1"/>
    <col min="11783" max="11785" width="9.5703125" bestFit="1" customWidth="1"/>
    <col min="11786" max="11787" width="9.28515625" bestFit="1" customWidth="1"/>
    <col min="11789" max="11789" width="9.5703125" bestFit="1" customWidth="1"/>
    <col min="11790" max="11790" width="10.42578125" bestFit="1" customWidth="1"/>
    <col min="12033" max="12033" width="22.7109375" customWidth="1"/>
    <col min="12036" max="12036" width="10.5703125" bestFit="1" customWidth="1"/>
    <col min="12037" max="12037" width="9.5703125" bestFit="1" customWidth="1"/>
    <col min="12038" max="12038" width="9.28515625" bestFit="1" customWidth="1"/>
    <col min="12039" max="12041" width="9.5703125" bestFit="1" customWidth="1"/>
    <col min="12042" max="12043" width="9.28515625" bestFit="1" customWidth="1"/>
    <col min="12045" max="12045" width="9.5703125" bestFit="1" customWidth="1"/>
    <col min="12046" max="12046" width="10.42578125" bestFit="1" customWidth="1"/>
    <col min="12289" max="12289" width="22.7109375" customWidth="1"/>
    <col min="12292" max="12292" width="10.5703125" bestFit="1" customWidth="1"/>
    <col min="12293" max="12293" width="9.5703125" bestFit="1" customWidth="1"/>
    <col min="12294" max="12294" width="9.28515625" bestFit="1" customWidth="1"/>
    <col min="12295" max="12297" width="9.5703125" bestFit="1" customWidth="1"/>
    <col min="12298" max="12299" width="9.28515625" bestFit="1" customWidth="1"/>
    <col min="12301" max="12301" width="9.5703125" bestFit="1" customWidth="1"/>
    <col min="12302" max="12302" width="10.42578125" bestFit="1" customWidth="1"/>
    <col min="12545" max="12545" width="22.7109375" customWidth="1"/>
    <col min="12548" max="12548" width="10.5703125" bestFit="1" customWidth="1"/>
    <col min="12549" max="12549" width="9.5703125" bestFit="1" customWidth="1"/>
    <col min="12550" max="12550" width="9.28515625" bestFit="1" customWidth="1"/>
    <col min="12551" max="12553" width="9.5703125" bestFit="1" customWidth="1"/>
    <col min="12554" max="12555" width="9.28515625" bestFit="1" customWidth="1"/>
    <col min="12557" max="12557" width="9.5703125" bestFit="1" customWidth="1"/>
    <col min="12558" max="12558" width="10.42578125" bestFit="1" customWidth="1"/>
    <col min="12801" max="12801" width="22.7109375" customWidth="1"/>
    <col min="12804" max="12804" width="10.5703125" bestFit="1" customWidth="1"/>
    <col min="12805" max="12805" width="9.5703125" bestFit="1" customWidth="1"/>
    <col min="12806" max="12806" width="9.28515625" bestFit="1" customWidth="1"/>
    <col min="12807" max="12809" width="9.5703125" bestFit="1" customWidth="1"/>
    <col min="12810" max="12811" width="9.28515625" bestFit="1" customWidth="1"/>
    <col min="12813" max="12813" width="9.5703125" bestFit="1" customWidth="1"/>
    <col min="12814" max="12814" width="10.42578125" bestFit="1" customWidth="1"/>
    <col min="13057" max="13057" width="22.7109375" customWidth="1"/>
    <col min="13060" max="13060" width="10.5703125" bestFit="1" customWidth="1"/>
    <col min="13061" max="13061" width="9.5703125" bestFit="1" customWidth="1"/>
    <col min="13062" max="13062" width="9.28515625" bestFit="1" customWidth="1"/>
    <col min="13063" max="13065" width="9.5703125" bestFit="1" customWidth="1"/>
    <col min="13066" max="13067" width="9.28515625" bestFit="1" customWidth="1"/>
    <col min="13069" max="13069" width="9.5703125" bestFit="1" customWidth="1"/>
    <col min="13070" max="13070" width="10.42578125" bestFit="1" customWidth="1"/>
    <col min="13313" max="13313" width="22.7109375" customWidth="1"/>
    <col min="13316" max="13316" width="10.5703125" bestFit="1" customWidth="1"/>
    <col min="13317" max="13317" width="9.5703125" bestFit="1" customWidth="1"/>
    <col min="13318" max="13318" width="9.28515625" bestFit="1" customWidth="1"/>
    <col min="13319" max="13321" width="9.5703125" bestFit="1" customWidth="1"/>
    <col min="13322" max="13323" width="9.28515625" bestFit="1" customWidth="1"/>
    <col min="13325" max="13325" width="9.5703125" bestFit="1" customWidth="1"/>
    <col min="13326" max="13326" width="10.42578125" bestFit="1" customWidth="1"/>
    <col min="13569" max="13569" width="22.7109375" customWidth="1"/>
    <col min="13572" max="13572" width="10.5703125" bestFit="1" customWidth="1"/>
    <col min="13573" max="13573" width="9.5703125" bestFit="1" customWidth="1"/>
    <col min="13574" max="13574" width="9.28515625" bestFit="1" customWidth="1"/>
    <col min="13575" max="13577" width="9.5703125" bestFit="1" customWidth="1"/>
    <col min="13578" max="13579" width="9.28515625" bestFit="1" customWidth="1"/>
    <col min="13581" max="13581" width="9.5703125" bestFit="1" customWidth="1"/>
    <col min="13582" max="13582" width="10.42578125" bestFit="1" customWidth="1"/>
    <col min="13825" max="13825" width="22.7109375" customWidth="1"/>
    <col min="13828" max="13828" width="10.5703125" bestFit="1" customWidth="1"/>
    <col min="13829" max="13829" width="9.5703125" bestFit="1" customWidth="1"/>
    <col min="13830" max="13830" width="9.28515625" bestFit="1" customWidth="1"/>
    <col min="13831" max="13833" width="9.5703125" bestFit="1" customWidth="1"/>
    <col min="13834" max="13835" width="9.28515625" bestFit="1" customWidth="1"/>
    <col min="13837" max="13837" width="9.5703125" bestFit="1" customWidth="1"/>
    <col min="13838" max="13838" width="10.42578125" bestFit="1" customWidth="1"/>
    <col min="14081" max="14081" width="22.7109375" customWidth="1"/>
    <col min="14084" max="14084" width="10.5703125" bestFit="1" customWidth="1"/>
    <col min="14085" max="14085" width="9.5703125" bestFit="1" customWidth="1"/>
    <col min="14086" max="14086" width="9.28515625" bestFit="1" customWidth="1"/>
    <col min="14087" max="14089" width="9.5703125" bestFit="1" customWidth="1"/>
    <col min="14090" max="14091" width="9.28515625" bestFit="1" customWidth="1"/>
    <col min="14093" max="14093" width="9.5703125" bestFit="1" customWidth="1"/>
    <col min="14094" max="14094" width="10.42578125" bestFit="1" customWidth="1"/>
    <col min="14337" max="14337" width="22.7109375" customWidth="1"/>
    <col min="14340" max="14340" width="10.5703125" bestFit="1" customWidth="1"/>
    <col min="14341" max="14341" width="9.5703125" bestFit="1" customWidth="1"/>
    <col min="14342" max="14342" width="9.28515625" bestFit="1" customWidth="1"/>
    <col min="14343" max="14345" width="9.5703125" bestFit="1" customWidth="1"/>
    <col min="14346" max="14347" width="9.28515625" bestFit="1" customWidth="1"/>
    <col min="14349" max="14349" width="9.5703125" bestFit="1" customWidth="1"/>
    <col min="14350" max="14350" width="10.42578125" bestFit="1" customWidth="1"/>
    <col min="14593" max="14593" width="22.7109375" customWidth="1"/>
    <col min="14596" max="14596" width="10.5703125" bestFit="1" customWidth="1"/>
    <col min="14597" max="14597" width="9.5703125" bestFit="1" customWidth="1"/>
    <col min="14598" max="14598" width="9.28515625" bestFit="1" customWidth="1"/>
    <col min="14599" max="14601" width="9.5703125" bestFit="1" customWidth="1"/>
    <col min="14602" max="14603" width="9.28515625" bestFit="1" customWidth="1"/>
    <col min="14605" max="14605" width="9.5703125" bestFit="1" customWidth="1"/>
    <col min="14606" max="14606" width="10.42578125" bestFit="1" customWidth="1"/>
    <col min="14849" max="14849" width="22.7109375" customWidth="1"/>
    <col min="14852" max="14852" width="10.5703125" bestFit="1" customWidth="1"/>
    <col min="14853" max="14853" width="9.5703125" bestFit="1" customWidth="1"/>
    <col min="14854" max="14854" width="9.28515625" bestFit="1" customWidth="1"/>
    <col min="14855" max="14857" width="9.5703125" bestFit="1" customWidth="1"/>
    <col min="14858" max="14859" width="9.28515625" bestFit="1" customWidth="1"/>
    <col min="14861" max="14861" width="9.5703125" bestFit="1" customWidth="1"/>
    <col min="14862" max="14862" width="10.42578125" bestFit="1" customWidth="1"/>
    <col min="15105" max="15105" width="22.7109375" customWidth="1"/>
    <col min="15108" max="15108" width="10.5703125" bestFit="1" customWidth="1"/>
    <col min="15109" max="15109" width="9.5703125" bestFit="1" customWidth="1"/>
    <col min="15110" max="15110" width="9.28515625" bestFit="1" customWidth="1"/>
    <col min="15111" max="15113" width="9.5703125" bestFit="1" customWidth="1"/>
    <col min="15114" max="15115" width="9.28515625" bestFit="1" customWidth="1"/>
    <col min="15117" max="15117" width="9.5703125" bestFit="1" customWidth="1"/>
    <col min="15118" max="15118" width="10.42578125" bestFit="1" customWidth="1"/>
    <col min="15361" max="15361" width="22.7109375" customWidth="1"/>
    <col min="15364" max="15364" width="10.5703125" bestFit="1" customWidth="1"/>
    <col min="15365" max="15365" width="9.5703125" bestFit="1" customWidth="1"/>
    <col min="15366" max="15366" width="9.28515625" bestFit="1" customWidth="1"/>
    <col min="15367" max="15369" width="9.5703125" bestFit="1" customWidth="1"/>
    <col min="15370" max="15371" width="9.28515625" bestFit="1" customWidth="1"/>
    <col min="15373" max="15373" width="9.5703125" bestFit="1" customWidth="1"/>
    <col min="15374" max="15374" width="10.42578125" bestFit="1" customWidth="1"/>
    <col min="15617" max="15617" width="22.7109375" customWidth="1"/>
    <col min="15620" max="15620" width="10.5703125" bestFit="1" customWidth="1"/>
    <col min="15621" max="15621" width="9.5703125" bestFit="1" customWidth="1"/>
    <col min="15622" max="15622" width="9.28515625" bestFit="1" customWidth="1"/>
    <col min="15623" max="15625" width="9.5703125" bestFit="1" customWidth="1"/>
    <col min="15626" max="15627" width="9.28515625" bestFit="1" customWidth="1"/>
    <col min="15629" max="15629" width="9.5703125" bestFit="1" customWidth="1"/>
    <col min="15630" max="15630" width="10.42578125" bestFit="1" customWidth="1"/>
    <col min="15873" max="15873" width="22.7109375" customWidth="1"/>
    <col min="15876" max="15876" width="10.5703125" bestFit="1" customWidth="1"/>
    <col min="15877" max="15877" width="9.5703125" bestFit="1" customWidth="1"/>
    <col min="15878" max="15878" width="9.28515625" bestFit="1" customWidth="1"/>
    <col min="15879" max="15881" width="9.5703125" bestFit="1" customWidth="1"/>
    <col min="15882" max="15883" width="9.28515625" bestFit="1" customWidth="1"/>
    <col min="15885" max="15885" width="9.5703125" bestFit="1" customWidth="1"/>
    <col min="15886" max="15886" width="10.42578125" bestFit="1" customWidth="1"/>
    <col min="16129" max="16129" width="22.7109375" customWidth="1"/>
    <col min="16132" max="16132" width="10.5703125" bestFit="1" customWidth="1"/>
    <col min="16133" max="16133" width="9.5703125" bestFit="1" customWidth="1"/>
    <col min="16134" max="16134" width="9.28515625" bestFit="1" customWidth="1"/>
    <col min="16135" max="16137" width="9.5703125" bestFit="1" customWidth="1"/>
    <col min="16138" max="16139" width="9.28515625" bestFit="1" customWidth="1"/>
    <col min="16141" max="16141" width="9.5703125" bestFit="1" customWidth="1"/>
    <col min="16142" max="16142" width="10.42578125" bestFit="1" customWidth="1"/>
  </cols>
  <sheetData>
    <row r="1" spans="1:14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</row>
    <row r="2" spans="1:14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</row>
    <row r="3" spans="1:14">
      <c r="A3" s="808" t="s">
        <v>4176</v>
      </c>
      <c r="B3" s="808"/>
      <c r="C3" s="808"/>
    </row>
    <row r="4" spans="1:14">
      <c r="A4" s="46" t="s">
        <v>828</v>
      </c>
      <c r="B4" s="854" t="s">
        <v>965</v>
      </c>
      <c r="C4" s="854"/>
      <c r="D4" s="854"/>
      <c r="E4" s="854" t="s">
        <v>830</v>
      </c>
      <c r="F4" s="854"/>
      <c r="G4" s="854">
        <v>904010202</v>
      </c>
      <c r="H4" s="854"/>
      <c r="I4" s="46" t="s">
        <v>5</v>
      </c>
      <c r="J4" s="46"/>
      <c r="K4" s="47">
        <v>471.75799999999998</v>
      </c>
      <c r="L4" s="46" t="s">
        <v>831</v>
      </c>
      <c r="M4" s="46"/>
      <c r="N4" s="47">
        <v>0</v>
      </c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54" t="s">
        <v>966</v>
      </c>
      <c r="C6" s="854"/>
      <c r="D6" s="854"/>
      <c r="E6" s="854" t="s">
        <v>176</v>
      </c>
      <c r="F6" s="854"/>
      <c r="G6" s="854" t="s">
        <v>967</v>
      </c>
      <c r="H6" s="854"/>
      <c r="I6" s="854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 ht="23.25" customHeight="1">
      <c r="A8" s="46" t="s">
        <v>835</v>
      </c>
      <c r="B8" s="854" t="s">
        <v>968</v>
      </c>
      <c r="C8" s="854"/>
      <c r="D8" s="854"/>
      <c r="E8" s="967" t="s">
        <v>912</v>
      </c>
      <c r="F8" s="940"/>
      <c r="G8" s="843">
        <v>8895584126</v>
      </c>
      <c r="H8" s="870"/>
      <c r="I8" s="870"/>
      <c r="J8" s="870"/>
      <c r="K8" s="844"/>
      <c r="L8" s="46"/>
      <c r="M8" s="46"/>
      <c r="N8" s="46"/>
    </row>
    <row r="9" spans="1:14">
      <c r="A9" s="46"/>
      <c r="B9" s="46"/>
      <c r="C9" s="46"/>
      <c r="D9" s="46"/>
      <c r="E9" s="46"/>
      <c r="F9" s="46"/>
      <c r="G9" s="48"/>
      <c r="H9" s="48"/>
      <c r="I9" s="48"/>
      <c r="J9" s="48"/>
      <c r="K9" s="48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47" t="s">
        <v>838</v>
      </c>
      <c r="B11" s="854" t="s">
        <v>969</v>
      </c>
      <c r="C11" s="854"/>
      <c r="D11" s="854"/>
      <c r="E11" s="854"/>
      <c r="F11" s="854"/>
      <c r="G11" s="854"/>
      <c r="H11" s="854"/>
      <c r="I11" s="854"/>
      <c r="J11" s="854"/>
      <c r="K11" s="854"/>
      <c r="L11" s="854"/>
      <c r="M11" s="854"/>
      <c r="N11" s="46"/>
    </row>
    <row r="12" spans="1:14">
      <c r="A12" s="47" t="s">
        <v>840</v>
      </c>
      <c r="B12" s="854" t="s">
        <v>970</v>
      </c>
      <c r="C12" s="854"/>
      <c r="D12" s="854" t="s">
        <v>971</v>
      </c>
      <c r="E12" s="854"/>
      <c r="F12" s="854"/>
      <c r="G12" s="854" t="s">
        <v>972</v>
      </c>
      <c r="H12" s="854"/>
      <c r="I12" s="854"/>
      <c r="J12" s="854" t="s">
        <v>973</v>
      </c>
      <c r="K12" s="854"/>
      <c r="L12" s="854"/>
      <c r="M12" s="854"/>
      <c r="N12" s="46"/>
    </row>
    <row r="13" spans="1:14">
      <c r="A13" s="47" t="s">
        <v>844</v>
      </c>
      <c r="B13" s="843" t="s">
        <v>974</v>
      </c>
      <c r="C13" s="870"/>
      <c r="D13" s="843" t="s">
        <v>975</v>
      </c>
      <c r="E13" s="870"/>
      <c r="F13" s="844"/>
      <c r="G13" s="854" t="s">
        <v>976</v>
      </c>
      <c r="H13" s="854"/>
      <c r="I13" s="854"/>
      <c r="J13" s="854" t="s">
        <v>977</v>
      </c>
      <c r="K13" s="854"/>
      <c r="L13" s="854"/>
      <c r="M13" s="854"/>
      <c r="N13" s="46"/>
    </row>
    <row r="14" spans="1:14">
      <c r="A14" s="47"/>
      <c r="B14" s="843" t="s">
        <v>978</v>
      </c>
      <c r="C14" s="870"/>
      <c r="D14" s="520"/>
      <c r="E14" s="525"/>
      <c r="F14" s="521"/>
      <c r="G14" s="522"/>
      <c r="H14" s="522"/>
      <c r="I14" s="522"/>
      <c r="J14" s="522"/>
      <c r="K14" s="522"/>
      <c r="L14" s="522"/>
      <c r="M14" s="522"/>
      <c r="N14" s="46"/>
    </row>
    <row r="15" spans="1:14">
      <c r="A15" s="47" t="s">
        <v>850</v>
      </c>
      <c r="B15" s="854" t="s">
        <v>979</v>
      </c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4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>
      <c r="A17" s="46" t="s">
        <v>852</v>
      </c>
      <c r="B17" s="47">
        <v>4</v>
      </c>
      <c r="C17" s="46" t="s">
        <v>853</v>
      </c>
      <c r="D17" s="46"/>
      <c r="E17" s="522">
        <v>4</v>
      </c>
      <c r="G17" s="46" t="s">
        <v>643</v>
      </c>
      <c r="H17" s="522">
        <v>9</v>
      </c>
      <c r="I17" s="46" t="s">
        <v>644</v>
      </c>
      <c r="J17" s="47">
        <v>0</v>
      </c>
      <c r="K17" s="46" t="s">
        <v>645</v>
      </c>
      <c r="L17" s="47">
        <v>12</v>
      </c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46" t="s">
        <v>854</v>
      </c>
      <c r="B20" s="46" t="s">
        <v>204</v>
      </c>
      <c r="C20" s="47">
        <v>115</v>
      </c>
      <c r="D20" s="46" t="s">
        <v>205</v>
      </c>
      <c r="E20" s="47"/>
      <c r="F20" s="49" t="s">
        <v>206</v>
      </c>
      <c r="G20" s="47"/>
      <c r="H20" s="46" t="s">
        <v>230</v>
      </c>
      <c r="I20" s="47">
        <v>115</v>
      </c>
      <c r="J20" s="46" t="s">
        <v>207</v>
      </c>
      <c r="K20" s="47">
        <v>10</v>
      </c>
      <c r="L20" s="46" t="s">
        <v>855</v>
      </c>
      <c r="M20" s="46"/>
      <c r="N20" s="47">
        <v>16</v>
      </c>
    </row>
    <row r="21" spans="1:14">
      <c r="A21" s="46" t="s">
        <v>209</v>
      </c>
      <c r="B21" s="46" t="s">
        <v>210</v>
      </c>
      <c r="C21" s="47">
        <v>334</v>
      </c>
      <c r="D21" s="46" t="s">
        <v>211</v>
      </c>
      <c r="E21" s="47"/>
      <c r="F21" s="49" t="s">
        <v>212</v>
      </c>
      <c r="G21" s="47"/>
      <c r="H21" s="46" t="s">
        <v>411</v>
      </c>
      <c r="I21" s="47">
        <v>334</v>
      </c>
      <c r="J21" s="46"/>
      <c r="K21" s="46"/>
      <c r="L21" s="46"/>
      <c r="M21" s="46"/>
      <c r="N21" s="46"/>
    </row>
    <row r="22" spans="1:14">
      <c r="A22" s="46"/>
      <c r="B22" s="46" t="s">
        <v>858</v>
      </c>
      <c r="C22" s="47">
        <v>397</v>
      </c>
      <c r="D22" s="46" t="s">
        <v>214</v>
      </c>
      <c r="E22" s="47"/>
      <c r="F22" s="46" t="s">
        <v>215</v>
      </c>
      <c r="G22" s="47"/>
      <c r="H22" s="46" t="s">
        <v>410</v>
      </c>
      <c r="I22" s="47">
        <v>397</v>
      </c>
      <c r="J22" s="46"/>
      <c r="K22" s="46"/>
      <c r="L22" s="46"/>
      <c r="M22" s="46"/>
      <c r="N22" s="46"/>
    </row>
    <row r="23" spans="1:14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>
      <c r="A24" s="50" t="s">
        <v>216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4" ht="30" customHeight="1">
      <c r="A25" s="969" t="s">
        <v>861</v>
      </c>
      <c r="B25" s="948" t="s">
        <v>862</v>
      </c>
      <c r="C25" s="971" t="s">
        <v>219</v>
      </c>
      <c r="D25" s="971" t="s">
        <v>863</v>
      </c>
      <c r="E25" s="971" t="s">
        <v>864</v>
      </c>
      <c r="F25" s="843" t="s">
        <v>865</v>
      </c>
      <c r="G25" s="870"/>
      <c r="H25" s="870"/>
      <c r="I25" s="870"/>
      <c r="J25" s="870"/>
      <c r="K25" s="870"/>
      <c r="L25" s="870"/>
      <c r="M25" s="870"/>
      <c r="N25" s="844"/>
    </row>
    <row r="26" spans="1:14" ht="38.450000000000003" customHeight="1">
      <c r="A26" s="970"/>
      <c r="B26" s="949"/>
      <c r="C26" s="972"/>
      <c r="D26" s="972"/>
      <c r="E26" s="972"/>
      <c r="F26" s="17" t="s">
        <v>866</v>
      </c>
      <c r="G26" s="17" t="s">
        <v>867</v>
      </c>
      <c r="H26" s="17" t="s">
        <v>868</v>
      </c>
      <c r="I26" s="17" t="s">
        <v>869</v>
      </c>
      <c r="J26" s="17" t="s">
        <v>870</v>
      </c>
      <c r="K26" s="17" t="s">
        <v>871</v>
      </c>
      <c r="L26" s="17" t="s">
        <v>872</v>
      </c>
      <c r="M26" s="17" t="s">
        <v>230</v>
      </c>
      <c r="N26" s="17" t="s">
        <v>231</v>
      </c>
    </row>
    <row r="27" spans="1:14">
      <c r="A27" s="47" t="s">
        <v>232</v>
      </c>
      <c r="B27" s="47">
        <v>8000</v>
      </c>
      <c r="C27" s="524" t="s">
        <v>873</v>
      </c>
      <c r="D27" s="53">
        <f>B27*K4/100000</f>
        <v>37.740639999999999</v>
      </c>
      <c r="E27" s="55">
        <f>3774064/100000</f>
        <v>37.740639999999999</v>
      </c>
      <c r="F27" s="55">
        <f>18264/100000</f>
        <v>0.18264</v>
      </c>
      <c r="G27" s="55">
        <f>878920/100000</f>
        <v>8.7891999999999992</v>
      </c>
      <c r="H27" s="55">
        <f>1681711/100000</f>
        <v>16.81711</v>
      </c>
      <c r="I27" s="55">
        <f>1195169/100000</f>
        <v>11.951689999999999</v>
      </c>
      <c r="J27" s="55">
        <f>-139670/100000</f>
        <v>-1.3967000000000001</v>
      </c>
      <c r="K27" s="55">
        <f>98155/100000</f>
        <v>0.98155000000000003</v>
      </c>
      <c r="L27" s="55"/>
      <c r="M27" s="54">
        <f>SUM(F27:L27)</f>
        <v>37.325489999999995</v>
      </c>
      <c r="N27" s="55">
        <f>+M27*100/E27</f>
        <v>98.899992156995737</v>
      </c>
    </row>
    <row r="28" spans="1:14">
      <c r="A28" s="47" t="s">
        <v>874</v>
      </c>
      <c r="B28" s="47">
        <v>7000</v>
      </c>
      <c r="C28" s="524" t="s">
        <v>873</v>
      </c>
      <c r="D28" s="53">
        <f>B28*N4/100000</f>
        <v>0</v>
      </c>
      <c r="E28" s="55">
        <v>0</v>
      </c>
      <c r="F28" s="55"/>
      <c r="G28" s="55"/>
      <c r="H28" s="55"/>
      <c r="I28" s="55"/>
      <c r="J28" s="55"/>
      <c r="K28" s="55"/>
      <c r="L28" s="55"/>
      <c r="M28" s="55"/>
      <c r="N28" s="55">
        <v>0</v>
      </c>
    </row>
    <row r="29" spans="1:14">
      <c r="A29" s="47" t="s">
        <v>235</v>
      </c>
      <c r="B29" s="47">
        <v>43000</v>
      </c>
      <c r="C29" s="522" t="s">
        <v>236</v>
      </c>
      <c r="D29" s="53">
        <f>143000/100000</f>
        <v>1.43</v>
      </c>
      <c r="E29" s="55">
        <f>63000/100000</f>
        <v>0.63</v>
      </c>
      <c r="F29" s="55"/>
      <c r="G29" s="55"/>
      <c r="H29" s="55">
        <f>4500/100000</f>
        <v>4.4999999999999998E-2</v>
      </c>
      <c r="I29" s="55">
        <f>38500/100000</f>
        <v>0.38500000000000001</v>
      </c>
      <c r="J29" s="55">
        <f>-38500/100000</f>
        <v>-0.38500000000000001</v>
      </c>
      <c r="K29" s="55">
        <f>7500/100000</f>
        <v>7.4999999999999997E-2</v>
      </c>
      <c r="L29" s="55"/>
      <c r="M29" s="54">
        <f t="shared" ref="M29:M34" si="0">SUM(F29:L29)</f>
        <v>0.11999999999999998</v>
      </c>
      <c r="N29" s="55">
        <f t="shared" ref="N29:N35" si="1">+M29*100/E29</f>
        <v>19.047619047619044</v>
      </c>
    </row>
    <row r="30" spans="1:14">
      <c r="A30" s="47" t="s">
        <v>875</v>
      </c>
      <c r="B30" s="47">
        <v>34000</v>
      </c>
      <c r="C30" s="522" t="s">
        <v>236</v>
      </c>
      <c r="D30" s="55">
        <f>34000/100000</f>
        <v>0.34</v>
      </c>
      <c r="E30" s="55">
        <f>34000/100000</f>
        <v>0.34</v>
      </c>
      <c r="F30" s="55"/>
      <c r="G30" s="55"/>
      <c r="H30" s="55">
        <f>16200/100000</f>
        <v>0.16200000000000001</v>
      </c>
      <c r="I30" s="55">
        <f>17800/100000</f>
        <v>0.17799999999999999</v>
      </c>
      <c r="J30" s="55"/>
      <c r="K30" s="55"/>
      <c r="L30" s="55"/>
      <c r="M30" s="54">
        <f t="shared" si="0"/>
        <v>0.33999999999999997</v>
      </c>
      <c r="N30" s="55">
        <f t="shared" si="1"/>
        <v>99.999999999999986</v>
      </c>
    </row>
    <row r="31" spans="1:14">
      <c r="A31" s="47" t="s">
        <v>238</v>
      </c>
      <c r="B31" s="47">
        <v>1200</v>
      </c>
      <c r="C31" s="524" t="s">
        <v>873</v>
      </c>
      <c r="D31" s="53">
        <f>ROUND((B31*K4),0)/100000</f>
        <v>5.6611000000000002</v>
      </c>
      <c r="E31" s="55">
        <f>566110/100000</f>
        <v>5.6611000000000002</v>
      </c>
      <c r="F31" s="55"/>
      <c r="G31" s="55"/>
      <c r="H31" s="55"/>
      <c r="I31" s="55"/>
      <c r="J31" s="55">
        <f>341720/100000</f>
        <v>3.4171999999999998</v>
      </c>
      <c r="K31" s="55">
        <f>215980/100000</f>
        <v>2.1598000000000002</v>
      </c>
      <c r="L31" s="55"/>
      <c r="M31" s="54">
        <f t="shared" si="0"/>
        <v>5.577</v>
      </c>
      <c r="N31" s="55">
        <f t="shared" si="1"/>
        <v>98.514422991998032</v>
      </c>
    </row>
    <row r="32" spans="1:14">
      <c r="A32" s="47" t="s">
        <v>667</v>
      </c>
      <c r="B32" s="47">
        <v>565</v>
      </c>
      <c r="C32" s="524" t="s">
        <v>873</v>
      </c>
      <c r="D32" s="53">
        <f>ROUND((B32*K4),0)/100000</f>
        <v>2.6654300000000002</v>
      </c>
      <c r="E32" s="55">
        <f>266543/100000</f>
        <v>2.6654300000000002</v>
      </c>
      <c r="F32" s="55"/>
      <c r="G32" s="55"/>
      <c r="H32" s="55">
        <f>40455/100000</f>
        <v>0.40455000000000002</v>
      </c>
      <c r="I32" s="55">
        <f>226088/100000</f>
        <v>2.2608799999999998</v>
      </c>
      <c r="J32" s="55"/>
      <c r="K32" s="55"/>
      <c r="L32" s="55"/>
      <c r="M32" s="55">
        <f t="shared" si="0"/>
        <v>2.6654299999999997</v>
      </c>
      <c r="N32" s="55">
        <f t="shared" si="1"/>
        <v>99.999999999999972</v>
      </c>
    </row>
    <row r="33" spans="1:14">
      <c r="A33" s="47" t="s">
        <v>876</v>
      </c>
      <c r="B33" s="47">
        <v>1000</v>
      </c>
      <c r="C33" s="524" t="s">
        <v>873</v>
      </c>
      <c r="D33" s="53">
        <f>B33*K4/100000</f>
        <v>4.7175799999999999</v>
      </c>
      <c r="E33" s="55">
        <f>471758/100000</f>
        <v>4.7175799999999999</v>
      </c>
      <c r="F33" s="55"/>
      <c r="G33" s="55">
        <f>98608/100000</f>
        <v>0.98607999999999996</v>
      </c>
      <c r="H33" s="55"/>
      <c r="I33" s="55">
        <f>1392/100000</f>
        <v>1.392E-2</v>
      </c>
      <c r="J33" s="55">
        <f>39170/100000</f>
        <v>0.39169999999999999</v>
      </c>
      <c r="K33" s="55">
        <f>254844/100000</f>
        <v>2.5484399999999998</v>
      </c>
      <c r="L33" s="55"/>
      <c r="M33" s="54">
        <f t="shared" si="0"/>
        <v>3.9401399999999995</v>
      </c>
      <c r="N33" s="55">
        <f t="shared" si="1"/>
        <v>83.520364254554238</v>
      </c>
    </row>
    <row r="34" spans="1:14">
      <c r="A34" s="47" t="s">
        <v>394</v>
      </c>
      <c r="B34" s="47">
        <v>2750</v>
      </c>
      <c r="C34" s="522" t="s">
        <v>877</v>
      </c>
      <c r="D34" s="55">
        <f>192000/100000</f>
        <v>1.92</v>
      </c>
      <c r="E34" s="55">
        <f>192000/100000</f>
        <v>1.92</v>
      </c>
      <c r="F34" s="55">
        <f>9815/100000</f>
        <v>9.8150000000000001E-2</v>
      </c>
      <c r="G34" s="55">
        <f>46944/100000</f>
        <v>0.46944000000000002</v>
      </c>
      <c r="H34" s="55">
        <f>19932/100000</f>
        <v>0.19932</v>
      </c>
      <c r="I34" s="55">
        <f>49309/100000</f>
        <v>0.49308999999999997</v>
      </c>
      <c r="J34" s="55">
        <f>21327/100000</f>
        <v>0.21326999999999999</v>
      </c>
      <c r="K34" s="55">
        <f>27700/100000</f>
        <v>0.27700000000000002</v>
      </c>
      <c r="L34" s="55"/>
      <c r="M34" s="54">
        <f t="shared" si="0"/>
        <v>1.75027</v>
      </c>
      <c r="N34" s="55">
        <f t="shared" si="1"/>
        <v>91.159895833333323</v>
      </c>
    </row>
    <row r="35" spans="1:14">
      <c r="A35" s="69" t="s">
        <v>230</v>
      </c>
      <c r="B35" s="70">
        <f>SUM(B27:B34)</f>
        <v>97515</v>
      </c>
      <c r="C35" s="70"/>
      <c r="D35" s="54">
        <f>SUM(D27:D34)</f>
        <v>54.47475</v>
      </c>
      <c r="E35" s="54">
        <f>SUM(E27:E34)</f>
        <v>53.674750000000003</v>
      </c>
      <c r="F35" s="54">
        <f t="shared" ref="F35:M35" si="2">SUM(F27:F34)</f>
        <v>0.28078999999999998</v>
      </c>
      <c r="G35" s="54">
        <f t="shared" si="2"/>
        <v>10.244719999999999</v>
      </c>
      <c r="H35" s="54">
        <f t="shared" si="2"/>
        <v>17.627980000000001</v>
      </c>
      <c r="I35" s="54">
        <f t="shared" si="2"/>
        <v>15.282580000000001</v>
      </c>
      <c r="J35" s="54">
        <f t="shared" si="2"/>
        <v>2.2404699999999997</v>
      </c>
      <c r="K35" s="54">
        <f t="shared" si="2"/>
        <v>6.0417899999999998</v>
      </c>
      <c r="L35" s="54"/>
      <c r="M35" s="54">
        <f t="shared" si="2"/>
        <v>51.718329999999995</v>
      </c>
      <c r="N35" s="54">
        <f t="shared" si="1"/>
        <v>96.355045901471357</v>
      </c>
    </row>
    <row r="37" spans="1:14" s="33" customFormat="1"/>
    <row r="38" spans="1:14" s="33" customFormat="1"/>
    <row r="39" spans="1:14" s="33" customFormat="1"/>
    <row r="40" spans="1:14" s="33" customFormat="1"/>
    <row r="41" spans="1:14" s="33" customFormat="1"/>
    <row r="42" spans="1:14" s="33" customFormat="1"/>
    <row r="43" spans="1:14" s="33" customFormat="1"/>
    <row r="44" spans="1:14" s="33" customFormat="1"/>
    <row r="45" spans="1:14" s="33" customFormat="1"/>
    <row r="46" spans="1:14" s="33" customFormat="1"/>
    <row r="47" spans="1:14" s="33" customFormat="1"/>
    <row r="48" spans="1:14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="33" customFormat="1"/>
    <row r="66" s="33" customFormat="1"/>
    <row r="67" s="33" customFormat="1"/>
    <row r="68" s="33" customFormat="1"/>
    <row r="69" s="33" customFormat="1"/>
    <row r="70" s="33" customFormat="1"/>
    <row r="71" s="33" customFormat="1"/>
    <row r="72" s="33" customFormat="1"/>
    <row r="73" s="33" customFormat="1"/>
    <row r="74" s="33" customFormat="1"/>
    <row r="75" s="33" customFormat="1"/>
    <row r="76" s="33" customFormat="1"/>
    <row r="77" s="33" customFormat="1"/>
    <row r="78" s="33" customFormat="1"/>
    <row r="79" s="33" customFormat="1"/>
    <row r="80" s="33" customFormat="1"/>
    <row r="81" s="33" customFormat="1"/>
    <row r="82" s="33" customFormat="1"/>
    <row r="83" s="33" customFormat="1"/>
    <row r="84" s="33" customFormat="1"/>
    <row r="85" s="33" customFormat="1"/>
    <row r="86" s="33" customFormat="1"/>
    <row r="87" s="33" customFormat="1"/>
    <row r="88" s="33" customFormat="1"/>
    <row r="89" s="33" customFormat="1"/>
    <row r="90" s="33" customFormat="1"/>
    <row r="91" s="33" customFormat="1"/>
    <row r="92" s="33" customFormat="1"/>
    <row r="93" s="33" customFormat="1"/>
    <row r="94" s="33" customFormat="1"/>
    <row r="95" s="33" customFormat="1"/>
    <row r="96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</sheetData>
  <mergeCells count="35">
    <mergeCell ref="B6:D6"/>
    <mergeCell ref="E6:F6"/>
    <mergeCell ref="G6:I6"/>
    <mergeCell ref="A1:N1"/>
    <mergeCell ref="A2:N2"/>
    <mergeCell ref="B4:D4"/>
    <mergeCell ref="E4:F4"/>
    <mergeCell ref="G4:H4"/>
    <mergeCell ref="A3:C3"/>
    <mergeCell ref="B8:D8"/>
    <mergeCell ref="E8:F8"/>
    <mergeCell ref="G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A25:A26"/>
    <mergeCell ref="B25:B26"/>
    <mergeCell ref="C25:C26"/>
    <mergeCell ref="D25:D26"/>
    <mergeCell ref="E25:E26"/>
    <mergeCell ref="F25:N25"/>
    <mergeCell ref="B14:C14"/>
    <mergeCell ref="B15:C15"/>
    <mergeCell ref="D15:F15"/>
    <mergeCell ref="G15:I15"/>
    <mergeCell ref="J15:M15"/>
  </mergeCells>
  <hyperlinks>
    <hyperlink ref="A3" location="'Fact Sheet of VDC'!A1" display="&lt;&lt;Back"/>
  </hyperlinks>
  <pageMargins left="0.7" right="0.7" top="0.75" bottom="0.75" header="0.3" footer="0.3"/>
  <pageSetup paperSize="9" scale="75" orientation="landscape" horizontalDpi="300" verticalDpi="300" r:id="rId1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N281"/>
  <sheetViews>
    <sheetView workbookViewId="0">
      <selection activeCell="A3" sqref="A3:C3"/>
    </sheetView>
  </sheetViews>
  <sheetFormatPr defaultRowHeight="15"/>
  <cols>
    <col min="1" max="1" width="22.42578125" customWidth="1"/>
    <col min="2" max="3" width="9.28515625" bestFit="1" customWidth="1"/>
    <col min="4" max="4" width="9.5703125" bestFit="1" customWidth="1"/>
    <col min="5" max="5" width="9.7109375" bestFit="1" customWidth="1"/>
    <col min="6" max="8" width="9.42578125" bestFit="1" customWidth="1"/>
    <col min="9" max="9" width="9.5703125" bestFit="1" customWidth="1"/>
    <col min="10" max="12" width="9.42578125" bestFit="1" customWidth="1"/>
    <col min="13" max="13" width="9.85546875" bestFit="1" customWidth="1"/>
    <col min="14" max="14" width="9.5703125" bestFit="1" customWidth="1"/>
    <col min="257" max="257" width="22.42578125" customWidth="1"/>
    <col min="258" max="259" width="9.28515625" bestFit="1" customWidth="1"/>
    <col min="260" max="260" width="9.5703125" bestFit="1" customWidth="1"/>
    <col min="261" max="261" width="9.7109375" bestFit="1" customWidth="1"/>
    <col min="262" max="264" width="9.42578125" bestFit="1" customWidth="1"/>
    <col min="265" max="265" width="9.5703125" bestFit="1" customWidth="1"/>
    <col min="266" max="268" width="9.42578125" bestFit="1" customWidth="1"/>
    <col min="269" max="269" width="9.85546875" bestFit="1" customWidth="1"/>
    <col min="270" max="270" width="9.5703125" bestFit="1" customWidth="1"/>
    <col min="513" max="513" width="22.42578125" customWidth="1"/>
    <col min="514" max="515" width="9.28515625" bestFit="1" customWidth="1"/>
    <col min="516" max="516" width="9.5703125" bestFit="1" customWidth="1"/>
    <col min="517" max="517" width="9.7109375" bestFit="1" customWidth="1"/>
    <col min="518" max="520" width="9.42578125" bestFit="1" customWidth="1"/>
    <col min="521" max="521" width="9.5703125" bestFit="1" customWidth="1"/>
    <col min="522" max="524" width="9.42578125" bestFit="1" customWidth="1"/>
    <col min="525" max="525" width="9.85546875" bestFit="1" customWidth="1"/>
    <col min="526" max="526" width="9.5703125" bestFit="1" customWidth="1"/>
    <col min="769" max="769" width="22.42578125" customWidth="1"/>
    <col min="770" max="771" width="9.28515625" bestFit="1" customWidth="1"/>
    <col min="772" max="772" width="9.5703125" bestFit="1" customWidth="1"/>
    <col min="773" max="773" width="9.7109375" bestFit="1" customWidth="1"/>
    <col min="774" max="776" width="9.42578125" bestFit="1" customWidth="1"/>
    <col min="777" max="777" width="9.5703125" bestFit="1" customWidth="1"/>
    <col min="778" max="780" width="9.42578125" bestFit="1" customWidth="1"/>
    <col min="781" max="781" width="9.85546875" bestFit="1" customWidth="1"/>
    <col min="782" max="782" width="9.5703125" bestFit="1" customWidth="1"/>
    <col min="1025" max="1025" width="22.42578125" customWidth="1"/>
    <col min="1026" max="1027" width="9.28515625" bestFit="1" customWidth="1"/>
    <col min="1028" max="1028" width="9.5703125" bestFit="1" customWidth="1"/>
    <col min="1029" max="1029" width="9.7109375" bestFit="1" customWidth="1"/>
    <col min="1030" max="1032" width="9.42578125" bestFit="1" customWidth="1"/>
    <col min="1033" max="1033" width="9.5703125" bestFit="1" customWidth="1"/>
    <col min="1034" max="1036" width="9.42578125" bestFit="1" customWidth="1"/>
    <col min="1037" max="1037" width="9.85546875" bestFit="1" customWidth="1"/>
    <col min="1038" max="1038" width="9.5703125" bestFit="1" customWidth="1"/>
    <col min="1281" max="1281" width="22.42578125" customWidth="1"/>
    <col min="1282" max="1283" width="9.28515625" bestFit="1" customWidth="1"/>
    <col min="1284" max="1284" width="9.5703125" bestFit="1" customWidth="1"/>
    <col min="1285" max="1285" width="9.7109375" bestFit="1" customWidth="1"/>
    <col min="1286" max="1288" width="9.42578125" bestFit="1" customWidth="1"/>
    <col min="1289" max="1289" width="9.5703125" bestFit="1" customWidth="1"/>
    <col min="1290" max="1292" width="9.42578125" bestFit="1" customWidth="1"/>
    <col min="1293" max="1293" width="9.85546875" bestFit="1" customWidth="1"/>
    <col min="1294" max="1294" width="9.5703125" bestFit="1" customWidth="1"/>
    <col min="1537" max="1537" width="22.42578125" customWidth="1"/>
    <col min="1538" max="1539" width="9.28515625" bestFit="1" customWidth="1"/>
    <col min="1540" max="1540" width="9.5703125" bestFit="1" customWidth="1"/>
    <col min="1541" max="1541" width="9.7109375" bestFit="1" customWidth="1"/>
    <col min="1542" max="1544" width="9.42578125" bestFit="1" customWidth="1"/>
    <col min="1545" max="1545" width="9.5703125" bestFit="1" customWidth="1"/>
    <col min="1546" max="1548" width="9.42578125" bestFit="1" customWidth="1"/>
    <col min="1549" max="1549" width="9.85546875" bestFit="1" customWidth="1"/>
    <col min="1550" max="1550" width="9.5703125" bestFit="1" customWidth="1"/>
    <col min="1793" max="1793" width="22.42578125" customWidth="1"/>
    <col min="1794" max="1795" width="9.28515625" bestFit="1" customWidth="1"/>
    <col min="1796" max="1796" width="9.5703125" bestFit="1" customWidth="1"/>
    <col min="1797" max="1797" width="9.7109375" bestFit="1" customWidth="1"/>
    <col min="1798" max="1800" width="9.42578125" bestFit="1" customWidth="1"/>
    <col min="1801" max="1801" width="9.5703125" bestFit="1" customWidth="1"/>
    <col min="1802" max="1804" width="9.42578125" bestFit="1" customWidth="1"/>
    <col min="1805" max="1805" width="9.85546875" bestFit="1" customWidth="1"/>
    <col min="1806" max="1806" width="9.5703125" bestFit="1" customWidth="1"/>
    <col min="2049" max="2049" width="22.42578125" customWidth="1"/>
    <col min="2050" max="2051" width="9.28515625" bestFit="1" customWidth="1"/>
    <col min="2052" max="2052" width="9.5703125" bestFit="1" customWidth="1"/>
    <col min="2053" max="2053" width="9.7109375" bestFit="1" customWidth="1"/>
    <col min="2054" max="2056" width="9.42578125" bestFit="1" customWidth="1"/>
    <col min="2057" max="2057" width="9.5703125" bestFit="1" customWidth="1"/>
    <col min="2058" max="2060" width="9.42578125" bestFit="1" customWidth="1"/>
    <col min="2061" max="2061" width="9.85546875" bestFit="1" customWidth="1"/>
    <col min="2062" max="2062" width="9.5703125" bestFit="1" customWidth="1"/>
    <col min="2305" max="2305" width="22.42578125" customWidth="1"/>
    <col min="2306" max="2307" width="9.28515625" bestFit="1" customWidth="1"/>
    <col min="2308" max="2308" width="9.5703125" bestFit="1" customWidth="1"/>
    <col min="2309" max="2309" width="9.7109375" bestFit="1" customWidth="1"/>
    <col min="2310" max="2312" width="9.42578125" bestFit="1" customWidth="1"/>
    <col min="2313" max="2313" width="9.5703125" bestFit="1" customWidth="1"/>
    <col min="2314" max="2316" width="9.42578125" bestFit="1" customWidth="1"/>
    <col min="2317" max="2317" width="9.85546875" bestFit="1" customWidth="1"/>
    <col min="2318" max="2318" width="9.5703125" bestFit="1" customWidth="1"/>
    <col min="2561" max="2561" width="22.42578125" customWidth="1"/>
    <col min="2562" max="2563" width="9.28515625" bestFit="1" customWidth="1"/>
    <col min="2564" max="2564" width="9.5703125" bestFit="1" customWidth="1"/>
    <col min="2565" max="2565" width="9.7109375" bestFit="1" customWidth="1"/>
    <col min="2566" max="2568" width="9.42578125" bestFit="1" customWidth="1"/>
    <col min="2569" max="2569" width="9.5703125" bestFit="1" customWidth="1"/>
    <col min="2570" max="2572" width="9.42578125" bestFit="1" customWidth="1"/>
    <col min="2573" max="2573" width="9.85546875" bestFit="1" customWidth="1"/>
    <col min="2574" max="2574" width="9.5703125" bestFit="1" customWidth="1"/>
    <col min="2817" max="2817" width="22.42578125" customWidth="1"/>
    <col min="2818" max="2819" width="9.28515625" bestFit="1" customWidth="1"/>
    <col min="2820" max="2820" width="9.5703125" bestFit="1" customWidth="1"/>
    <col min="2821" max="2821" width="9.7109375" bestFit="1" customWidth="1"/>
    <col min="2822" max="2824" width="9.42578125" bestFit="1" customWidth="1"/>
    <col min="2825" max="2825" width="9.5703125" bestFit="1" customWidth="1"/>
    <col min="2826" max="2828" width="9.42578125" bestFit="1" customWidth="1"/>
    <col min="2829" max="2829" width="9.85546875" bestFit="1" customWidth="1"/>
    <col min="2830" max="2830" width="9.5703125" bestFit="1" customWidth="1"/>
    <col min="3073" max="3073" width="22.42578125" customWidth="1"/>
    <col min="3074" max="3075" width="9.28515625" bestFit="1" customWidth="1"/>
    <col min="3076" max="3076" width="9.5703125" bestFit="1" customWidth="1"/>
    <col min="3077" max="3077" width="9.7109375" bestFit="1" customWidth="1"/>
    <col min="3078" max="3080" width="9.42578125" bestFit="1" customWidth="1"/>
    <col min="3081" max="3081" width="9.5703125" bestFit="1" customWidth="1"/>
    <col min="3082" max="3084" width="9.42578125" bestFit="1" customWidth="1"/>
    <col min="3085" max="3085" width="9.85546875" bestFit="1" customWidth="1"/>
    <col min="3086" max="3086" width="9.5703125" bestFit="1" customWidth="1"/>
    <col min="3329" max="3329" width="22.42578125" customWidth="1"/>
    <col min="3330" max="3331" width="9.28515625" bestFit="1" customWidth="1"/>
    <col min="3332" max="3332" width="9.5703125" bestFit="1" customWidth="1"/>
    <col min="3333" max="3333" width="9.7109375" bestFit="1" customWidth="1"/>
    <col min="3334" max="3336" width="9.42578125" bestFit="1" customWidth="1"/>
    <col min="3337" max="3337" width="9.5703125" bestFit="1" customWidth="1"/>
    <col min="3338" max="3340" width="9.42578125" bestFit="1" customWidth="1"/>
    <col min="3341" max="3341" width="9.85546875" bestFit="1" customWidth="1"/>
    <col min="3342" max="3342" width="9.5703125" bestFit="1" customWidth="1"/>
    <col min="3585" max="3585" width="22.42578125" customWidth="1"/>
    <col min="3586" max="3587" width="9.28515625" bestFit="1" customWidth="1"/>
    <col min="3588" max="3588" width="9.5703125" bestFit="1" customWidth="1"/>
    <col min="3589" max="3589" width="9.7109375" bestFit="1" customWidth="1"/>
    <col min="3590" max="3592" width="9.42578125" bestFit="1" customWidth="1"/>
    <col min="3593" max="3593" width="9.5703125" bestFit="1" customWidth="1"/>
    <col min="3594" max="3596" width="9.42578125" bestFit="1" customWidth="1"/>
    <col min="3597" max="3597" width="9.85546875" bestFit="1" customWidth="1"/>
    <col min="3598" max="3598" width="9.5703125" bestFit="1" customWidth="1"/>
    <col min="3841" max="3841" width="22.42578125" customWidth="1"/>
    <col min="3842" max="3843" width="9.28515625" bestFit="1" customWidth="1"/>
    <col min="3844" max="3844" width="9.5703125" bestFit="1" customWidth="1"/>
    <col min="3845" max="3845" width="9.7109375" bestFit="1" customWidth="1"/>
    <col min="3846" max="3848" width="9.42578125" bestFit="1" customWidth="1"/>
    <col min="3849" max="3849" width="9.5703125" bestFit="1" customWidth="1"/>
    <col min="3850" max="3852" width="9.42578125" bestFit="1" customWidth="1"/>
    <col min="3853" max="3853" width="9.85546875" bestFit="1" customWidth="1"/>
    <col min="3854" max="3854" width="9.5703125" bestFit="1" customWidth="1"/>
    <col min="4097" max="4097" width="22.42578125" customWidth="1"/>
    <col min="4098" max="4099" width="9.28515625" bestFit="1" customWidth="1"/>
    <col min="4100" max="4100" width="9.5703125" bestFit="1" customWidth="1"/>
    <col min="4101" max="4101" width="9.7109375" bestFit="1" customWidth="1"/>
    <col min="4102" max="4104" width="9.42578125" bestFit="1" customWidth="1"/>
    <col min="4105" max="4105" width="9.5703125" bestFit="1" customWidth="1"/>
    <col min="4106" max="4108" width="9.42578125" bestFit="1" customWidth="1"/>
    <col min="4109" max="4109" width="9.85546875" bestFit="1" customWidth="1"/>
    <col min="4110" max="4110" width="9.5703125" bestFit="1" customWidth="1"/>
    <col min="4353" max="4353" width="22.42578125" customWidth="1"/>
    <col min="4354" max="4355" width="9.28515625" bestFit="1" customWidth="1"/>
    <col min="4356" max="4356" width="9.5703125" bestFit="1" customWidth="1"/>
    <col min="4357" max="4357" width="9.7109375" bestFit="1" customWidth="1"/>
    <col min="4358" max="4360" width="9.42578125" bestFit="1" customWidth="1"/>
    <col min="4361" max="4361" width="9.5703125" bestFit="1" customWidth="1"/>
    <col min="4362" max="4364" width="9.42578125" bestFit="1" customWidth="1"/>
    <col min="4365" max="4365" width="9.85546875" bestFit="1" customWidth="1"/>
    <col min="4366" max="4366" width="9.5703125" bestFit="1" customWidth="1"/>
    <col min="4609" max="4609" width="22.42578125" customWidth="1"/>
    <col min="4610" max="4611" width="9.28515625" bestFit="1" customWidth="1"/>
    <col min="4612" max="4612" width="9.5703125" bestFit="1" customWidth="1"/>
    <col min="4613" max="4613" width="9.7109375" bestFit="1" customWidth="1"/>
    <col min="4614" max="4616" width="9.42578125" bestFit="1" customWidth="1"/>
    <col min="4617" max="4617" width="9.5703125" bestFit="1" customWidth="1"/>
    <col min="4618" max="4620" width="9.42578125" bestFit="1" customWidth="1"/>
    <col min="4621" max="4621" width="9.85546875" bestFit="1" customWidth="1"/>
    <col min="4622" max="4622" width="9.5703125" bestFit="1" customWidth="1"/>
    <col min="4865" max="4865" width="22.42578125" customWidth="1"/>
    <col min="4866" max="4867" width="9.28515625" bestFit="1" customWidth="1"/>
    <col min="4868" max="4868" width="9.5703125" bestFit="1" customWidth="1"/>
    <col min="4869" max="4869" width="9.7109375" bestFit="1" customWidth="1"/>
    <col min="4870" max="4872" width="9.42578125" bestFit="1" customWidth="1"/>
    <col min="4873" max="4873" width="9.5703125" bestFit="1" customWidth="1"/>
    <col min="4874" max="4876" width="9.42578125" bestFit="1" customWidth="1"/>
    <col min="4877" max="4877" width="9.85546875" bestFit="1" customWidth="1"/>
    <col min="4878" max="4878" width="9.5703125" bestFit="1" customWidth="1"/>
    <col min="5121" max="5121" width="22.42578125" customWidth="1"/>
    <col min="5122" max="5123" width="9.28515625" bestFit="1" customWidth="1"/>
    <col min="5124" max="5124" width="9.5703125" bestFit="1" customWidth="1"/>
    <col min="5125" max="5125" width="9.7109375" bestFit="1" customWidth="1"/>
    <col min="5126" max="5128" width="9.42578125" bestFit="1" customWidth="1"/>
    <col min="5129" max="5129" width="9.5703125" bestFit="1" customWidth="1"/>
    <col min="5130" max="5132" width="9.42578125" bestFit="1" customWidth="1"/>
    <col min="5133" max="5133" width="9.85546875" bestFit="1" customWidth="1"/>
    <col min="5134" max="5134" width="9.5703125" bestFit="1" customWidth="1"/>
    <col min="5377" max="5377" width="22.42578125" customWidth="1"/>
    <col min="5378" max="5379" width="9.28515625" bestFit="1" customWidth="1"/>
    <col min="5380" max="5380" width="9.5703125" bestFit="1" customWidth="1"/>
    <col min="5381" max="5381" width="9.7109375" bestFit="1" customWidth="1"/>
    <col min="5382" max="5384" width="9.42578125" bestFit="1" customWidth="1"/>
    <col min="5385" max="5385" width="9.5703125" bestFit="1" customWidth="1"/>
    <col min="5386" max="5388" width="9.42578125" bestFit="1" customWidth="1"/>
    <col min="5389" max="5389" width="9.85546875" bestFit="1" customWidth="1"/>
    <col min="5390" max="5390" width="9.5703125" bestFit="1" customWidth="1"/>
    <col min="5633" max="5633" width="22.42578125" customWidth="1"/>
    <col min="5634" max="5635" width="9.28515625" bestFit="1" customWidth="1"/>
    <col min="5636" max="5636" width="9.5703125" bestFit="1" customWidth="1"/>
    <col min="5637" max="5637" width="9.7109375" bestFit="1" customWidth="1"/>
    <col min="5638" max="5640" width="9.42578125" bestFit="1" customWidth="1"/>
    <col min="5641" max="5641" width="9.5703125" bestFit="1" customWidth="1"/>
    <col min="5642" max="5644" width="9.42578125" bestFit="1" customWidth="1"/>
    <col min="5645" max="5645" width="9.85546875" bestFit="1" customWidth="1"/>
    <col min="5646" max="5646" width="9.5703125" bestFit="1" customWidth="1"/>
    <col min="5889" max="5889" width="22.42578125" customWidth="1"/>
    <col min="5890" max="5891" width="9.28515625" bestFit="1" customWidth="1"/>
    <col min="5892" max="5892" width="9.5703125" bestFit="1" customWidth="1"/>
    <col min="5893" max="5893" width="9.7109375" bestFit="1" customWidth="1"/>
    <col min="5894" max="5896" width="9.42578125" bestFit="1" customWidth="1"/>
    <col min="5897" max="5897" width="9.5703125" bestFit="1" customWidth="1"/>
    <col min="5898" max="5900" width="9.42578125" bestFit="1" customWidth="1"/>
    <col min="5901" max="5901" width="9.85546875" bestFit="1" customWidth="1"/>
    <col min="5902" max="5902" width="9.5703125" bestFit="1" customWidth="1"/>
    <col min="6145" max="6145" width="22.42578125" customWidth="1"/>
    <col min="6146" max="6147" width="9.28515625" bestFit="1" customWidth="1"/>
    <col min="6148" max="6148" width="9.5703125" bestFit="1" customWidth="1"/>
    <col min="6149" max="6149" width="9.7109375" bestFit="1" customWidth="1"/>
    <col min="6150" max="6152" width="9.42578125" bestFit="1" customWidth="1"/>
    <col min="6153" max="6153" width="9.5703125" bestFit="1" customWidth="1"/>
    <col min="6154" max="6156" width="9.42578125" bestFit="1" customWidth="1"/>
    <col min="6157" max="6157" width="9.85546875" bestFit="1" customWidth="1"/>
    <col min="6158" max="6158" width="9.5703125" bestFit="1" customWidth="1"/>
    <col min="6401" max="6401" width="22.42578125" customWidth="1"/>
    <col min="6402" max="6403" width="9.28515625" bestFit="1" customWidth="1"/>
    <col min="6404" max="6404" width="9.5703125" bestFit="1" customWidth="1"/>
    <col min="6405" max="6405" width="9.7109375" bestFit="1" customWidth="1"/>
    <col min="6406" max="6408" width="9.42578125" bestFit="1" customWidth="1"/>
    <col min="6409" max="6409" width="9.5703125" bestFit="1" customWidth="1"/>
    <col min="6410" max="6412" width="9.42578125" bestFit="1" customWidth="1"/>
    <col min="6413" max="6413" width="9.85546875" bestFit="1" customWidth="1"/>
    <col min="6414" max="6414" width="9.5703125" bestFit="1" customWidth="1"/>
    <col min="6657" max="6657" width="22.42578125" customWidth="1"/>
    <col min="6658" max="6659" width="9.28515625" bestFit="1" customWidth="1"/>
    <col min="6660" max="6660" width="9.5703125" bestFit="1" customWidth="1"/>
    <col min="6661" max="6661" width="9.7109375" bestFit="1" customWidth="1"/>
    <col min="6662" max="6664" width="9.42578125" bestFit="1" customWidth="1"/>
    <col min="6665" max="6665" width="9.5703125" bestFit="1" customWidth="1"/>
    <col min="6666" max="6668" width="9.42578125" bestFit="1" customWidth="1"/>
    <col min="6669" max="6669" width="9.85546875" bestFit="1" customWidth="1"/>
    <col min="6670" max="6670" width="9.5703125" bestFit="1" customWidth="1"/>
    <col min="6913" max="6913" width="22.42578125" customWidth="1"/>
    <col min="6914" max="6915" width="9.28515625" bestFit="1" customWidth="1"/>
    <col min="6916" max="6916" width="9.5703125" bestFit="1" customWidth="1"/>
    <col min="6917" max="6917" width="9.7109375" bestFit="1" customWidth="1"/>
    <col min="6918" max="6920" width="9.42578125" bestFit="1" customWidth="1"/>
    <col min="6921" max="6921" width="9.5703125" bestFit="1" customWidth="1"/>
    <col min="6922" max="6924" width="9.42578125" bestFit="1" customWidth="1"/>
    <col min="6925" max="6925" width="9.85546875" bestFit="1" customWidth="1"/>
    <col min="6926" max="6926" width="9.5703125" bestFit="1" customWidth="1"/>
    <col min="7169" max="7169" width="22.42578125" customWidth="1"/>
    <col min="7170" max="7171" width="9.28515625" bestFit="1" customWidth="1"/>
    <col min="7172" max="7172" width="9.5703125" bestFit="1" customWidth="1"/>
    <col min="7173" max="7173" width="9.7109375" bestFit="1" customWidth="1"/>
    <col min="7174" max="7176" width="9.42578125" bestFit="1" customWidth="1"/>
    <col min="7177" max="7177" width="9.5703125" bestFit="1" customWidth="1"/>
    <col min="7178" max="7180" width="9.42578125" bestFit="1" customWidth="1"/>
    <col min="7181" max="7181" width="9.85546875" bestFit="1" customWidth="1"/>
    <col min="7182" max="7182" width="9.5703125" bestFit="1" customWidth="1"/>
    <col min="7425" max="7425" width="22.42578125" customWidth="1"/>
    <col min="7426" max="7427" width="9.28515625" bestFit="1" customWidth="1"/>
    <col min="7428" max="7428" width="9.5703125" bestFit="1" customWidth="1"/>
    <col min="7429" max="7429" width="9.7109375" bestFit="1" customWidth="1"/>
    <col min="7430" max="7432" width="9.42578125" bestFit="1" customWidth="1"/>
    <col min="7433" max="7433" width="9.5703125" bestFit="1" customWidth="1"/>
    <col min="7434" max="7436" width="9.42578125" bestFit="1" customWidth="1"/>
    <col min="7437" max="7437" width="9.85546875" bestFit="1" customWidth="1"/>
    <col min="7438" max="7438" width="9.5703125" bestFit="1" customWidth="1"/>
    <col min="7681" max="7681" width="22.42578125" customWidth="1"/>
    <col min="7682" max="7683" width="9.28515625" bestFit="1" customWidth="1"/>
    <col min="7684" max="7684" width="9.5703125" bestFit="1" customWidth="1"/>
    <col min="7685" max="7685" width="9.7109375" bestFit="1" customWidth="1"/>
    <col min="7686" max="7688" width="9.42578125" bestFit="1" customWidth="1"/>
    <col min="7689" max="7689" width="9.5703125" bestFit="1" customWidth="1"/>
    <col min="7690" max="7692" width="9.42578125" bestFit="1" customWidth="1"/>
    <col min="7693" max="7693" width="9.85546875" bestFit="1" customWidth="1"/>
    <col min="7694" max="7694" width="9.5703125" bestFit="1" customWidth="1"/>
    <col min="7937" max="7937" width="22.42578125" customWidth="1"/>
    <col min="7938" max="7939" width="9.28515625" bestFit="1" customWidth="1"/>
    <col min="7940" max="7940" width="9.5703125" bestFit="1" customWidth="1"/>
    <col min="7941" max="7941" width="9.7109375" bestFit="1" customWidth="1"/>
    <col min="7942" max="7944" width="9.42578125" bestFit="1" customWidth="1"/>
    <col min="7945" max="7945" width="9.5703125" bestFit="1" customWidth="1"/>
    <col min="7946" max="7948" width="9.42578125" bestFit="1" customWidth="1"/>
    <col min="7949" max="7949" width="9.85546875" bestFit="1" customWidth="1"/>
    <col min="7950" max="7950" width="9.5703125" bestFit="1" customWidth="1"/>
    <col min="8193" max="8193" width="22.42578125" customWidth="1"/>
    <col min="8194" max="8195" width="9.28515625" bestFit="1" customWidth="1"/>
    <col min="8196" max="8196" width="9.5703125" bestFit="1" customWidth="1"/>
    <col min="8197" max="8197" width="9.7109375" bestFit="1" customWidth="1"/>
    <col min="8198" max="8200" width="9.42578125" bestFit="1" customWidth="1"/>
    <col min="8201" max="8201" width="9.5703125" bestFit="1" customWidth="1"/>
    <col min="8202" max="8204" width="9.42578125" bestFit="1" customWidth="1"/>
    <col min="8205" max="8205" width="9.85546875" bestFit="1" customWidth="1"/>
    <col min="8206" max="8206" width="9.5703125" bestFit="1" customWidth="1"/>
    <col min="8449" max="8449" width="22.42578125" customWidth="1"/>
    <col min="8450" max="8451" width="9.28515625" bestFit="1" customWidth="1"/>
    <col min="8452" max="8452" width="9.5703125" bestFit="1" customWidth="1"/>
    <col min="8453" max="8453" width="9.7109375" bestFit="1" customWidth="1"/>
    <col min="8454" max="8456" width="9.42578125" bestFit="1" customWidth="1"/>
    <col min="8457" max="8457" width="9.5703125" bestFit="1" customWidth="1"/>
    <col min="8458" max="8460" width="9.42578125" bestFit="1" customWidth="1"/>
    <col min="8461" max="8461" width="9.85546875" bestFit="1" customWidth="1"/>
    <col min="8462" max="8462" width="9.5703125" bestFit="1" customWidth="1"/>
    <col min="8705" max="8705" width="22.42578125" customWidth="1"/>
    <col min="8706" max="8707" width="9.28515625" bestFit="1" customWidth="1"/>
    <col min="8708" max="8708" width="9.5703125" bestFit="1" customWidth="1"/>
    <col min="8709" max="8709" width="9.7109375" bestFit="1" customWidth="1"/>
    <col min="8710" max="8712" width="9.42578125" bestFit="1" customWidth="1"/>
    <col min="8713" max="8713" width="9.5703125" bestFit="1" customWidth="1"/>
    <col min="8714" max="8716" width="9.42578125" bestFit="1" customWidth="1"/>
    <col min="8717" max="8717" width="9.85546875" bestFit="1" customWidth="1"/>
    <col min="8718" max="8718" width="9.5703125" bestFit="1" customWidth="1"/>
    <col min="8961" max="8961" width="22.42578125" customWidth="1"/>
    <col min="8962" max="8963" width="9.28515625" bestFit="1" customWidth="1"/>
    <col min="8964" max="8964" width="9.5703125" bestFit="1" customWidth="1"/>
    <col min="8965" max="8965" width="9.7109375" bestFit="1" customWidth="1"/>
    <col min="8966" max="8968" width="9.42578125" bestFit="1" customWidth="1"/>
    <col min="8969" max="8969" width="9.5703125" bestFit="1" customWidth="1"/>
    <col min="8970" max="8972" width="9.42578125" bestFit="1" customWidth="1"/>
    <col min="8973" max="8973" width="9.85546875" bestFit="1" customWidth="1"/>
    <col min="8974" max="8974" width="9.5703125" bestFit="1" customWidth="1"/>
    <col min="9217" max="9217" width="22.42578125" customWidth="1"/>
    <col min="9218" max="9219" width="9.28515625" bestFit="1" customWidth="1"/>
    <col min="9220" max="9220" width="9.5703125" bestFit="1" customWidth="1"/>
    <col min="9221" max="9221" width="9.7109375" bestFit="1" customWidth="1"/>
    <col min="9222" max="9224" width="9.42578125" bestFit="1" customWidth="1"/>
    <col min="9225" max="9225" width="9.5703125" bestFit="1" customWidth="1"/>
    <col min="9226" max="9228" width="9.42578125" bestFit="1" customWidth="1"/>
    <col min="9229" max="9229" width="9.85546875" bestFit="1" customWidth="1"/>
    <col min="9230" max="9230" width="9.5703125" bestFit="1" customWidth="1"/>
    <col min="9473" max="9473" width="22.42578125" customWidth="1"/>
    <col min="9474" max="9475" width="9.28515625" bestFit="1" customWidth="1"/>
    <col min="9476" max="9476" width="9.5703125" bestFit="1" customWidth="1"/>
    <col min="9477" max="9477" width="9.7109375" bestFit="1" customWidth="1"/>
    <col min="9478" max="9480" width="9.42578125" bestFit="1" customWidth="1"/>
    <col min="9481" max="9481" width="9.5703125" bestFit="1" customWidth="1"/>
    <col min="9482" max="9484" width="9.42578125" bestFit="1" customWidth="1"/>
    <col min="9485" max="9485" width="9.85546875" bestFit="1" customWidth="1"/>
    <col min="9486" max="9486" width="9.5703125" bestFit="1" customWidth="1"/>
    <col min="9729" max="9729" width="22.42578125" customWidth="1"/>
    <col min="9730" max="9731" width="9.28515625" bestFit="1" customWidth="1"/>
    <col min="9732" max="9732" width="9.5703125" bestFit="1" customWidth="1"/>
    <col min="9733" max="9733" width="9.7109375" bestFit="1" customWidth="1"/>
    <col min="9734" max="9736" width="9.42578125" bestFit="1" customWidth="1"/>
    <col min="9737" max="9737" width="9.5703125" bestFit="1" customWidth="1"/>
    <col min="9738" max="9740" width="9.42578125" bestFit="1" customWidth="1"/>
    <col min="9741" max="9741" width="9.85546875" bestFit="1" customWidth="1"/>
    <col min="9742" max="9742" width="9.5703125" bestFit="1" customWidth="1"/>
    <col min="9985" max="9985" width="22.42578125" customWidth="1"/>
    <col min="9986" max="9987" width="9.28515625" bestFit="1" customWidth="1"/>
    <col min="9988" max="9988" width="9.5703125" bestFit="1" customWidth="1"/>
    <col min="9989" max="9989" width="9.7109375" bestFit="1" customWidth="1"/>
    <col min="9990" max="9992" width="9.42578125" bestFit="1" customWidth="1"/>
    <col min="9993" max="9993" width="9.5703125" bestFit="1" customWidth="1"/>
    <col min="9994" max="9996" width="9.42578125" bestFit="1" customWidth="1"/>
    <col min="9997" max="9997" width="9.85546875" bestFit="1" customWidth="1"/>
    <col min="9998" max="9998" width="9.5703125" bestFit="1" customWidth="1"/>
    <col min="10241" max="10241" width="22.42578125" customWidth="1"/>
    <col min="10242" max="10243" width="9.28515625" bestFit="1" customWidth="1"/>
    <col min="10244" max="10244" width="9.5703125" bestFit="1" customWidth="1"/>
    <col min="10245" max="10245" width="9.7109375" bestFit="1" customWidth="1"/>
    <col min="10246" max="10248" width="9.42578125" bestFit="1" customWidth="1"/>
    <col min="10249" max="10249" width="9.5703125" bestFit="1" customWidth="1"/>
    <col min="10250" max="10252" width="9.42578125" bestFit="1" customWidth="1"/>
    <col min="10253" max="10253" width="9.85546875" bestFit="1" customWidth="1"/>
    <col min="10254" max="10254" width="9.5703125" bestFit="1" customWidth="1"/>
    <col min="10497" max="10497" width="22.42578125" customWidth="1"/>
    <col min="10498" max="10499" width="9.28515625" bestFit="1" customWidth="1"/>
    <col min="10500" max="10500" width="9.5703125" bestFit="1" customWidth="1"/>
    <col min="10501" max="10501" width="9.7109375" bestFit="1" customWidth="1"/>
    <col min="10502" max="10504" width="9.42578125" bestFit="1" customWidth="1"/>
    <col min="10505" max="10505" width="9.5703125" bestFit="1" customWidth="1"/>
    <col min="10506" max="10508" width="9.42578125" bestFit="1" customWidth="1"/>
    <col min="10509" max="10509" width="9.85546875" bestFit="1" customWidth="1"/>
    <col min="10510" max="10510" width="9.5703125" bestFit="1" customWidth="1"/>
    <col min="10753" max="10753" width="22.42578125" customWidth="1"/>
    <col min="10754" max="10755" width="9.28515625" bestFit="1" customWidth="1"/>
    <col min="10756" max="10756" width="9.5703125" bestFit="1" customWidth="1"/>
    <col min="10757" max="10757" width="9.7109375" bestFit="1" customWidth="1"/>
    <col min="10758" max="10760" width="9.42578125" bestFit="1" customWidth="1"/>
    <col min="10761" max="10761" width="9.5703125" bestFit="1" customWidth="1"/>
    <col min="10762" max="10764" width="9.42578125" bestFit="1" customWidth="1"/>
    <col min="10765" max="10765" width="9.85546875" bestFit="1" customWidth="1"/>
    <col min="10766" max="10766" width="9.5703125" bestFit="1" customWidth="1"/>
    <col min="11009" max="11009" width="22.42578125" customWidth="1"/>
    <col min="11010" max="11011" width="9.28515625" bestFit="1" customWidth="1"/>
    <col min="11012" max="11012" width="9.5703125" bestFit="1" customWidth="1"/>
    <col min="11013" max="11013" width="9.7109375" bestFit="1" customWidth="1"/>
    <col min="11014" max="11016" width="9.42578125" bestFit="1" customWidth="1"/>
    <col min="11017" max="11017" width="9.5703125" bestFit="1" customWidth="1"/>
    <col min="11018" max="11020" width="9.42578125" bestFit="1" customWidth="1"/>
    <col min="11021" max="11021" width="9.85546875" bestFit="1" customWidth="1"/>
    <col min="11022" max="11022" width="9.5703125" bestFit="1" customWidth="1"/>
    <col min="11265" max="11265" width="22.42578125" customWidth="1"/>
    <col min="11266" max="11267" width="9.28515625" bestFit="1" customWidth="1"/>
    <col min="11268" max="11268" width="9.5703125" bestFit="1" customWidth="1"/>
    <col min="11269" max="11269" width="9.7109375" bestFit="1" customWidth="1"/>
    <col min="11270" max="11272" width="9.42578125" bestFit="1" customWidth="1"/>
    <col min="11273" max="11273" width="9.5703125" bestFit="1" customWidth="1"/>
    <col min="11274" max="11276" width="9.42578125" bestFit="1" customWidth="1"/>
    <col min="11277" max="11277" width="9.85546875" bestFit="1" customWidth="1"/>
    <col min="11278" max="11278" width="9.5703125" bestFit="1" customWidth="1"/>
    <col min="11521" max="11521" width="22.42578125" customWidth="1"/>
    <col min="11522" max="11523" width="9.28515625" bestFit="1" customWidth="1"/>
    <col min="11524" max="11524" width="9.5703125" bestFit="1" customWidth="1"/>
    <col min="11525" max="11525" width="9.7109375" bestFit="1" customWidth="1"/>
    <col min="11526" max="11528" width="9.42578125" bestFit="1" customWidth="1"/>
    <col min="11529" max="11529" width="9.5703125" bestFit="1" customWidth="1"/>
    <col min="11530" max="11532" width="9.42578125" bestFit="1" customWidth="1"/>
    <col min="11533" max="11533" width="9.85546875" bestFit="1" customWidth="1"/>
    <col min="11534" max="11534" width="9.5703125" bestFit="1" customWidth="1"/>
    <col min="11777" max="11777" width="22.42578125" customWidth="1"/>
    <col min="11778" max="11779" width="9.28515625" bestFit="1" customWidth="1"/>
    <col min="11780" max="11780" width="9.5703125" bestFit="1" customWidth="1"/>
    <col min="11781" max="11781" width="9.7109375" bestFit="1" customWidth="1"/>
    <col min="11782" max="11784" width="9.42578125" bestFit="1" customWidth="1"/>
    <col min="11785" max="11785" width="9.5703125" bestFit="1" customWidth="1"/>
    <col min="11786" max="11788" width="9.42578125" bestFit="1" customWidth="1"/>
    <col min="11789" max="11789" width="9.85546875" bestFit="1" customWidth="1"/>
    <col min="11790" max="11790" width="9.5703125" bestFit="1" customWidth="1"/>
    <col min="12033" max="12033" width="22.42578125" customWidth="1"/>
    <col min="12034" max="12035" width="9.28515625" bestFit="1" customWidth="1"/>
    <col min="12036" max="12036" width="9.5703125" bestFit="1" customWidth="1"/>
    <col min="12037" max="12037" width="9.7109375" bestFit="1" customWidth="1"/>
    <col min="12038" max="12040" width="9.42578125" bestFit="1" customWidth="1"/>
    <col min="12041" max="12041" width="9.5703125" bestFit="1" customWidth="1"/>
    <col min="12042" max="12044" width="9.42578125" bestFit="1" customWidth="1"/>
    <col min="12045" max="12045" width="9.85546875" bestFit="1" customWidth="1"/>
    <col min="12046" max="12046" width="9.5703125" bestFit="1" customWidth="1"/>
    <col min="12289" max="12289" width="22.42578125" customWidth="1"/>
    <col min="12290" max="12291" width="9.28515625" bestFit="1" customWidth="1"/>
    <col min="12292" max="12292" width="9.5703125" bestFit="1" customWidth="1"/>
    <col min="12293" max="12293" width="9.7109375" bestFit="1" customWidth="1"/>
    <col min="12294" max="12296" width="9.42578125" bestFit="1" customWidth="1"/>
    <col min="12297" max="12297" width="9.5703125" bestFit="1" customWidth="1"/>
    <col min="12298" max="12300" width="9.42578125" bestFit="1" customWidth="1"/>
    <col min="12301" max="12301" width="9.85546875" bestFit="1" customWidth="1"/>
    <col min="12302" max="12302" width="9.5703125" bestFit="1" customWidth="1"/>
    <col min="12545" max="12545" width="22.42578125" customWidth="1"/>
    <col min="12546" max="12547" width="9.28515625" bestFit="1" customWidth="1"/>
    <col min="12548" max="12548" width="9.5703125" bestFit="1" customWidth="1"/>
    <col min="12549" max="12549" width="9.7109375" bestFit="1" customWidth="1"/>
    <col min="12550" max="12552" width="9.42578125" bestFit="1" customWidth="1"/>
    <col min="12553" max="12553" width="9.5703125" bestFit="1" customWidth="1"/>
    <col min="12554" max="12556" width="9.42578125" bestFit="1" customWidth="1"/>
    <col min="12557" max="12557" width="9.85546875" bestFit="1" customWidth="1"/>
    <col min="12558" max="12558" width="9.5703125" bestFit="1" customWidth="1"/>
    <col min="12801" max="12801" width="22.42578125" customWidth="1"/>
    <col min="12802" max="12803" width="9.28515625" bestFit="1" customWidth="1"/>
    <col min="12804" max="12804" width="9.5703125" bestFit="1" customWidth="1"/>
    <col min="12805" max="12805" width="9.7109375" bestFit="1" customWidth="1"/>
    <col min="12806" max="12808" width="9.42578125" bestFit="1" customWidth="1"/>
    <col min="12809" max="12809" width="9.5703125" bestFit="1" customWidth="1"/>
    <col min="12810" max="12812" width="9.42578125" bestFit="1" customWidth="1"/>
    <col min="12813" max="12813" width="9.85546875" bestFit="1" customWidth="1"/>
    <col min="12814" max="12814" width="9.5703125" bestFit="1" customWidth="1"/>
    <col min="13057" max="13057" width="22.42578125" customWidth="1"/>
    <col min="13058" max="13059" width="9.28515625" bestFit="1" customWidth="1"/>
    <col min="13060" max="13060" width="9.5703125" bestFit="1" customWidth="1"/>
    <col min="13061" max="13061" width="9.7109375" bestFit="1" customWidth="1"/>
    <col min="13062" max="13064" width="9.42578125" bestFit="1" customWidth="1"/>
    <col min="13065" max="13065" width="9.5703125" bestFit="1" customWidth="1"/>
    <col min="13066" max="13068" width="9.42578125" bestFit="1" customWidth="1"/>
    <col min="13069" max="13069" width="9.85546875" bestFit="1" customWidth="1"/>
    <col min="13070" max="13070" width="9.5703125" bestFit="1" customWidth="1"/>
    <col min="13313" max="13313" width="22.42578125" customWidth="1"/>
    <col min="13314" max="13315" width="9.28515625" bestFit="1" customWidth="1"/>
    <col min="13316" max="13316" width="9.5703125" bestFit="1" customWidth="1"/>
    <col min="13317" max="13317" width="9.7109375" bestFit="1" customWidth="1"/>
    <col min="13318" max="13320" width="9.42578125" bestFit="1" customWidth="1"/>
    <col min="13321" max="13321" width="9.5703125" bestFit="1" customWidth="1"/>
    <col min="13322" max="13324" width="9.42578125" bestFit="1" customWidth="1"/>
    <col min="13325" max="13325" width="9.85546875" bestFit="1" customWidth="1"/>
    <col min="13326" max="13326" width="9.5703125" bestFit="1" customWidth="1"/>
    <col min="13569" max="13569" width="22.42578125" customWidth="1"/>
    <col min="13570" max="13571" width="9.28515625" bestFit="1" customWidth="1"/>
    <col min="13572" max="13572" width="9.5703125" bestFit="1" customWidth="1"/>
    <col min="13573" max="13573" width="9.7109375" bestFit="1" customWidth="1"/>
    <col min="13574" max="13576" width="9.42578125" bestFit="1" customWidth="1"/>
    <col min="13577" max="13577" width="9.5703125" bestFit="1" customWidth="1"/>
    <col min="13578" max="13580" width="9.42578125" bestFit="1" customWidth="1"/>
    <col min="13581" max="13581" width="9.85546875" bestFit="1" customWidth="1"/>
    <col min="13582" max="13582" width="9.5703125" bestFit="1" customWidth="1"/>
    <col min="13825" max="13825" width="22.42578125" customWidth="1"/>
    <col min="13826" max="13827" width="9.28515625" bestFit="1" customWidth="1"/>
    <col min="13828" max="13828" width="9.5703125" bestFit="1" customWidth="1"/>
    <col min="13829" max="13829" width="9.7109375" bestFit="1" customWidth="1"/>
    <col min="13830" max="13832" width="9.42578125" bestFit="1" customWidth="1"/>
    <col min="13833" max="13833" width="9.5703125" bestFit="1" customWidth="1"/>
    <col min="13834" max="13836" width="9.42578125" bestFit="1" customWidth="1"/>
    <col min="13837" max="13837" width="9.85546875" bestFit="1" customWidth="1"/>
    <col min="13838" max="13838" width="9.5703125" bestFit="1" customWidth="1"/>
    <col min="14081" max="14081" width="22.42578125" customWidth="1"/>
    <col min="14082" max="14083" width="9.28515625" bestFit="1" customWidth="1"/>
    <col min="14084" max="14084" width="9.5703125" bestFit="1" customWidth="1"/>
    <col min="14085" max="14085" width="9.7109375" bestFit="1" customWidth="1"/>
    <col min="14086" max="14088" width="9.42578125" bestFit="1" customWidth="1"/>
    <col min="14089" max="14089" width="9.5703125" bestFit="1" customWidth="1"/>
    <col min="14090" max="14092" width="9.42578125" bestFit="1" customWidth="1"/>
    <col min="14093" max="14093" width="9.85546875" bestFit="1" customWidth="1"/>
    <col min="14094" max="14094" width="9.5703125" bestFit="1" customWidth="1"/>
    <col min="14337" max="14337" width="22.42578125" customWidth="1"/>
    <col min="14338" max="14339" width="9.28515625" bestFit="1" customWidth="1"/>
    <col min="14340" max="14340" width="9.5703125" bestFit="1" customWidth="1"/>
    <col min="14341" max="14341" width="9.7109375" bestFit="1" customWidth="1"/>
    <col min="14342" max="14344" width="9.42578125" bestFit="1" customWidth="1"/>
    <col min="14345" max="14345" width="9.5703125" bestFit="1" customWidth="1"/>
    <col min="14346" max="14348" width="9.42578125" bestFit="1" customWidth="1"/>
    <col min="14349" max="14349" width="9.85546875" bestFit="1" customWidth="1"/>
    <col min="14350" max="14350" width="9.5703125" bestFit="1" customWidth="1"/>
    <col min="14593" max="14593" width="22.42578125" customWidth="1"/>
    <col min="14594" max="14595" width="9.28515625" bestFit="1" customWidth="1"/>
    <col min="14596" max="14596" width="9.5703125" bestFit="1" customWidth="1"/>
    <col min="14597" max="14597" width="9.7109375" bestFit="1" customWidth="1"/>
    <col min="14598" max="14600" width="9.42578125" bestFit="1" customWidth="1"/>
    <col min="14601" max="14601" width="9.5703125" bestFit="1" customWidth="1"/>
    <col min="14602" max="14604" width="9.42578125" bestFit="1" customWidth="1"/>
    <col min="14605" max="14605" width="9.85546875" bestFit="1" customWidth="1"/>
    <col min="14606" max="14606" width="9.5703125" bestFit="1" customWidth="1"/>
    <col min="14849" max="14849" width="22.42578125" customWidth="1"/>
    <col min="14850" max="14851" width="9.28515625" bestFit="1" customWidth="1"/>
    <col min="14852" max="14852" width="9.5703125" bestFit="1" customWidth="1"/>
    <col min="14853" max="14853" width="9.7109375" bestFit="1" customWidth="1"/>
    <col min="14854" max="14856" width="9.42578125" bestFit="1" customWidth="1"/>
    <col min="14857" max="14857" width="9.5703125" bestFit="1" customWidth="1"/>
    <col min="14858" max="14860" width="9.42578125" bestFit="1" customWidth="1"/>
    <col min="14861" max="14861" width="9.85546875" bestFit="1" customWidth="1"/>
    <col min="14862" max="14862" width="9.5703125" bestFit="1" customWidth="1"/>
    <col min="15105" max="15105" width="22.42578125" customWidth="1"/>
    <col min="15106" max="15107" width="9.28515625" bestFit="1" customWidth="1"/>
    <col min="15108" max="15108" width="9.5703125" bestFit="1" customWidth="1"/>
    <col min="15109" max="15109" width="9.7109375" bestFit="1" customWidth="1"/>
    <col min="15110" max="15112" width="9.42578125" bestFit="1" customWidth="1"/>
    <col min="15113" max="15113" width="9.5703125" bestFit="1" customWidth="1"/>
    <col min="15114" max="15116" width="9.42578125" bestFit="1" customWidth="1"/>
    <col min="15117" max="15117" width="9.85546875" bestFit="1" customWidth="1"/>
    <col min="15118" max="15118" width="9.5703125" bestFit="1" customWidth="1"/>
    <col min="15361" max="15361" width="22.42578125" customWidth="1"/>
    <col min="15362" max="15363" width="9.28515625" bestFit="1" customWidth="1"/>
    <col min="15364" max="15364" width="9.5703125" bestFit="1" customWidth="1"/>
    <col min="15365" max="15365" width="9.7109375" bestFit="1" customWidth="1"/>
    <col min="15366" max="15368" width="9.42578125" bestFit="1" customWidth="1"/>
    <col min="15369" max="15369" width="9.5703125" bestFit="1" customWidth="1"/>
    <col min="15370" max="15372" width="9.42578125" bestFit="1" customWidth="1"/>
    <col min="15373" max="15373" width="9.85546875" bestFit="1" customWidth="1"/>
    <col min="15374" max="15374" width="9.5703125" bestFit="1" customWidth="1"/>
    <col min="15617" max="15617" width="22.42578125" customWidth="1"/>
    <col min="15618" max="15619" width="9.28515625" bestFit="1" customWidth="1"/>
    <col min="15620" max="15620" width="9.5703125" bestFit="1" customWidth="1"/>
    <col min="15621" max="15621" width="9.7109375" bestFit="1" customWidth="1"/>
    <col min="15622" max="15624" width="9.42578125" bestFit="1" customWidth="1"/>
    <col min="15625" max="15625" width="9.5703125" bestFit="1" customWidth="1"/>
    <col min="15626" max="15628" width="9.42578125" bestFit="1" customWidth="1"/>
    <col min="15629" max="15629" width="9.85546875" bestFit="1" customWidth="1"/>
    <col min="15630" max="15630" width="9.5703125" bestFit="1" customWidth="1"/>
    <col min="15873" max="15873" width="22.42578125" customWidth="1"/>
    <col min="15874" max="15875" width="9.28515625" bestFit="1" customWidth="1"/>
    <col min="15876" max="15876" width="9.5703125" bestFit="1" customWidth="1"/>
    <col min="15877" max="15877" width="9.7109375" bestFit="1" customWidth="1"/>
    <col min="15878" max="15880" width="9.42578125" bestFit="1" customWidth="1"/>
    <col min="15881" max="15881" width="9.5703125" bestFit="1" customWidth="1"/>
    <col min="15882" max="15884" width="9.42578125" bestFit="1" customWidth="1"/>
    <col min="15885" max="15885" width="9.85546875" bestFit="1" customWidth="1"/>
    <col min="15886" max="15886" width="9.5703125" bestFit="1" customWidth="1"/>
    <col min="16129" max="16129" width="22.42578125" customWidth="1"/>
    <col min="16130" max="16131" width="9.28515625" bestFit="1" customWidth="1"/>
    <col min="16132" max="16132" width="9.5703125" bestFit="1" customWidth="1"/>
    <col min="16133" max="16133" width="9.7109375" bestFit="1" customWidth="1"/>
    <col min="16134" max="16136" width="9.42578125" bestFit="1" customWidth="1"/>
    <col min="16137" max="16137" width="9.5703125" bestFit="1" customWidth="1"/>
    <col min="16138" max="16140" width="9.42578125" bestFit="1" customWidth="1"/>
    <col min="16141" max="16141" width="9.85546875" bestFit="1" customWidth="1"/>
    <col min="16142" max="16142" width="9.5703125" bestFit="1" customWidth="1"/>
  </cols>
  <sheetData>
    <row r="1" spans="1:14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</row>
    <row r="2" spans="1:14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</row>
    <row r="3" spans="1:14">
      <c r="A3" s="808" t="s">
        <v>4176</v>
      </c>
      <c r="B3" s="808"/>
      <c r="C3" s="808"/>
    </row>
    <row r="4" spans="1:14">
      <c r="A4" s="46" t="s">
        <v>828</v>
      </c>
      <c r="B4" s="854" t="s">
        <v>980</v>
      </c>
      <c r="C4" s="854"/>
      <c r="D4" s="854"/>
      <c r="E4" s="854" t="s">
        <v>830</v>
      </c>
      <c r="F4" s="854"/>
      <c r="G4" s="854">
        <v>904170103</v>
      </c>
      <c r="H4" s="854"/>
      <c r="I4" s="46" t="s">
        <v>5</v>
      </c>
      <c r="J4" s="46"/>
      <c r="K4" s="47">
        <v>459.30099999999999</v>
      </c>
      <c r="L4" s="46" t="s">
        <v>831</v>
      </c>
      <c r="M4" s="46"/>
      <c r="N4" s="47">
        <v>80</v>
      </c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54" t="s">
        <v>981</v>
      </c>
      <c r="C6" s="854"/>
      <c r="D6" s="854"/>
      <c r="E6" s="854" t="s">
        <v>176</v>
      </c>
      <c r="F6" s="854"/>
      <c r="G6" s="854" t="s">
        <v>982</v>
      </c>
      <c r="H6" s="854"/>
      <c r="I6" s="854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 ht="23.25" customHeight="1">
      <c r="A8" s="46" t="s">
        <v>835</v>
      </c>
      <c r="B8" s="854" t="s">
        <v>983</v>
      </c>
      <c r="C8" s="854"/>
      <c r="D8" s="854"/>
      <c r="E8" s="967" t="s">
        <v>912</v>
      </c>
      <c r="F8" s="940"/>
      <c r="G8" s="843">
        <v>9438456637</v>
      </c>
      <c r="H8" s="870"/>
      <c r="I8" s="870"/>
      <c r="J8" s="870"/>
      <c r="K8" s="844"/>
      <c r="L8" s="46"/>
      <c r="M8" s="46"/>
      <c r="N8" s="46"/>
    </row>
    <row r="9" spans="1:14">
      <c r="A9" s="46"/>
      <c r="B9" s="46"/>
      <c r="C9" s="46"/>
      <c r="D9" s="46"/>
      <c r="E9" s="46"/>
      <c r="F9" s="46"/>
      <c r="G9" s="48"/>
      <c r="H9" s="48"/>
      <c r="I9" s="48"/>
      <c r="J9" s="48"/>
      <c r="K9" s="48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47" t="s">
        <v>838</v>
      </c>
      <c r="B11" s="854" t="s">
        <v>984</v>
      </c>
      <c r="C11" s="854"/>
      <c r="D11" s="854"/>
      <c r="E11" s="854"/>
      <c r="F11" s="854"/>
      <c r="G11" s="854"/>
      <c r="H11" s="854"/>
      <c r="I11" s="854"/>
      <c r="J11" s="854"/>
      <c r="K11" s="854"/>
      <c r="L11" s="854"/>
      <c r="M11" s="854"/>
      <c r="N11" s="46"/>
    </row>
    <row r="12" spans="1:14">
      <c r="A12" s="47" t="s">
        <v>840</v>
      </c>
      <c r="B12" s="854" t="s">
        <v>985</v>
      </c>
      <c r="C12" s="854"/>
      <c r="D12" s="854" t="s">
        <v>986</v>
      </c>
      <c r="E12" s="854"/>
      <c r="F12" s="854"/>
      <c r="G12" s="854" t="s">
        <v>987</v>
      </c>
      <c r="H12" s="854"/>
      <c r="I12" s="854"/>
      <c r="J12" s="854" t="s">
        <v>988</v>
      </c>
      <c r="K12" s="854"/>
      <c r="L12" s="854"/>
      <c r="M12" s="854"/>
      <c r="N12" s="46"/>
    </row>
    <row r="13" spans="1:14">
      <c r="A13" s="47" t="s">
        <v>844</v>
      </c>
      <c r="B13" s="843" t="s">
        <v>989</v>
      </c>
      <c r="C13" s="870"/>
      <c r="D13" s="843" t="s">
        <v>990</v>
      </c>
      <c r="E13" s="870"/>
      <c r="F13" s="844"/>
      <c r="G13" s="854" t="s">
        <v>991</v>
      </c>
      <c r="H13" s="854"/>
      <c r="I13" s="854"/>
      <c r="J13" s="854" t="s">
        <v>992</v>
      </c>
      <c r="K13" s="854"/>
      <c r="L13" s="854"/>
      <c r="M13" s="854"/>
      <c r="N13" s="46"/>
    </row>
    <row r="14" spans="1:14">
      <c r="A14" s="47"/>
      <c r="B14" s="843" t="s">
        <v>993</v>
      </c>
      <c r="C14" s="870"/>
      <c r="D14" s="520"/>
      <c r="E14" s="525"/>
      <c r="F14" s="521"/>
      <c r="G14" s="522"/>
      <c r="H14" s="522"/>
      <c r="I14" s="522"/>
      <c r="J14" s="522"/>
      <c r="K14" s="522"/>
      <c r="L14" s="522"/>
      <c r="M14" s="522"/>
      <c r="N14" s="46"/>
    </row>
    <row r="15" spans="1:14">
      <c r="A15" s="47" t="s">
        <v>850</v>
      </c>
      <c r="B15" s="854" t="s">
        <v>994</v>
      </c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4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>
      <c r="A17" s="46" t="s">
        <v>852</v>
      </c>
      <c r="B17" s="47">
        <v>4</v>
      </c>
      <c r="C17" s="46" t="s">
        <v>853</v>
      </c>
      <c r="D17" s="46"/>
      <c r="E17" s="522">
        <v>5</v>
      </c>
      <c r="G17" s="46" t="s">
        <v>643</v>
      </c>
      <c r="H17" s="522">
        <v>12</v>
      </c>
      <c r="I17" s="46" t="s">
        <v>644</v>
      </c>
      <c r="J17" s="47">
        <v>1</v>
      </c>
      <c r="K17" s="46" t="s">
        <v>645</v>
      </c>
      <c r="L17" s="47">
        <v>12</v>
      </c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46" t="s">
        <v>854</v>
      </c>
      <c r="B20" s="46" t="s">
        <v>204</v>
      </c>
      <c r="C20" s="47">
        <v>152</v>
      </c>
      <c r="D20" s="46" t="s">
        <v>205</v>
      </c>
      <c r="E20" s="47"/>
      <c r="F20" s="49" t="s">
        <v>206</v>
      </c>
      <c r="G20" s="47"/>
      <c r="H20" s="46" t="s">
        <v>230</v>
      </c>
      <c r="I20" s="47">
        <v>152</v>
      </c>
      <c r="J20" s="46" t="s">
        <v>207</v>
      </c>
      <c r="K20" s="47">
        <v>56</v>
      </c>
      <c r="L20" s="46" t="s">
        <v>855</v>
      </c>
      <c r="M20" s="46"/>
      <c r="N20" s="47">
        <v>13</v>
      </c>
    </row>
    <row r="21" spans="1:14">
      <c r="A21" s="46" t="s">
        <v>209</v>
      </c>
      <c r="B21" s="46" t="s">
        <v>210</v>
      </c>
      <c r="C21" s="47">
        <v>358</v>
      </c>
      <c r="D21" s="46" t="s">
        <v>211</v>
      </c>
      <c r="E21" s="47"/>
      <c r="F21" s="49" t="s">
        <v>212</v>
      </c>
      <c r="G21" s="47"/>
      <c r="H21" s="46" t="s">
        <v>411</v>
      </c>
      <c r="I21" s="47">
        <f>C21</f>
        <v>358</v>
      </c>
      <c r="J21" s="46"/>
      <c r="K21" s="46"/>
      <c r="L21" s="46"/>
      <c r="M21" s="46"/>
      <c r="N21" s="46"/>
    </row>
    <row r="22" spans="1:14">
      <c r="A22" s="46"/>
      <c r="B22" s="46" t="s">
        <v>858</v>
      </c>
      <c r="C22" s="47">
        <v>381</v>
      </c>
      <c r="D22" s="46" t="s">
        <v>214</v>
      </c>
      <c r="E22" s="47"/>
      <c r="F22" s="46" t="s">
        <v>215</v>
      </c>
      <c r="G22" s="47"/>
      <c r="H22" s="46" t="s">
        <v>410</v>
      </c>
      <c r="I22" s="47">
        <f>C22</f>
        <v>381</v>
      </c>
      <c r="J22" s="46"/>
      <c r="K22" s="46"/>
      <c r="L22" s="46"/>
      <c r="M22" s="46"/>
      <c r="N22" s="46"/>
    </row>
    <row r="23" spans="1:14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>
      <c r="A24" s="50" t="s">
        <v>216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4" ht="30" customHeight="1">
      <c r="A25" s="969" t="s">
        <v>861</v>
      </c>
      <c r="B25" s="948" t="s">
        <v>862</v>
      </c>
      <c r="C25" s="971" t="s">
        <v>219</v>
      </c>
      <c r="D25" s="971" t="s">
        <v>863</v>
      </c>
      <c r="E25" s="971" t="s">
        <v>864</v>
      </c>
      <c r="F25" s="843" t="s">
        <v>865</v>
      </c>
      <c r="G25" s="870"/>
      <c r="H25" s="870"/>
      <c r="I25" s="870"/>
      <c r="J25" s="870"/>
      <c r="K25" s="870"/>
      <c r="L25" s="870"/>
      <c r="M25" s="870"/>
      <c r="N25" s="844"/>
    </row>
    <row r="26" spans="1:14" ht="38.450000000000003" customHeight="1">
      <c r="A26" s="970"/>
      <c r="B26" s="949"/>
      <c r="C26" s="972"/>
      <c r="D26" s="972"/>
      <c r="E26" s="972"/>
      <c r="F26" s="17" t="s">
        <v>866</v>
      </c>
      <c r="G26" s="17" t="s">
        <v>867</v>
      </c>
      <c r="H26" s="17" t="s">
        <v>868</v>
      </c>
      <c r="I26" s="17" t="s">
        <v>869</v>
      </c>
      <c r="J26" s="17" t="s">
        <v>870</v>
      </c>
      <c r="K26" s="17" t="s">
        <v>871</v>
      </c>
      <c r="L26" s="17" t="s">
        <v>872</v>
      </c>
      <c r="M26" s="17" t="s">
        <v>230</v>
      </c>
      <c r="N26" s="17" t="s">
        <v>231</v>
      </c>
    </row>
    <row r="27" spans="1:14">
      <c r="A27" s="47" t="s">
        <v>232</v>
      </c>
      <c r="B27" s="47">
        <v>8000</v>
      </c>
      <c r="C27" s="524" t="s">
        <v>873</v>
      </c>
      <c r="D27" s="53">
        <f>B27*K4/100000</f>
        <v>36.744079999999997</v>
      </c>
      <c r="E27" s="54">
        <f>3674408/100000</f>
        <v>36.744079999999997</v>
      </c>
      <c r="F27" s="55">
        <f>65519/100000</f>
        <v>0.65519000000000005</v>
      </c>
      <c r="G27" s="55">
        <f>821523/100000</f>
        <v>8.21523</v>
      </c>
      <c r="H27" s="55">
        <f>685047/100000</f>
        <v>6.8504699999999996</v>
      </c>
      <c r="I27" s="55">
        <f>2102319/100000</f>
        <v>21.02319</v>
      </c>
      <c r="J27" s="55">
        <f>-134783/100000</f>
        <v>-1.3478300000000001</v>
      </c>
      <c r="K27" s="55">
        <f>95000/100000</f>
        <v>0.95</v>
      </c>
      <c r="L27" s="55"/>
      <c r="M27" s="54">
        <f t="shared" ref="M27:M34" si="0">SUM(F27:L27)</f>
        <v>36.346249999999998</v>
      </c>
      <c r="N27" s="55">
        <f>+M27*100/E27</f>
        <v>98.917294976496905</v>
      </c>
    </row>
    <row r="28" spans="1:14">
      <c r="A28" s="47" t="s">
        <v>874</v>
      </c>
      <c r="B28" s="47">
        <v>7000</v>
      </c>
      <c r="C28" s="524" t="s">
        <v>873</v>
      </c>
      <c r="D28" s="53">
        <f>B28*N4/100000</f>
        <v>5.6</v>
      </c>
      <c r="E28" s="54">
        <f>560000/100000</f>
        <v>5.6</v>
      </c>
      <c r="F28" s="55"/>
      <c r="G28" s="55"/>
      <c r="H28" s="55"/>
      <c r="I28" s="55">
        <f>190900/100000</f>
        <v>1.909</v>
      </c>
      <c r="J28" s="55">
        <f>89475/100000</f>
        <v>0.89475000000000005</v>
      </c>
      <c r="K28" s="55">
        <f>213330/100000</f>
        <v>2.1333000000000002</v>
      </c>
      <c r="L28" s="55"/>
      <c r="M28" s="54">
        <f t="shared" si="0"/>
        <v>4.9370500000000002</v>
      </c>
      <c r="N28" s="55">
        <f t="shared" ref="N28:N35" si="1">+M28*100/E28</f>
        <v>88.16160714285715</v>
      </c>
    </row>
    <row r="29" spans="1:14">
      <c r="A29" s="47" t="s">
        <v>235</v>
      </c>
      <c r="B29" s="47">
        <v>43000</v>
      </c>
      <c r="C29" s="522" t="s">
        <v>236</v>
      </c>
      <c r="D29" s="53">
        <f>143000/100000</f>
        <v>1.43</v>
      </c>
      <c r="E29" s="55">
        <f>63000/100000</f>
        <v>0.63</v>
      </c>
      <c r="F29" s="55"/>
      <c r="G29" s="55"/>
      <c r="H29" s="55">
        <f>19500/100000</f>
        <v>0.19500000000000001</v>
      </c>
      <c r="I29" s="55">
        <f>23500/100000</f>
        <v>0.23499999999999999</v>
      </c>
      <c r="J29" s="55">
        <f>-9480/100000</f>
        <v>-9.4799999999999995E-2</v>
      </c>
      <c r="K29" s="55">
        <f>10000/100000</f>
        <v>0.1</v>
      </c>
      <c r="L29" s="55"/>
      <c r="M29" s="54">
        <f t="shared" si="0"/>
        <v>0.43520000000000003</v>
      </c>
      <c r="N29" s="55">
        <f t="shared" si="1"/>
        <v>69.07936507936509</v>
      </c>
    </row>
    <row r="30" spans="1:14">
      <c r="A30" s="47" t="s">
        <v>875</v>
      </c>
      <c r="B30" s="47">
        <v>34000</v>
      </c>
      <c r="C30" s="522" t="s">
        <v>236</v>
      </c>
      <c r="D30" s="54">
        <f>34000/100000</f>
        <v>0.34</v>
      </c>
      <c r="E30" s="54">
        <f>34000/100000</f>
        <v>0.34</v>
      </c>
      <c r="F30" s="55"/>
      <c r="G30" s="55"/>
      <c r="H30" s="55">
        <f>16200/100000</f>
        <v>0.16200000000000001</v>
      </c>
      <c r="I30" s="55">
        <f>17800/100000</f>
        <v>0.17799999999999999</v>
      </c>
      <c r="J30" s="55"/>
      <c r="K30" s="55"/>
      <c r="L30" s="55"/>
      <c r="M30" s="54">
        <f t="shared" si="0"/>
        <v>0.33999999999999997</v>
      </c>
      <c r="N30" s="55">
        <f t="shared" si="1"/>
        <v>99.999999999999986</v>
      </c>
    </row>
    <row r="31" spans="1:14">
      <c r="A31" s="47" t="s">
        <v>238</v>
      </c>
      <c r="B31" s="47">
        <v>1200</v>
      </c>
      <c r="C31" s="524" t="s">
        <v>873</v>
      </c>
      <c r="D31" s="53">
        <f>ROUND((B31*K4),0)/100000</f>
        <v>5.5116100000000001</v>
      </c>
      <c r="E31" s="54">
        <f>551161/100000</f>
        <v>5.5116100000000001</v>
      </c>
      <c r="F31" s="55"/>
      <c r="G31" s="55"/>
      <c r="H31" s="55"/>
      <c r="I31" s="55"/>
      <c r="J31" s="55">
        <f>540666/100000</f>
        <v>5.4066599999999996</v>
      </c>
      <c r="K31" s="55">
        <f>10495/100000</f>
        <v>0.10495</v>
      </c>
      <c r="L31" s="55"/>
      <c r="M31" s="54">
        <f t="shared" si="0"/>
        <v>5.5116099999999992</v>
      </c>
      <c r="N31" s="55">
        <f t="shared" si="1"/>
        <v>99.999999999999986</v>
      </c>
    </row>
    <row r="32" spans="1:14">
      <c r="A32" s="47" t="s">
        <v>667</v>
      </c>
      <c r="B32" s="47">
        <v>565</v>
      </c>
      <c r="C32" s="524" t="s">
        <v>873</v>
      </c>
      <c r="D32" s="53">
        <f>ROUND((B32*K4),0)/100000</f>
        <v>2.5950500000000001</v>
      </c>
      <c r="E32" s="54">
        <f>259505/100000</f>
        <v>2.5950500000000001</v>
      </c>
      <c r="F32" s="55"/>
      <c r="G32" s="55"/>
      <c r="H32" s="55">
        <f>180812/100000</f>
        <v>1.8081199999999999</v>
      </c>
      <c r="I32" s="55">
        <f>78693/100000</f>
        <v>0.78693000000000002</v>
      </c>
      <c r="J32" s="55"/>
      <c r="K32" s="55"/>
      <c r="L32" s="55"/>
      <c r="M32" s="54">
        <f t="shared" si="0"/>
        <v>2.5950500000000001</v>
      </c>
      <c r="N32" s="55">
        <f t="shared" si="1"/>
        <v>100</v>
      </c>
    </row>
    <row r="33" spans="1:14">
      <c r="A33" s="47" t="s">
        <v>876</v>
      </c>
      <c r="B33" s="47">
        <v>1000</v>
      </c>
      <c r="C33" s="524" t="s">
        <v>873</v>
      </c>
      <c r="D33" s="53">
        <f>B33*K4/100000</f>
        <v>4.5930099999999996</v>
      </c>
      <c r="E33" s="54">
        <f>459301/100000</f>
        <v>4.5930099999999996</v>
      </c>
      <c r="F33" s="55"/>
      <c r="G33" s="55">
        <f>23557/100000</f>
        <v>0.23557</v>
      </c>
      <c r="H33" s="55">
        <f>68395/100000</f>
        <v>0.68394999999999995</v>
      </c>
      <c r="I33" s="55">
        <f>8048/100000</f>
        <v>8.0479999999999996E-2</v>
      </c>
      <c r="J33" s="71">
        <f>147933/100000</f>
        <v>1.47933</v>
      </c>
      <c r="K33" s="55">
        <f>224620/100000</f>
        <v>2.2462</v>
      </c>
      <c r="L33" s="55"/>
      <c r="M33" s="54">
        <f t="shared" si="0"/>
        <v>4.72553</v>
      </c>
      <c r="N33" s="55">
        <f t="shared" si="1"/>
        <v>102.88525389668214</v>
      </c>
    </row>
    <row r="34" spans="1:14">
      <c r="A34" s="47" t="s">
        <v>394</v>
      </c>
      <c r="B34" s="47">
        <v>2750</v>
      </c>
      <c r="C34" s="522" t="s">
        <v>877</v>
      </c>
      <c r="D34" s="55">
        <f>192000/100000</f>
        <v>1.92</v>
      </c>
      <c r="E34" s="55">
        <f>192000/100000</f>
        <v>1.92</v>
      </c>
      <c r="F34" s="55">
        <f>10726/100000</f>
        <v>0.10725999999999999</v>
      </c>
      <c r="G34" s="55">
        <f>24061/100000</f>
        <v>0.24060999999999999</v>
      </c>
      <c r="H34" s="55">
        <f>19181/100000</f>
        <v>0.19181000000000001</v>
      </c>
      <c r="I34" s="55">
        <f>72032/100000</f>
        <v>0.72031999999999996</v>
      </c>
      <c r="J34" s="55">
        <f>-13846/100000</f>
        <v>-0.13846</v>
      </c>
      <c r="K34" s="55">
        <f>43000/100000</f>
        <v>0.43</v>
      </c>
      <c r="L34" s="55"/>
      <c r="M34" s="54">
        <f t="shared" si="0"/>
        <v>1.5515399999999999</v>
      </c>
      <c r="N34" s="55">
        <f t="shared" si="1"/>
        <v>80.809375000000003</v>
      </c>
    </row>
    <row r="35" spans="1:14">
      <c r="A35" s="69" t="s">
        <v>230</v>
      </c>
      <c r="B35" s="70"/>
      <c r="C35" s="70"/>
      <c r="D35" s="54">
        <f t="shared" ref="D35:M35" si="2">SUM(D27:D34)</f>
        <v>58.733750000000001</v>
      </c>
      <c r="E35" s="54">
        <f t="shared" si="2"/>
        <v>57.933750000000003</v>
      </c>
      <c r="F35" s="54">
        <f t="shared" si="2"/>
        <v>0.76245000000000007</v>
      </c>
      <c r="G35" s="54">
        <f t="shared" si="2"/>
        <v>8.6914099999999994</v>
      </c>
      <c r="H35" s="54">
        <f t="shared" si="2"/>
        <v>9.8913499999999992</v>
      </c>
      <c r="I35" s="54">
        <f t="shared" si="2"/>
        <v>24.932920000000003</v>
      </c>
      <c r="J35" s="54">
        <f t="shared" si="2"/>
        <v>6.1996499999999992</v>
      </c>
      <c r="K35" s="54">
        <f>SUM(K27:K34)</f>
        <v>5.9644500000000003</v>
      </c>
      <c r="L35" s="54">
        <f t="shared" si="2"/>
        <v>0</v>
      </c>
      <c r="M35" s="54">
        <f t="shared" si="2"/>
        <v>56.442230000000002</v>
      </c>
      <c r="N35" s="54">
        <f t="shared" si="1"/>
        <v>97.425473061902593</v>
      </c>
    </row>
    <row r="36" spans="1:14" s="33" customFormat="1"/>
    <row r="37" spans="1:14" s="33" customFormat="1"/>
    <row r="38" spans="1:14" s="33" customFormat="1"/>
    <row r="39" spans="1:14" s="33" customFormat="1"/>
    <row r="40" spans="1:14" s="33" customFormat="1"/>
    <row r="41" spans="1:14" s="33" customFormat="1"/>
    <row r="42" spans="1:14" s="33" customFormat="1"/>
    <row r="43" spans="1:14" s="33" customFormat="1"/>
    <row r="44" spans="1:14" s="33" customFormat="1"/>
    <row r="45" spans="1:14" s="33" customFormat="1"/>
    <row r="46" spans="1:14" s="33" customFormat="1"/>
    <row r="47" spans="1:14" s="33" customFormat="1"/>
    <row r="48" spans="1:14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pans="1:13" s="33" customFormat="1"/>
    <row r="66" spans="1:13" s="33" customFormat="1"/>
    <row r="67" spans="1:13" s="33" customFormat="1"/>
    <row r="68" spans="1:13" s="33" customFormat="1"/>
    <row r="69" spans="1:13" s="33" customFormat="1"/>
    <row r="70" spans="1:13" s="33" customFormat="1"/>
    <row r="71" spans="1:13" s="33" customFormat="1"/>
    <row r="72" spans="1:1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</row>
    <row r="73" spans="1:13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</row>
    <row r="74" spans="1:13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</row>
    <row r="75" spans="1:13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</row>
    <row r="76" spans="1:13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</row>
    <row r="77" spans="1:1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</row>
    <row r="78" spans="1:1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</row>
    <row r="79" spans="1:1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</row>
    <row r="80" spans="1:13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</row>
    <row r="81" spans="1:13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</row>
    <row r="82" spans="1:13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</row>
    <row r="83" spans="1:13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</row>
    <row r="84" spans="1:13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</row>
    <row r="85" spans="1:13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</row>
    <row r="86" spans="1:13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</row>
    <row r="87" spans="1:13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</row>
    <row r="88" spans="1:13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</row>
    <row r="89" spans="1:13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</row>
    <row r="90" spans="1:13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</row>
    <row r="91" spans="1:13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</row>
    <row r="92" spans="1:13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</row>
    <row r="93" spans="1:13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</row>
    <row r="94" spans="1:13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</row>
    <row r="95" spans="1:13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</row>
    <row r="96" spans="1:13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</row>
    <row r="97" spans="1:13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99" spans="1:13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</row>
    <row r="100" spans="1:13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</row>
    <row r="102" spans="1:13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</row>
    <row r="103" spans="1:13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</row>
    <row r="104" spans="1:13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</row>
    <row r="105" spans="1:13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</row>
    <row r="106" spans="1:13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</row>
    <row r="107" spans="1:13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</row>
    <row r="108" spans="1:13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</row>
    <row r="109" spans="1:13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</row>
    <row r="110" spans="1:13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</row>
    <row r="111" spans="1:13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</row>
    <row r="112" spans="1:13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</row>
    <row r="113" spans="1:13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</row>
    <row r="114" spans="1:13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</row>
    <row r="115" spans="1:13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</row>
    <row r="116" spans="1:13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</row>
    <row r="117" spans="1:13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</row>
    <row r="118" spans="1:13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</row>
    <row r="119" spans="1:13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</row>
    <row r="120" spans="1:13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</row>
    <row r="121" spans="1:13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</row>
    <row r="122" spans="1:13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</row>
    <row r="123" spans="1:13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</row>
    <row r="124" spans="1:13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</row>
    <row r="125" spans="1:13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</row>
    <row r="126" spans="1:13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</row>
    <row r="127" spans="1:13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</row>
    <row r="129" spans="1:13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</row>
    <row r="130" spans="1:13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1:13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</row>
    <row r="132" spans="1:13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</row>
    <row r="133" spans="1:13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</row>
    <row r="134" spans="1:13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</row>
    <row r="135" spans="1:13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</row>
    <row r="136" spans="1:13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</row>
    <row r="137" spans="1:13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</row>
    <row r="138" spans="1:13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</row>
    <row r="139" spans="1:13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</row>
    <row r="140" spans="1:13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</row>
    <row r="141" spans="1:13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</row>
    <row r="142" spans="1:13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</row>
    <row r="143" spans="1:13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</row>
    <row r="144" spans="1:13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</row>
    <row r="145" spans="1:13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</row>
    <row r="146" spans="1:13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</row>
    <row r="147" spans="1:13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</row>
    <row r="148" spans="1:13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</row>
    <row r="149" spans="1:13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</row>
    <row r="150" spans="1:13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</row>
    <row r="151" spans="1:13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</row>
    <row r="152" spans="1:13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</row>
    <row r="153" spans="1:13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</row>
    <row r="154" spans="1:13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</row>
    <row r="155" spans="1:13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</row>
    <row r="156" spans="1:13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</row>
    <row r="157" spans="1:1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</row>
    <row r="158" spans="1:13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</row>
    <row r="159" spans="1:13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</row>
    <row r="160" spans="1:13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</row>
    <row r="161" spans="1:13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</row>
    <row r="162" spans="1:13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</row>
    <row r="163" spans="1:13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</row>
    <row r="164" spans="1:13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</row>
    <row r="165" spans="1:13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</row>
    <row r="166" spans="1:13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</row>
    <row r="167" spans="1:13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</row>
    <row r="168" spans="1:13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</row>
    <row r="169" spans="1:13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</row>
    <row r="170" spans="1:13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</row>
    <row r="171" spans="1:13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</row>
    <row r="172" spans="1:13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</row>
    <row r="173" spans="1:13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</row>
    <row r="174" spans="1:13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</row>
    <row r="175" spans="1:13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</row>
    <row r="176" spans="1:13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</row>
    <row r="177" spans="1:13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</row>
    <row r="178" spans="1:13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</row>
    <row r="179" spans="1:13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</row>
    <row r="180" spans="1:13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</row>
    <row r="181" spans="1:13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</row>
    <row r="182" spans="1:13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</row>
    <row r="183" spans="1:13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</row>
    <row r="184" spans="1:13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</row>
    <row r="185" spans="1:13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</row>
    <row r="186" spans="1:13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</row>
    <row r="187" spans="1:13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</row>
    <row r="188" spans="1:13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</row>
    <row r="189" spans="1:13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</row>
    <row r="190" spans="1:13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</row>
    <row r="191" spans="1:13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</row>
    <row r="192" spans="1:13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</row>
    <row r="193" spans="1:13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</row>
    <row r="194" spans="1:13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</row>
    <row r="195" spans="1:13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</row>
    <row r="196" spans="1:13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</row>
    <row r="197" spans="1:13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</row>
    <row r="198" spans="1:13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</row>
    <row r="199" spans="1:1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</row>
    <row r="200" spans="1:13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</row>
    <row r="201" spans="1:13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</row>
    <row r="202" spans="1:13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</row>
    <row r="203" spans="1:13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</row>
    <row r="204" spans="1:13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</row>
    <row r="205" spans="1:13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</row>
    <row r="206" spans="1:13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</row>
    <row r="207" spans="1:13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</row>
    <row r="208" spans="1:13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</row>
    <row r="209" spans="1:13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</row>
    <row r="210" spans="1:13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</row>
    <row r="211" spans="1:13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</row>
    <row r="212" spans="1:13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</row>
    <row r="213" spans="1:13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</row>
    <row r="214" spans="1:13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</row>
    <row r="215" spans="1:13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</row>
    <row r="216" spans="1:13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</row>
    <row r="217" spans="1:13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</row>
    <row r="218" spans="1:13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</row>
    <row r="219" spans="1:13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</row>
    <row r="220" spans="1:13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</row>
    <row r="221" spans="1:13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</row>
    <row r="222" spans="1:13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</row>
    <row r="223" spans="1:13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</row>
    <row r="224" spans="1:13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</row>
    <row r="225" spans="1:13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</row>
    <row r="226" spans="1:13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</row>
    <row r="227" spans="1:13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</row>
    <row r="228" spans="1:13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</row>
    <row r="229" spans="1:13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</row>
    <row r="230" spans="1:13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</row>
    <row r="231" spans="1:13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</row>
    <row r="232" spans="1:13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</row>
    <row r="233" spans="1:13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</row>
    <row r="234" spans="1:13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</row>
    <row r="235" spans="1:13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</row>
    <row r="236" spans="1:13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</row>
    <row r="237" spans="1:13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</row>
    <row r="238" spans="1:13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</row>
    <row r="239" spans="1:13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</row>
    <row r="240" spans="1:13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</row>
    <row r="241" spans="1:13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</row>
    <row r="242" spans="1:13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</row>
    <row r="243" spans="1:13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</row>
    <row r="244" spans="1:13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</row>
    <row r="245" spans="1:13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</row>
    <row r="246" spans="1:13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</row>
    <row r="247" spans="1:13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</row>
    <row r="248" spans="1:13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</row>
    <row r="249" spans="1:13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</row>
    <row r="250" spans="1:13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1:13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</row>
    <row r="252" spans="1:13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</row>
    <row r="253" spans="1:13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</row>
    <row r="254" spans="1:13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</row>
    <row r="255" spans="1:13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</row>
    <row r="256" spans="1:13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</row>
    <row r="257" spans="1:13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</row>
    <row r="258" spans="1:13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</row>
    <row r="259" spans="1:13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</row>
    <row r="260" spans="1:13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</row>
    <row r="261" spans="1:13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</row>
    <row r="262" spans="1:13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</row>
    <row r="263" spans="1:13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</row>
    <row r="264" spans="1:13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</row>
    <row r="265" spans="1:13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</row>
    <row r="266" spans="1:13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</row>
    <row r="267" spans="1:13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</row>
    <row r="268" spans="1:13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</row>
    <row r="269" spans="1:13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</row>
    <row r="270" spans="1:13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</row>
    <row r="271" spans="1:13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</row>
    <row r="272" spans="1:13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</row>
    <row r="273" spans="1:13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</row>
    <row r="274" spans="1:13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</row>
    <row r="275" spans="1:13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</row>
    <row r="276" spans="1:13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</row>
    <row r="277" spans="1:13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</row>
    <row r="278" spans="1:13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</row>
    <row r="279" spans="1:13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</row>
    <row r="280" spans="1:13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</row>
    <row r="281" spans="1:13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</row>
  </sheetData>
  <mergeCells count="35">
    <mergeCell ref="B6:D6"/>
    <mergeCell ref="E6:F6"/>
    <mergeCell ref="G6:I6"/>
    <mergeCell ref="A1:N1"/>
    <mergeCell ref="A2:N2"/>
    <mergeCell ref="B4:D4"/>
    <mergeCell ref="E4:F4"/>
    <mergeCell ref="G4:H4"/>
    <mergeCell ref="A3:C3"/>
    <mergeCell ref="B8:D8"/>
    <mergeCell ref="E8:F8"/>
    <mergeCell ref="G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A25:A26"/>
    <mergeCell ref="B25:B26"/>
    <mergeCell ref="C25:C26"/>
    <mergeCell ref="D25:D26"/>
    <mergeCell ref="E25:E26"/>
    <mergeCell ref="F25:N25"/>
    <mergeCell ref="B14:C14"/>
    <mergeCell ref="B15:C15"/>
    <mergeCell ref="D15:F15"/>
    <mergeCell ref="G15:I15"/>
    <mergeCell ref="J15:M15"/>
  </mergeCells>
  <hyperlinks>
    <hyperlink ref="A3" location="'Fact Sheet of VDC'!A1" display="&lt;&lt;Back"/>
  </hyperlinks>
  <pageMargins left="0.7" right="0.7" top="0.75" bottom="0.75" header="0.3" footer="0.3"/>
  <pageSetup scale="75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N109"/>
  <sheetViews>
    <sheetView workbookViewId="0">
      <selection activeCell="A3" sqref="A3:C3"/>
    </sheetView>
  </sheetViews>
  <sheetFormatPr defaultRowHeight="15"/>
  <cols>
    <col min="1" max="1" width="26.140625" customWidth="1"/>
    <col min="2" max="3" width="9.28515625" bestFit="1" customWidth="1"/>
    <col min="4" max="4" width="9.5703125" bestFit="1" customWidth="1"/>
    <col min="5" max="5" width="9.85546875" bestFit="1" customWidth="1"/>
    <col min="6" max="6" width="9.42578125" bestFit="1" customWidth="1"/>
    <col min="7" max="7" width="9.5703125" bestFit="1" customWidth="1"/>
    <col min="8" max="8" width="9.42578125" bestFit="1" customWidth="1"/>
    <col min="9" max="9" width="9.5703125" bestFit="1" customWidth="1"/>
    <col min="10" max="12" width="9.42578125" bestFit="1" customWidth="1"/>
    <col min="13" max="13" width="9.7109375" bestFit="1" customWidth="1"/>
    <col min="14" max="14" width="9.42578125" bestFit="1" customWidth="1"/>
    <col min="257" max="257" width="26.140625" customWidth="1"/>
    <col min="258" max="259" width="9.28515625" bestFit="1" customWidth="1"/>
    <col min="260" max="260" width="9.5703125" bestFit="1" customWidth="1"/>
    <col min="261" max="261" width="9.85546875" bestFit="1" customWidth="1"/>
    <col min="262" max="262" width="9.42578125" bestFit="1" customWidth="1"/>
    <col min="263" max="263" width="9.5703125" bestFit="1" customWidth="1"/>
    <col min="264" max="264" width="9.42578125" bestFit="1" customWidth="1"/>
    <col min="265" max="265" width="9.5703125" bestFit="1" customWidth="1"/>
    <col min="266" max="268" width="9.42578125" bestFit="1" customWidth="1"/>
    <col min="269" max="269" width="9.7109375" bestFit="1" customWidth="1"/>
    <col min="270" max="270" width="9.42578125" bestFit="1" customWidth="1"/>
    <col min="513" max="513" width="26.140625" customWidth="1"/>
    <col min="514" max="515" width="9.28515625" bestFit="1" customWidth="1"/>
    <col min="516" max="516" width="9.5703125" bestFit="1" customWidth="1"/>
    <col min="517" max="517" width="9.85546875" bestFit="1" customWidth="1"/>
    <col min="518" max="518" width="9.42578125" bestFit="1" customWidth="1"/>
    <col min="519" max="519" width="9.5703125" bestFit="1" customWidth="1"/>
    <col min="520" max="520" width="9.42578125" bestFit="1" customWidth="1"/>
    <col min="521" max="521" width="9.5703125" bestFit="1" customWidth="1"/>
    <col min="522" max="524" width="9.42578125" bestFit="1" customWidth="1"/>
    <col min="525" max="525" width="9.7109375" bestFit="1" customWidth="1"/>
    <col min="526" max="526" width="9.42578125" bestFit="1" customWidth="1"/>
    <col min="769" max="769" width="26.140625" customWidth="1"/>
    <col min="770" max="771" width="9.28515625" bestFit="1" customWidth="1"/>
    <col min="772" max="772" width="9.5703125" bestFit="1" customWidth="1"/>
    <col min="773" max="773" width="9.85546875" bestFit="1" customWidth="1"/>
    <col min="774" max="774" width="9.42578125" bestFit="1" customWidth="1"/>
    <col min="775" max="775" width="9.5703125" bestFit="1" customWidth="1"/>
    <col min="776" max="776" width="9.42578125" bestFit="1" customWidth="1"/>
    <col min="777" max="777" width="9.5703125" bestFit="1" customWidth="1"/>
    <col min="778" max="780" width="9.42578125" bestFit="1" customWidth="1"/>
    <col min="781" max="781" width="9.7109375" bestFit="1" customWidth="1"/>
    <col min="782" max="782" width="9.42578125" bestFit="1" customWidth="1"/>
    <col min="1025" max="1025" width="26.140625" customWidth="1"/>
    <col min="1026" max="1027" width="9.28515625" bestFit="1" customWidth="1"/>
    <col min="1028" max="1028" width="9.5703125" bestFit="1" customWidth="1"/>
    <col min="1029" max="1029" width="9.85546875" bestFit="1" customWidth="1"/>
    <col min="1030" max="1030" width="9.42578125" bestFit="1" customWidth="1"/>
    <col min="1031" max="1031" width="9.5703125" bestFit="1" customWidth="1"/>
    <col min="1032" max="1032" width="9.42578125" bestFit="1" customWidth="1"/>
    <col min="1033" max="1033" width="9.5703125" bestFit="1" customWidth="1"/>
    <col min="1034" max="1036" width="9.42578125" bestFit="1" customWidth="1"/>
    <col min="1037" max="1037" width="9.7109375" bestFit="1" customWidth="1"/>
    <col min="1038" max="1038" width="9.42578125" bestFit="1" customWidth="1"/>
    <col min="1281" max="1281" width="26.140625" customWidth="1"/>
    <col min="1282" max="1283" width="9.28515625" bestFit="1" customWidth="1"/>
    <col min="1284" max="1284" width="9.5703125" bestFit="1" customWidth="1"/>
    <col min="1285" max="1285" width="9.85546875" bestFit="1" customWidth="1"/>
    <col min="1286" max="1286" width="9.42578125" bestFit="1" customWidth="1"/>
    <col min="1287" max="1287" width="9.5703125" bestFit="1" customWidth="1"/>
    <col min="1288" max="1288" width="9.42578125" bestFit="1" customWidth="1"/>
    <col min="1289" max="1289" width="9.5703125" bestFit="1" customWidth="1"/>
    <col min="1290" max="1292" width="9.42578125" bestFit="1" customWidth="1"/>
    <col min="1293" max="1293" width="9.7109375" bestFit="1" customWidth="1"/>
    <col min="1294" max="1294" width="9.42578125" bestFit="1" customWidth="1"/>
    <col min="1537" max="1537" width="26.140625" customWidth="1"/>
    <col min="1538" max="1539" width="9.28515625" bestFit="1" customWidth="1"/>
    <col min="1540" max="1540" width="9.5703125" bestFit="1" customWidth="1"/>
    <col min="1541" max="1541" width="9.85546875" bestFit="1" customWidth="1"/>
    <col min="1542" max="1542" width="9.42578125" bestFit="1" customWidth="1"/>
    <col min="1543" max="1543" width="9.5703125" bestFit="1" customWidth="1"/>
    <col min="1544" max="1544" width="9.42578125" bestFit="1" customWidth="1"/>
    <col min="1545" max="1545" width="9.5703125" bestFit="1" customWidth="1"/>
    <col min="1546" max="1548" width="9.42578125" bestFit="1" customWidth="1"/>
    <col min="1549" max="1549" width="9.7109375" bestFit="1" customWidth="1"/>
    <col min="1550" max="1550" width="9.42578125" bestFit="1" customWidth="1"/>
    <col min="1793" max="1793" width="26.140625" customWidth="1"/>
    <col min="1794" max="1795" width="9.28515625" bestFit="1" customWidth="1"/>
    <col min="1796" max="1796" width="9.5703125" bestFit="1" customWidth="1"/>
    <col min="1797" max="1797" width="9.85546875" bestFit="1" customWidth="1"/>
    <col min="1798" max="1798" width="9.42578125" bestFit="1" customWidth="1"/>
    <col min="1799" max="1799" width="9.5703125" bestFit="1" customWidth="1"/>
    <col min="1800" max="1800" width="9.42578125" bestFit="1" customWidth="1"/>
    <col min="1801" max="1801" width="9.5703125" bestFit="1" customWidth="1"/>
    <col min="1802" max="1804" width="9.42578125" bestFit="1" customWidth="1"/>
    <col min="1805" max="1805" width="9.7109375" bestFit="1" customWidth="1"/>
    <col min="1806" max="1806" width="9.42578125" bestFit="1" customWidth="1"/>
    <col min="2049" max="2049" width="26.140625" customWidth="1"/>
    <col min="2050" max="2051" width="9.28515625" bestFit="1" customWidth="1"/>
    <col min="2052" max="2052" width="9.5703125" bestFit="1" customWidth="1"/>
    <col min="2053" max="2053" width="9.85546875" bestFit="1" customWidth="1"/>
    <col min="2054" max="2054" width="9.42578125" bestFit="1" customWidth="1"/>
    <col min="2055" max="2055" width="9.5703125" bestFit="1" customWidth="1"/>
    <col min="2056" max="2056" width="9.42578125" bestFit="1" customWidth="1"/>
    <col min="2057" max="2057" width="9.5703125" bestFit="1" customWidth="1"/>
    <col min="2058" max="2060" width="9.42578125" bestFit="1" customWidth="1"/>
    <col min="2061" max="2061" width="9.7109375" bestFit="1" customWidth="1"/>
    <col min="2062" max="2062" width="9.42578125" bestFit="1" customWidth="1"/>
    <col min="2305" max="2305" width="26.140625" customWidth="1"/>
    <col min="2306" max="2307" width="9.28515625" bestFit="1" customWidth="1"/>
    <col min="2308" max="2308" width="9.5703125" bestFit="1" customWidth="1"/>
    <col min="2309" max="2309" width="9.85546875" bestFit="1" customWidth="1"/>
    <col min="2310" max="2310" width="9.42578125" bestFit="1" customWidth="1"/>
    <col min="2311" max="2311" width="9.5703125" bestFit="1" customWidth="1"/>
    <col min="2312" max="2312" width="9.42578125" bestFit="1" customWidth="1"/>
    <col min="2313" max="2313" width="9.5703125" bestFit="1" customWidth="1"/>
    <col min="2314" max="2316" width="9.42578125" bestFit="1" customWidth="1"/>
    <col min="2317" max="2317" width="9.7109375" bestFit="1" customWidth="1"/>
    <col min="2318" max="2318" width="9.42578125" bestFit="1" customWidth="1"/>
    <col min="2561" max="2561" width="26.140625" customWidth="1"/>
    <col min="2562" max="2563" width="9.28515625" bestFit="1" customWidth="1"/>
    <col min="2564" max="2564" width="9.5703125" bestFit="1" customWidth="1"/>
    <col min="2565" max="2565" width="9.85546875" bestFit="1" customWidth="1"/>
    <col min="2566" max="2566" width="9.42578125" bestFit="1" customWidth="1"/>
    <col min="2567" max="2567" width="9.5703125" bestFit="1" customWidth="1"/>
    <col min="2568" max="2568" width="9.42578125" bestFit="1" customWidth="1"/>
    <col min="2569" max="2569" width="9.5703125" bestFit="1" customWidth="1"/>
    <col min="2570" max="2572" width="9.42578125" bestFit="1" customWidth="1"/>
    <col min="2573" max="2573" width="9.7109375" bestFit="1" customWidth="1"/>
    <col min="2574" max="2574" width="9.42578125" bestFit="1" customWidth="1"/>
    <col min="2817" max="2817" width="26.140625" customWidth="1"/>
    <col min="2818" max="2819" width="9.28515625" bestFit="1" customWidth="1"/>
    <col min="2820" max="2820" width="9.5703125" bestFit="1" customWidth="1"/>
    <col min="2821" max="2821" width="9.85546875" bestFit="1" customWidth="1"/>
    <col min="2822" max="2822" width="9.42578125" bestFit="1" customWidth="1"/>
    <col min="2823" max="2823" width="9.5703125" bestFit="1" customWidth="1"/>
    <col min="2824" max="2824" width="9.42578125" bestFit="1" customWidth="1"/>
    <col min="2825" max="2825" width="9.5703125" bestFit="1" customWidth="1"/>
    <col min="2826" max="2828" width="9.42578125" bestFit="1" customWidth="1"/>
    <col min="2829" max="2829" width="9.7109375" bestFit="1" customWidth="1"/>
    <col min="2830" max="2830" width="9.42578125" bestFit="1" customWidth="1"/>
    <col min="3073" max="3073" width="26.140625" customWidth="1"/>
    <col min="3074" max="3075" width="9.28515625" bestFit="1" customWidth="1"/>
    <col min="3076" max="3076" width="9.5703125" bestFit="1" customWidth="1"/>
    <col min="3077" max="3077" width="9.85546875" bestFit="1" customWidth="1"/>
    <col min="3078" max="3078" width="9.42578125" bestFit="1" customWidth="1"/>
    <col min="3079" max="3079" width="9.5703125" bestFit="1" customWidth="1"/>
    <col min="3080" max="3080" width="9.42578125" bestFit="1" customWidth="1"/>
    <col min="3081" max="3081" width="9.5703125" bestFit="1" customWidth="1"/>
    <col min="3082" max="3084" width="9.42578125" bestFit="1" customWidth="1"/>
    <col min="3085" max="3085" width="9.7109375" bestFit="1" customWidth="1"/>
    <col min="3086" max="3086" width="9.42578125" bestFit="1" customWidth="1"/>
    <col min="3329" max="3329" width="26.140625" customWidth="1"/>
    <col min="3330" max="3331" width="9.28515625" bestFit="1" customWidth="1"/>
    <col min="3332" max="3332" width="9.5703125" bestFit="1" customWidth="1"/>
    <col min="3333" max="3333" width="9.85546875" bestFit="1" customWidth="1"/>
    <col min="3334" max="3334" width="9.42578125" bestFit="1" customWidth="1"/>
    <col min="3335" max="3335" width="9.5703125" bestFit="1" customWidth="1"/>
    <col min="3336" max="3336" width="9.42578125" bestFit="1" customWidth="1"/>
    <col min="3337" max="3337" width="9.5703125" bestFit="1" customWidth="1"/>
    <col min="3338" max="3340" width="9.42578125" bestFit="1" customWidth="1"/>
    <col min="3341" max="3341" width="9.7109375" bestFit="1" customWidth="1"/>
    <col min="3342" max="3342" width="9.42578125" bestFit="1" customWidth="1"/>
    <col min="3585" max="3585" width="26.140625" customWidth="1"/>
    <col min="3586" max="3587" width="9.28515625" bestFit="1" customWidth="1"/>
    <col min="3588" max="3588" width="9.5703125" bestFit="1" customWidth="1"/>
    <col min="3589" max="3589" width="9.85546875" bestFit="1" customWidth="1"/>
    <col min="3590" max="3590" width="9.42578125" bestFit="1" customWidth="1"/>
    <col min="3591" max="3591" width="9.5703125" bestFit="1" customWidth="1"/>
    <col min="3592" max="3592" width="9.42578125" bestFit="1" customWidth="1"/>
    <col min="3593" max="3593" width="9.5703125" bestFit="1" customWidth="1"/>
    <col min="3594" max="3596" width="9.42578125" bestFit="1" customWidth="1"/>
    <col min="3597" max="3597" width="9.7109375" bestFit="1" customWidth="1"/>
    <col min="3598" max="3598" width="9.42578125" bestFit="1" customWidth="1"/>
    <col min="3841" max="3841" width="26.140625" customWidth="1"/>
    <col min="3842" max="3843" width="9.28515625" bestFit="1" customWidth="1"/>
    <col min="3844" max="3844" width="9.5703125" bestFit="1" customWidth="1"/>
    <col min="3845" max="3845" width="9.85546875" bestFit="1" customWidth="1"/>
    <col min="3846" max="3846" width="9.42578125" bestFit="1" customWidth="1"/>
    <col min="3847" max="3847" width="9.5703125" bestFit="1" customWidth="1"/>
    <col min="3848" max="3848" width="9.42578125" bestFit="1" customWidth="1"/>
    <col min="3849" max="3849" width="9.5703125" bestFit="1" customWidth="1"/>
    <col min="3850" max="3852" width="9.42578125" bestFit="1" customWidth="1"/>
    <col min="3853" max="3853" width="9.7109375" bestFit="1" customWidth="1"/>
    <col min="3854" max="3854" width="9.42578125" bestFit="1" customWidth="1"/>
    <col min="4097" max="4097" width="26.140625" customWidth="1"/>
    <col min="4098" max="4099" width="9.28515625" bestFit="1" customWidth="1"/>
    <col min="4100" max="4100" width="9.5703125" bestFit="1" customWidth="1"/>
    <col min="4101" max="4101" width="9.85546875" bestFit="1" customWidth="1"/>
    <col min="4102" max="4102" width="9.42578125" bestFit="1" customWidth="1"/>
    <col min="4103" max="4103" width="9.5703125" bestFit="1" customWidth="1"/>
    <col min="4104" max="4104" width="9.42578125" bestFit="1" customWidth="1"/>
    <col min="4105" max="4105" width="9.5703125" bestFit="1" customWidth="1"/>
    <col min="4106" max="4108" width="9.42578125" bestFit="1" customWidth="1"/>
    <col min="4109" max="4109" width="9.7109375" bestFit="1" customWidth="1"/>
    <col min="4110" max="4110" width="9.42578125" bestFit="1" customWidth="1"/>
    <col min="4353" max="4353" width="26.140625" customWidth="1"/>
    <col min="4354" max="4355" width="9.28515625" bestFit="1" customWidth="1"/>
    <col min="4356" max="4356" width="9.5703125" bestFit="1" customWidth="1"/>
    <col min="4357" max="4357" width="9.85546875" bestFit="1" customWidth="1"/>
    <col min="4358" max="4358" width="9.42578125" bestFit="1" customWidth="1"/>
    <col min="4359" max="4359" width="9.5703125" bestFit="1" customWidth="1"/>
    <col min="4360" max="4360" width="9.42578125" bestFit="1" customWidth="1"/>
    <col min="4361" max="4361" width="9.5703125" bestFit="1" customWidth="1"/>
    <col min="4362" max="4364" width="9.42578125" bestFit="1" customWidth="1"/>
    <col min="4365" max="4365" width="9.7109375" bestFit="1" customWidth="1"/>
    <col min="4366" max="4366" width="9.42578125" bestFit="1" customWidth="1"/>
    <col min="4609" max="4609" width="26.140625" customWidth="1"/>
    <col min="4610" max="4611" width="9.28515625" bestFit="1" customWidth="1"/>
    <col min="4612" max="4612" width="9.5703125" bestFit="1" customWidth="1"/>
    <col min="4613" max="4613" width="9.85546875" bestFit="1" customWidth="1"/>
    <col min="4614" max="4614" width="9.42578125" bestFit="1" customWidth="1"/>
    <col min="4615" max="4615" width="9.5703125" bestFit="1" customWidth="1"/>
    <col min="4616" max="4616" width="9.42578125" bestFit="1" customWidth="1"/>
    <col min="4617" max="4617" width="9.5703125" bestFit="1" customWidth="1"/>
    <col min="4618" max="4620" width="9.42578125" bestFit="1" customWidth="1"/>
    <col min="4621" max="4621" width="9.7109375" bestFit="1" customWidth="1"/>
    <col min="4622" max="4622" width="9.42578125" bestFit="1" customWidth="1"/>
    <col min="4865" max="4865" width="26.140625" customWidth="1"/>
    <col min="4866" max="4867" width="9.28515625" bestFit="1" customWidth="1"/>
    <col min="4868" max="4868" width="9.5703125" bestFit="1" customWidth="1"/>
    <col min="4869" max="4869" width="9.85546875" bestFit="1" customWidth="1"/>
    <col min="4870" max="4870" width="9.42578125" bestFit="1" customWidth="1"/>
    <col min="4871" max="4871" width="9.5703125" bestFit="1" customWidth="1"/>
    <col min="4872" max="4872" width="9.42578125" bestFit="1" customWidth="1"/>
    <col min="4873" max="4873" width="9.5703125" bestFit="1" customWidth="1"/>
    <col min="4874" max="4876" width="9.42578125" bestFit="1" customWidth="1"/>
    <col min="4877" max="4877" width="9.7109375" bestFit="1" customWidth="1"/>
    <col min="4878" max="4878" width="9.42578125" bestFit="1" customWidth="1"/>
    <col min="5121" max="5121" width="26.140625" customWidth="1"/>
    <col min="5122" max="5123" width="9.28515625" bestFit="1" customWidth="1"/>
    <col min="5124" max="5124" width="9.5703125" bestFit="1" customWidth="1"/>
    <col min="5125" max="5125" width="9.85546875" bestFit="1" customWidth="1"/>
    <col min="5126" max="5126" width="9.42578125" bestFit="1" customWidth="1"/>
    <col min="5127" max="5127" width="9.5703125" bestFit="1" customWidth="1"/>
    <col min="5128" max="5128" width="9.42578125" bestFit="1" customWidth="1"/>
    <col min="5129" max="5129" width="9.5703125" bestFit="1" customWidth="1"/>
    <col min="5130" max="5132" width="9.42578125" bestFit="1" customWidth="1"/>
    <col min="5133" max="5133" width="9.7109375" bestFit="1" customWidth="1"/>
    <col min="5134" max="5134" width="9.42578125" bestFit="1" customWidth="1"/>
    <col min="5377" max="5377" width="26.140625" customWidth="1"/>
    <col min="5378" max="5379" width="9.28515625" bestFit="1" customWidth="1"/>
    <col min="5380" max="5380" width="9.5703125" bestFit="1" customWidth="1"/>
    <col min="5381" max="5381" width="9.85546875" bestFit="1" customWidth="1"/>
    <col min="5382" max="5382" width="9.42578125" bestFit="1" customWidth="1"/>
    <col min="5383" max="5383" width="9.5703125" bestFit="1" customWidth="1"/>
    <col min="5384" max="5384" width="9.42578125" bestFit="1" customWidth="1"/>
    <col min="5385" max="5385" width="9.5703125" bestFit="1" customWidth="1"/>
    <col min="5386" max="5388" width="9.42578125" bestFit="1" customWidth="1"/>
    <col min="5389" max="5389" width="9.7109375" bestFit="1" customWidth="1"/>
    <col min="5390" max="5390" width="9.42578125" bestFit="1" customWidth="1"/>
    <col min="5633" max="5633" width="26.140625" customWidth="1"/>
    <col min="5634" max="5635" width="9.28515625" bestFit="1" customWidth="1"/>
    <col min="5636" max="5636" width="9.5703125" bestFit="1" customWidth="1"/>
    <col min="5637" max="5637" width="9.85546875" bestFit="1" customWidth="1"/>
    <col min="5638" max="5638" width="9.42578125" bestFit="1" customWidth="1"/>
    <col min="5639" max="5639" width="9.5703125" bestFit="1" customWidth="1"/>
    <col min="5640" max="5640" width="9.42578125" bestFit="1" customWidth="1"/>
    <col min="5641" max="5641" width="9.5703125" bestFit="1" customWidth="1"/>
    <col min="5642" max="5644" width="9.42578125" bestFit="1" customWidth="1"/>
    <col min="5645" max="5645" width="9.7109375" bestFit="1" customWidth="1"/>
    <col min="5646" max="5646" width="9.42578125" bestFit="1" customWidth="1"/>
    <col min="5889" max="5889" width="26.140625" customWidth="1"/>
    <col min="5890" max="5891" width="9.28515625" bestFit="1" customWidth="1"/>
    <col min="5892" max="5892" width="9.5703125" bestFit="1" customWidth="1"/>
    <col min="5893" max="5893" width="9.85546875" bestFit="1" customWidth="1"/>
    <col min="5894" max="5894" width="9.42578125" bestFit="1" customWidth="1"/>
    <col min="5895" max="5895" width="9.5703125" bestFit="1" customWidth="1"/>
    <col min="5896" max="5896" width="9.42578125" bestFit="1" customWidth="1"/>
    <col min="5897" max="5897" width="9.5703125" bestFit="1" customWidth="1"/>
    <col min="5898" max="5900" width="9.42578125" bestFit="1" customWidth="1"/>
    <col min="5901" max="5901" width="9.7109375" bestFit="1" customWidth="1"/>
    <col min="5902" max="5902" width="9.42578125" bestFit="1" customWidth="1"/>
    <col min="6145" max="6145" width="26.140625" customWidth="1"/>
    <col min="6146" max="6147" width="9.28515625" bestFit="1" customWidth="1"/>
    <col min="6148" max="6148" width="9.5703125" bestFit="1" customWidth="1"/>
    <col min="6149" max="6149" width="9.85546875" bestFit="1" customWidth="1"/>
    <col min="6150" max="6150" width="9.42578125" bestFit="1" customWidth="1"/>
    <col min="6151" max="6151" width="9.5703125" bestFit="1" customWidth="1"/>
    <col min="6152" max="6152" width="9.42578125" bestFit="1" customWidth="1"/>
    <col min="6153" max="6153" width="9.5703125" bestFit="1" customWidth="1"/>
    <col min="6154" max="6156" width="9.42578125" bestFit="1" customWidth="1"/>
    <col min="6157" max="6157" width="9.7109375" bestFit="1" customWidth="1"/>
    <col min="6158" max="6158" width="9.42578125" bestFit="1" customWidth="1"/>
    <col min="6401" max="6401" width="26.140625" customWidth="1"/>
    <col min="6402" max="6403" width="9.28515625" bestFit="1" customWidth="1"/>
    <col min="6404" max="6404" width="9.5703125" bestFit="1" customWidth="1"/>
    <col min="6405" max="6405" width="9.85546875" bestFit="1" customWidth="1"/>
    <col min="6406" max="6406" width="9.42578125" bestFit="1" customWidth="1"/>
    <col min="6407" max="6407" width="9.5703125" bestFit="1" customWidth="1"/>
    <col min="6408" max="6408" width="9.42578125" bestFit="1" customWidth="1"/>
    <col min="6409" max="6409" width="9.5703125" bestFit="1" customWidth="1"/>
    <col min="6410" max="6412" width="9.42578125" bestFit="1" customWidth="1"/>
    <col min="6413" max="6413" width="9.7109375" bestFit="1" customWidth="1"/>
    <col min="6414" max="6414" width="9.42578125" bestFit="1" customWidth="1"/>
    <col min="6657" max="6657" width="26.140625" customWidth="1"/>
    <col min="6658" max="6659" width="9.28515625" bestFit="1" customWidth="1"/>
    <col min="6660" max="6660" width="9.5703125" bestFit="1" customWidth="1"/>
    <col min="6661" max="6661" width="9.85546875" bestFit="1" customWidth="1"/>
    <col min="6662" max="6662" width="9.42578125" bestFit="1" customWidth="1"/>
    <col min="6663" max="6663" width="9.5703125" bestFit="1" customWidth="1"/>
    <col min="6664" max="6664" width="9.42578125" bestFit="1" customWidth="1"/>
    <col min="6665" max="6665" width="9.5703125" bestFit="1" customWidth="1"/>
    <col min="6666" max="6668" width="9.42578125" bestFit="1" customWidth="1"/>
    <col min="6669" max="6669" width="9.7109375" bestFit="1" customWidth="1"/>
    <col min="6670" max="6670" width="9.42578125" bestFit="1" customWidth="1"/>
    <col min="6913" max="6913" width="26.140625" customWidth="1"/>
    <col min="6914" max="6915" width="9.28515625" bestFit="1" customWidth="1"/>
    <col min="6916" max="6916" width="9.5703125" bestFit="1" customWidth="1"/>
    <col min="6917" max="6917" width="9.85546875" bestFit="1" customWidth="1"/>
    <col min="6918" max="6918" width="9.42578125" bestFit="1" customWidth="1"/>
    <col min="6919" max="6919" width="9.5703125" bestFit="1" customWidth="1"/>
    <col min="6920" max="6920" width="9.42578125" bestFit="1" customWidth="1"/>
    <col min="6921" max="6921" width="9.5703125" bestFit="1" customWidth="1"/>
    <col min="6922" max="6924" width="9.42578125" bestFit="1" customWidth="1"/>
    <col min="6925" max="6925" width="9.7109375" bestFit="1" customWidth="1"/>
    <col min="6926" max="6926" width="9.42578125" bestFit="1" customWidth="1"/>
    <col min="7169" max="7169" width="26.140625" customWidth="1"/>
    <col min="7170" max="7171" width="9.28515625" bestFit="1" customWidth="1"/>
    <col min="7172" max="7172" width="9.5703125" bestFit="1" customWidth="1"/>
    <col min="7173" max="7173" width="9.85546875" bestFit="1" customWidth="1"/>
    <col min="7174" max="7174" width="9.42578125" bestFit="1" customWidth="1"/>
    <col min="7175" max="7175" width="9.5703125" bestFit="1" customWidth="1"/>
    <col min="7176" max="7176" width="9.42578125" bestFit="1" customWidth="1"/>
    <col min="7177" max="7177" width="9.5703125" bestFit="1" customWidth="1"/>
    <col min="7178" max="7180" width="9.42578125" bestFit="1" customWidth="1"/>
    <col min="7181" max="7181" width="9.7109375" bestFit="1" customWidth="1"/>
    <col min="7182" max="7182" width="9.42578125" bestFit="1" customWidth="1"/>
    <col min="7425" max="7425" width="26.140625" customWidth="1"/>
    <col min="7426" max="7427" width="9.28515625" bestFit="1" customWidth="1"/>
    <col min="7428" max="7428" width="9.5703125" bestFit="1" customWidth="1"/>
    <col min="7429" max="7429" width="9.85546875" bestFit="1" customWidth="1"/>
    <col min="7430" max="7430" width="9.42578125" bestFit="1" customWidth="1"/>
    <col min="7431" max="7431" width="9.5703125" bestFit="1" customWidth="1"/>
    <col min="7432" max="7432" width="9.42578125" bestFit="1" customWidth="1"/>
    <col min="7433" max="7433" width="9.5703125" bestFit="1" customWidth="1"/>
    <col min="7434" max="7436" width="9.42578125" bestFit="1" customWidth="1"/>
    <col min="7437" max="7437" width="9.7109375" bestFit="1" customWidth="1"/>
    <col min="7438" max="7438" width="9.42578125" bestFit="1" customWidth="1"/>
    <col min="7681" max="7681" width="26.140625" customWidth="1"/>
    <col min="7682" max="7683" width="9.28515625" bestFit="1" customWidth="1"/>
    <col min="7684" max="7684" width="9.5703125" bestFit="1" customWidth="1"/>
    <col min="7685" max="7685" width="9.85546875" bestFit="1" customWidth="1"/>
    <col min="7686" max="7686" width="9.42578125" bestFit="1" customWidth="1"/>
    <col min="7687" max="7687" width="9.5703125" bestFit="1" customWidth="1"/>
    <col min="7688" max="7688" width="9.42578125" bestFit="1" customWidth="1"/>
    <col min="7689" max="7689" width="9.5703125" bestFit="1" customWidth="1"/>
    <col min="7690" max="7692" width="9.42578125" bestFit="1" customWidth="1"/>
    <col min="7693" max="7693" width="9.7109375" bestFit="1" customWidth="1"/>
    <col min="7694" max="7694" width="9.42578125" bestFit="1" customWidth="1"/>
    <col min="7937" max="7937" width="26.140625" customWidth="1"/>
    <col min="7938" max="7939" width="9.28515625" bestFit="1" customWidth="1"/>
    <col min="7940" max="7940" width="9.5703125" bestFit="1" customWidth="1"/>
    <col min="7941" max="7941" width="9.85546875" bestFit="1" customWidth="1"/>
    <col min="7942" max="7942" width="9.42578125" bestFit="1" customWidth="1"/>
    <col min="7943" max="7943" width="9.5703125" bestFit="1" customWidth="1"/>
    <col min="7944" max="7944" width="9.42578125" bestFit="1" customWidth="1"/>
    <col min="7945" max="7945" width="9.5703125" bestFit="1" customWidth="1"/>
    <col min="7946" max="7948" width="9.42578125" bestFit="1" customWidth="1"/>
    <col min="7949" max="7949" width="9.7109375" bestFit="1" customWidth="1"/>
    <col min="7950" max="7950" width="9.42578125" bestFit="1" customWidth="1"/>
    <col min="8193" max="8193" width="26.140625" customWidth="1"/>
    <col min="8194" max="8195" width="9.28515625" bestFit="1" customWidth="1"/>
    <col min="8196" max="8196" width="9.5703125" bestFit="1" customWidth="1"/>
    <col min="8197" max="8197" width="9.85546875" bestFit="1" customWidth="1"/>
    <col min="8198" max="8198" width="9.42578125" bestFit="1" customWidth="1"/>
    <col min="8199" max="8199" width="9.5703125" bestFit="1" customWidth="1"/>
    <col min="8200" max="8200" width="9.42578125" bestFit="1" customWidth="1"/>
    <col min="8201" max="8201" width="9.5703125" bestFit="1" customWidth="1"/>
    <col min="8202" max="8204" width="9.42578125" bestFit="1" customWidth="1"/>
    <col min="8205" max="8205" width="9.7109375" bestFit="1" customWidth="1"/>
    <col min="8206" max="8206" width="9.42578125" bestFit="1" customWidth="1"/>
    <col min="8449" max="8449" width="26.140625" customWidth="1"/>
    <col min="8450" max="8451" width="9.28515625" bestFit="1" customWidth="1"/>
    <col min="8452" max="8452" width="9.5703125" bestFit="1" customWidth="1"/>
    <col min="8453" max="8453" width="9.85546875" bestFit="1" customWidth="1"/>
    <col min="8454" max="8454" width="9.42578125" bestFit="1" customWidth="1"/>
    <col min="8455" max="8455" width="9.5703125" bestFit="1" customWidth="1"/>
    <col min="8456" max="8456" width="9.42578125" bestFit="1" customWidth="1"/>
    <col min="8457" max="8457" width="9.5703125" bestFit="1" customWidth="1"/>
    <col min="8458" max="8460" width="9.42578125" bestFit="1" customWidth="1"/>
    <col min="8461" max="8461" width="9.7109375" bestFit="1" customWidth="1"/>
    <col min="8462" max="8462" width="9.42578125" bestFit="1" customWidth="1"/>
    <col min="8705" max="8705" width="26.140625" customWidth="1"/>
    <col min="8706" max="8707" width="9.28515625" bestFit="1" customWidth="1"/>
    <col min="8708" max="8708" width="9.5703125" bestFit="1" customWidth="1"/>
    <col min="8709" max="8709" width="9.85546875" bestFit="1" customWidth="1"/>
    <col min="8710" max="8710" width="9.42578125" bestFit="1" customWidth="1"/>
    <col min="8711" max="8711" width="9.5703125" bestFit="1" customWidth="1"/>
    <col min="8712" max="8712" width="9.42578125" bestFit="1" customWidth="1"/>
    <col min="8713" max="8713" width="9.5703125" bestFit="1" customWidth="1"/>
    <col min="8714" max="8716" width="9.42578125" bestFit="1" customWidth="1"/>
    <col min="8717" max="8717" width="9.7109375" bestFit="1" customWidth="1"/>
    <col min="8718" max="8718" width="9.42578125" bestFit="1" customWidth="1"/>
    <col min="8961" max="8961" width="26.140625" customWidth="1"/>
    <col min="8962" max="8963" width="9.28515625" bestFit="1" customWidth="1"/>
    <col min="8964" max="8964" width="9.5703125" bestFit="1" customWidth="1"/>
    <col min="8965" max="8965" width="9.85546875" bestFit="1" customWidth="1"/>
    <col min="8966" max="8966" width="9.42578125" bestFit="1" customWidth="1"/>
    <col min="8967" max="8967" width="9.5703125" bestFit="1" customWidth="1"/>
    <col min="8968" max="8968" width="9.42578125" bestFit="1" customWidth="1"/>
    <col min="8969" max="8969" width="9.5703125" bestFit="1" customWidth="1"/>
    <col min="8970" max="8972" width="9.42578125" bestFit="1" customWidth="1"/>
    <col min="8973" max="8973" width="9.7109375" bestFit="1" customWidth="1"/>
    <col min="8974" max="8974" width="9.42578125" bestFit="1" customWidth="1"/>
    <col min="9217" max="9217" width="26.140625" customWidth="1"/>
    <col min="9218" max="9219" width="9.28515625" bestFit="1" customWidth="1"/>
    <col min="9220" max="9220" width="9.5703125" bestFit="1" customWidth="1"/>
    <col min="9221" max="9221" width="9.85546875" bestFit="1" customWidth="1"/>
    <col min="9222" max="9222" width="9.42578125" bestFit="1" customWidth="1"/>
    <col min="9223" max="9223" width="9.5703125" bestFit="1" customWidth="1"/>
    <col min="9224" max="9224" width="9.42578125" bestFit="1" customWidth="1"/>
    <col min="9225" max="9225" width="9.5703125" bestFit="1" customWidth="1"/>
    <col min="9226" max="9228" width="9.42578125" bestFit="1" customWidth="1"/>
    <col min="9229" max="9229" width="9.7109375" bestFit="1" customWidth="1"/>
    <col min="9230" max="9230" width="9.42578125" bestFit="1" customWidth="1"/>
    <col min="9473" max="9473" width="26.140625" customWidth="1"/>
    <col min="9474" max="9475" width="9.28515625" bestFit="1" customWidth="1"/>
    <col min="9476" max="9476" width="9.5703125" bestFit="1" customWidth="1"/>
    <col min="9477" max="9477" width="9.85546875" bestFit="1" customWidth="1"/>
    <col min="9478" max="9478" width="9.42578125" bestFit="1" customWidth="1"/>
    <col min="9479" max="9479" width="9.5703125" bestFit="1" customWidth="1"/>
    <col min="9480" max="9480" width="9.42578125" bestFit="1" customWidth="1"/>
    <col min="9481" max="9481" width="9.5703125" bestFit="1" customWidth="1"/>
    <col min="9482" max="9484" width="9.42578125" bestFit="1" customWidth="1"/>
    <col min="9485" max="9485" width="9.7109375" bestFit="1" customWidth="1"/>
    <col min="9486" max="9486" width="9.42578125" bestFit="1" customWidth="1"/>
    <col min="9729" max="9729" width="26.140625" customWidth="1"/>
    <col min="9730" max="9731" width="9.28515625" bestFit="1" customWidth="1"/>
    <col min="9732" max="9732" width="9.5703125" bestFit="1" customWidth="1"/>
    <col min="9733" max="9733" width="9.85546875" bestFit="1" customWidth="1"/>
    <col min="9734" max="9734" width="9.42578125" bestFit="1" customWidth="1"/>
    <col min="9735" max="9735" width="9.5703125" bestFit="1" customWidth="1"/>
    <col min="9736" max="9736" width="9.42578125" bestFit="1" customWidth="1"/>
    <col min="9737" max="9737" width="9.5703125" bestFit="1" customWidth="1"/>
    <col min="9738" max="9740" width="9.42578125" bestFit="1" customWidth="1"/>
    <col min="9741" max="9741" width="9.7109375" bestFit="1" customWidth="1"/>
    <col min="9742" max="9742" width="9.42578125" bestFit="1" customWidth="1"/>
    <col min="9985" max="9985" width="26.140625" customWidth="1"/>
    <col min="9986" max="9987" width="9.28515625" bestFit="1" customWidth="1"/>
    <col min="9988" max="9988" width="9.5703125" bestFit="1" customWidth="1"/>
    <col min="9989" max="9989" width="9.85546875" bestFit="1" customWidth="1"/>
    <col min="9990" max="9990" width="9.42578125" bestFit="1" customWidth="1"/>
    <col min="9991" max="9991" width="9.5703125" bestFit="1" customWidth="1"/>
    <col min="9992" max="9992" width="9.42578125" bestFit="1" customWidth="1"/>
    <col min="9993" max="9993" width="9.5703125" bestFit="1" customWidth="1"/>
    <col min="9994" max="9996" width="9.42578125" bestFit="1" customWidth="1"/>
    <col min="9997" max="9997" width="9.7109375" bestFit="1" customWidth="1"/>
    <col min="9998" max="9998" width="9.42578125" bestFit="1" customWidth="1"/>
    <col min="10241" max="10241" width="26.140625" customWidth="1"/>
    <col min="10242" max="10243" width="9.28515625" bestFit="1" customWidth="1"/>
    <col min="10244" max="10244" width="9.5703125" bestFit="1" customWidth="1"/>
    <col min="10245" max="10245" width="9.85546875" bestFit="1" customWidth="1"/>
    <col min="10246" max="10246" width="9.42578125" bestFit="1" customWidth="1"/>
    <col min="10247" max="10247" width="9.5703125" bestFit="1" customWidth="1"/>
    <col min="10248" max="10248" width="9.42578125" bestFit="1" customWidth="1"/>
    <col min="10249" max="10249" width="9.5703125" bestFit="1" customWidth="1"/>
    <col min="10250" max="10252" width="9.42578125" bestFit="1" customWidth="1"/>
    <col min="10253" max="10253" width="9.7109375" bestFit="1" customWidth="1"/>
    <col min="10254" max="10254" width="9.42578125" bestFit="1" customWidth="1"/>
    <col min="10497" max="10497" width="26.140625" customWidth="1"/>
    <col min="10498" max="10499" width="9.28515625" bestFit="1" customWidth="1"/>
    <col min="10500" max="10500" width="9.5703125" bestFit="1" customWidth="1"/>
    <col min="10501" max="10501" width="9.85546875" bestFit="1" customWidth="1"/>
    <col min="10502" max="10502" width="9.42578125" bestFit="1" customWidth="1"/>
    <col min="10503" max="10503" width="9.5703125" bestFit="1" customWidth="1"/>
    <col min="10504" max="10504" width="9.42578125" bestFit="1" customWidth="1"/>
    <col min="10505" max="10505" width="9.5703125" bestFit="1" customWidth="1"/>
    <col min="10506" max="10508" width="9.42578125" bestFit="1" customWidth="1"/>
    <col min="10509" max="10509" width="9.7109375" bestFit="1" customWidth="1"/>
    <col min="10510" max="10510" width="9.42578125" bestFit="1" customWidth="1"/>
    <col min="10753" max="10753" width="26.140625" customWidth="1"/>
    <col min="10754" max="10755" width="9.28515625" bestFit="1" customWidth="1"/>
    <col min="10756" max="10756" width="9.5703125" bestFit="1" customWidth="1"/>
    <col min="10757" max="10757" width="9.85546875" bestFit="1" customWidth="1"/>
    <col min="10758" max="10758" width="9.42578125" bestFit="1" customWidth="1"/>
    <col min="10759" max="10759" width="9.5703125" bestFit="1" customWidth="1"/>
    <col min="10760" max="10760" width="9.42578125" bestFit="1" customWidth="1"/>
    <col min="10761" max="10761" width="9.5703125" bestFit="1" customWidth="1"/>
    <col min="10762" max="10764" width="9.42578125" bestFit="1" customWidth="1"/>
    <col min="10765" max="10765" width="9.7109375" bestFit="1" customWidth="1"/>
    <col min="10766" max="10766" width="9.42578125" bestFit="1" customWidth="1"/>
    <col min="11009" max="11009" width="26.140625" customWidth="1"/>
    <col min="11010" max="11011" width="9.28515625" bestFit="1" customWidth="1"/>
    <col min="11012" max="11012" width="9.5703125" bestFit="1" customWidth="1"/>
    <col min="11013" max="11013" width="9.85546875" bestFit="1" customWidth="1"/>
    <col min="11014" max="11014" width="9.42578125" bestFit="1" customWidth="1"/>
    <col min="11015" max="11015" width="9.5703125" bestFit="1" customWidth="1"/>
    <col min="11016" max="11016" width="9.42578125" bestFit="1" customWidth="1"/>
    <col min="11017" max="11017" width="9.5703125" bestFit="1" customWidth="1"/>
    <col min="11018" max="11020" width="9.42578125" bestFit="1" customWidth="1"/>
    <col min="11021" max="11021" width="9.7109375" bestFit="1" customWidth="1"/>
    <col min="11022" max="11022" width="9.42578125" bestFit="1" customWidth="1"/>
    <col min="11265" max="11265" width="26.140625" customWidth="1"/>
    <col min="11266" max="11267" width="9.28515625" bestFit="1" customWidth="1"/>
    <col min="11268" max="11268" width="9.5703125" bestFit="1" customWidth="1"/>
    <col min="11269" max="11269" width="9.85546875" bestFit="1" customWidth="1"/>
    <col min="11270" max="11270" width="9.42578125" bestFit="1" customWidth="1"/>
    <col min="11271" max="11271" width="9.5703125" bestFit="1" customWidth="1"/>
    <col min="11272" max="11272" width="9.42578125" bestFit="1" customWidth="1"/>
    <col min="11273" max="11273" width="9.5703125" bestFit="1" customWidth="1"/>
    <col min="11274" max="11276" width="9.42578125" bestFit="1" customWidth="1"/>
    <col min="11277" max="11277" width="9.7109375" bestFit="1" customWidth="1"/>
    <col min="11278" max="11278" width="9.42578125" bestFit="1" customWidth="1"/>
    <col min="11521" max="11521" width="26.140625" customWidth="1"/>
    <col min="11522" max="11523" width="9.28515625" bestFit="1" customWidth="1"/>
    <col min="11524" max="11524" width="9.5703125" bestFit="1" customWidth="1"/>
    <col min="11525" max="11525" width="9.85546875" bestFit="1" customWidth="1"/>
    <col min="11526" max="11526" width="9.42578125" bestFit="1" customWidth="1"/>
    <col min="11527" max="11527" width="9.5703125" bestFit="1" customWidth="1"/>
    <col min="11528" max="11528" width="9.42578125" bestFit="1" customWidth="1"/>
    <col min="11529" max="11529" width="9.5703125" bestFit="1" customWidth="1"/>
    <col min="11530" max="11532" width="9.42578125" bestFit="1" customWidth="1"/>
    <col min="11533" max="11533" width="9.7109375" bestFit="1" customWidth="1"/>
    <col min="11534" max="11534" width="9.42578125" bestFit="1" customWidth="1"/>
    <col min="11777" max="11777" width="26.140625" customWidth="1"/>
    <col min="11778" max="11779" width="9.28515625" bestFit="1" customWidth="1"/>
    <col min="11780" max="11780" width="9.5703125" bestFit="1" customWidth="1"/>
    <col min="11781" max="11781" width="9.85546875" bestFit="1" customWidth="1"/>
    <col min="11782" max="11782" width="9.42578125" bestFit="1" customWidth="1"/>
    <col min="11783" max="11783" width="9.5703125" bestFit="1" customWidth="1"/>
    <col min="11784" max="11784" width="9.42578125" bestFit="1" customWidth="1"/>
    <col min="11785" max="11785" width="9.5703125" bestFit="1" customWidth="1"/>
    <col min="11786" max="11788" width="9.42578125" bestFit="1" customWidth="1"/>
    <col min="11789" max="11789" width="9.7109375" bestFit="1" customWidth="1"/>
    <col min="11790" max="11790" width="9.42578125" bestFit="1" customWidth="1"/>
    <col min="12033" max="12033" width="26.140625" customWidth="1"/>
    <col min="12034" max="12035" width="9.28515625" bestFit="1" customWidth="1"/>
    <col min="12036" max="12036" width="9.5703125" bestFit="1" customWidth="1"/>
    <col min="12037" max="12037" width="9.85546875" bestFit="1" customWidth="1"/>
    <col min="12038" max="12038" width="9.42578125" bestFit="1" customWidth="1"/>
    <col min="12039" max="12039" width="9.5703125" bestFit="1" customWidth="1"/>
    <col min="12040" max="12040" width="9.42578125" bestFit="1" customWidth="1"/>
    <col min="12041" max="12041" width="9.5703125" bestFit="1" customWidth="1"/>
    <col min="12042" max="12044" width="9.42578125" bestFit="1" customWidth="1"/>
    <col min="12045" max="12045" width="9.7109375" bestFit="1" customWidth="1"/>
    <col min="12046" max="12046" width="9.42578125" bestFit="1" customWidth="1"/>
    <col min="12289" max="12289" width="26.140625" customWidth="1"/>
    <col min="12290" max="12291" width="9.28515625" bestFit="1" customWidth="1"/>
    <col min="12292" max="12292" width="9.5703125" bestFit="1" customWidth="1"/>
    <col min="12293" max="12293" width="9.85546875" bestFit="1" customWidth="1"/>
    <col min="12294" max="12294" width="9.42578125" bestFit="1" customWidth="1"/>
    <col min="12295" max="12295" width="9.5703125" bestFit="1" customWidth="1"/>
    <col min="12296" max="12296" width="9.42578125" bestFit="1" customWidth="1"/>
    <col min="12297" max="12297" width="9.5703125" bestFit="1" customWidth="1"/>
    <col min="12298" max="12300" width="9.42578125" bestFit="1" customWidth="1"/>
    <col min="12301" max="12301" width="9.7109375" bestFit="1" customWidth="1"/>
    <col min="12302" max="12302" width="9.42578125" bestFit="1" customWidth="1"/>
    <col min="12545" max="12545" width="26.140625" customWidth="1"/>
    <col min="12546" max="12547" width="9.28515625" bestFit="1" customWidth="1"/>
    <col min="12548" max="12548" width="9.5703125" bestFit="1" customWidth="1"/>
    <col min="12549" max="12549" width="9.85546875" bestFit="1" customWidth="1"/>
    <col min="12550" max="12550" width="9.42578125" bestFit="1" customWidth="1"/>
    <col min="12551" max="12551" width="9.5703125" bestFit="1" customWidth="1"/>
    <col min="12552" max="12552" width="9.42578125" bestFit="1" customWidth="1"/>
    <col min="12553" max="12553" width="9.5703125" bestFit="1" customWidth="1"/>
    <col min="12554" max="12556" width="9.42578125" bestFit="1" customWidth="1"/>
    <col min="12557" max="12557" width="9.7109375" bestFit="1" customWidth="1"/>
    <col min="12558" max="12558" width="9.42578125" bestFit="1" customWidth="1"/>
    <col min="12801" max="12801" width="26.140625" customWidth="1"/>
    <col min="12802" max="12803" width="9.28515625" bestFit="1" customWidth="1"/>
    <col min="12804" max="12804" width="9.5703125" bestFit="1" customWidth="1"/>
    <col min="12805" max="12805" width="9.85546875" bestFit="1" customWidth="1"/>
    <col min="12806" max="12806" width="9.42578125" bestFit="1" customWidth="1"/>
    <col min="12807" max="12807" width="9.5703125" bestFit="1" customWidth="1"/>
    <col min="12808" max="12808" width="9.42578125" bestFit="1" customWidth="1"/>
    <col min="12809" max="12809" width="9.5703125" bestFit="1" customWidth="1"/>
    <col min="12810" max="12812" width="9.42578125" bestFit="1" customWidth="1"/>
    <col min="12813" max="12813" width="9.7109375" bestFit="1" customWidth="1"/>
    <col min="12814" max="12814" width="9.42578125" bestFit="1" customWidth="1"/>
    <col min="13057" max="13057" width="26.140625" customWidth="1"/>
    <col min="13058" max="13059" width="9.28515625" bestFit="1" customWidth="1"/>
    <col min="13060" max="13060" width="9.5703125" bestFit="1" customWidth="1"/>
    <col min="13061" max="13061" width="9.85546875" bestFit="1" customWidth="1"/>
    <col min="13062" max="13062" width="9.42578125" bestFit="1" customWidth="1"/>
    <col min="13063" max="13063" width="9.5703125" bestFit="1" customWidth="1"/>
    <col min="13064" max="13064" width="9.42578125" bestFit="1" customWidth="1"/>
    <col min="13065" max="13065" width="9.5703125" bestFit="1" customWidth="1"/>
    <col min="13066" max="13068" width="9.42578125" bestFit="1" customWidth="1"/>
    <col min="13069" max="13069" width="9.7109375" bestFit="1" customWidth="1"/>
    <col min="13070" max="13070" width="9.42578125" bestFit="1" customWidth="1"/>
    <col min="13313" max="13313" width="26.140625" customWidth="1"/>
    <col min="13314" max="13315" width="9.28515625" bestFit="1" customWidth="1"/>
    <col min="13316" max="13316" width="9.5703125" bestFit="1" customWidth="1"/>
    <col min="13317" max="13317" width="9.85546875" bestFit="1" customWidth="1"/>
    <col min="13318" max="13318" width="9.42578125" bestFit="1" customWidth="1"/>
    <col min="13319" max="13319" width="9.5703125" bestFit="1" customWidth="1"/>
    <col min="13320" max="13320" width="9.42578125" bestFit="1" customWidth="1"/>
    <col min="13321" max="13321" width="9.5703125" bestFit="1" customWidth="1"/>
    <col min="13322" max="13324" width="9.42578125" bestFit="1" customWidth="1"/>
    <col min="13325" max="13325" width="9.7109375" bestFit="1" customWidth="1"/>
    <col min="13326" max="13326" width="9.42578125" bestFit="1" customWidth="1"/>
    <col min="13569" max="13569" width="26.140625" customWidth="1"/>
    <col min="13570" max="13571" width="9.28515625" bestFit="1" customWidth="1"/>
    <col min="13572" max="13572" width="9.5703125" bestFit="1" customWidth="1"/>
    <col min="13573" max="13573" width="9.85546875" bestFit="1" customWidth="1"/>
    <col min="13574" max="13574" width="9.42578125" bestFit="1" customWidth="1"/>
    <col min="13575" max="13575" width="9.5703125" bestFit="1" customWidth="1"/>
    <col min="13576" max="13576" width="9.42578125" bestFit="1" customWidth="1"/>
    <col min="13577" max="13577" width="9.5703125" bestFit="1" customWidth="1"/>
    <col min="13578" max="13580" width="9.42578125" bestFit="1" customWidth="1"/>
    <col min="13581" max="13581" width="9.7109375" bestFit="1" customWidth="1"/>
    <col min="13582" max="13582" width="9.42578125" bestFit="1" customWidth="1"/>
    <col min="13825" max="13825" width="26.140625" customWidth="1"/>
    <col min="13826" max="13827" width="9.28515625" bestFit="1" customWidth="1"/>
    <col min="13828" max="13828" width="9.5703125" bestFit="1" customWidth="1"/>
    <col min="13829" max="13829" width="9.85546875" bestFit="1" customWidth="1"/>
    <col min="13830" max="13830" width="9.42578125" bestFit="1" customWidth="1"/>
    <col min="13831" max="13831" width="9.5703125" bestFit="1" customWidth="1"/>
    <col min="13832" max="13832" width="9.42578125" bestFit="1" customWidth="1"/>
    <col min="13833" max="13833" width="9.5703125" bestFit="1" customWidth="1"/>
    <col min="13834" max="13836" width="9.42578125" bestFit="1" customWidth="1"/>
    <col min="13837" max="13837" width="9.7109375" bestFit="1" customWidth="1"/>
    <col min="13838" max="13838" width="9.42578125" bestFit="1" customWidth="1"/>
    <col min="14081" max="14081" width="26.140625" customWidth="1"/>
    <col min="14082" max="14083" width="9.28515625" bestFit="1" customWidth="1"/>
    <col min="14084" max="14084" width="9.5703125" bestFit="1" customWidth="1"/>
    <col min="14085" max="14085" width="9.85546875" bestFit="1" customWidth="1"/>
    <col min="14086" max="14086" width="9.42578125" bestFit="1" customWidth="1"/>
    <col min="14087" max="14087" width="9.5703125" bestFit="1" customWidth="1"/>
    <col min="14088" max="14088" width="9.42578125" bestFit="1" customWidth="1"/>
    <col min="14089" max="14089" width="9.5703125" bestFit="1" customWidth="1"/>
    <col min="14090" max="14092" width="9.42578125" bestFit="1" customWidth="1"/>
    <col min="14093" max="14093" width="9.7109375" bestFit="1" customWidth="1"/>
    <col min="14094" max="14094" width="9.42578125" bestFit="1" customWidth="1"/>
    <col min="14337" max="14337" width="26.140625" customWidth="1"/>
    <col min="14338" max="14339" width="9.28515625" bestFit="1" customWidth="1"/>
    <col min="14340" max="14340" width="9.5703125" bestFit="1" customWidth="1"/>
    <col min="14341" max="14341" width="9.85546875" bestFit="1" customWidth="1"/>
    <col min="14342" max="14342" width="9.42578125" bestFit="1" customWidth="1"/>
    <col min="14343" max="14343" width="9.5703125" bestFit="1" customWidth="1"/>
    <col min="14344" max="14344" width="9.42578125" bestFit="1" customWidth="1"/>
    <col min="14345" max="14345" width="9.5703125" bestFit="1" customWidth="1"/>
    <col min="14346" max="14348" width="9.42578125" bestFit="1" customWidth="1"/>
    <col min="14349" max="14349" width="9.7109375" bestFit="1" customWidth="1"/>
    <col min="14350" max="14350" width="9.42578125" bestFit="1" customWidth="1"/>
    <col min="14593" max="14593" width="26.140625" customWidth="1"/>
    <col min="14594" max="14595" width="9.28515625" bestFit="1" customWidth="1"/>
    <col min="14596" max="14596" width="9.5703125" bestFit="1" customWidth="1"/>
    <col min="14597" max="14597" width="9.85546875" bestFit="1" customWidth="1"/>
    <col min="14598" max="14598" width="9.42578125" bestFit="1" customWidth="1"/>
    <col min="14599" max="14599" width="9.5703125" bestFit="1" customWidth="1"/>
    <col min="14600" max="14600" width="9.42578125" bestFit="1" customWidth="1"/>
    <col min="14601" max="14601" width="9.5703125" bestFit="1" customWidth="1"/>
    <col min="14602" max="14604" width="9.42578125" bestFit="1" customWidth="1"/>
    <col min="14605" max="14605" width="9.7109375" bestFit="1" customWidth="1"/>
    <col min="14606" max="14606" width="9.42578125" bestFit="1" customWidth="1"/>
    <col min="14849" max="14849" width="26.140625" customWidth="1"/>
    <col min="14850" max="14851" width="9.28515625" bestFit="1" customWidth="1"/>
    <col min="14852" max="14852" width="9.5703125" bestFit="1" customWidth="1"/>
    <col min="14853" max="14853" width="9.85546875" bestFit="1" customWidth="1"/>
    <col min="14854" max="14854" width="9.42578125" bestFit="1" customWidth="1"/>
    <col min="14855" max="14855" width="9.5703125" bestFit="1" customWidth="1"/>
    <col min="14856" max="14856" width="9.42578125" bestFit="1" customWidth="1"/>
    <col min="14857" max="14857" width="9.5703125" bestFit="1" customWidth="1"/>
    <col min="14858" max="14860" width="9.42578125" bestFit="1" customWidth="1"/>
    <col min="14861" max="14861" width="9.7109375" bestFit="1" customWidth="1"/>
    <col min="14862" max="14862" width="9.42578125" bestFit="1" customWidth="1"/>
    <col min="15105" max="15105" width="26.140625" customWidth="1"/>
    <col min="15106" max="15107" width="9.28515625" bestFit="1" customWidth="1"/>
    <col min="15108" max="15108" width="9.5703125" bestFit="1" customWidth="1"/>
    <col min="15109" max="15109" width="9.85546875" bestFit="1" customWidth="1"/>
    <col min="15110" max="15110" width="9.42578125" bestFit="1" customWidth="1"/>
    <col min="15111" max="15111" width="9.5703125" bestFit="1" customWidth="1"/>
    <col min="15112" max="15112" width="9.42578125" bestFit="1" customWidth="1"/>
    <col min="15113" max="15113" width="9.5703125" bestFit="1" customWidth="1"/>
    <col min="15114" max="15116" width="9.42578125" bestFit="1" customWidth="1"/>
    <col min="15117" max="15117" width="9.7109375" bestFit="1" customWidth="1"/>
    <col min="15118" max="15118" width="9.42578125" bestFit="1" customWidth="1"/>
    <col min="15361" max="15361" width="26.140625" customWidth="1"/>
    <col min="15362" max="15363" width="9.28515625" bestFit="1" customWidth="1"/>
    <col min="15364" max="15364" width="9.5703125" bestFit="1" customWidth="1"/>
    <col min="15365" max="15365" width="9.85546875" bestFit="1" customWidth="1"/>
    <col min="15366" max="15366" width="9.42578125" bestFit="1" customWidth="1"/>
    <col min="15367" max="15367" width="9.5703125" bestFit="1" customWidth="1"/>
    <col min="15368" max="15368" width="9.42578125" bestFit="1" customWidth="1"/>
    <col min="15369" max="15369" width="9.5703125" bestFit="1" customWidth="1"/>
    <col min="15370" max="15372" width="9.42578125" bestFit="1" customWidth="1"/>
    <col min="15373" max="15373" width="9.7109375" bestFit="1" customWidth="1"/>
    <col min="15374" max="15374" width="9.42578125" bestFit="1" customWidth="1"/>
    <col min="15617" max="15617" width="26.140625" customWidth="1"/>
    <col min="15618" max="15619" width="9.28515625" bestFit="1" customWidth="1"/>
    <col min="15620" max="15620" width="9.5703125" bestFit="1" customWidth="1"/>
    <col min="15621" max="15621" width="9.85546875" bestFit="1" customWidth="1"/>
    <col min="15622" max="15622" width="9.42578125" bestFit="1" customWidth="1"/>
    <col min="15623" max="15623" width="9.5703125" bestFit="1" customWidth="1"/>
    <col min="15624" max="15624" width="9.42578125" bestFit="1" customWidth="1"/>
    <col min="15625" max="15625" width="9.5703125" bestFit="1" customWidth="1"/>
    <col min="15626" max="15628" width="9.42578125" bestFit="1" customWidth="1"/>
    <col min="15629" max="15629" width="9.7109375" bestFit="1" customWidth="1"/>
    <col min="15630" max="15630" width="9.42578125" bestFit="1" customWidth="1"/>
    <col min="15873" max="15873" width="26.140625" customWidth="1"/>
    <col min="15874" max="15875" width="9.28515625" bestFit="1" customWidth="1"/>
    <col min="15876" max="15876" width="9.5703125" bestFit="1" customWidth="1"/>
    <col min="15877" max="15877" width="9.85546875" bestFit="1" customWidth="1"/>
    <col min="15878" max="15878" width="9.42578125" bestFit="1" customWidth="1"/>
    <col min="15879" max="15879" width="9.5703125" bestFit="1" customWidth="1"/>
    <col min="15880" max="15880" width="9.42578125" bestFit="1" customWidth="1"/>
    <col min="15881" max="15881" width="9.5703125" bestFit="1" customWidth="1"/>
    <col min="15882" max="15884" width="9.42578125" bestFit="1" customWidth="1"/>
    <col min="15885" max="15885" width="9.7109375" bestFit="1" customWidth="1"/>
    <col min="15886" max="15886" width="9.42578125" bestFit="1" customWidth="1"/>
    <col min="16129" max="16129" width="26.140625" customWidth="1"/>
    <col min="16130" max="16131" width="9.28515625" bestFit="1" customWidth="1"/>
    <col min="16132" max="16132" width="9.5703125" bestFit="1" customWidth="1"/>
    <col min="16133" max="16133" width="9.85546875" bestFit="1" customWidth="1"/>
    <col min="16134" max="16134" width="9.42578125" bestFit="1" customWidth="1"/>
    <col min="16135" max="16135" width="9.5703125" bestFit="1" customWidth="1"/>
    <col min="16136" max="16136" width="9.42578125" bestFit="1" customWidth="1"/>
    <col min="16137" max="16137" width="9.5703125" bestFit="1" customWidth="1"/>
    <col min="16138" max="16140" width="9.42578125" bestFit="1" customWidth="1"/>
    <col min="16141" max="16141" width="9.7109375" bestFit="1" customWidth="1"/>
    <col min="16142" max="16142" width="9.42578125" bestFit="1" customWidth="1"/>
  </cols>
  <sheetData>
    <row r="1" spans="1:14" s="33" customFormat="1" ht="16.5" customHeight="1">
      <c r="A1" s="990" t="s">
        <v>826</v>
      </c>
      <c r="B1" s="990"/>
      <c r="C1" s="990"/>
      <c r="D1" s="990"/>
      <c r="E1" s="990"/>
      <c r="F1" s="990"/>
      <c r="G1" s="990"/>
      <c r="H1" s="990"/>
      <c r="I1" s="990"/>
      <c r="J1" s="990"/>
      <c r="K1" s="990"/>
      <c r="L1" s="990"/>
      <c r="M1" s="990"/>
      <c r="N1" s="990"/>
    </row>
    <row r="2" spans="1:14" s="33" customFormat="1" ht="16.5" customHeight="1">
      <c r="A2" s="990" t="s">
        <v>827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  <c r="L2" s="990"/>
      <c r="M2" s="990"/>
      <c r="N2" s="990"/>
    </row>
    <row r="3" spans="1:14" s="33" customFormat="1" ht="16.5" customHeight="1">
      <c r="A3" s="808" t="s">
        <v>4176</v>
      </c>
      <c r="B3" s="808"/>
      <c r="C3" s="808"/>
    </row>
    <row r="4" spans="1:14" s="33" customFormat="1" ht="16.5" customHeight="1">
      <c r="A4" s="988" t="s">
        <v>828</v>
      </c>
      <c r="B4" s="988"/>
      <c r="C4" s="988"/>
      <c r="D4" s="537" t="s">
        <v>995</v>
      </c>
      <c r="E4" s="987" t="s">
        <v>830</v>
      </c>
      <c r="F4" s="987"/>
      <c r="G4" s="987">
        <v>902060102</v>
      </c>
      <c r="H4" s="987"/>
      <c r="I4" s="988" t="s">
        <v>5</v>
      </c>
      <c r="J4" s="988"/>
      <c r="K4" s="537">
        <v>487.95600000000002</v>
      </c>
      <c r="L4" s="988" t="s">
        <v>831</v>
      </c>
      <c r="M4" s="988"/>
      <c r="N4" s="537"/>
    </row>
    <row r="5" spans="1:14" s="33" customFormat="1" ht="16.5" customHeight="1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</row>
    <row r="6" spans="1:14" s="33" customFormat="1" ht="21" customHeight="1">
      <c r="A6" s="988" t="s">
        <v>832</v>
      </c>
      <c r="B6" s="988"/>
      <c r="C6" s="988" t="s">
        <v>996</v>
      </c>
      <c r="D6" s="988"/>
      <c r="E6" s="987" t="s">
        <v>176</v>
      </c>
      <c r="F6" s="987"/>
      <c r="G6" s="987" t="s">
        <v>997</v>
      </c>
      <c r="H6" s="987"/>
      <c r="I6" s="987"/>
      <c r="J6" s="72"/>
      <c r="K6" s="72"/>
      <c r="L6" s="72"/>
      <c r="M6" s="72"/>
      <c r="N6" s="72"/>
    </row>
    <row r="7" spans="1:14" s="33" customFormat="1" ht="16.5" customHeight="1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</row>
    <row r="8" spans="1:14" s="33" customFormat="1" ht="16.5" customHeight="1">
      <c r="A8" s="537" t="s">
        <v>835</v>
      </c>
      <c r="B8" s="987" t="s">
        <v>998</v>
      </c>
      <c r="C8" s="987"/>
      <c r="D8" s="987"/>
      <c r="E8" s="967" t="s">
        <v>999</v>
      </c>
      <c r="F8" s="989"/>
      <c r="G8" s="989"/>
      <c r="H8" s="989"/>
      <c r="I8" s="535"/>
      <c r="J8" s="967">
        <v>9438252691</v>
      </c>
      <c r="K8" s="940"/>
      <c r="L8" s="72"/>
      <c r="M8" s="72"/>
      <c r="N8" s="72"/>
    </row>
    <row r="9" spans="1:14" s="33" customFormat="1" ht="16.5" hidden="1" customHeight="1">
      <c r="A9" s="72"/>
      <c r="B9" s="72"/>
      <c r="C9" s="72"/>
      <c r="D9" s="72"/>
      <c r="E9" s="72"/>
      <c r="F9" s="72"/>
      <c r="G9" s="73"/>
      <c r="H9" s="73"/>
      <c r="I9" s="73"/>
      <c r="J9" s="73"/>
      <c r="K9" s="73"/>
      <c r="L9" s="72"/>
      <c r="M9" s="72"/>
      <c r="N9" s="72"/>
    </row>
    <row r="10" spans="1:14" s="33" customFormat="1" ht="16.5" hidden="1" customHeight="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</row>
    <row r="11" spans="1:14" s="33" customFormat="1" ht="16.5" customHeight="1">
      <c r="A11" s="537" t="s">
        <v>838</v>
      </c>
      <c r="B11" s="987" t="s">
        <v>1000</v>
      </c>
      <c r="C11" s="987"/>
      <c r="D11" s="987"/>
      <c r="E11" s="987"/>
      <c r="F11" s="987"/>
      <c r="G11" s="987"/>
      <c r="H11" s="987"/>
      <c r="I11" s="987"/>
      <c r="J11" s="987"/>
      <c r="K11" s="987"/>
      <c r="L11" s="987"/>
      <c r="M11" s="987"/>
      <c r="N11" s="72"/>
    </row>
    <row r="12" spans="1:14" s="33" customFormat="1" ht="16.5" customHeight="1">
      <c r="A12" s="537" t="s">
        <v>840</v>
      </c>
      <c r="B12" s="987" t="s">
        <v>5669</v>
      </c>
      <c r="C12" s="987"/>
      <c r="D12" s="987" t="s">
        <v>5670</v>
      </c>
      <c r="E12" s="987"/>
      <c r="F12" s="987"/>
      <c r="G12" s="987" t="s">
        <v>5671</v>
      </c>
      <c r="H12" s="987"/>
      <c r="I12" s="987"/>
      <c r="J12" s="987" t="s">
        <v>5672</v>
      </c>
      <c r="K12" s="987"/>
      <c r="L12" s="987"/>
      <c r="M12" s="987"/>
      <c r="N12" s="72"/>
    </row>
    <row r="13" spans="1:14" s="33" customFormat="1" ht="16.5" customHeight="1">
      <c r="A13" s="537" t="s">
        <v>844</v>
      </c>
      <c r="B13" s="980" t="s">
        <v>5673</v>
      </c>
      <c r="C13" s="981"/>
      <c r="D13" s="980"/>
      <c r="E13" s="981"/>
      <c r="F13" s="982"/>
      <c r="G13" s="987"/>
      <c r="H13" s="987"/>
      <c r="I13" s="987"/>
      <c r="J13" s="987"/>
      <c r="K13" s="987"/>
      <c r="L13" s="987"/>
      <c r="M13" s="987"/>
      <c r="N13" s="72"/>
    </row>
    <row r="14" spans="1:14" s="33" customFormat="1" ht="16.5" customHeight="1">
      <c r="A14" s="537"/>
      <c r="B14" s="980"/>
      <c r="C14" s="981"/>
      <c r="D14" s="534"/>
      <c r="E14" s="535"/>
      <c r="F14" s="536"/>
      <c r="G14" s="537"/>
      <c r="H14" s="537"/>
      <c r="I14" s="537"/>
      <c r="J14" s="537"/>
      <c r="K14" s="537"/>
      <c r="L14" s="537"/>
      <c r="M14" s="537"/>
      <c r="N14" s="72"/>
    </row>
    <row r="15" spans="1:14" s="33" customFormat="1" ht="16.5" customHeight="1">
      <c r="A15" s="537" t="s">
        <v>850</v>
      </c>
      <c r="B15" s="987" t="s">
        <v>1001</v>
      </c>
      <c r="C15" s="987"/>
      <c r="D15" s="987"/>
      <c r="E15" s="987"/>
      <c r="F15" s="987"/>
      <c r="G15" s="987"/>
      <c r="H15" s="987"/>
      <c r="I15" s="987"/>
      <c r="J15" s="987">
        <v>6</v>
      </c>
      <c r="K15" s="987"/>
      <c r="L15" s="987"/>
      <c r="M15" s="987"/>
      <c r="N15" s="72"/>
    </row>
    <row r="16" spans="1:14" s="33" customFormat="1" ht="16.5" customHeight="1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</row>
    <row r="17" spans="1:14" s="33" customFormat="1" ht="16.5" customHeight="1">
      <c r="A17" s="72" t="s">
        <v>852</v>
      </c>
      <c r="B17" s="537">
        <v>3</v>
      </c>
      <c r="C17" s="983" t="s">
        <v>853</v>
      </c>
      <c r="D17" s="984"/>
      <c r="E17" s="537">
        <v>3</v>
      </c>
      <c r="G17" s="72" t="s">
        <v>643</v>
      </c>
      <c r="H17" s="537">
        <v>12</v>
      </c>
      <c r="I17" s="72" t="s">
        <v>644</v>
      </c>
      <c r="J17" s="537">
        <v>0</v>
      </c>
      <c r="K17" s="72" t="s">
        <v>645</v>
      </c>
      <c r="L17" s="537">
        <v>8</v>
      </c>
      <c r="M17" s="72"/>
      <c r="N17" s="72"/>
    </row>
    <row r="18" spans="1:14" s="33" customFormat="1" ht="16.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</row>
    <row r="19" spans="1:14" s="33" customFormat="1" ht="16.5" customHeight="1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</row>
    <row r="20" spans="1:14" s="33" customFormat="1" ht="21" customHeight="1">
      <c r="A20" s="72" t="s">
        <v>854</v>
      </c>
      <c r="B20" s="72" t="s">
        <v>204</v>
      </c>
      <c r="C20" s="537">
        <v>257</v>
      </c>
      <c r="D20" s="72" t="s">
        <v>205</v>
      </c>
      <c r="E20" s="537"/>
      <c r="F20" s="74" t="s">
        <v>206</v>
      </c>
      <c r="G20" s="537"/>
      <c r="H20" s="72" t="s">
        <v>230</v>
      </c>
      <c r="I20" s="537">
        <v>257</v>
      </c>
      <c r="J20" s="72" t="s">
        <v>207</v>
      </c>
      <c r="K20" s="537">
        <v>57</v>
      </c>
      <c r="L20" s="72" t="s">
        <v>855</v>
      </c>
      <c r="M20" s="72"/>
      <c r="N20" s="537">
        <v>15</v>
      </c>
    </row>
    <row r="21" spans="1:14" s="33" customFormat="1" ht="16.5" customHeight="1">
      <c r="A21" s="72" t="s">
        <v>209</v>
      </c>
      <c r="B21" s="72" t="s">
        <v>210</v>
      </c>
      <c r="C21" s="537">
        <v>615</v>
      </c>
      <c r="D21" s="72" t="s">
        <v>211</v>
      </c>
      <c r="E21" s="537"/>
      <c r="F21" s="74" t="s">
        <v>212</v>
      </c>
      <c r="G21" s="537"/>
      <c r="H21" s="72" t="s">
        <v>411</v>
      </c>
      <c r="I21" s="537">
        <f>C21</f>
        <v>615</v>
      </c>
      <c r="J21" s="72"/>
      <c r="K21" s="72"/>
      <c r="L21" s="72"/>
      <c r="M21" s="72"/>
      <c r="N21" s="72"/>
    </row>
    <row r="22" spans="1:14" s="33" customFormat="1" ht="23.25" customHeight="1">
      <c r="A22" s="72"/>
      <c r="B22" s="72" t="s">
        <v>858</v>
      </c>
      <c r="C22" s="537">
        <v>632</v>
      </c>
      <c r="D22" s="72" t="s">
        <v>214</v>
      </c>
      <c r="E22" s="537"/>
      <c r="F22" s="72" t="s">
        <v>215</v>
      </c>
      <c r="G22" s="537"/>
      <c r="H22" s="72" t="s">
        <v>410</v>
      </c>
      <c r="I22" s="537">
        <f>C22</f>
        <v>632</v>
      </c>
      <c r="J22" s="72"/>
      <c r="K22" s="72"/>
      <c r="L22" s="72"/>
      <c r="M22" s="72"/>
      <c r="N22" s="72"/>
    </row>
    <row r="23" spans="1:14" s="33" customFormat="1" ht="16.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</row>
    <row r="24" spans="1:14" s="33" customFormat="1" ht="16.5" customHeight="1">
      <c r="A24" s="75" t="s">
        <v>216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1:14" s="33" customFormat="1" ht="16.5" customHeight="1">
      <c r="A25" s="985" t="s">
        <v>861</v>
      </c>
      <c r="B25" s="948" t="s">
        <v>862</v>
      </c>
      <c r="C25" s="985" t="s">
        <v>219</v>
      </c>
      <c r="D25" s="985" t="s">
        <v>863</v>
      </c>
      <c r="E25" s="985" t="s">
        <v>864</v>
      </c>
      <c r="F25" s="980" t="s">
        <v>865</v>
      </c>
      <c r="G25" s="981"/>
      <c r="H25" s="981"/>
      <c r="I25" s="981"/>
      <c r="J25" s="981"/>
      <c r="K25" s="981"/>
      <c r="L25" s="981"/>
      <c r="M25" s="981"/>
      <c r="N25" s="982"/>
    </row>
    <row r="26" spans="1:14" s="33" customFormat="1" ht="25.5" customHeight="1">
      <c r="A26" s="986"/>
      <c r="B26" s="949"/>
      <c r="C26" s="986"/>
      <c r="D26" s="986"/>
      <c r="E26" s="986"/>
      <c r="F26" s="17" t="s">
        <v>866</v>
      </c>
      <c r="G26" s="17" t="s">
        <v>867</v>
      </c>
      <c r="H26" s="17" t="s">
        <v>868</v>
      </c>
      <c r="I26" s="17" t="s">
        <v>869</v>
      </c>
      <c r="J26" s="17" t="s">
        <v>870</v>
      </c>
      <c r="K26" s="17" t="s">
        <v>871</v>
      </c>
      <c r="L26" s="17" t="s">
        <v>872</v>
      </c>
      <c r="M26" s="17" t="s">
        <v>230</v>
      </c>
      <c r="N26" s="17" t="s">
        <v>231</v>
      </c>
    </row>
    <row r="27" spans="1:14" s="33" customFormat="1" ht="16.5" customHeight="1">
      <c r="A27" s="537" t="s">
        <v>232</v>
      </c>
      <c r="B27" s="537">
        <v>8000</v>
      </c>
      <c r="C27" s="537" t="s">
        <v>873</v>
      </c>
      <c r="D27" s="76">
        <f>B27*K4/100000</f>
        <v>39.036479999999997</v>
      </c>
      <c r="E27" s="67">
        <f>3903648/100000</f>
        <v>39.036479999999997</v>
      </c>
      <c r="F27" s="76">
        <f>6312/100000</f>
        <v>6.3119999999999996E-2</v>
      </c>
      <c r="G27" s="76">
        <f>949628/100000</f>
        <v>9.4962800000000005</v>
      </c>
      <c r="H27" s="76">
        <f>884005/100000</f>
        <v>8.8400499999999997</v>
      </c>
      <c r="I27" s="76">
        <f>1759728/100000</f>
        <v>17.597280000000001</v>
      </c>
      <c r="J27" s="76">
        <f>309841/100000</f>
        <v>3.0984099999999999</v>
      </c>
      <c r="K27" s="76"/>
      <c r="L27" s="76"/>
      <c r="M27" s="67">
        <f>SUM(F27:L27)</f>
        <v>39.095140000000001</v>
      </c>
      <c r="N27" s="76">
        <f>+M27*100/E27</f>
        <v>100.15026969644805</v>
      </c>
    </row>
    <row r="28" spans="1:14" s="33" customFormat="1" ht="16.5" customHeight="1">
      <c r="A28" s="537" t="s">
        <v>874</v>
      </c>
      <c r="B28" s="537">
        <v>7000</v>
      </c>
      <c r="C28" s="537" t="s">
        <v>873</v>
      </c>
      <c r="D28" s="76">
        <f>B28*N4/100000</f>
        <v>0</v>
      </c>
      <c r="E28" s="76">
        <v>0</v>
      </c>
      <c r="F28" s="76"/>
      <c r="G28" s="76"/>
      <c r="H28" s="76"/>
      <c r="I28" s="76"/>
      <c r="J28" s="76"/>
      <c r="K28" s="76"/>
      <c r="L28" s="76"/>
      <c r="M28" s="76"/>
      <c r="N28" s="76">
        <v>0</v>
      </c>
    </row>
    <row r="29" spans="1:14" s="33" customFormat="1" ht="16.5" customHeight="1">
      <c r="A29" s="537" t="s">
        <v>235</v>
      </c>
      <c r="B29" s="537">
        <v>43000</v>
      </c>
      <c r="C29" s="537" t="s">
        <v>236</v>
      </c>
      <c r="D29" s="76">
        <f>143000/100000</f>
        <v>1.43</v>
      </c>
      <c r="E29" s="55">
        <f>63000/100000</f>
        <v>0.63</v>
      </c>
      <c r="F29" s="76"/>
      <c r="G29" s="76"/>
      <c r="H29" s="76">
        <f>8284/100000</f>
        <v>8.2839999999999997E-2</v>
      </c>
      <c r="I29" s="76">
        <f>34716/100000</f>
        <v>0.34716000000000002</v>
      </c>
      <c r="J29" s="76">
        <f>-6926/100000</f>
        <v>-6.9260000000000002E-2</v>
      </c>
      <c r="K29" s="76">
        <f>10000/100000</f>
        <v>0.1</v>
      </c>
      <c r="L29" s="76"/>
      <c r="M29" s="67">
        <f t="shared" ref="M29:M34" si="0">SUM(F29:L29)</f>
        <v>0.46074000000000004</v>
      </c>
      <c r="N29" s="76">
        <f t="shared" ref="N29:N35" si="1">+M29*100/E29</f>
        <v>73.13333333333334</v>
      </c>
    </row>
    <row r="30" spans="1:14" s="33" customFormat="1" ht="16.5" customHeight="1">
      <c r="A30" s="537" t="s">
        <v>875</v>
      </c>
      <c r="B30" s="537">
        <v>34000</v>
      </c>
      <c r="C30" s="537" t="s">
        <v>236</v>
      </c>
      <c r="D30" s="67">
        <f>34000/100000</f>
        <v>0.34</v>
      </c>
      <c r="E30" s="67">
        <f>34000/100000</f>
        <v>0.34</v>
      </c>
      <c r="F30" s="76"/>
      <c r="G30" s="76"/>
      <c r="H30" s="76">
        <f>16200/100000</f>
        <v>0.16200000000000001</v>
      </c>
      <c r="I30" s="76">
        <f>17800/100000</f>
        <v>0.17799999999999999</v>
      </c>
      <c r="J30" s="76">
        <f>-1000/100000</f>
        <v>-0.01</v>
      </c>
      <c r="K30" s="76"/>
      <c r="L30" s="76"/>
      <c r="M30" s="67">
        <f t="shared" si="0"/>
        <v>0.32999999999999996</v>
      </c>
      <c r="N30" s="76">
        <f t="shared" si="1"/>
        <v>97.05882352941174</v>
      </c>
    </row>
    <row r="31" spans="1:14" s="33" customFormat="1" ht="16.5" customHeight="1">
      <c r="A31" s="537" t="s">
        <v>238</v>
      </c>
      <c r="B31" s="537">
        <v>1200</v>
      </c>
      <c r="C31" s="537" t="s">
        <v>873</v>
      </c>
      <c r="D31" s="76">
        <f>ROUND((B31*K4),0)/100000</f>
        <v>5.8554700000000004</v>
      </c>
      <c r="E31" s="67">
        <f>585547/100000</f>
        <v>5.8554700000000004</v>
      </c>
      <c r="F31" s="76"/>
      <c r="G31" s="76"/>
      <c r="H31" s="76"/>
      <c r="I31" s="76"/>
      <c r="J31" s="76">
        <f>432000/100000</f>
        <v>4.32</v>
      </c>
      <c r="K31" s="76">
        <f>155000/100000</f>
        <v>1.55</v>
      </c>
      <c r="L31" s="76"/>
      <c r="M31" s="67">
        <f t="shared" si="0"/>
        <v>5.87</v>
      </c>
      <c r="N31" s="76">
        <f t="shared" si="1"/>
        <v>100.24814404309133</v>
      </c>
    </row>
    <row r="32" spans="1:14" s="33" customFormat="1" ht="16.5" customHeight="1">
      <c r="A32" s="537" t="s">
        <v>667</v>
      </c>
      <c r="B32" s="537">
        <v>565</v>
      </c>
      <c r="C32" s="537" t="s">
        <v>873</v>
      </c>
      <c r="D32" s="76">
        <f>ROUND((B32*K4),0)/100000</f>
        <v>2.7569499999999998</v>
      </c>
      <c r="E32" s="67">
        <f>275695/100000</f>
        <v>2.7569499999999998</v>
      </c>
      <c r="F32" s="76"/>
      <c r="G32" s="76"/>
      <c r="H32" s="76">
        <f>4400/100000</f>
        <v>4.3999999999999997E-2</v>
      </c>
      <c r="I32" s="76">
        <f>271295/100000</f>
        <v>2.7129500000000002</v>
      </c>
      <c r="J32" s="76"/>
      <c r="K32" s="76"/>
      <c r="L32" s="76"/>
      <c r="M32" s="67">
        <f t="shared" si="0"/>
        <v>2.7569500000000002</v>
      </c>
      <c r="N32" s="76">
        <f t="shared" si="1"/>
        <v>100.00000000000003</v>
      </c>
    </row>
    <row r="33" spans="1:14" s="33" customFormat="1" ht="16.5" customHeight="1">
      <c r="A33" s="537" t="s">
        <v>876</v>
      </c>
      <c r="B33" s="537">
        <v>1000</v>
      </c>
      <c r="C33" s="537" t="s">
        <v>873</v>
      </c>
      <c r="D33" s="76">
        <f>B33*K4/100000</f>
        <v>4.8795599999999997</v>
      </c>
      <c r="E33" s="67">
        <f>487956/100000</f>
        <v>4.8795599999999997</v>
      </c>
      <c r="F33" s="76"/>
      <c r="G33" s="76">
        <f>5500/100000</f>
        <v>5.5E-2</v>
      </c>
      <c r="H33" s="76"/>
      <c r="I33" s="76">
        <f>94500/100000</f>
        <v>0.94499999999999995</v>
      </c>
      <c r="J33" s="76">
        <f>-20000/100000</f>
        <v>-0.2</v>
      </c>
      <c r="K33" s="76">
        <f>351525/100000</f>
        <v>3.51525</v>
      </c>
      <c r="L33" s="76"/>
      <c r="M33" s="67">
        <f t="shared" si="0"/>
        <v>4.3152499999999998</v>
      </c>
      <c r="N33" s="76">
        <f t="shared" si="1"/>
        <v>88.435227766437961</v>
      </c>
    </row>
    <row r="34" spans="1:14" s="33" customFormat="1" ht="16.5" customHeight="1">
      <c r="A34" s="537" t="s">
        <v>394</v>
      </c>
      <c r="B34" s="537">
        <v>2750</v>
      </c>
      <c r="C34" s="537" t="s">
        <v>877</v>
      </c>
      <c r="D34" s="55">
        <f>192000/100000</f>
        <v>1.92</v>
      </c>
      <c r="E34" s="55">
        <f>192000/100000</f>
        <v>1.92</v>
      </c>
      <c r="F34" s="76">
        <f>550/100000</f>
        <v>5.4999999999999997E-3</v>
      </c>
      <c r="G34" s="76">
        <f>58371/100000</f>
        <v>0.58370999999999995</v>
      </c>
      <c r="H34" s="76">
        <f>31662/100000</f>
        <v>0.31662000000000001</v>
      </c>
      <c r="I34" s="76">
        <f>35417/100000</f>
        <v>0.35416999999999998</v>
      </c>
      <c r="J34" s="76">
        <f>13687/100000</f>
        <v>0.13686999999999999</v>
      </c>
      <c r="K34" s="76">
        <f>35813/100000</f>
        <v>0.35813</v>
      </c>
      <c r="L34" s="76"/>
      <c r="M34" s="67">
        <f t="shared" si="0"/>
        <v>1.7549999999999999</v>
      </c>
      <c r="N34" s="76">
        <f t="shared" si="1"/>
        <v>91.40625</v>
      </c>
    </row>
    <row r="35" spans="1:14" s="33" customFormat="1">
      <c r="A35" s="77" t="s">
        <v>230</v>
      </c>
      <c r="B35" s="78">
        <f>SUM(B27:B34)</f>
        <v>97515</v>
      </c>
      <c r="C35" s="78"/>
      <c r="D35" s="67">
        <f t="shared" ref="D35:M35" si="2">SUM(D27:D34)</f>
        <v>56.218460000000007</v>
      </c>
      <c r="E35" s="67">
        <f t="shared" si="2"/>
        <v>55.41846000000001</v>
      </c>
      <c r="F35" s="67">
        <f t="shared" si="2"/>
        <v>6.862E-2</v>
      </c>
      <c r="G35" s="67">
        <f t="shared" si="2"/>
        <v>10.13499</v>
      </c>
      <c r="H35" s="67">
        <f t="shared" si="2"/>
        <v>9.4455100000000005</v>
      </c>
      <c r="I35" s="67">
        <f t="shared" si="2"/>
        <v>22.13456</v>
      </c>
      <c r="J35" s="67">
        <f t="shared" si="2"/>
        <v>7.2760199999999999</v>
      </c>
      <c r="K35" s="67">
        <f t="shared" si="2"/>
        <v>5.5233800000000004</v>
      </c>
      <c r="L35" s="67">
        <f t="shared" si="2"/>
        <v>0</v>
      </c>
      <c r="M35" s="67">
        <f t="shared" si="2"/>
        <v>54.583080000000002</v>
      </c>
      <c r="N35" s="67">
        <f t="shared" si="1"/>
        <v>98.492596149369703</v>
      </c>
    </row>
    <row r="36" spans="1:14" s="33" customFormat="1"/>
    <row r="37" spans="1:14" s="33" customFormat="1"/>
    <row r="38" spans="1:14" s="33" customFormat="1"/>
    <row r="39" spans="1:14" s="33" customFormat="1"/>
    <row r="40" spans="1:14" s="33" customFormat="1"/>
    <row r="41" spans="1:14" s="33" customFormat="1"/>
    <row r="42" spans="1:14" s="33" customFormat="1"/>
    <row r="43" spans="1:14" s="33" customFormat="1"/>
    <row r="44" spans="1:14" s="33" customFormat="1"/>
    <row r="45" spans="1:14" s="33" customFormat="1"/>
    <row r="46" spans="1:14" s="33" customFormat="1"/>
    <row r="47" spans="1:14" s="33" customFormat="1"/>
    <row r="48" spans="1:14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pans="1:13" s="33" customFormat="1"/>
    <row r="66" spans="1:13" s="33" customFormat="1"/>
    <row r="67" spans="1:13" s="33" customFormat="1"/>
    <row r="68" spans="1:13" s="33" customFormat="1"/>
    <row r="69" spans="1:13" s="33" customFormat="1"/>
    <row r="70" spans="1:13" s="33" customFormat="1"/>
    <row r="71" spans="1:13" s="33" customFormat="1"/>
    <row r="72" spans="1:13" s="33" customFormat="1"/>
    <row r="73" spans="1:13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</row>
    <row r="74" spans="1:13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</row>
    <row r="75" spans="1:13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</row>
    <row r="76" spans="1:13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</row>
    <row r="77" spans="1:1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</row>
    <row r="78" spans="1:1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</row>
    <row r="79" spans="1:1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</row>
    <row r="80" spans="1:13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</row>
    <row r="81" spans="1:13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</row>
    <row r="82" spans="1:13" s="33" customFormat="1"/>
    <row r="83" spans="1:13" s="33" customFormat="1"/>
    <row r="84" spans="1:13" s="33" customFormat="1"/>
    <row r="85" spans="1:13" s="33" customFormat="1"/>
    <row r="86" spans="1:13" s="33" customFormat="1"/>
    <row r="87" spans="1:13" s="33" customFormat="1"/>
    <row r="88" spans="1:13" s="33" customFormat="1"/>
    <row r="89" spans="1:13" s="33" customFormat="1"/>
    <row r="90" spans="1:13" s="33" customFormat="1"/>
    <row r="91" spans="1:13" s="33" customFormat="1"/>
    <row r="92" spans="1:13" s="33" customFormat="1"/>
    <row r="93" spans="1:13" s="33" customFormat="1"/>
    <row r="94" spans="1:13" s="33" customFormat="1"/>
    <row r="95" spans="1:13" s="33" customFormat="1"/>
    <row r="96" spans="1:13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</sheetData>
  <mergeCells count="39">
    <mergeCell ref="A1:N1"/>
    <mergeCell ref="A2:N2"/>
    <mergeCell ref="A4:C4"/>
    <mergeCell ref="E4:F4"/>
    <mergeCell ref="G4:H4"/>
    <mergeCell ref="I4:J4"/>
    <mergeCell ref="L4:M4"/>
    <mergeCell ref="A3:C3"/>
    <mergeCell ref="A6:B6"/>
    <mergeCell ref="C6:D6"/>
    <mergeCell ref="E6:F6"/>
    <mergeCell ref="G6:I6"/>
    <mergeCell ref="B8:D8"/>
    <mergeCell ref="E8:H8"/>
    <mergeCell ref="B12:C12"/>
    <mergeCell ref="D12:F12"/>
    <mergeCell ref="G12:I12"/>
    <mergeCell ref="J12:M12"/>
    <mergeCell ref="B13:C13"/>
    <mergeCell ref="D13:F13"/>
    <mergeCell ref="G13:I13"/>
    <mergeCell ref="J13:M13"/>
    <mergeCell ref="J8:K8"/>
    <mergeCell ref="B11:C11"/>
    <mergeCell ref="D11:F11"/>
    <mergeCell ref="G11:I11"/>
    <mergeCell ref="J11:M11"/>
    <mergeCell ref="B14:C14"/>
    <mergeCell ref="F25:N25"/>
    <mergeCell ref="C17:D17"/>
    <mergeCell ref="A25:A26"/>
    <mergeCell ref="B25:B26"/>
    <mergeCell ref="C25:C26"/>
    <mergeCell ref="D25:D26"/>
    <mergeCell ref="E25:E26"/>
    <mergeCell ref="B15:C15"/>
    <mergeCell ref="D15:F15"/>
    <mergeCell ref="G15:I15"/>
    <mergeCell ref="J15:M15"/>
  </mergeCells>
  <hyperlinks>
    <hyperlink ref="A3" location="'Fact Sheet of VDC'!A1" display="&lt;&lt;Back"/>
  </hyperlinks>
  <pageMargins left="0.33" right="0.70866141732283505" top="0.3" bottom="0.32" header="0.31496062992126" footer="0.31496062992126"/>
  <pageSetup paperSize="9" scale="8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438</v>
      </c>
      <c r="H6" t="s">
        <v>437</v>
      </c>
      <c r="K6" t="s">
        <v>5711</v>
      </c>
      <c r="R6" t="s">
        <v>172</v>
      </c>
      <c r="T6">
        <v>523</v>
      </c>
      <c r="U6" t="s">
        <v>436</v>
      </c>
      <c r="W6">
        <v>40</v>
      </c>
    </row>
    <row r="9" spans="1:23">
      <c r="A9" t="s">
        <v>435</v>
      </c>
      <c r="D9" t="s">
        <v>434</v>
      </c>
      <c r="H9" t="s">
        <v>176</v>
      </c>
      <c r="K9" t="s">
        <v>433</v>
      </c>
    </row>
    <row r="12" spans="1:23">
      <c r="A12" t="s">
        <v>432</v>
      </c>
      <c r="H12" t="s">
        <v>431</v>
      </c>
      <c r="K12" t="s">
        <v>430</v>
      </c>
    </row>
    <row r="13" spans="1:23">
      <c r="H13" t="s">
        <v>429</v>
      </c>
    </row>
    <row r="17" spans="1:24">
      <c r="A17" t="s">
        <v>428</v>
      </c>
      <c r="D17" t="s">
        <v>427</v>
      </c>
      <c r="G17" t="s">
        <v>426</v>
      </c>
    </row>
    <row r="18" spans="1:24">
      <c r="A18" t="s">
        <v>425</v>
      </c>
      <c r="D18" t="s">
        <v>424</v>
      </c>
      <c r="G18" t="s">
        <v>423</v>
      </c>
    </row>
    <row r="19" spans="1:24">
      <c r="A19" t="s">
        <v>192</v>
      </c>
      <c r="D19" t="s">
        <v>422</v>
      </c>
      <c r="G19" t="s">
        <v>421</v>
      </c>
    </row>
    <row r="20" spans="1:24">
      <c r="A20" t="s">
        <v>420</v>
      </c>
      <c r="G20" t="s">
        <v>419</v>
      </c>
      <c r="O20" t="s">
        <v>419</v>
      </c>
    </row>
    <row r="23" spans="1:24">
      <c r="A23" t="s">
        <v>198</v>
      </c>
      <c r="E23">
        <v>2</v>
      </c>
      <c r="G23" t="s">
        <v>418</v>
      </c>
      <c r="J23">
        <v>2</v>
      </c>
      <c r="L23" t="s">
        <v>200</v>
      </c>
      <c r="N23">
        <v>4</v>
      </c>
      <c r="S23" t="s">
        <v>417</v>
      </c>
      <c r="U23">
        <v>1</v>
      </c>
      <c r="W23" t="s">
        <v>202</v>
      </c>
      <c r="X23">
        <v>12</v>
      </c>
    </row>
    <row r="26" spans="1:24">
      <c r="A26" t="s">
        <v>416</v>
      </c>
      <c r="D26" t="s">
        <v>204</v>
      </c>
      <c r="E26">
        <v>71</v>
      </c>
      <c r="G26" t="s">
        <v>205</v>
      </c>
      <c r="H26">
        <v>0</v>
      </c>
      <c r="J26" t="s">
        <v>415</v>
      </c>
      <c r="K26">
        <v>0</v>
      </c>
      <c r="M26" t="s">
        <v>230</v>
      </c>
      <c r="N26">
        <f>E26+H26+K26</f>
        <v>71</v>
      </c>
      <c r="S26" t="s">
        <v>414</v>
      </c>
      <c r="T26">
        <v>28</v>
      </c>
      <c r="V26" t="s">
        <v>413</v>
      </c>
    </row>
    <row r="27" spans="1:24">
      <c r="A27" t="s">
        <v>412</v>
      </c>
      <c r="D27" t="s">
        <v>210</v>
      </c>
      <c r="E27">
        <v>154</v>
      </c>
      <c r="G27" t="s">
        <v>211</v>
      </c>
      <c r="H27">
        <v>0</v>
      </c>
      <c r="J27" t="s">
        <v>212</v>
      </c>
      <c r="K27">
        <v>0</v>
      </c>
      <c r="M27" t="s">
        <v>411</v>
      </c>
      <c r="N27">
        <f>E27+H27+K27</f>
        <v>154</v>
      </c>
    </row>
    <row r="28" spans="1:24">
      <c r="D28" t="s">
        <v>213</v>
      </c>
      <c r="E28">
        <v>169</v>
      </c>
      <c r="G28" t="s">
        <v>214</v>
      </c>
      <c r="H28">
        <v>0</v>
      </c>
      <c r="J28" t="s">
        <v>215</v>
      </c>
      <c r="K28">
        <v>0</v>
      </c>
      <c r="M28" t="s">
        <v>410</v>
      </c>
      <c r="N28">
        <f>E28+H28+K28</f>
        <v>169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41.84</v>
      </c>
      <c r="G37">
        <v>4184000</v>
      </c>
      <c r="J37">
        <f>183810-50032</f>
        <v>133778</v>
      </c>
      <c r="L37">
        <v>1106458</v>
      </c>
      <c r="N37">
        <v>1400344</v>
      </c>
      <c r="S37">
        <v>527011</v>
      </c>
      <c r="U37">
        <v>203565</v>
      </c>
      <c r="X37">
        <f t="shared" ref="X37:X45" si="0">J37+L37+N37+S37+U37+W37</f>
        <v>3371156</v>
      </c>
      <c r="Y37">
        <f t="shared" ref="Y37:Y44" si="1">X37*100/G37</f>
        <v>80.572562141491389</v>
      </c>
    </row>
    <row r="38" spans="1:25">
      <c r="A38" t="s">
        <v>234</v>
      </c>
      <c r="D38">
        <v>7000</v>
      </c>
      <c r="E38" t="str">
        <f>+E37</f>
        <v>Hectare</v>
      </c>
      <c r="F38">
        <v>2.8</v>
      </c>
      <c r="G38">
        <v>250000</v>
      </c>
      <c r="J38">
        <v>0</v>
      </c>
      <c r="L38">
        <v>20852</v>
      </c>
      <c r="N38">
        <v>60689</v>
      </c>
      <c r="S38">
        <v>116086</v>
      </c>
      <c r="U38">
        <v>52342</v>
      </c>
      <c r="X38">
        <f t="shared" si="0"/>
        <v>249969</v>
      </c>
      <c r="Y38">
        <f t="shared" si="1"/>
        <v>99.9876</v>
      </c>
    </row>
    <row r="39" spans="1:25">
      <c r="A39" t="s">
        <v>397</v>
      </c>
      <c r="D39">
        <v>86</v>
      </c>
      <c r="E39" t="str">
        <f>+E38</f>
        <v>Hectare</v>
      </c>
      <c r="F39">
        <v>0.45</v>
      </c>
      <c r="G39">
        <v>43000</v>
      </c>
      <c r="J39">
        <v>0</v>
      </c>
      <c r="L39">
        <v>6599</v>
      </c>
      <c r="N39">
        <v>34800</v>
      </c>
      <c r="S39">
        <v>5492</v>
      </c>
      <c r="U39">
        <v>0</v>
      </c>
      <c r="X39">
        <f t="shared" si="0"/>
        <v>46891</v>
      </c>
      <c r="Y39">
        <f t="shared" si="1"/>
        <v>109.04883720930232</v>
      </c>
    </row>
    <row r="40" spans="1:25">
      <c r="A40" t="s">
        <v>396</v>
      </c>
      <c r="D40">
        <v>68</v>
      </c>
      <c r="E40" t="str">
        <f>+E39</f>
        <v>Hectare</v>
      </c>
      <c r="F40">
        <v>0.36</v>
      </c>
      <c r="G40">
        <v>34000</v>
      </c>
      <c r="J40">
        <v>0</v>
      </c>
      <c r="L40">
        <v>16109</v>
      </c>
      <c r="N40">
        <v>2668</v>
      </c>
      <c r="S40">
        <v>12937</v>
      </c>
      <c r="X40">
        <f t="shared" si="0"/>
        <v>31714</v>
      </c>
      <c r="Y40">
        <f t="shared" si="1"/>
        <v>93.276470588235298</v>
      </c>
    </row>
    <row r="41" spans="1:25">
      <c r="A41" t="s">
        <v>238</v>
      </c>
      <c r="D41">
        <v>1200</v>
      </c>
      <c r="E41" t="str">
        <f>+E38</f>
        <v>Hectare</v>
      </c>
      <c r="F41">
        <v>6.28</v>
      </c>
      <c r="G41">
        <v>510000</v>
      </c>
      <c r="J41">
        <v>0</v>
      </c>
      <c r="L41">
        <v>24400</v>
      </c>
      <c r="N41">
        <v>3200</v>
      </c>
      <c r="S41">
        <v>46136</v>
      </c>
      <c r="U41">
        <v>91066</v>
      </c>
      <c r="X41">
        <f t="shared" si="0"/>
        <v>164802</v>
      </c>
      <c r="Y41">
        <f t="shared" si="1"/>
        <v>32.314117647058822</v>
      </c>
    </row>
    <row r="42" spans="1:25">
      <c r="A42" t="s">
        <v>395</v>
      </c>
      <c r="D42">
        <v>565</v>
      </c>
      <c r="E42" t="str">
        <f>+E38</f>
        <v>Hectare</v>
      </c>
      <c r="F42">
        <v>2.83</v>
      </c>
      <c r="G42">
        <v>227500</v>
      </c>
      <c r="J42">
        <v>0</v>
      </c>
      <c r="L42">
        <v>0</v>
      </c>
      <c r="N42">
        <v>10000</v>
      </c>
      <c r="S42">
        <v>245000</v>
      </c>
      <c r="X42">
        <f t="shared" si="0"/>
        <v>255000</v>
      </c>
      <c r="Y42">
        <f t="shared" si="1"/>
        <v>112.08791208791209</v>
      </c>
    </row>
    <row r="43" spans="1:25">
      <c r="A43" t="s">
        <v>240</v>
      </c>
      <c r="D43">
        <v>1000</v>
      </c>
      <c r="E43" t="str">
        <f>+E41</f>
        <v>Hectare</v>
      </c>
      <c r="F43">
        <v>5.23</v>
      </c>
      <c r="G43">
        <v>523000</v>
      </c>
      <c r="J43">
        <v>61482</v>
      </c>
      <c r="L43">
        <v>15720</v>
      </c>
      <c r="N43">
        <v>5200</v>
      </c>
      <c r="S43">
        <v>140678</v>
      </c>
      <c r="U43">
        <v>184606</v>
      </c>
      <c r="X43">
        <f t="shared" si="0"/>
        <v>407686</v>
      </c>
      <c r="Y43">
        <f t="shared" si="1"/>
        <v>77.95143403441682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132000</v>
      </c>
      <c r="J44">
        <v>18225</v>
      </c>
      <c r="L44">
        <v>16386</v>
      </c>
      <c r="N44">
        <v>3495</v>
      </c>
      <c r="S44">
        <v>25075</v>
      </c>
      <c r="U44">
        <v>35599</v>
      </c>
      <c r="X44">
        <f t="shared" si="0"/>
        <v>98780</v>
      </c>
      <c r="Y44">
        <f t="shared" si="1"/>
        <v>74.833333333333329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62.20000000000001</v>
      </c>
      <c r="G46">
        <f>SUM(G37:G45)</f>
        <v>5903500</v>
      </c>
      <c r="J46">
        <f>SUM(J37:J45)</f>
        <v>213485</v>
      </c>
      <c r="L46">
        <f>SUM(L37:L45)</f>
        <v>1206524</v>
      </c>
      <c r="N46">
        <f>SUM(N37:N45)</f>
        <v>1520396</v>
      </c>
      <c r="S46">
        <f>SUM(S37:S45)</f>
        <v>1118415</v>
      </c>
      <c r="U46">
        <f>SUM(U37:U45)</f>
        <v>567178</v>
      </c>
      <c r="X46">
        <f>SUM(X37:X45)</f>
        <v>4625998</v>
      </c>
      <c r="Y46">
        <f>SUM(Y37:Y45)</f>
        <v>680.07226704175014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Q32"/>
  <sheetViews>
    <sheetView workbookViewId="0">
      <selection activeCell="A4" sqref="A4:C4"/>
    </sheetView>
  </sheetViews>
  <sheetFormatPr defaultRowHeight="15"/>
  <cols>
    <col min="6" max="7" width="9.5703125" bestFit="1" customWidth="1"/>
    <col min="8" max="8" width="12.28515625" customWidth="1"/>
    <col min="9" max="9" width="12.7109375" customWidth="1"/>
    <col min="10" max="10" width="9.28515625" bestFit="1" customWidth="1"/>
    <col min="11" max="11" width="9.5703125" bestFit="1" customWidth="1"/>
    <col min="12" max="13" width="9.28515625" bestFit="1" customWidth="1"/>
    <col min="14" max="14" width="10.7109375" bestFit="1" customWidth="1"/>
    <col min="15" max="15" width="10.5703125" bestFit="1" customWidth="1"/>
    <col min="262" max="263" width="9.5703125" bestFit="1" customWidth="1"/>
    <col min="264" max="264" width="12.28515625" customWidth="1"/>
    <col min="265" max="265" width="12.7109375" customWidth="1"/>
    <col min="266" max="266" width="9.28515625" bestFit="1" customWidth="1"/>
    <col min="267" max="267" width="9.5703125" bestFit="1" customWidth="1"/>
    <col min="268" max="269" width="9.28515625" bestFit="1" customWidth="1"/>
    <col min="270" max="270" width="10.7109375" bestFit="1" customWidth="1"/>
    <col min="271" max="271" width="10.5703125" bestFit="1" customWidth="1"/>
    <col min="518" max="519" width="9.5703125" bestFit="1" customWidth="1"/>
    <col min="520" max="520" width="12.28515625" customWidth="1"/>
    <col min="521" max="521" width="12.7109375" customWidth="1"/>
    <col min="522" max="522" width="9.28515625" bestFit="1" customWidth="1"/>
    <col min="523" max="523" width="9.5703125" bestFit="1" customWidth="1"/>
    <col min="524" max="525" width="9.28515625" bestFit="1" customWidth="1"/>
    <col min="526" max="526" width="10.7109375" bestFit="1" customWidth="1"/>
    <col min="527" max="527" width="10.5703125" bestFit="1" customWidth="1"/>
    <col min="774" max="775" width="9.5703125" bestFit="1" customWidth="1"/>
    <col min="776" max="776" width="12.28515625" customWidth="1"/>
    <col min="777" max="777" width="12.7109375" customWidth="1"/>
    <col min="778" max="778" width="9.28515625" bestFit="1" customWidth="1"/>
    <col min="779" max="779" width="9.5703125" bestFit="1" customWidth="1"/>
    <col min="780" max="781" width="9.28515625" bestFit="1" customWidth="1"/>
    <col min="782" max="782" width="10.7109375" bestFit="1" customWidth="1"/>
    <col min="783" max="783" width="10.5703125" bestFit="1" customWidth="1"/>
    <col min="1030" max="1031" width="9.5703125" bestFit="1" customWidth="1"/>
    <col min="1032" max="1032" width="12.28515625" customWidth="1"/>
    <col min="1033" max="1033" width="12.7109375" customWidth="1"/>
    <col min="1034" max="1034" width="9.28515625" bestFit="1" customWidth="1"/>
    <col min="1035" max="1035" width="9.5703125" bestFit="1" customWidth="1"/>
    <col min="1036" max="1037" width="9.28515625" bestFit="1" customWidth="1"/>
    <col min="1038" max="1038" width="10.7109375" bestFit="1" customWidth="1"/>
    <col min="1039" max="1039" width="10.5703125" bestFit="1" customWidth="1"/>
    <col min="1286" max="1287" width="9.5703125" bestFit="1" customWidth="1"/>
    <col min="1288" max="1288" width="12.28515625" customWidth="1"/>
    <col min="1289" max="1289" width="12.7109375" customWidth="1"/>
    <col min="1290" max="1290" width="9.28515625" bestFit="1" customWidth="1"/>
    <col min="1291" max="1291" width="9.5703125" bestFit="1" customWidth="1"/>
    <col min="1292" max="1293" width="9.28515625" bestFit="1" customWidth="1"/>
    <col min="1294" max="1294" width="10.7109375" bestFit="1" customWidth="1"/>
    <col min="1295" max="1295" width="10.5703125" bestFit="1" customWidth="1"/>
    <col min="1542" max="1543" width="9.5703125" bestFit="1" customWidth="1"/>
    <col min="1544" max="1544" width="12.28515625" customWidth="1"/>
    <col min="1545" max="1545" width="12.7109375" customWidth="1"/>
    <col min="1546" max="1546" width="9.28515625" bestFit="1" customWidth="1"/>
    <col min="1547" max="1547" width="9.5703125" bestFit="1" customWidth="1"/>
    <col min="1548" max="1549" width="9.28515625" bestFit="1" customWidth="1"/>
    <col min="1550" max="1550" width="10.7109375" bestFit="1" customWidth="1"/>
    <col min="1551" max="1551" width="10.5703125" bestFit="1" customWidth="1"/>
    <col min="1798" max="1799" width="9.5703125" bestFit="1" customWidth="1"/>
    <col min="1800" max="1800" width="12.28515625" customWidth="1"/>
    <col min="1801" max="1801" width="12.7109375" customWidth="1"/>
    <col min="1802" max="1802" width="9.28515625" bestFit="1" customWidth="1"/>
    <col min="1803" max="1803" width="9.5703125" bestFit="1" customWidth="1"/>
    <col min="1804" max="1805" width="9.28515625" bestFit="1" customWidth="1"/>
    <col min="1806" max="1806" width="10.7109375" bestFit="1" customWidth="1"/>
    <col min="1807" max="1807" width="10.5703125" bestFit="1" customWidth="1"/>
    <col min="2054" max="2055" width="9.5703125" bestFit="1" customWidth="1"/>
    <col min="2056" max="2056" width="12.28515625" customWidth="1"/>
    <col min="2057" max="2057" width="12.7109375" customWidth="1"/>
    <col min="2058" max="2058" width="9.28515625" bestFit="1" customWidth="1"/>
    <col min="2059" max="2059" width="9.5703125" bestFit="1" customWidth="1"/>
    <col min="2060" max="2061" width="9.28515625" bestFit="1" customWidth="1"/>
    <col min="2062" max="2062" width="10.7109375" bestFit="1" customWidth="1"/>
    <col min="2063" max="2063" width="10.5703125" bestFit="1" customWidth="1"/>
    <col min="2310" max="2311" width="9.5703125" bestFit="1" customWidth="1"/>
    <col min="2312" max="2312" width="12.28515625" customWidth="1"/>
    <col min="2313" max="2313" width="12.7109375" customWidth="1"/>
    <col min="2314" max="2314" width="9.28515625" bestFit="1" customWidth="1"/>
    <col min="2315" max="2315" width="9.5703125" bestFit="1" customWidth="1"/>
    <col min="2316" max="2317" width="9.28515625" bestFit="1" customWidth="1"/>
    <col min="2318" max="2318" width="10.7109375" bestFit="1" customWidth="1"/>
    <col min="2319" max="2319" width="10.5703125" bestFit="1" customWidth="1"/>
    <col min="2566" max="2567" width="9.5703125" bestFit="1" customWidth="1"/>
    <col min="2568" max="2568" width="12.28515625" customWidth="1"/>
    <col min="2569" max="2569" width="12.7109375" customWidth="1"/>
    <col min="2570" max="2570" width="9.28515625" bestFit="1" customWidth="1"/>
    <col min="2571" max="2571" width="9.5703125" bestFit="1" customWidth="1"/>
    <col min="2572" max="2573" width="9.28515625" bestFit="1" customWidth="1"/>
    <col min="2574" max="2574" width="10.7109375" bestFit="1" customWidth="1"/>
    <col min="2575" max="2575" width="10.5703125" bestFit="1" customWidth="1"/>
    <col min="2822" max="2823" width="9.5703125" bestFit="1" customWidth="1"/>
    <col min="2824" max="2824" width="12.28515625" customWidth="1"/>
    <col min="2825" max="2825" width="12.7109375" customWidth="1"/>
    <col min="2826" max="2826" width="9.28515625" bestFit="1" customWidth="1"/>
    <col min="2827" max="2827" width="9.5703125" bestFit="1" customWidth="1"/>
    <col min="2828" max="2829" width="9.28515625" bestFit="1" customWidth="1"/>
    <col min="2830" max="2830" width="10.7109375" bestFit="1" customWidth="1"/>
    <col min="2831" max="2831" width="10.5703125" bestFit="1" customWidth="1"/>
    <col min="3078" max="3079" width="9.5703125" bestFit="1" customWidth="1"/>
    <col min="3080" max="3080" width="12.28515625" customWidth="1"/>
    <col min="3081" max="3081" width="12.7109375" customWidth="1"/>
    <col min="3082" max="3082" width="9.28515625" bestFit="1" customWidth="1"/>
    <col min="3083" max="3083" width="9.5703125" bestFit="1" customWidth="1"/>
    <col min="3084" max="3085" width="9.28515625" bestFit="1" customWidth="1"/>
    <col min="3086" max="3086" width="10.7109375" bestFit="1" customWidth="1"/>
    <col min="3087" max="3087" width="10.5703125" bestFit="1" customWidth="1"/>
    <col min="3334" max="3335" width="9.5703125" bestFit="1" customWidth="1"/>
    <col min="3336" max="3336" width="12.28515625" customWidth="1"/>
    <col min="3337" max="3337" width="12.7109375" customWidth="1"/>
    <col min="3338" max="3338" width="9.28515625" bestFit="1" customWidth="1"/>
    <col min="3339" max="3339" width="9.5703125" bestFit="1" customWidth="1"/>
    <col min="3340" max="3341" width="9.28515625" bestFit="1" customWidth="1"/>
    <col min="3342" max="3342" width="10.7109375" bestFit="1" customWidth="1"/>
    <col min="3343" max="3343" width="10.5703125" bestFit="1" customWidth="1"/>
    <col min="3590" max="3591" width="9.5703125" bestFit="1" customWidth="1"/>
    <col min="3592" max="3592" width="12.28515625" customWidth="1"/>
    <col min="3593" max="3593" width="12.7109375" customWidth="1"/>
    <col min="3594" max="3594" width="9.28515625" bestFit="1" customWidth="1"/>
    <col min="3595" max="3595" width="9.5703125" bestFit="1" customWidth="1"/>
    <col min="3596" max="3597" width="9.28515625" bestFit="1" customWidth="1"/>
    <col min="3598" max="3598" width="10.7109375" bestFit="1" customWidth="1"/>
    <col min="3599" max="3599" width="10.5703125" bestFit="1" customWidth="1"/>
    <col min="3846" max="3847" width="9.5703125" bestFit="1" customWidth="1"/>
    <col min="3848" max="3848" width="12.28515625" customWidth="1"/>
    <col min="3849" max="3849" width="12.7109375" customWidth="1"/>
    <col min="3850" max="3850" width="9.28515625" bestFit="1" customWidth="1"/>
    <col min="3851" max="3851" width="9.5703125" bestFit="1" customWidth="1"/>
    <col min="3852" max="3853" width="9.28515625" bestFit="1" customWidth="1"/>
    <col min="3854" max="3854" width="10.7109375" bestFit="1" customWidth="1"/>
    <col min="3855" max="3855" width="10.5703125" bestFit="1" customWidth="1"/>
    <col min="4102" max="4103" width="9.5703125" bestFit="1" customWidth="1"/>
    <col min="4104" max="4104" width="12.28515625" customWidth="1"/>
    <col min="4105" max="4105" width="12.7109375" customWidth="1"/>
    <col min="4106" max="4106" width="9.28515625" bestFit="1" customWidth="1"/>
    <col min="4107" max="4107" width="9.5703125" bestFit="1" customWidth="1"/>
    <col min="4108" max="4109" width="9.28515625" bestFit="1" customWidth="1"/>
    <col min="4110" max="4110" width="10.7109375" bestFit="1" customWidth="1"/>
    <col min="4111" max="4111" width="10.5703125" bestFit="1" customWidth="1"/>
    <col min="4358" max="4359" width="9.5703125" bestFit="1" customWidth="1"/>
    <col min="4360" max="4360" width="12.28515625" customWidth="1"/>
    <col min="4361" max="4361" width="12.7109375" customWidth="1"/>
    <col min="4362" max="4362" width="9.28515625" bestFit="1" customWidth="1"/>
    <col min="4363" max="4363" width="9.5703125" bestFit="1" customWidth="1"/>
    <col min="4364" max="4365" width="9.28515625" bestFit="1" customWidth="1"/>
    <col min="4366" max="4366" width="10.7109375" bestFit="1" customWidth="1"/>
    <col min="4367" max="4367" width="10.5703125" bestFit="1" customWidth="1"/>
    <col min="4614" max="4615" width="9.5703125" bestFit="1" customWidth="1"/>
    <col min="4616" max="4616" width="12.28515625" customWidth="1"/>
    <col min="4617" max="4617" width="12.7109375" customWidth="1"/>
    <col min="4618" max="4618" width="9.28515625" bestFit="1" customWidth="1"/>
    <col min="4619" max="4619" width="9.5703125" bestFit="1" customWidth="1"/>
    <col min="4620" max="4621" width="9.28515625" bestFit="1" customWidth="1"/>
    <col min="4622" max="4622" width="10.7109375" bestFit="1" customWidth="1"/>
    <col min="4623" max="4623" width="10.5703125" bestFit="1" customWidth="1"/>
    <col min="4870" max="4871" width="9.5703125" bestFit="1" customWidth="1"/>
    <col min="4872" max="4872" width="12.28515625" customWidth="1"/>
    <col min="4873" max="4873" width="12.7109375" customWidth="1"/>
    <col min="4874" max="4874" width="9.28515625" bestFit="1" customWidth="1"/>
    <col min="4875" max="4875" width="9.5703125" bestFit="1" customWidth="1"/>
    <col min="4876" max="4877" width="9.28515625" bestFit="1" customWidth="1"/>
    <col min="4878" max="4878" width="10.7109375" bestFit="1" customWidth="1"/>
    <col min="4879" max="4879" width="10.5703125" bestFit="1" customWidth="1"/>
    <col min="5126" max="5127" width="9.5703125" bestFit="1" customWidth="1"/>
    <col min="5128" max="5128" width="12.28515625" customWidth="1"/>
    <col min="5129" max="5129" width="12.7109375" customWidth="1"/>
    <col min="5130" max="5130" width="9.28515625" bestFit="1" customWidth="1"/>
    <col min="5131" max="5131" width="9.5703125" bestFit="1" customWidth="1"/>
    <col min="5132" max="5133" width="9.28515625" bestFit="1" customWidth="1"/>
    <col min="5134" max="5134" width="10.7109375" bestFit="1" customWidth="1"/>
    <col min="5135" max="5135" width="10.5703125" bestFit="1" customWidth="1"/>
    <col min="5382" max="5383" width="9.5703125" bestFit="1" customWidth="1"/>
    <col min="5384" max="5384" width="12.28515625" customWidth="1"/>
    <col min="5385" max="5385" width="12.7109375" customWidth="1"/>
    <col min="5386" max="5386" width="9.28515625" bestFit="1" customWidth="1"/>
    <col min="5387" max="5387" width="9.5703125" bestFit="1" customWidth="1"/>
    <col min="5388" max="5389" width="9.28515625" bestFit="1" customWidth="1"/>
    <col min="5390" max="5390" width="10.7109375" bestFit="1" customWidth="1"/>
    <col min="5391" max="5391" width="10.5703125" bestFit="1" customWidth="1"/>
    <col min="5638" max="5639" width="9.5703125" bestFit="1" customWidth="1"/>
    <col min="5640" max="5640" width="12.28515625" customWidth="1"/>
    <col min="5641" max="5641" width="12.7109375" customWidth="1"/>
    <col min="5642" max="5642" width="9.28515625" bestFit="1" customWidth="1"/>
    <col min="5643" max="5643" width="9.5703125" bestFit="1" customWidth="1"/>
    <col min="5644" max="5645" width="9.28515625" bestFit="1" customWidth="1"/>
    <col min="5646" max="5646" width="10.7109375" bestFit="1" customWidth="1"/>
    <col min="5647" max="5647" width="10.5703125" bestFit="1" customWidth="1"/>
    <col min="5894" max="5895" width="9.5703125" bestFit="1" customWidth="1"/>
    <col min="5896" max="5896" width="12.28515625" customWidth="1"/>
    <col min="5897" max="5897" width="12.7109375" customWidth="1"/>
    <col min="5898" max="5898" width="9.28515625" bestFit="1" customWidth="1"/>
    <col min="5899" max="5899" width="9.5703125" bestFit="1" customWidth="1"/>
    <col min="5900" max="5901" width="9.28515625" bestFit="1" customWidth="1"/>
    <col min="5902" max="5902" width="10.7109375" bestFit="1" customWidth="1"/>
    <col min="5903" max="5903" width="10.5703125" bestFit="1" customWidth="1"/>
    <col min="6150" max="6151" width="9.5703125" bestFit="1" customWidth="1"/>
    <col min="6152" max="6152" width="12.28515625" customWidth="1"/>
    <col min="6153" max="6153" width="12.7109375" customWidth="1"/>
    <col min="6154" max="6154" width="9.28515625" bestFit="1" customWidth="1"/>
    <col min="6155" max="6155" width="9.5703125" bestFit="1" customWidth="1"/>
    <col min="6156" max="6157" width="9.28515625" bestFit="1" customWidth="1"/>
    <col min="6158" max="6158" width="10.7109375" bestFit="1" customWidth="1"/>
    <col min="6159" max="6159" width="10.5703125" bestFit="1" customWidth="1"/>
    <col min="6406" max="6407" width="9.5703125" bestFit="1" customWidth="1"/>
    <col min="6408" max="6408" width="12.28515625" customWidth="1"/>
    <col min="6409" max="6409" width="12.7109375" customWidth="1"/>
    <col min="6410" max="6410" width="9.28515625" bestFit="1" customWidth="1"/>
    <col min="6411" max="6411" width="9.5703125" bestFit="1" customWidth="1"/>
    <col min="6412" max="6413" width="9.28515625" bestFit="1" customWidth="1"/>
    <col min="6414" max="6414" width="10.7109375" bestFit="1" customWidth="1"/>
    <col min="6415" max="6415" width="10.5703125" bestFit="1" customWidth="1"/>
    <col min="6662" max="6663" width="9.5703125" bestFit="1" customWidth="1"/>
    <col min="6664" max="6664" width="12.28515625" customWidth="1"/>
    <col min="6665" max="6665" width="12.7109375" customWidth="1"/>
    <col min="6666" max="6666" width="9.28515625" bestFit="1" customWidth="1"/>
    <col min="6667" max="6667" width="9.5703125" bestFit="1" customWidth="1"/>
    <col min="6668" max="6669" width="9.28515625" bestFit="1" customWidth="1"/>
    <col min="6670" max="6670" width="10.7109375" bestFit="1" customWidth="1"/>
    <col min="6671" max="6671" width="10.5703125" bestFit="1" customWidth="1"/>
    <col min="6918" max="6919" width="9.5703125" bestFit="1" customWidth="1"/>
    <col min="6920" max="6920" width="12.28515625" customWidth="1"/>
    <col min="6921" max="6921" width="12.7109375" customWidth="1"/>
    <col min="6922" max="6922" width="9.28515625" bestFit="1" customWidth="1"/>
    <col min="6923" max="6923" width="9.5703125" bestFit="1" customWidth="1"/>
    <col min="6924" max="6925" width="9.28515625" bestFit="1" customWidth="1"/>
    <col min="6926" max="6926" width="10.7109375" bestFit="1" customWidth="1"/>
    <col min="6927" max="6927" width="10.5703125" bestFit="1" customWidth="1"/>
    <col min="7174" max="7175" width="9.5703125" bestFit="1" customWidth="1"/>
    <col min="7176" max="7176" width="12.28515625" customWidth="1"/>
    <col min="7177" max="7177" width="12.7109375" customWidth="1"/>
    <col min="7178" max="7178" width="9.28515625" bestFit="1" customWidth="1"/>
    <col min="7179" max="7179" width="9.5703125" bestFit="1" customWidth="1"/>
    <col min="7180" max="7181" width="9.28515625" bestFit="1" customWidth="1"/>
    <col min="7182" max="7182" width="10.7109375" bestFit="1" customWidth="1"/>
    <col min="7183" max="7183" width="10.5703125" bestFit="1" customWidth="1"/>
    <col min="7430" max="7431" width="9.5703125" bestFit="1" customWidth="1"/>
    <col min="7432" max="7432" width="12.28515625" customWidth="1"/>
    <col min="7433" max="7433" width="12.7109375" customWidth="1"/>
    <col min="7434" max="7434" width="9.28515625" bestFit="1" customWidth="1"/>
    <col min="7435" max="7435" width="9.5703125" bestFit="1" customWidth="1"/>
    <col min="7436" max="7437" width="9.28515625" bestFit="1" customWidth="1"/>
    <col min="7438" max="7438" width="10.7109375" bestFit="1" customWidth="1"/>
    <col min="7439" max="7439" width="10.5703125" bestFit="1" customWidth="1"/>
    <col min="7686" max="7687" width="9.5703125" bestFit="1" customWidth="1"/>
    <col min="7688" max="7688" width="12.28515625" customWidth="1"/>
    <col min="7689" max="7689" width="12.7109375" customWidth="1"/>
    <col min="7690" max="7690" width="9.28515625" bestFit="1" customWidth="1"/>
    <col min="7691" max="7691" width="9.5703125" bestFit="1" customWidth="1"/>
    <col min="7692" max="7693" width="9.28515625" bestFit="1" customWidth="1"/>
    <col min="7694" max="7694" width="10.7109375" bestFit="1" customWidth="1"/>
    <col min="7695" max="7695" width="10.5703125" bestFit="1" customWidth="1"/>
    <col min="7942" max="7943" width="9.5703125" bestFit="1" customWidth="1"/>
    <col min="7944" max="7944" width="12.28515625" customWidth="1"/>
    <col min="7945" max="7945" width="12.7109375" customWidth="1"/>
    <col min="7946" max="7946" width="9.28515625" bestFit="1" customWidth="1"/>
    <col min="7947" max="7947" width="9.5703125" bestFit="1" customWidth="1"/>
    <col min="7948" max="7949" width="9.28515625" bestFit="1" customWidth="1"/>
    <col min="7950" max="7950" width="10.7109375" bestFit="1" customWidth="1"/>
    <col min="7951" max="7951" width="10.5703125" bestFit="1" customWidth="1"/>
    <col min="8198" max="8199" width="9.5703125" bestFit="1" customWidth="1"/>
    <col min="8200" max="8200" width="12.28515625" customWidth="1"/>
    <col min="8201" max="8201" width="12.7109375" customWidth="1"/>
    <col min="8202" max="8202" width="9.28515625" bestFit="1" customWidth="1"/>
    <col min="8203" max="8203" width="9.5703125" bestFit="1" customWidth="1"/>
    <col min="8204" max="8205" width="9.28515625" bestFit="1" customWidth="1"/>
    <col min="8206" max="8206" width="10.7109375" bestFit="1" customWidth="1"/>
    <col min="8207" max="8207" width="10.5703125" bestFit="1" customWidth="1"/>
    <col min="8454" max="8455" width="9.5703125" bestFit="1" customWidth="1"/>
    <col min="8456" max="8456" width="12.28515625" customWidth="1"/>
    <col min="8457" max="8457" width="12.7109375" customWidth="1"/>
    <col min="8458" max="8458" width="9.28515625" bestFit="1" customWidth="1"/>
    <col min="8459" max="8459" width="9.5703125" bestFit="1" customWidth="1"/>
    <col min="8460" max="8461" width="9.28515625" bestFit="1" customWidth="1"/>
    <col min="8462" max="8462" width="10.7109375" bestFit="1" customWidth="1"/>
    <col min="8463" max="8463" width="10.5703125" bestFit="1" customWidth="1"/>
    <col min="8710" max="8711" width="9.5703125" bestFit="1" customWidth="1"/>
    <col min="8712" max="8712" width="12.28515625" customWidth="1"/>
    <col min="8713" max="8713" width="12.7109375" customWidth="1"/>
    <col min="8714" max="8714" width="9.28515625" bestFit="1" customWidth="1"/>
    <col min="8715" max="8715" width="9.5703125" bestFit="1" customWidth="1"/>
    <col min="8716" max="8717" width="9.28515625" bestFit="1" customWidth="1"/>
    <col min="8718" max="8718" width="10.7109375" bestFit="1" customWidth="1"/>
    <col min="8719" max="8719" width="10.5703125" bestFit="1" customWidth="1"/>
    <col min="8966" max="8967" width="9.5703125" bestFit="1" customWidth="1"/>
    <col min="8968" max="8968" width="12.28515625" customWidth="1"/>
    <col min="8969" max="8969" width="12.7109375" customWidth="1"/>
    <col min="8970" max="8970" width="9.28515625" bestFit="1" customWidth="1"/>
    <col min="8971" max="8971" width="9.5703125" bestFit="1" customWidth="1"/>
    <col min="8972" max="8973" width="9.28515625" bestFit="1" customWidth="1"/>
    <col min="8974" max="8974" width="10.7109375" bestFit="1" customWidth="1"/>
    <col min="8975" max="8975" width="10.5703125" bestFit="1" customWidth="1"/>
    <col min="9222" max="9223" width="9.5703125" bestFit="1" customWidth="1"/>
    <col min="9224" max="9224" width="12.28515625" customWidth="1"/>
    <col min="9225" max="9225" width="12.7109375" customWidth="1"/>
    <col min="9226" max="9226" width="9.28515625" bestFit="1" customWidth="1"/>
    <col min="9227" max="9227" width="9.5703125" bestFit="1" customWidth="1"/>
    <col min="9228" max="9229" width="9.28515625" bestFit="1" customWidth="1"/>
    <col min="9230" max="9230" width="10.7109375" bestFit="1" customWidth="1"/>
    <col min="9231" max="9231" width="10.5703125" bestFit="1" customWidth="1"/>
    <col min="9478" max="9479" width="9.5703125" bestFit="1" customWidth="1"/>
    <col min="9480" max="9480" width="12.28515625" customWidth="1"/>
    <col min="9481" max="9481" width="12.7109375" customWidth="1"/>
    <col min="9482" max="9482" width="9.28515625" bestFit="1" customWidth="1"/>
    <col min="9483" max="9483" width="9.5703125" bestFit="1" customWidth="1"/>
    <col min="9484" max="9485" width="9.28515625" bestFit="1" customWidth="1"/>
    <col min="9486" max="9486" width="10.7109375" bestFit="1" customWidth="1"/>
    <col min="9487" max="9487" width="10.5703125" bestFit="1" customWidth="1"/>
    <col min="9734" max="9735" width="9.5703125" bestFit="1" customWidth="1"/>
    <col min="9736" max="9736" width="12.28515625" customWidth="1"/>
    <col min="9737" max="9737" width="12.7109375" customWidth="1"/>
    <col min="9738" max="9738" width="9.28515625" bestFit="1" customWidth="1"/>
    <col min="9739" max="9739" width="9.5703125" bestFit="1" customWidth="1"/>
    <col min="9740" max="9741" width="9.28515625" bestFit="1" customWidth="1"/>
    <col min="9742" max="9742" width="10.7109375" bestFit="1" customWidth="1"/>
    <col min="9743" max="9743" width="10.5703125" bestFit="1" customWidth="1"/>
    <col min="9990" max="9991" width="9.5703125" bestFit="1" customWidth="1"/>
    <col min="9992" max="9992" width="12.28515625" customWidth="1"/>
    <col min="9993" max="9993" width="12.7109375" customWidth="1"/>
    <col min="9994" max="9994" width="9.28515625" bestFit="1" customWidth="1"/>
    <col min="9995" max="9995" width="9.5703125" bestFit="1" customWidth="1"/>
    <col min="9996" max="9997" width="9.28515625" bestFit="1" customWidth="1"/>
    <col min="9998" max="9998" width="10.7109375" bestFit="1" customWidth="1"/>
    <col min="9999" max="9999" width="10.5703125" bestFit="1" customWidth="1"/>
    <col min="10246" max="10247" width="9.5703125" bestFit="1" customWidth="1"/>
    <col min="10248" max="10248" width="12.28515625" customWidth="1"/>
    <col min="10249" max="10249" width="12.7109375" customWidth="1"/>
    <col min="10250" max="10250" width="9.28515625" bestFit="1" customWidth="1"/>
    <col min="10251" max="10251" width="9.5703125" bestFit="1" customWidth="1"/>
    <col min="10252" max="10253" width="9.28515625" bestFit="1" customWidth="1"/>
    <col min="10254" max="10254" width="10.7109375" bestFit="1" customWidth="1"/>
    <col min="10255" max="10255" width="10.5703125" bestFit="1" customWidth="1"/>
    <col min="10502" max="10503" width="9.5703125" bestFit="1" customWidth="1"/>
    <col min="10504" max="10504" width="12.28515625" customWidth="1"/>
    <col min="10505" max="10505" width="12.7109375" customWidth="1"/>
    <col min="10506" max="10506" width="9.28515625" bestFit="1" customWidth="1"/>
    <col min="10507" max="10507" width="9.5703125" bestFit="1" customWidth="1"/>
    <col min="10508" max="10509" width="9.28515625" bestFit="1" customWidth="1"/>
    <col min="10510" max="10510" width="10.7109375" bestFit="1" customWidth="1"/>
    <col min="10511" max="10511" width="10.5703125" bestFit="1" customWidth="1"/>
    <col min="10758" max="10759" width="9.5703125" bestFit="1" customWidth="1"/>
    <col min="10760" max="10760" width="12.28515625" customWidth="1"/>
    <col min="10761" max="10761" width="12.7109375" customWidth="1"/>
    <col min="10762" max="10762" width="9.28515625" bestFit="1" customWidth="1"/>
    <col min="10763" max="10763" width="9.5703125" bestFit="1" customWidth="1"/>
    <col min="10764" max="10765" width="9.28515625" bestFit="1" customWidth="1"/>
    <col min="10766" max="10766" width="10.7109375" bestFit="1" customWidth="1"/>
    <col min="10767" max="10767" width="10.5703125" bestFit="1" customWidth="1"/>
    <col min="11014" max="11015" width="9.5703125" bestFit="1" customWidth="1"/>
    <col min="11016" max="11016" width="12.28515625" customWidth="1"/>
    <col min="11017" max="11017" width="12.7109375" customWidth="1"/>
    <col min="11018" max="11018" width="9.28515625" bestFit="1" customWidth="1"/>
    <col min="11019" max="11019" width="9.5703125" bestFit="1" customWidth="1"/>
    <col min="11020" max="11021" width="9.28515625" bestFit="1" customWidth="1"/>
    <col min="11022" max="11022" width="10.7109375" bestFit="1" customWidth="1"/>
    <col min="11023" max="11023" width="10.5703125" bestFit="1" customWidth="1"/>
    <col min="11270" max="11271" width="9.5703125" bestFit="1" customWidth="1"/>
    <col min="11272" max="11272" width="12.28515625" customWidth="1"/>
    <col min="11273" max="11273" width="12.7109375" customWidth="1"/>
    <col min="11274" max="11274" width="9.28515625" bestFit="1" customWidth="1"/>
    <col min="11275" max="11275" width="9.5703125" bestFit="1" customWidth="1"/>
    <col min="11276" max="11277" width="9.28515625" bestFit="1" customWidth="1"/>
    <col min="11278" max="11278" width="10.7109375" bestFit="1" customWidth="1"/>
    <col min="11279" max="11279" width="10.5703125" bestFit="1" customWidth="1"/>
    <col min="11526" max="11527" width="9.5703125" bestFit="1" customWidth="1"/>
    <col min="11528" max="11528" width="12.28515625" customWidth="1"/>
    <col min="11529" max="11529" width="12.7109375" customWidth="1"/>
    <col min="11530" max="11530" width="9.28515625" bestFit="1" customWidth="1"/>
    <col min="11531" max="11531" width="9.5703125" bestFit="1" customWidth="1"/>
    <col min="11532" max="11533" width="9.28515625" bestFit="1" customWidth="1"/>
    <col min="11534" max="11534" width="10.7109375" bestFit="1" customWidth="1"/>
    <col min="11535" max="11535" width="10.5703125" bestFit="1" customWidth="1"/>
    <col min="11782" max="11783" width="9.5703125" bestFit="1" customWidth="1"/>
    <col min="11784" max="11784" width="12.28515625" customWidth="1"/>
    <col min="11785" max="11785" width="12.7109375" customWidth="1"/>
    <col min="11786" max="11786" width="9.28515625" bestFit="1" customWidth="1"/>
    <col min="11787" max="11787" width="9.5703125" bestFit="1" customWidth="1"/>
    <col min="11788" max="11789" width="9.28515625" bestFit="1" customWidth="1"/>
    <col min="11790" max="11790" width="10.7109375" bestFit="1" customWidth="1"/>
    <col min="11791" max="11791" width="10.5703125" bestFit="1" customWidth="1"/>
    <col min="12038" max="12039" width="9.5703125" bestFit="1" customWidth="1"/>
    <col min="12040" max="12040" width="12.28515625" customWidth="1"/>
    <col min="12041" max="12041" width="12.7109375" customWidth="1"/>
    <col min="12042" max="12042" width="9.28515625" bestFit="1" customWidth="1"/>
    <col min="12043" max="12043" width="9.5703125" bestFit="1" customWidth="1"/>
    <col min="12044" max="12045" width="9.28515625" bestFit="1" customWidth="1"/>
    <col min="12046" max="12046" width="10.7109375" bestFit="1" customWidth="1"/>
    <col min="12047" max="12047" width="10.5703125" bestFit="1" customWidth="1"/>
    <col min="12294" max="12295" width="9.5703125" bestFit="1" customWidth="1"/>
    <col min="12296" max="12296" width="12.28515625" customWidth="1"/>
    <col min="12297" max="12297" width="12.7109375" customWidth="1"/>
    <col min="12298" max="12298" width="9.28515625" bestFit="1" customWidth="1"/>
    <col min="12299" max="12299" width="9.5703125" bestFit="1" customWidth="1"/>
    <col min="12300" max="12301" width="9.28515625" bestFit="1" customWidth="1"/>
    <col min="12302" max="12302" width="10.7109375" bestFit="1" customWidth="1"/>
    <col min="12303" max="12303" width="10.5703125" bestFit="1" customWidth="1"/>
    <col min="12550" max="12551" width="9.5703125" bestFit="1" customWidth="1"/>
    <col min="12552" max="12552" width="12.28515625" customWidth="1"/>
    <col min="12553" max="12553" width="12.7109375" customWidth="1"/>
    <col min="12554" max="12554" width="9.28515625" bestFit="1" customWidth="1"/>
    <col min="12555" max="12555" width="9.5703125" bestFit="1" customWidth="1"/>
    <col min="12556" max="12557" width="9.28515625" bestFit="1" customWidth="1"/>
    <col min="12558" max="12558" width="10.7109375" bestFit="1" customWidth="1"/>
    <col min="12559" max="12559" width="10.5703125" bestFit="1" customWidth="1"/>
    <col min="12806" max="12807" width="9.5703125" bestFit="1" customWidth="1"/>
    <col min="12808" max="12808" width="12.28515625" customWidth="1"/>
    <col min="12809" max="12809" width="12.7109375" customWidth="1"/>
    <col min="12810" max="12810" width="9.28515625" bestFit="1" customWidth="1"/>
    <col min="12811" max="12811" width="9.5703125" bestFit="1" customWidth="1"/>
    <col min="12812" max="12813" width="9.28515625" bestFit="1" customWidth="1"/>
    <col min="12814" max="12814" width="10.7109375" bestFit="1" customWidth="1"/>
    <col min="12815" max="12815" width="10.5703125" bestFit="1" customWidth="1"/>
    <col min="13062" max="13063" width="9.5703125" bestFit="1" customWidth="1"/>
    <col min="13064" max="13064" width="12.28515625" customWidth="1"/>
    <col min="13065" max="13065" width="12.7109375" customWidth="1"/>
    <col min="13066" max="13066" width="9.28515625" bestFit="1" customWidth="1"/>
    <col min="13067" max="13067" width="9.5703125" bestFit="1" customWidth="1"/>
    <col min="13068" max="13069" width="9.28515625" bestFit="1" customWidth="1"/>
    <col min="13070" max="13070" width="10.7109375" bestFit="1" customWidth="1"/>
    <col min="13071" max="13071" width="10.5703125" bestFit="1" customWidth="1"/>
    <col min="13318" max="13319" width="9.5703125" bestFit="1" customWidth="1"/>
    <col min="13320" max="13320" width="12.28515625" customWidth="1"/>
    <col min="13321" max="13321" width="12.7109375" customWidth="1"/>
    <col min="13322" max="13322" width="9.28515625" bestFit="1" customWidth="1"/>
    <col min="13323" max="13323" width="9.5703125" bestFit="1" customWidth="1"/>
    <col min="13324" max="13325" width="9.28515625" bestFit="1" customWidth="1"/>
    <col min="13326" max="13326" width="10.7109375" bestFit="1" customWidth="1"/>
    <col min="13327" max="13327" width="10.5703125" bestFit="1" customWidth="1"/>
    <col min="13574" max="13575" width="9.5703125" bestFit="1" customWidth="1"/>
    <col min="13576" max="13576" width="12.28515625" customWidth="1"/>
    <col min="13577" max="13577" width="12.7109375" customWidth="1"/>
    <col min="13578" max="13578" width="9.28515625" bestFit="1" customWidth="1"/>
    <col min="13579" max="13579" width="9.5703125" bestFit="1" customWidth="1"/>
    <col min="13580" max="13581" width="9.28515625" bestFit="1" customWidth="1"/>
    <col min="13582" max="13582" width="10.7109375" bestFit="1" customWidth="1"/>
    <col min="13583" max="13583" width="10.5703125" bestFit="1" customWidth="1"/>
    <col min="13830" max="13831" width="9.5703125" bestFit="1" customWidth="1"/>
    <col min="13832" max="13832" width="12.28515625" customWidth="1"/>
    <col min="13833" max="13833" width="12.7109375" customWidth="1"/>
    <col min="13834" max="13834" width="9.28515625" bestFit="1" customWidth="1"/>
    <col min="13835" max="13835" width="9.5703125" bestFit="1" customWidth="1"/>
    <col min="13836" max="13837" width="9.28515625" bestFit="1" customWidth="1"/>
    <col min="13838" max="13838" width="10.7109375" bestFit="1" customWidth="1"/>
    <col min="13839" max="13839" width="10.5703125" bestFit="1" customWidth="1"/>
    <col min="14086" max="14087" width="9.5703125" bestFit="1" customWidth="1"/>
    <col min="14088" max="14088" width="12.28515625" customWidth="1"/>
    <col min="14089" max="14089" width="12.7109375" customWidth="1"/>
    <col min="14090" max="14090" width="9.28515625" bestFit="1" customWidth="1"/>
    <col min="14091" max="14091" width="9.5703125" bestFit="1" customWidth="1"/>
    <col min="14092" max="14093" width="9.28515625" bestFit="1" customWidth="1"/>
    <col min="14094" max="14094" width="10.7109375" bestFit="1" customWidth="1"/>
    <col min="14095" max="14095" width="10.5703125" bestFit="1" customWidth="1"/>
    <col min="14342" max="14343" width="9.5703125" bestFit="1" customWidth="1"/>
    <col min="14344" max="14344" width="12.28515625" customWidth="1"/>
    <col min="14345" max="14345" width="12.7109375" customWidth="1"/>
    <col min="14346" max="14346" width="9.28515625" bestFit="1" customWidth="1"/>
    <col min="14347" max="14347" width="9.5703125" bestFit="1" customWidth="1"/>
    <col min="14348" max="14349" width="9.28515625" bestFit="1" customWidth="1"/>
    <col min="14350" max="14350" width="10.7109375" bestFit="1" customWidth="1"/>
    <col min="14351" max="14351" width="10.5703125" bestFit="1" customWidth="1"/>
    <col min="14598" max="14599" width="9.5703125" bestFit="1" customWidth="1"/>
    <col min="14600" max="14600" width="12.28515625" customWidth="1"/>
    <col min="14601" max="14601" width="12.7109375" customWidth="1"/>
    <col min="14602" max="14602" width="9.28515625" bestFit="1" customWidth="1"/>
    <col min="14603" max="14603" width="9.5703125" bestFit="1" customWidth="1"/>
    <col min="14604" max="14605" width="9.28515625" bestFit="1" customWidth="1"/>
    <col min="14606" max="14606" width="10.7109375" bestFit="1" customWidth="1"/>
    <col min="14607" max="14607" width="10.5703125" bestFit="1" customWidth="1"/>
    <col min="14854" max="14855" width="9.5703125" bestFit="1" customWidth="1"/>
    <col min="14856" max="14856" width="12.28515625" customWidth="1"/>
    <col min="14857" max="14857" width="12.7109375" customWidth="1"/>
    <col min="14858" max="14858" width="9.28515625" bestFit="1" customWidth="1"/>
    <col min="14859" max="14859" width="9.5703125" bestFit="1" customWidth="1"/>
    <col min="14860" max="14861" width="9.28515625" bestFit="1" customWidth="1"/>
    <col min="14862" max="14862" width="10.7109375" bestFit="1" customWidth="1"/>
    <col min="14863" max="14863" width="10.5703125" bestFit="1" customWidth="1"/>
    <col min="15110" max="15111" width="9.5703125" bestFit="1" customWidth="1"/>
    <col min="15112" max="15112" width="12.28515625" customWidth="1"/>
    <col min="15113" max="15113" width="12.7109375" customWidth="1"/>
    <col min="15114" max="15114" width="9.28515625" bestFit="1" customWidth="1"/>
    <col min="15115" max="15115" width="9.5703125" bestFit="1" customWidth="1"/>
    <col min="15116" max="15117" width="9.28515625" bestFit="1" customWidth="1"/>
    <col min="15118" max="15118" width="10.7109375" bestFit="1" customWidth="1"/>
    <col min="15119" max="15119" width="10.5703125" bestFit="1" customWidth="1"/>
    <col min="15366" max="15367" width="9.5703125" bestFit="1" customWidth="1"/>
    <col min="15368" max="15368" width="12.28515625" customWidth="1"/>
    <col min="15369" max="15369" width="12.7109375" customWidth="1"/>
    <col min="15370" max="15370" width="9.28515625" bestFit="1" customWidth="1"/>
    <col min="15371" max="15371" width="9.5703125" bestFit="1" customWidth="1"/>
    <col min="15372" max="15373" width="9.28515625" bestFit="1" customWidth="1"/>
    <col min="15374" max="15374" width="10.7109375" bestFit="1" customWidth="1"/>
    <col min="15375" max="15375" width="10.5703125" bestFit="1" customWidth="1"/>
    <col min="15622" max="15623" width="9.5703125" bestFit="1" customWidth="1"/>
    <col min="15624" max="15624" width="12.28515625" customWidth="1"/>
    <col min="15625" max="15625" width="12.7109375" customWidth="1"/>
    <col min="15626" max="15626" width="9.28515625" bestFit="1" customWidth="1"/>
    <col min="15627" max="15627" width="9.5703125" bestFit="1" customWidth="1"/>
    <col min="15628" max="15629" width="9.28515625" bestFit="1" customWidth="1"/>
    <col min="15630" max="15630" width="10.7109375" bestFit="1" customWidth="1"/>
    <col min="15631" max="15631" width="10.5703125" bestFit="1" customWidth="1"/>
    <col min="15878" max="15879" width="9.5703125" bestFit="1" customWidth="1"/>
    <col min="15880" max="15880" width="12.28515625" customWidth="1"/>
    <col min="15881" max="15881" width="12.7109375" customWidth="1"/>
    <col min="15882" max="15882" width="9.28515625" bestFit="1" customWidth="1"/>
    <col min="15883" max="15883" width="9.5703125" bestFit="1" customWidth="1"/>
    <col min="15884" max="15885" width="9.28515625" bestFit="1" customWidth="1"/>
    <col min="15886" max="15886" width="10.7109375" bestFit="1" customWidth="1"/>
    <col min="15887" max="15887" width="10.5703125" bestFit="1" customWidth="1"/>
    <col min="16134" max="16135" width="9.5703125" bestFit="1" customWidth="1"/>
    <col min="16136" max="16136" width="12.28515625" customWidth="1"/>
    <col min="16137" max="16137" width="12.7109375" customWidth="1"/>
    <col min="16138" max="16138" width="9.28515625" bestFit="1" customWidth="1"/>
    <col min="16139" max="16139" width="9.5703125" bestFit="1" customWidth="1"/>
    <col min="16140" max="16141" width="9.28515625" bestFit="1" customWidth="1"/>
    <col min="16142" max="16142" width="10.7109375" bestFit="1" customWidth="1"/>
    <col min="16143" max="16143" width="10.5703125" bestFit="1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1003</v>
      </c>
      <c r="E3" s="854"/>
      <c r="F3" s="854"/>
      <c r="G3" s="1002" t="s">
        <v>1004</v>
      </c>
      <c r="H3" s="998"/>
      <c r="I3" s="998"/>
      <c r="J3" s="854">
        <v>902200202</v>
      </c>
      <c r="K3" s="854"/>
      <c r="L3" s="1004" t="s">
        <v>1005</v>
      </c>
      <c r="M3" s="1005"/>
      <c r="N3" s="47">
        <v>465.471</v>
      </c>
      <c r="O3" s="851" t="s">
        <v>831</v>
      </c>
      <c r="P3" s="997"/>
      <c r="Q3" s="80">
        <v>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1007</v>
      </c>
      <c r="E5" s="854"/>
      <c r="F5" s="854"/>
      <c r="G5" s="1002" t="s">
        <v>1008</v>
      </c>
      <c r="H5" s="998"/>
      <c r="I5" s="1001"/>
      <c r="J5" s="854" t="s">
        <v>1009</v>
      </c>
      <c r="K5" s="854"/>
      <c r="L5" s="854"/>
      <c r="M5" s="46"/>
      <c r="N5" s="46"/>
      <c r="O5" s="46"/>
      <c r="P5" s="46"/>
    </row>
    <row r="6" spans="1:17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 t="s">
        <v>1010</v>
      </c>
      <c r="E7" s="854"/>
      <c r="F7" s="854"/>
      <c r="G7" s="1002" t="s">
        <v>1011</v>
      </c>
      <c r="H7" s="998"/>
      <c r="I7" s="1001"/>
      <c r="J7" s="854" t="s">
        <v>1012</v>
      </c>
      <c r="K7" s="854"/>
      <c r="L7" s="854"/>
      <c r="M7" s="46"/>
      <c r="N7" s="46"/>
      <c r="O7" s="46"/>
      <c r="P7" s="46"/>
    </row>
    <row r="8" spans="1:17">
      <c r="A8" s="46"/>
      <c r="B8" s="46"/>
      <c r="C8" s="46"/>
      <c r="D8" s="46"/>
      <c r="E8" s="46"/>
      <c r="F8" s="46"/>
      <c r="G8" s="46"/>
      <c r="H8" s="46"/>
      <c r="I8" s="46"/>
      <c r="J8" s="854"/>
      <c r="K8" s="854"/>
      <c r="L8" s="854"/>
      <c r="M8" s="46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1014</v>
      </c>
      <c r="E10" s="854"/>
      <c r="F10" s="854" t="s">
        <v>1015</v>
      </c>
      <c r="G10" s="854"/>
      <c r="H10" s="854"/>
      <c r="I10" s="854"/>
      <c r="J10" s="854"/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1017</v>
      </c>
      <c r="E11" s="854"/>
      <c r="F11" s="854" t="s">
        <v>1018</v>
      </c>
      <c r="G11" s="854"/>
      <c r="H11" s="854"/>
      <c r="I11" s="854"/>
      <c r="J11" s="854"/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1020</v>
      </c>
      <c r="E12" s="854"/>
      <c r="F12" s="854" t="s">
        <v>1021</v>
      </c>
      <c r="G12" s="854"/>
      <c r="H12" s="854"/>
      <c r="I12" s="854"/>
      <c r="J12" s="854"/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 t="s">
        <v>1023</v>
      </c>
      <c r="E13" s="854"/>
      <c r="F13" s="854"/>
      <c r="G13" s="854"/>
      <c r="H13" s="854"/>
      <c r="I13" s="854"/>
      <c r="J13" s="854"/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2</v>
      </c>
      <c r="E15" s="82" t="s">
        <v>1025</v>
      </c>
      <c r="F15" s="83"/>
      <c r="G15" s="83"/>
      <c r="H15" s="47">
        <v>2</v>
      </c>
      <c r="I15" s="46" t="s">
        <v>1026</v>
      </c>
      <c r="J15" s="47">
        <v>8</v>
      </c>
      <c r="K15" s="46" t="s">
        <v>1027</v>
      </c>
      <c r="L15" s="47">
        <v>0</v>
      </c>
      <c r="M15" s="84" t="s">
        <v>645</v>
      </c>
      <c r="N15" s="47">
        <v>7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102</v>
      </c>
      <c r="F17" s="46" t="s">
        <v>205</v>
      </c>
      <c r="G17" s="47"/>
      <c r="H17" s="46" t="s">
        <v>206</v>
      </c>
      <c r="I17" s="47"/>
      <c r="J17" s="46" t="s">
        <v>230</v>
      </c>
      <c r="K17" s="47">
        <v>102</v>
      </c>
      <c r="L17" s="46" t="s">
        <v>207</v>
      </c>
      <c r="M17" s="47">
        <v>17</v>
      </c>
      <c r="N17" s="46" t="s">
        <v>1028</v>
      </c>
      <c r="O17" s="46"/>
      <c r="P17" s="47">
        <v>38</v>
      </c>
    </row>
    <row r="18" spans="1:16">
      <c r="A18" s="46" t="s">
        <v>1029</v>
      </c>
      <c r="B18" s="46"/>
      <c r="C18" s="46"/>
      <c r="D18" s="46" t="s">
        <v>1030</v>
      </c>
      <c r="E18" s="47">
        <v>233</v>
      </c>
      <c r="F18" s="46" t="s">
        <v>211</v>
      </c>
      <c r="G18" s="47"/>
      <c r="H18" s="46" t="s">
        <v>212</v>
      </c>
      <c r="I18" s="47"/>
      <c r="J18" s="46" t="s">
        <v>411</v>
      </c>
      <c r="K18" s="47">
        <v>233</v>
      </c>
      <c r="L18" s="46"/>
      <c r="M18" s="46"/>
      <c r="N18" s="46"/>
      <c r="O18" s="46"/>
      <c r="P18" s="46"/>
    </row>
    <row r="19" spans="1:16">
      <c r="A19" s="46"/>
      <c r="B19" s="46"/>
      <c r="C19" s="46"/>
      <c r="D19" s="46" t="s">
        <v>213</v>
      </c>
      <c r="E19" s="47">
        <v>241</v>
      </c>
      <c r="F19" s="46" t="s">
        <v>214</v>
      </c>
      <c r="G19" s="47"/>
      <c r="H19" s="46" t="s">
        <v>215</v>
      </c>
      <c r="I19" s="47"/>
      <c r="J19" s="46" t="s">
        <v>410</v>
      </c>
      <c r="K19" s="47">
        <v>241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854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854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3723768/100000</f>
        <v>37.237679999999997</v>
      </c>
      <c r="G24" s="87">
        <f>3723768/100000</f>
        <v>37.237679999999997</v>
      </c>
      <c r="H24" s="86">
        <f>54541/100000</f>
        <v>0.54540999999999995</v>
      </c>
      <c r="I24" s="86">
        <f>761355/100000</f>
        <v>7.61355</v>
      </c>
      <c r="J24" s="86">
        <f>841303/100000</f>
        <v>8.4130299999999991</v>
      </c>
      <c r="K24" s="86">
        <f>2015320/100000</f>
        <v>20.153199999999998</v>
      </c>
      <c r="L24" s="86">
        <f>51218/100000</f>
        <v>0.51217999999999997</v>
      </c>
      <c r="M24" s="86">
        <f>31/100000</f>
        <v>3.1E-4</v>
      </c>
      <c r="N24" s="88">
        <f>SUM(H24:M24)</f>
        <v>37.237679999999997</v>
      </c>
      <c r="O24" s="86">
        <f>N24*100/G24</f>
        <v>100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6">
        <v>0</v>
      </c>
      <c r="G25" s="87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7">
        <f t="shared" ref="N25:N31" si="0">SUM(H25:M25)</f>
        <v>0</v>
      </c>
      <c r="O25" s="86">
        <v>0</v>
      </c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f>143000/100000</f>
        <v>1.43</v>
      </c>
      <c r="G26" s="87">
        <f>63000/100000</f>
        <v>0.63</v>
      </c>
      <c r="H26" s="86">
        <v>0</v>
      </c>
      <c r="I26" s="86">
        <v>0</v>
      </c>
      <c r="J26" s="86">
        <f>1526/100000</f>
        <v>1.5259999999999999E-2</v>
      </c>
      <c r="K26" s="86">
        <f>18890/100000</f>
        <v>0.18890000000000001</v>
      </c>
      <c r="L26" s="86">
        <f>22584/100000</f>
        <v>0.22584000000000001</v>
      </c>
      <c r="M26" s="86">
        <f>20000/100000</f>
        <v>0.2</v>
      </c>
      <c r="N26" s="88">
        <f t="shared" si="0"/>
        <v>0.63000000000000012</v>
      </c>
      <c r="O26" s="86">
        <f t="shared" ref="O26:O32" si="1">N26*100/G26</f>
        <v>100.00000000000003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6"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200/100000</f>
        <v>2E-3</v>
      </c>
      <c r="L27" s="86">
        <f>17600/100000</f>
        <v>0.17599999999999999</v>
      </c>
      <c r="M27" s="86">
        <v>0</v>
      </c>
      <c r="N27" s="88">
        <f t="shared" si="0"/>
        <v>0.33999999999999997</v>
      </c>
      <c r="O27" s="86">
        <f t="shared" si="1"/>
        <v>99.999999999999986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v>5.5856500000000002</v>
      </c>
      <c r="G28" s="87">
        <f>558565/100000</f>
        <v>5.5856500000000002</v>
      </c>
      <c r="H28" s="86">
        <v>0</v>
      </c>
      <c r="I28" s="86">
        <v>0</v>
      </c>
      <c r="J28" s="86">
        <v>0</v>
      </c>
      <c r="K28" s="86">
        <v>0</v>
      </c>
      <c r="L28" s="86">
        <f>459445/100000</f>
        <v>4.5944500000000001</v>
      </c>
      <c r="M28" s="86">
        <f>54300/100000</f>
        <v>0.54300000000000004</v>
      </c>
      <c r="N28" s="88">
        <f t="shared" si="0"/>
        <v>5.1374500000000003</v>
      </c>
      <c r="O28" s="86">
        <f t="shared" si="1"/>
        <v>91.975866729923993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ROUND((+D29*N3),0)/100000</f>
        <v>2.6299100000000002</v>
      </c>
      <c r="G29" s="87">
        <f>262991/100000</f>
        <v>2.6299100000000002</v>
      </c>
      <c r="H29" s="86">
        <v>0</v>
      </c>
      <c r="I29" s="86">
        <v>0</v>
      </c>
      <c r="J29" s="86">
        <f>32301/100000</f>
        <v>0.32301000000000002</v>
      </c>
      <c r="K29" s="86">
        <f>230690/100000</f>
        <v>2.3069000000000002</v>
      </c>
      <c r="L29" s="86">
        <v>0</v>
      </c>
      <c r="M29" s="86">
        <v>0</v>
      </c>
      <c r="N29" s="87">
        <f t="shared" si="0"/>
        <v>2.6299100000000002</v>
      </c>
      <c r="O29" s="86">
        <f t="shared" si="1"/>
        <v>100.00000000000001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v>4.6547099999999997</v>
      </c>
      <c r="G30" s="87">
        <f>465471/100000</f>
        <v>4.6547099999999997</v>
      </c>
      <c r="H30" s="86">
        <v>0</v>
      </c>
      <c r="I30" s="86">
        <f>90500/100000</f>
        <v>0.90500000000000003</v>
      </c>
      <c r="J30" s="86">
        <f>9500/100000</f>
        <v>9.5000000000000001E-2</v>
      </c>
      <c r="K30" s="86">
        <v>0</v>
      </c>
      <c r="L30" s="86">
        <f>281000/100000</f>
        <v>2.81</v>
      </c>
      <c r="M30" s="86">
        <f>58626/100000</f>
        <v>0.58626</v>
      </c>
      <c r="N30" s="88">
        <f t="shared" si="0"/>
        <v>4.3962599999999998</v>
      </c>
      <c r="O30" s="86">
        <f t="shared" si="1"/>
        <v>94.447559568694942</v>
      </c>
    </row>
    <row r="31" spans="1:16">
      <c r="A31" s="991" t="s">
        <v>1040</v>
      </c>
      <c r="B31" s="991"/>
      <c r="C31" s="991"/>
      <c r="D31" s="80">
        <v>2700</v>
      </c>
      <c r="E31" s="80" t="s">
        <v>242</v>
      </c>
      <c r="F31" s="87">
        <v>1.92</v>
      </c>
      <c r="G31" s="87">
        <f>192000/100000</f>
        <v>1.92</v>
      </c>
      <c r="H31" s="86">
        <f>9132/100000</f>
        <v>9.1319999999999998E-2</v>
      </c>
      <c r="I31" s="86">
        <f>38662/100000</f>
        <v>0.38662000000000002</v>
      </c>
      <c r="J31" s="86">
        <f>32122/100000</f>
        <v>0.32122000000000001</v>
      </c>
      <c r="K31" s="86">
        <f>37084/100000</f>
        <v>0.37084</v>
      </c>
      <c r="L31" s="86">
        <f>11685/100000</f>
        <v>0.11685</v>
      </c>
      <c r="M31" s="86">
        <f>46669/100000</f>
        <v>0.46668999999999999</v>
      </c>
      <c r="N31" s="88">
        <f t="shared" si="0"/>
        <v>1.7535400000000001</v>
      </c>
      <c r="O31" s="86">
        <f t="shared" si="1"/>
        <v>91.330208333333346</v>
      </c>
    </row>
    <row r="32" spans="1:16">
      <c r="A32" s="992" t="s">
        <v>230</v>
      </c>
      <c r="B32" s="993"/>
      <c r="C32" s="994"/>
      <c r="D32" s="70"/>
      <c r="E32" s="70"/>
      <c r="F32" s="88">
        <f t="shared" ref="F32:N32" si="2">SUM(F24:F31)</f>
        <v>53.797950000000007</v>
      </c>
      <c r="G32" s="88">
        <f t="shared" si="2"/>
        <v>52.99795000000001</v>
      </c>
      <c r="H32" s="88">
        <f t="shared" si="2"/>
        <v>0.63672999999999991</v>
      </c>
      <c r="I32" s="88">
        <f t="shared" si="2"/>
        <v>8.90517</v>
      </c>
      <c r="J32" s="88">
        <f t="shared" si="2"/>
        <v>9.3295200000000005</v>
      </c>
      <c r="K32" s="88">
        <f t="shared" si="2"/>
        <v>23.021839999999997</v>
      </c>
      <c r="L32" s="88">
        <f t="shared" si="2"/>
        <v>8.435319999999999</v>
      </c>
      <c r="M32" s="88">
        <f t="shared" si="2"/>
        <v>1.79626</v>
      </c>
      <c r="N32" s="88">
        <f t="shared" si="2"/>
        <v>52.124840000000006</v>
      </c>
      <c r="O32" s="88">
        <f t="shared" si="1"/>
        <v>98.352558919731791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L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ageMargins left="0.7" right="0.7" top="0.75" bottom="0.75" header="0.3" footer="0.3"/>
  <pageSetup scale="70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Q32"/>
  <sheetViews>
    <sheetView workbookViewId="0">
      <selection activeCell="A4" sqref="A4:C4"/>
    </sheetView>
  </sheetViews>
  <sheetFormatPr defaultRowHeight="15"/>
  <cols>
    <col min="6" max="7" width="9.5703125" bestFit="1" customWidth="1"/>
    <col min="8" max="8" width="11.42578125" customWidth="1"/>
    <col min="9" max="9" width="12.140625" customWidth="1"/>
    <col min="10" max="10" width="9.5703125" bestFit="1" customWidth="1"/>
    <col min="11" max="13" width="9.28515625" bestFit="1" customWidth="1"/>
    <col min="14" max="14" width="9.5703125" bestFit="1" customWidth="1"/>
    <col min="15" max="15" width="10.5703125" bestFit="1" customWidth="1"/>
    <col min="262" max="263" width="9.5703125" bestFit="1" customWidth="1"/>
    <col min="264" max="264" width="11.42578125" customWidth="1"/>
    <col min="265" max="265" width="12.140625" customWidth="1"/>
    <col min="266" max="266" width="9.5703125" bestFit="1" customWidth="1"/>
    <col min="267" max="269" width="9.28515625" bestFit="1" customWidth="1"/>
    <col min="270" max="270" width="9.5703125" bestFit="1" customWidth="1"/>
    <col min="271" max="271" width="10.5703125" bestFit="1" customWidth="1"/>
    <col min="518" max="519" width="9.5703125" bestFit="1" customWidth="1"/>
    <col min="520" max="520" width="11.42578125" customWidth="1"/>
    <col min="521" max="521" width="12.140625" customWidth="1"/>
    <col min="522" max="522" width="9.5703125" bestFit="1" customWidth="1"/>
    <col min="523" max="525" width="9.28515625" bestFit="1" customWidth="1"/>
    <col min="526" max="526" width="9.5703125" bestFit="1" customWidth="1"/>
    <col min="527" max="527" width="10.5703125" bestFit="1" customWidth="1"/>
    <col min="774" max="775" width="9.5703125" bestFit="1" customWidth="1"/>
    <col min="776" max="776" width="11.42578125" customWidth="1"/>
    <col min="777" max="777" width="12.140625" customWidth="1"/>
    <col min="778" max="778" width="9.5703125" bestFit="1" customWidth="1"/>
    <col min="779" max="781" width="9.28515625" bestFit="1" customWidth="1"/>
    <col min="782" max="782" width="9.5703125" bestFit="1" customWidth="1"/>
    <col min="783" max="783" width="10.5703125" bestFit="1" customWidth="1"/>
    <col min="1030" max="1031" width="9.5703125" bestFit="1" customWidth="1"/>
    <col min="1032" max="1032" width="11.42578125" customWidth="1"/>
    <col min="1033" max="1033" width="12.140625" customWidth="1"/>
    <col min="1034" max="1034" width="9.5703125" bestFit="1" customWidth="1"/>
    <col min="1035" max="1037" width="9.28515625" bestFit="1" customWidth="1"/>
    <col min="1038" max="1038" width="9.5703125" bestFit="1" customWidth="1"/>
    <col min="1039" max="1039" width="10.5703125" bestFit="1" customWidth="1"/>
    <col min="1286" max="1287" width="9.5703125" bestFit="1" customWidth="1"/>
    <col min="1288" max="1288" width="11.42578125" customWidth="1"/>
    <col min="1289" max="1289" width="12.140625" customWidth="1"/>
    <col min="1290" max="1290" width="9.5703125" bestFit="1" customWidth="1"/>
    <col min="1291" max="1293" width="9.28515625" bestFit="1" customWidth="1"/>
    <col min="1294" max="1294" width="9.5703125" bestFit="1" customWidth="1"/>
    <col min="1295" max="1295" width="10.5703125" bestFit="1" customWidth="1"/>
    <col min="1542" max="1543" width="9.5703125" bestFit="1" customWidth="1"/>
    <col min="1544" max="1544" width="11.42578125" customWidth="1"/>
    <col min="1545" max="1545" width="12.140625" customWidth="1"/>
    <col min="1546" max="1546" width="9.5703125" bestFit="1" customWidth="1"/>
    <col min="1547" max="1549" width="9.28515625" bestFit="1" customWidth="1"/>
    <col min="1550" max="1550" width="9.5703125" bestFit="1" customWidth="1"/>
    <col min="1551" max="1551" width="10.5703125" bestFit="1" customWidth="1"/>
    <col min="1798" max="1799" width="9.5703125" bestFit="1" customWidth="1"/>
    <col min="1800" max="1800" width="11.42578125" customWidth="1"/>
    <col min="1801" max="1801" width="12.140625" customWidth="1"/>
    <col min="1802" max="1802" width="9.5703125" bestFit="1" customWidth="1"/>
    <col min="1803" max="1805" width="9.28515625" bestFit="1" customWidth="1"/>
    <col min="1806" max="1806" width="9.5703125" bestFit="1" customWidth="1"/>
    <col min="1807" max="1807" width="10.5703125" bestFit="1" customWidth="1"/>
    <col min="2054" max="2055" width="9.5703125" bestFit="1" customWidth="1"/>
    <col min="2056" max="2056" width="11.42578125" customWidth="1"/>
    <col min="2057" max="2057" width="12.140625" customWidth="1"/>
    <col min="2058" max="2058" width="9.5703125" bestFit="1" customWidth="1"/>
    <col min="2059" max="2061" width="9.28515625" bestFit="1" customWidth="1"/>
    <col min="2062" max="2062" width="9.5703125" bestFit="1" customWidth="1"/>
    <col min="2063" max="2063" width="10.5703125" bestFit="1" customWidth="1"/>
    <col min="2310" max="2311" width="9.5703125" bestFit="1" customWidth="1"/>
    <col min="2312" max="2312" width="11.42578125" customWidth="1"/>
    <col min="2313" max="2313" width="12.140625" customWidth="1"/>
    <col min="2314" max="2314" width="9.5703125" bestFit="1" customWidth="1"/>
    <col min="2315" max="2317" width="9.28515625" bestFit="1" customWidth="1"/>
    <col min="2318" max="2318" width="9.5703125" bestFit="1" customWidth="1"/>
    <col min="2319" max="2319" width="10.5703125" bestFit="1" customWidth="1"/>
    <col min="2566" max="2567" width="9.5703125" bestFit="1" customWidth="1"/>
    <col min="2568" max="2568" width="11.42578125" customWidth="1"/>
    <col min="2569" max="2569" width="12.140625" customWidth="1"/>
    <col min="2570" max="2570" width="9.5703125" bestFit="1" customWidth="1"/>
    <col min="2571" max="2573" width="9.28515625" bestFit="1" customWidth="1"/>
    <col min="2574" max="2574" width="9.5703125" bestFit="1" customWidth="1"/>
    <col min="2575" max="2575" width="10.5703125" bestFit="1" customWidth="1"/>
    <col min="2822" max="2823" width="9.5703125" bestFit="1" customWidth="1"/>
    <col min="2824" max="2824" width="11.42578125" customWidth="1"/>
    <col min="2825" max="2825" width="12.140625" customWidth="1"/>
    <col min="2826" max="2826" width="9.5703125" bestFit="1" customWidth="1"/>
    <col min="2827" max="2829" width="9.28515625" bestFit="1" customWidth="1"/>
    <col min="2830" max="2830" width="9.5703125" bestFit="1" customWidth="1"/>
    <col min="2831" max="2831" width="10.5703125" bestFit="1" customWidth="1"/>
    <col min="3078" max="3079" width="9.5703125" bestFit="1" customWidth="1"/>
    <col min="3080" max="3080" width="11.42578125" customWidth="1"/>
    <col min="3081" max="3081" width="12.140625" customWidth="1"/>
    <col min="3082" max="3082" width="9.5703125" bestFit="1" customWidth="1"/>
    <col min="3083" max="3085" width="9.28515625" bestFit="1" customWidth="1"/>
    <col min="3086" max="3086" width="9.5703125" bestFit="1" customWidth="1"/>
    <col min="3087" max="3087" width="10.5703125" bestFit="1" customWidth="1"/>
    <col min="3334" max="3335" width="9.5703125" bestFit="1" customWidth="1"/>
    <col min="3336" max="3336" width="11.42578125" customWidth="1"/>
    <col min="3337" max="3337" width="12.140625" customWidth="1"/>
    <col min="3338" max="3338" width="9.5703125" bestFit="1" customWidth="1"/>
    <col min="3339" max="3341" width="9.28515625" bestFit="1" customWidth="1"/>
    <col min="3342" max="3342" width="9.5703125" bestFit="1" customWidth="1"/>
    <col min="3343" max="3343" width="10.5703125" bestFit="1" customWidth="1"/>
    <col min="3590" max="3591" width="9.5703125" bestFit="1" customWidth="1"/>
    <col min="3592" max="3592" width="11.42578125" customWidth="1"/>
    <col min="3593" max="3593" width="12.140625" customWidth="1"/>
    <col min="3594" max="3594" width="9.5703125" bestFit="1" customWidth="1"/>
    <col min="3595" max="3597" width="9.28515625" bestFit="1" customWidth="1"/>
    <col min="3598" max="3598" width="9.5703125" bestFit="1" customWidth="1"/>
    <col min="3599" max="3599" width="10.5703125" bestFit="1" customWidth="1"/>
    <col min="3846" max="3847" width="9.5703125" bestFit="1" customWidth="1"/>
    <col min="3848" max="3848" width="11.42578125" customWidth="1"/>
    <col min="3849" max="3849" width="12.140625" customWidth="1"/>
    <col min="3850" max="3850" width="9.5703125" bestFit="1" customWidth="1"/>
    <col min="3851" max="3853" width="9.28515625" bestFit="1" customWidth="1"/>
    <col min="3854" max="3854" width="9.5703125" bestFit="1" customWidth="1"/>
    <col min="3855" max="3855" width="10.5703125" bestFit="1" customWidth="1"/>
    <col min="4102" max="4103" width="9.5703125" bestFit="1" customWidth="1"/>
    <col min="4104" max="4104" width="11.42578125" customWidth="1"/>
    <col min="4105" max="4105" width="12.140625" customWidth="1"/>
    <col min="4106" max="4106" width="9.5703125" bestFit="1" customWidth="1"/>
    <col min="4107" max="4109" width="9.28515625" bestFit="1" customWidth="1"/>
    <col min="4110" max="4110" width="9.5703125" bestFit="1" customWidth="1"/>
    <col min="4111" max="4111" width="10.5703125" bestFit="1" customWidth="1"/>
    <col min="4358" max="4359" width="9.5703125" bestFit="1" customWidth="1"/>
    <col min="4360" max="4360" width="11.42578125" customWidth="1"/>
    <col min="4361" max="4361" width="12.140625" customWidth="1"/>
    <col min="4362" max="4362" width="9.5703125" bestFit="1" customWidth="1"/>
    <col min="4363" max="4365" width="9.28515625" bestFit="1" customWidth="1"/>
    <col min="4366" max="4366" width="9.5703125" bestFit="1" customWidth="1"/>
    <col min="4367" max="4367" width="10.5703125" bestFit="1" customWidth="1"/>
    <col min="4614" max="4615" width="9.5703125" bestFit="1" customWidth="1"/>
    <col min="4616" max="4616" width="11.42578125" customWidth="1"/>
    <col min="4617" max="4617" width="12.140625" customWidth="1"/>
    <col min="4618" max="4618" width="9.5703125" bestFit="1" customWidth="1"/>
    <col min="4619" max="4621" width="9.28515625" bestFit="1" customWidth="1"/>
    <col min="4622" max="4622" width="9.5703125" bestFit="1" customWidth="1"/>
    <col min="4623" max="4623" width="10.5703125" bestFit="1" customWidth="1"/>
    <col min="4870" max="4871" width="9.5703125" bestFit="1" customWidth="1"/>
    <col min="4872" max="4872" width="11.42578125" customWidth="1"/>
    <col min="4873" max="4873" width="12.140625" customWidth="1"/>
    <col min="4874" max="4874" width="9.5703125" bestFit="1" customWidth="1"/>
    <col min="4875" max="4877" width="9.28515625" bestFit="1" customWidth="1"/>
    <col min="4878" max="4878" width="9.5703125" bestFit="1" customWidth="1"/>
    <col min="4879" max="4879" width="10.5703125" bestFit="1" customWidth="1"/>
    <col min="5126" max="5127" width="9.5703125" bestFit="1" customWidth="1"/>
    <col min="5128" max="5128" width="11.42578125" customWidth="1"/>
    <col min="5129" max="5129" width="12.140625" customWidth="1"/>
    <col min="5130" max="5130" width="9.5703125" bestFit="1" customWidth="1"/>
    <col min="5131" max="5133" width="9.28515625" bestFit="1" customWidth="1"/>
    <col min="5134" max="5134" width="9.5703125" bestFit="1" customWidth="1"/>
    <col min="5135" max="5135" width="10.5703125" bestFit="1" customWidth="1"/>
    <col min="5382" max="5383" width="9.5703125" bestFit="1" customWidth="1"/>
    <col min="5384" max="5384" width="11.42578125" customWidth="1"/>
    <col min="5385" max="5385" width="12.140625" customWidth="1"/>
    <col min="5386" max="5386" width="9.5703125" bestFit="1" customWidth="1"/>
    <col min="5387" max="5389" width="9.28515625" bestFit="1" customWidth="1"/>
    <col min="5390" max="5390" width="9.5703125" bestFit="1" customWidth="1"/>
    <col min="5391" max="5391" width="10.5703125" bestFit="1" customWidth="1"/>
    <col min="5638" max="5639" width="9.5703125" bestFit="1" customWidth="1"/>
    <col min="5640" max="5640" width="11.42578125" customWidth="1"/>
    <col min="5641" max="5641" width="12.140625" customWidth="1"/>
    <col min="5642" max="5642" width="9.5703125" bestFit="1" customWidth="1"/>
    <col min="5643" max="5645" width="9.28515625" bestFit="1" customWidth="1"/>
    <col min="5646" max="5646" width="9.5703125" bestFit="1" customWidth="1"/>
    <col min="5647" max="5647" width="10.5703125" bestFit="1" customWidth="1"/>
    <col min="5894" max="5895" width="9.5703125" bestFit="1" customWidth="1"/>
    <col min="5896" max="5896" width="11.42578125" customWidth="1"/>
    <col min="5897" max="5897" width="12.140625" customWidth="1"/>
    <col min="5898" max="5898" width="9.5703125" bestFit="1" customWidth="1"/>
    <col min="5899" max="5901" width="9.28515625" bestFit="1" customWidth="1"/>
    <col min="5902" max="5902" width="9.5703125" bestFit="1" customWidth="1"/>
    <col min="5903" max="5903" width="10.5703125" bestFit="1" customWidth="1"/>
    <col min="6150" max="6151" width="9.5703125" bestFit="1" customWidth="1"/>
    <col min="6152" max="6152" width="11.42578125" customWidth="1"/>
    <col min="6153" max="6153" width="12.140625" customWidth="1"/>
    <col min="6154" max="6154" width="9.5703125" bestFit="1" customWidth="1"/>
    <col min="6155" max="6157" width="9.28515625" bestFit="1" customWidth="1"/>
    <col min="6158" max="6158" width="9.5703125" bestFit="1" customWidth="1"/>
    <col min="6159" max="6159" width="10.5703125" bestFit="1" customWidth="1"/>
    <col min="6406" max="6407" width="9.5703125" bestFit="1" customWidth="1"/>
    <col min="6408" max="6408" width="11.42578125" customWidth="1"/>
    <col min="6409" max="6409" width="12.140625" customWidth="1"/>
    <col min="6410" max="6410" width="9.5703125" bestFit="1" customWidth="1"/>
    <col min="6411" max="6413" width="9.28515625" bestFit="1" customWidth="1"/>
    <col min="6414" max="6414" width="9.5703125" bestFit="1" customWidth="1"/>
    <col min="6415" max="6415" width="10.5703125" bestFit="1" customWidth="1"/>
    <col min="6662" max="6663" width="9.5703125" bestFit="1" customWidth="1"/>
    <col min="6664" max="6664" width="11.42578125" customWidth="1"/>
    <col min="6665" max="6665" width="12.140625" customWidth="1"/>
    <col min="6666" max="6666" width="9.5703125" bestFit="1" customWidth="1"/>
    <col min="6667" max="6669" width="9.28515625" bestFit="1" customWidth="1"/>
    <col min="6670" max="6670" width="9.5703125" bestFit="1" customWidth="1"/>
    <col min="6671" max="6671" width="10.5703125" bestFit="1" customWidth="1"/>
    <col min="6918" max="6919" width="9.5703125" bestFit="1" customWidth="1"/>
    <col min="6920" max="6920" width="11.42578125" customWidth="1"/>
    <col min="6921" max="6921" width="12.140625" customWidth="1"/>
    <col min="6922" max="6922" width="9.5703125" bestFit="1" customWidth="1"/>
    <col min="6923" max="6925" width="9.28515625" bestFit="1" customWidth="1"/>
    <col min="6926" max="6926" width="9.5703125" bestFit="1" customWidth="1"/>
    <col min="6927" max="6927" width="10.5703125" bestFit="1" customWidth="1"/>
    <col min="7174" max="7175" width="9.5703125" bestFit="1" customWidth="1"/>
    <col min="7176" max="7176" width="11.42578125" customWidth="1"/>
    <col min="7177" max="7177" width="12.140625" customWidth="1"/>
    <col min="7178" max="7178" width="9.5703125" bestFit="1" customWidth="1"/>
    <col min="7179" max="7181" width="9.28515625" bestFit="1" customWidth="1"/>
    <col min="7182" max="7182" width="9.5703125" bestFit="1" customWidth="1"/>
    <col min="7183" max="7183" width="10.5703125" bestFit="1" customWidth="1"/>
    <col min="7430" max="7431" width="9.5703125" bestFit="1" customWidth="1"/>
    <col min="7432" max="7432" width="11.42578125" customWidth="1"/>
    <col min="7433" max="7433" width="12.140625" customWidth="1"/>
    <col min="7434" max="7434" width="9.5703125" bestFit="1" customWidth="1"/>
    <col min="7435" max="7437" width="9.28515625" bestFit="1" customWidth="1"/>
    <col min="7438" max="7438" width="9.5703125" bestFit="1" customWidth="1"/>
    <col min="7439" max="7439" width="10.5703125" bestFit="1" customWidth="1"/>
    <col min="7686" max="7687" width="9.5703125" bestFit="1" customWidth="1"/>
    <col min="7688" max="7688" width="11.42578125" customWidth="1"/>
    <col min="7689" max="7689" width="12.140625" customWidth="1"/>
    <col min="7690" max="7690" width="9.5703125" bestFit="1" customWidth="1"/>
    <col min="7691" max="7693" width="9.28515625" bestFit="1" customWidth="1"/>
    <col min="7694" max="7694" width="9.5703125" bestFit="1" customWidth="1"/>
    <col min="7695" max="7695" width="10.5703125" bestFit="1" customWidth="1"/>
    <col min="7942" max="7943" width="9.5703125" bestFit="1" customWidth="1"/>
    <col min="7944" max="7944" width="11.42578125" customWidth="1"/>
    <col min="7945" max="7945" width="12.140625" customWidth="1"/>
    <col min="7946" max="7946" width="9.5703125" bestFit="1" customWidth="1"/>
    <col min="7947" max="7949" width="9.28515625" bestFit="1" customWidth="1"/>
    <col min="7950" max="7950" width="9.5703125" bestFit="1" customWidth="1"/>
    <col min="7951" max="7951" width="10.5703125" bestFit="1" customWidth="1"/>
    <col min="8198" max="8199" width="9.5703125" bestFit="1" customWidth="1"/>
    <col min="8200" max="8200" width="11.42578125" customWidth="1"/>
    <col min="8201" max="8201" width="12.140625" customWidth="1"/>
    <col min="8202" max="8202" width="9.5703125" bestFit="1" customWidth="1"/>
    <col min="8203" max="8205" width="9.28515625" bestFit="1" customWidth="1"/>
    <col min="8206" max="8206" width="9.5703125" bestFit="1" customWidth="1"/>
    <col min="8207" max="8207" width="10.5703125" bestFit="1" customWidth="1"/>
    <col min="8454" max="8455" width="9.5703125" bestFit="1" customWidth="1"/>
    <col min="8456" max="8456" width="11.42578125" customWidth="1"/>
    <col min="8457" max="8457" width="12.140625" customWidth="1"/>
    <col min="8458" max="8458" width="9.5703125" bestFit="1" customWidth="1"/>
    <col min="8459" max="8461" width="9.28515625" bestFit="1" customWidth="1"/>
    <col min="8462" max="8462" width="9.5703125" bestFit="1" customWidth="1"/>
    <col min="8463" max="8463" width="10.5703125" bestFit="1" customWidth="1"/>
    <col min="8710" max="8711" width="9.5703125" bestFit="1" customWidth="1"/>
    <col min="8712" max="8712" width="11.42578125" customWidth="1"/>
    <col min="8713" max="8713" width="12.140625" customWidth="1"/>
    <col min="8714" max="8714" width="9.5703125" bestFit="1" customWidth="1"/>
    <col min="8715" max="8717" width="9.28515625" bestFit="1" customWidth="1"/>
    <col min="8718" max="8718" width="9.5703125" bestFit="1" customWidth="1"/>
    <col min="8719" max="8719" width="10.5703125" bestFit="1" customWidth="1"/>
    <col min="8966" max="8967" width="9.5703125" bestFit="1" customWidth="1"/>
    <col min="8968" max="8968" width="11.42578125" customWidth="1"/>
    <col min="8969" max="8969" width="12.140625" customWidth="1"/>
    <col min="8970" max="8970" width="9.5703125" bestFit="1" customWidth="1"/>
    <col min="8971" max="8973" width="9.28515625" bestFit="1" customWidth="1"/>
    <col min="8974" max="8974" width="9.5703125" bestFit="1" customWidth="1"/>
    <col min="8975" max="8975" width="10.5703125" bestFit="1" customWidth="1"/>
    <col min="9222" max="9223" width="9.5703125" bestFit="1" customWidth="1"/>
    <col min="9224" max="9224" width="11.42578125" customWidth="1"/>
    <col min="9225" max="9225" width="12.140625" customWidth="1"/>
    <col min="9226" max="9226" width="9.5703125" bestFit="1" customWidth="1"/>
    <col min="9227" max="9229" width="9.28515625" bestFit="1" customWidth="1"/>
    <col min="9230" max="9230" width="9.5703125" bestFit="1" customWidth="1"/>
    <col min="9231" max="9231" width="10.5703125" bestFit="1" customWidth="1"/>
    <col min="9478" max="9479" width="9.5703125" bestFit="1" customWidth="1"/>
    <col min="9480" max="9480" width="11.42578125" customWidth="1"/>
    <col min="9481" max="9481" width="12.140625" customWidth="1"/>
    <col min="9482" max="9482" width="9.5703125" bestFit="1" customWidth="1"/>
    <col min="9483" max="9485" width="9.28515625" bestFit="1" customWidth="1"/>
    <col min="9486" max="9486" width="9.5703125" bestFit="1" customWidth="1"/>
    <col min="9487" max="9487" width="10.5703125" bestFit="1" customWidth="1"/>
    <col min="9734" max="9735" width="9.5703125" bestFit="1" customWidth="1"/>
    <col min="9736" max="9736" width="11.42578125" customWidth="1"/>
    <col min="9737" max="9737" width="12.140625" customWidth="1"/>
    <col min="9738" max="9738" width="9.5703125" bestFit="1" customWidth="1"/>
    <col min="9739" max="9741" width="9.28515625" bestFit="1" customWidth="1"/>
    <col min="9742" max="9742" width="9.5703125" bestFit="1" customWidth="1"/>
    <col min="9743" max="9743" width="10.5703125" bestFit="1" customWidth="1"/>
    <col min="9990" max="9991" width="9.5703125" bestFit="1" customWidth="1"/>
    <col min="9992" max="9992" width="11.42578125" customWidth="1"/>
    <col min="9993" max="9993" width="12.140625" customWidth="1"/>
    <col min="9994" max="9994" width="9.5703125" bestFit="1" customWidth="1"/>
    <col min="9995" max="9997" width="9.28515625" bestFit="1" customWidth="1"/>
    <col min="9998" max="9998" width="9.5703125" bestFit="1" customWidth="1"/>
    <col min="9999" max="9999" width="10.5703125" bestFit="1" customWidth="1"/>
    <col min="10246" max="10247" width="9.5703125" bestFit="1" customWidth="1"/>
    <col min="10248" max="10248" width="11.42578125" customWidth="1"/>
    <col min="10249" max="10249" width="12.140625" customWidth="1"/>
    <col min="10250" max="10250" width="9.5703125" bestFit="1" customWidth="1"/>
    <col min="10251" max="10253" width="9.28515625" bestFit="1" customWidth="1"/>
    <col min="10254" max="10254" width="9.5703125" bestFit="1" customWidth="1"/>
    <col min="10255" max="10255" width="10.5703125" bestFit="1" customWidth="1"/>
    <col min="10502" max="10503" width="9.5703125" bestFit="1" customWidth="1"/>
    <col min="10504" max="10504" width="11.42578125" customWidth="1"/>
    <col min="10505" max="10505" width="12.140625" customWidth="1"/>
    <col min="10506" max="10506" width="9.5703125" bestFit="1" customWidth="1"/>
    <col min="10507" max="10509" width="9.28515625" bestFit="1" customWidth="1"/>
    <col min="10510" max="10510" width="9.5703125" bestFit="1" customWidth="1"/>
    <col min="10511" max="10511" width="10.5703125" bestFit="1" customWidth="1"/>
    <col min="10758" max="10759" width="9.5703125" bestFit="1" customWidth="1"/>
    <col min="10760" max="10760" width="11.42578125" customWidth="1"/>
    <col min="10761" max="10761" width="12.140625" customWidth="1"/>
    <col min="10762" max="10762" width="9.5703125" bestFit="1" customWidth="1"/>
    <col min="10763" max="10765" width="9.28515625" bestFit="1" customWidth="1"/>
    <col min="10766" max="10766" width="9.5703125" bestFit="1" customWidth="1"/>
    <col min="10767" max="10767" width="10.5703125" bestFit="1" customWidth="1"/>
    <col min="11014" max="11015" width="9.5703125" bestFit="1" customWidth="1"/>
    <col min="11016" max="11016" width="11.42578125" customWidth="1"/>
    <col min="11017" max="11017" width="12.140625" customWidth="1"/>
    <col min="11018" max="11018" width="9.5703125" bestFit="1" customWidth="1"/>
    <col min="11019" max="11021" width="9.28515625" bestFit="1" customWidth="1"/>
    <col min="11022" max="11022" width="9.5703125" bestFit="1" customWidth="1"/>
    <col min="11023" max="11023" width="10.5703125" bestFit="1" customWidth="1"/>
    <col min="11270" max="11271" width="9.5703125" bestFit="1" customWidth="1"/>
    <col min="11272" max="11272" width="11.42578125" customWidth="1"/>
    <col min="11273" max="11273" width="12.140625" customWidth="1"/>
    <col min="11274" max="11274" width="9.5703125" bestFit="1" customWidth="1"/>
    <col min="11275" max="11277" width="9.28515625" bestFit="1" customWidth="1"/>
    <col min="11278" max="11278" width="9.5703125" bestFit="1" customWidth="1"/>
    <col min="11279" max="11279" width="10.5703125" bestFit="1" customWidth="1"/>
    <col min="11526" max="11527" width="9.5703125" bestFit="1" customWidth="1"/>
    <col min="11528" max="11528" width="11.42578125" customWidth="1"/>
    <col min="11529" max="11529" width="12.140625" customWidth="1"/>
    <col min="11530" max="11530" width="9.5703125" bestFit="1" customWidth="1"/>
    <col min="11531" max="11533" width="9.28515625" bestFit="1" customWidth="1"/>
    <col min="11534" max="11534" width="9.5703125" bestFit="1" customWidth="1"/>
    <col min="11535" max="11535" width="10.5703125" bestFit="1" customWidth="1"/>
    <col min="11782" max="11783" width="9.5703125" bestFit="1" customWidth="1"/>
    <col min="11784" max="11784" width="11.42578125" customWidth="1"/>
    <col min="11785" max="11785" width="12.140625" customWidth="1"/>
    <col min="11786" max="11786" width="9.5703125" bestFit="1" customWidth="1"/>
    <col min="11787" max="11789" width="9.28515625" bestFit="1" customWidth="1"/>
    <col min="11790" max="11790" width="9.5703125" bestFit="1" customWidth="1"/>
    <col min="11791" max="11791" width="10.5703125" bestFit="1" customWidth="1"/>
    <col min="12038" max="12039" width="9.5703125" bestFit="1" customWidth="1"/>
    <col min="12040" max="12040" width="11.42578125" customWidth="1"/>
    <col min="12041" max="12041" width="12.140625" customWidth="1"/>
    <col min="12042" max="12042" width="9.5703125" bestFit="1" customWidth="1"/>
    <col min="12043" max="12045" width="9.28515625" bestFit="1" customWidth="1"/>
    <col min="12046" max="12046" width="9.5703125" bestFit="1" customWidth="1"/>
    <col min="12047" max="12047" width="10.5703125" bestFit="1" customWidth="1"/>
    <col min="12294" max="12295" width="9.5703125" bestFit="1" customWidth="1"/>
    <col min="12296" max="12296" width="11.42578125" customWidth="1"/>
    <col min="12297" max="12297" width="12.140625" customWidth="1"/>
    <col min="12298" max="12298" width="9.5703125" bestFit="1" customWidth="1"/>
    <col min="12299" max="12301" width="9.28515625" bestFit="1" customWidth="1"/>
    <col min="12302" max="12302" width="9.5703125" bestFit="1" customWidth="1"/>
    <col min="12303" max="12303" width="10.5703125" bestFit="1" customWidth="1"/>
    <col min="12550" max="12551" width="9.5703125" bestFit="1" customWidth="1"/>
    <col min="12552" max="12552" width="11.42578125" customWidth="1"/>
    <col min="12553" max="12553" width="12.140625" customWidth="1"/>
    <col min="12554" max="12554" width="9.5703125" bestFit="1" customWidth="1"/>
    <col min="12555" max="12557" width="9.28515625" bestFit="1" customWidth="1"/>
    <col min="12558" max="12558" width="9.5703125" bestFit="1" customWidth="1"/>
    <col min="12559" max="12559" width="10.5703125" bestFit="1" customWidth="1"/>
    <col min="12806" max="12807" width="9.5703125" bestFit="1" customWidth="1"/>
    <col min="12808" max="12808" width="11.42578125" customWidth="1"/>
    <col min="12809" max="12809" width="12.140625" customWidth="1"/>
    <col min="12810" max="12810" width="9.5703125" bestFit="1" customWidth="1"/>
    <col min="12811" max="12813" width="9.28515625" bestFit="1" customWidth="1"/>
    <col min="12814" max="12814" width="9.5703125" bestFit="1" customWidth="1"/>
    <col min="12815" max="12815" width="10.5703125" bestFit="1" customWidth="1"/>
    <col min="13062" max="13063" width="9.5703125" bestFit="1" customWidth="1"/>
    <col min="13064" max="13064" width="11.42578125" customWidth="1"/>
    <col min="13065" max="13065" width="12.140625" customWidth="1"/>
    <col min="13066" max="13066" width="9.5703125" bestFit="1" customWidth="1"/>
    <col min="13067" max="13069" width="9.28515625" bestFit="1" customWidth="1"/>
    <col min="13070" max="13070" width="9.5703125" bestFit="1" customWidth="1"/>
    <col min="13071" max="13071" width="10.5703125" bestFit="1" customWidth="1"/>
    <col min="13318" max="13319" width="9.5703125" bestFit="1" customWidth="1"/>
    <col min="13320" max="13320" width="11.42578125" customWidth="1"/>
    <col min="13321" max="13321" width="12.140625" customWidth="1"/>
    <col min="13322" max="13322" width="9.5703125" bestFit="1" customWidth="1"/>
    <col min="13323" max="13325" width="9.28515625" bestFit="1" customWidth="1"/>
    <col min="13326" max="13326" width="9.5703125" bestFit="1" customWidth="1"/>
    <col min="13327" max="13327" width="10.5703125" bestFit="1" customWidth="1"/>
    <col min="13574" max="13575" width="9.5703125" bestFit="1" customWidth="1"/>
    <col min="13576" max="13576" width="11.42578125" customWidth="1"/>
    <col min="13577" max="13577" width="12.140625" customWidth="1"/>
    <col min="13578" max="13578" width="9.5703125" bestFit="1" customWidth="1"/>
    <col min="13579" max="13581" width="9.28515625" bestFit="1" customWidth="1"/>
    <col min="13582" max="13582" width="9.5703125" bestFit="1" customWidth="1"/>
    <col min="13583" max="13583" width="10.5703125" bestFit="1" customWidth="1"/>
    <col min="13830" max="13831" width="9.5703125" bestFit="1" customWidth="1"/>
    <col min="13832" max="13832" width="11.42578125" customWidth="1"/>
    <col min="13833" max="13833" width="12.140625" customWidth="1"/>
    <col min="13834" max="13834" width="9.5703125" bestFit="1" customWidth="1"/>
    <col min="13835" max="13837" width="9.28515625" bestFit="1" customWidth="1"/>
    <col min="13838" max="13838" width="9.5703125" bestFit="1" customWidth="1"/>
    <col min="13839" max="13839" width="10.5703125" bestFit="1" customWidth="1"/>
    <col min="14086" max="14087" width="9.5703125" bestFit="1" customWidth="1"/>
    <col min="14088" max="14088" width="11.42578125" customWidth="1"/>
    <col min="14089" max="14089" width="12.140625" customWidth="1"/>
    <col min="14090" max="14090" width="9.5703125" bestFit="1" customWidth="1"/>
    <col min="14091" max="14093" width="9.28515625" bestFit="1" customWidth="1"/>
    <col min="14094" max="14094" width="9.5703125" bestFit="1" customWidth="1"/>
    <col min="14095" max="14095" width="10.5703125" bestFit="1" customWidth="1"/>
    <col min="14342" max="14343" width="9.5703125" bestFit="1" customWidth="1"/>
    <col min="14344" max="14344" width="11.42578125" customWidth="1"/>
    <col min="14345" max="14345" width="12.140625" customWidth="1"/>
    <col min="14346" max="14346" width="9.5703125" bestFit="1" customWidth="1"/>
    <col min="14347" max="14349" width="9.28515625" bestFit="1" customWidth="1"/>
    <col min="14350" max="14350" width="9.5703125" bestFit="1" customWidth="1"/>
    <col min="14351" max="14351" width="10.5703125" bestFit="1" customWidth="1"/>
    <col min="14598" max="14599" width="9.5703125" bestFit="1" customWidth="1"/>
    <col min="14600" max="14600" width="11.42578125" customWidth="1"/>
    <col min="14601" max="14601" width="12.140625" customWidth="1"/>
    <col min="14602" max="14602" width="9.5703125" bestFit="1" customWidth="1"/>
    <col min="14603" max="14605" width="9.28515625" bestFit="1" customWidth="1"/>
    <col min="14606" max="14606" width="9.5703125" bestFit="1" customWidth="1"/>
    <col min="14607" max="14607" width="10.5703125" bestFit="1" customWidth="1"/>
    <col min="14854" max="14855" width="9.5703125" bestFit="1" customWidth="1"/>
    <col min="14856" max="14856" width="11.42578125" customWidth="1"/>
    <col min="14857" max="14857" width="12.140625" customWidth="1"/>
    <col min="14858" max="14858" width="9.5703125" bestFit="1" customWidth="1"/>
    <col min="14859" max="14861" width="9.28515625" bestFit="1" customWidth="1"/>
    <col min="14862" max="14862" width="9.5703125" bestFit="1" customWidth="1"/>
    <col min="14863" max="14863" width="10.5703125" bestFit="1" customWidth="1"/>
    <col min="15110" max="15111" width="9.5703125" bestFit="1" customWidth="1"/>
    <col min="15112" max="15112" width="11.42578125" customWidth="1"/>
    <col min="15113" max="15113" width="12.140625" customWidth="1"/>
    <col min="15114" max="15114" width="9.5703125" bestFit="1" customWidth="1"/>
    <col min="15115" max="15117" width="9.28515625" bestFit="1" customWidth="1"/>
    <col min="15118" max="15118" width="9.5703125" bestFit="1" customWidth="1"/>
    <col min="15119" max="15119" width="10.5703125" bestFit="1" customWidth="1"/>
    <col min="15366" max="15367" width="9.5703125" bestFit="1" customWidth="1"/>
    <col min="15368" max="15368" width="11.42578125" customWidth="1"/>
    <col min="15369" max="15369" width="12.140625" customWidth="1"/>
    <col min="15370" max="15370" width="9.5703125" bestFit="1" customWidth="1"/>
    <col min="15371" max="15373" width="9.28515625" bestFit="1" customWidth="1"/>
    <col min="15374" max="15374" width="9.5703125" bestFit="1" customWidth="1"/>
    <col min="15375" max="15375" width="10.5703125" bestFit="1" customWidth="1"/>
    <col min="15622" max="15623" width="9.5703125" bestFit="1" customWidth="1"/>
    <col min="15624" max="15624" width="11.42578125" customWidth="1"/>
    <col min="15625" max="15625" width="12.140625" customWidth="1"/>
    <col min="15626" max="15626" width="9.5703125" bestFit="1" customWidth="1"/>
    <col min="15627" max="15629" width="9.28515625" bestFit="1" customWidth="1"/>
    <col min="15630" max="15630" width="9.5703125" bestFit="1" customWidth="1"/>
    <col min="15631" max="15631" width="10.5703125" bestFit="1" customWidth="1"/>
    <col min="15878" max="15879" width="9.5703125" bestFit="1" customWidth="1"/>
    <col min="15880" max="15880" width="11.42578125" customWidth="1"/>
    <col min="15881" max="15881" width="12.140625" customWidth="1"/>
    <col min="15882" max="15882" width="9.5703125" bestFit="1" customWidth="1"/>
    <col min="15883" max="15885" width="9.28515625" bestFit="1" customWidth="1"/>
    <col min="15886" max="15886" width="9.5703125" bestFit="1" customWidth="1"/>
    <col min="15887" max="15887" width="10.5703125" bestFit="1" customWidth="1"/>
    <col min="16134" max="16135" width="9.5703125" bestFit="1" customWidth="1"/>
    <col min="16136" max="16136" width="11.42578125" customWidth="1"/>
    <col min="16137" max="16137" width="12.140625" customWidth="1"/>
    <col min="16138" max="16138" width="9.5703125" bestFit="1" customWidth="1"/>
    <col min="16139" max="16141" width="9.28515625" bestFit="1" customWidth="1"/>
    <col min="16142" max="16142" width="9.5703125" bestFit="1" customWidth="1"/>
    <col min="16143" max="16143" width="10.5703125" bestFit="1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1041</v>
      </c>
      <c r="E3" s="854"/>
      <c r="F3" s="854"/>
      <c r="G3" s="1002" t="s">
        <v>1004</v>
      </c>
      <c r="H3" s="998"/>
      <c r="I3" s="998"/>
      <c r="J3" s="854">
        <v>902100202</v>
      </c>
      <c r="K3" s="854"/>
      <c r="L3" s="1004" t="s">
        <v>1005</v>
      </c>
      <c r="M3" s="1005"/>
      <c r="N3" s="47">
        <v>266.77100000000002</v>
      </c>
      <c r="O3" s="851" t="s">
        <v>831</v>
      </c>
      <c r="P3" s="997"/>
      <c r="Q3" s="80">
        <v>200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1042</v>
      </c>
      <c r="E5" s="854"/>
      <c r="F5" s="854"/>
      <c r="G5" s="1002" t="s">
        <v>1008</v>
      </c>
      <c r="H5" s="998"/>
      <c r="I5" s="1001"/>
      <c r="J5" s="854" t="s">
        <v>1043</v>
      </c>
      <c r="K5" s="854"/>
      <c r="L5" s="854"/>
      <c r="M5" s="46"/>
      <c r="N5" s="46"/>
      <c r="O5" s="46"/>
      <c r="P5" s="46"/>
    </row>
    <row r="6" spans="1:17" ht="15.75" thickBo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/>
      <c r="E7" s="854"/>
      <c r="F7" s="854"/>
      <c r="G7" s="1002" t="s">
        <v>1011</v>
      </c>
      <c r="H7" s="998"/>
      <c r="I7" s="1009"/>
      <c r="J7" s="1010" t="s">
        <v>1044</v>
      </c>
      <c r="K7" s="1011"/>
      <c r="L7" s="1011"/>
      <c r="M7" s="1012"/>
      <c r="N7" s="46"/>
      <c r="O7" s="46"/>
      <c r="P7" s="46"/>
    </row>
    <row r="8" spans="1:17" ht="15.75" thickBot="1">
      <c r="A8" s="46"/>
      <c r="B8" s="46"/>
      <c r="C8" s="46"/>
      <c r="D8" s="46"/>
      <c r="E8" s="46"/>
      <c r="F8" s="46"/>
      <c r="G8" s="46"/>
      <c r="H8" s="46"/>
      <c r="I8" s="46"/>
      <c r="J8" s="1013"/>
      <c r="K8" s="1014"/>
      <c r="L8" s="1014"/>
      <c r="M8" s="1015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1045</v>
      </c>
      <c r="E10" s="854"/>
      <c r="F10" s="854" t="s">
        <v>1046</v>
      </c>
      <c r="G10" s="854"/>
      <c r="H10" s="854"/>
      <c r="I10" s="854"/>
      <c r="J10" s="854"/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1047</v>
      </c>
      <c r="E11" s="854"/>
      <c r="F11" s="854" t="s">
        <v>1048</v>
      </c>
      <c r="G11" s="854"/>
      <c r="H11" s="854"/>
      <c r="I11" s="854"/>
      <c r="J11" s="854"/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1049</v>
      </c>
      <c r="E12" s="854"/>
      <c r="F12" s="854" t="s">
        <v>1050</v>
      </c>
      <c r="G12" s="854"/>
      <c r="H12" s="854"/>
      <c r="I12" s="854"/>
      <c r="J12" s="854"/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 t="s">
        <v>1051</v>
      </c>
      <c r="E13" s="854"/>
      <c r="F13" s="854" t="s">
        <v>1050</v>
      </c>
      <c r="G13" s="854"/>
      <c r="H13" s="854"/>
      <c r="I13" s="854"/>
      <c r="J13" s="854"/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2</v>
      </c>
      <c r="E15" s="82" t="s">
        <v>1025</v>
      </c>
      <c r="F15" s="83"/>
      <c r="G15" s="83"/>
      <c r="H15" s="47">
        <v>2</v>
      </c>
      <c r="I15" s="46" t="s">
        <v>1026</v>
      </c>
      <c r="J15" s="47">
        <v>16</v>
      </c>
      <c r="K15" s="46" t="s">
        <v>1027</v>
      </c>
      <c r="L15" s="47">
        <v>2</v>
      </c>
      <c r="M15" s="84" t="s">
        <v>645</v>
      </c>
      <c r="N15" s="47">
        <v>8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218</v>
      </c>
      <c r="F17" s="46" t="s">
        <v>205</v>
      </c>
      <c r="G17" s="47"/>
      <c r="H17" s="46" t="s">
        <v>206</v>
      </c>
      <c r="I17" s="47"/>
      <c r="J17" s="46" t="s">
        <v>230</v>
      </c>
      <c r="K17" s="47">
        <v>218</v>
      </c>
      <c r="L17" s="46" t="s">
        <v>207</v>
      </c>
      <c r="M17" s="47">
        <v>14</v>
      </c>
      <c r="N17" s="46" t="s">
        <v>1028</v>
      </c>
      <c r="O17" s="46"/>
      <c r="P17" s="47">
        <v>48</v>
      </c>
    </row>
    <row r="18" spans="1:16">
      <c r="A18" s="46" t="s">
        <v>1029</v>
      </c>
      <c r="B18" s="46"/>
      <c r="C18" s="46"/>
      <c r="D18" s="46" t="s">
        <v>1030</v>
      </c>
      <c r="E18" s="47">
        <v>485</v>
      </c>
      <c r="F18" s="46" t="s">
        <v>211</v>
      </c>
      <c r="G18" s="47"/>
      <c r="H18" s="46" t="s">
        <v>212</v>
      </c>
      <c r="I18" s="47"/>
      <c r="J18" s="46" t="s">
        <v>411</v>
      </c>
      <c r="K18" s="47">
        <v>485</v>
      </c>
      <c r="L18" s="46"/>
      <c r="M18" s="46"/>
      <c r="N18" s="46"/>
      <c r="O18" s="46"/>
      <c r="P18" s="46"/>
    </row>
    <row r="19" spans="1:16">
      <c r="A19" s="46"/>
      <c r="B19" s="46"/>
      <c r="C19" s="46"/>
      <c r="D19" s="46" t="s">
        <v>213</v>
      </c>
      <c r="E19" s="47">
        <v>519</v>
      </c>
      <c r="F19" s="46" t="s">
        <v>214</v>
      </c>
      <c r="G19" s="47"/>
      <c r="H19" s="46" t="s">
        <v>215</v>
      </c>
      <c r="I19" s="47"/>
      <c r="J19" s="46" t="s">
        <v>410</v>
      </c>
      <c r="K19" s="47">
        <v>519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>
        <f>76+129</f>
        <v>205</v>
      </c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854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854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+D24*N3/100000</f>
        <v>21.34168</v>
      </c>
      <c r="G24" s="87">
        <f>2321289/100000</f>
        <v>23.212890000000002</v>
      </c>
      <c r="H24" s="86">
        <f>14387/100000</f>
        <v>0.14387</v>
      </c>
      <c r="I24" s="86">
        <f>894082/100000</f>
        <v>8.9408200000000004</v>
      </c>
      <c r="J24" s="86">
        <f>1396037/100000</f>
        <v>13.960369999999999</v>
      </c>
      <c r="K24" s="86">
        <v>0</v>
      </c>
      <c r="L24" s="86">
        <f>16783/100000</f>
        <v>0.16783000000000001</v>
      </c>
      <c r="M24" s="86">
        <v>0</v>
      </c>
      <c r="N24" s="88">
        <f t="shared" ref="N24:N31" si="0">SUM(H24:M24)</f>
        <v>23.212889999999998</v>
      </c>
      <c r="O24" s="86">
        <f>N24*100/G24</f>
        <v>99.999999999999986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6">
        <f>+D25*80/100000</f>
        <v>5.6</v>
      </c>
      <c r="G25" s="87">
        <f>560000/100000</f>
        <v>5.6</v>
      </c>
      <c r="H25" s="86">
        <v>0</v>
      </c>
      <c r="I25" s="86">
        <v>0</v>
      </c>
      <c r="J25" s="86">
        <v>0</v>
      </c>
      <c r="K25" s="86">
        <f>378700/100000</f>
        <v>3.7869999999999999</v>
      </c>
      <c r="L25" s="86">
        <f>117950/100000</f>
        <v>1.1795</v>
      </c>
      <c r="M25" s="86">
        <f>57330/100000</f>
        <v>0.57330000000000003</v>
      </c>
      <c r="N25" s="88">
        <f t="shared" si="0"/>
        <v>5.5397999999999996</v>
      </c>
      <c r="O25" s="86">
        <f t="shared" ref="O25:O32" si="1">N25*100/G25</f>
        <v>98.925000000000011</v>
      </c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v>1.43</v>
      </c>
      <c r="G26" s="87">
        <f>63000/100000</f>
        <v>0.63</v>
      </c>
      <c r="H26" s="86">
        <v>0</v>
      </c>
      <c r="I26" s="86">
        <v>0</v>
      </c>
      <c r="J26" s="86">
        <f>6399/100000</f>
        <v>6.3990000000000005E-2</v>
      </c>
      <c r="K26" s="86">
        <f>17443/100000</f>
        <v>0.17443</v>
      </c>
      <c r="L26" s="86">
        <f>19157.5/100000</f>
        <v>0.191575</v>
      </c>
      <c r="M26" s="86">
        <f>20000/100000</f>
        <v>0.2</v>
      </c>
      <c r="N26" s="88">
        <f t="shared" si="0"/>
        <v>0.62999500000000008</v>
      </c>
      <c r="O26" s="86">
        <f t="shared" si="1"/>
        <v>99.999206349206361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6"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200/100000</f>
        <v>2E-3</v>
      </c>
      <c r="L27" s="86">
        <f>17600/100000</f>
        <v>0.17599999999999999</v>
      </c>
      <c r="M27" s="86">
        <v>0</v>
      </c>
      <c r="N27" s="88">
        <f t="shared" si="0"/>
        <v>0.33999999999999997</v>
      </c>
      <c r="O27" s="86">
        <f t="shared" si="1"/>
        <v>99.999999999999986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f>ROUND((+D28*N3),0)/100000</f>
        <v>3.2012499999999999</v>
      </c>
      <c r="G28" s="87">
        <f>61119/100000</f>
        <v>0.61119000000000001</v>
      </c>
      <c r="H28" s="86">
        <v>0</v>
      </c>
      <c r="I28" s="86">
        <v>0</v>
      </c>
      <c r="J28" s="86">
        <v>0</v>
      </c>
      <c r="K28" s="86">
        <v>0</v>
      </c>
      <c r="L28" s="86">
        <f>60000/100000</f>
        <v>0.6</v>
      </c>
      <c r="M28" s="86">
        <f>1119/100000</f>
        <v>1.119E-2</v>
      </c>
      <c r="N28" s="88">
        <f t="shared" si="0"/>
        <v>0.61119000000000001</v>
      </c>
      <c r="O28" s="86">
        <f t="shared" si="1"/>
        <v>100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ROUND((+D29*N3),0)/100000</f>
        <v>1.50726</v>
      </c>
      <c r="G29" s="87">
        <f>150726/100000</f>
        <v>1.50726</v>
      </c>
      <c r="H29" s="86">
        <v>0</v>
      </c>
      <c r="I29" s="86">
        <v>0</v>
      </c>
      <c r="J29" s="86">
        <f>55215/100000</f>
        <v>0.55215000000000003</v>
      </c>
      <c r="K29" s="86">
        <f>95511/100000</f>
        <v>0.95511000000000001</v>
      </c>
      <c r="L29" s="86">
        <v>0</v>
      </c>
      <c r="M29" s="86"/>
      <c r="N29" s="87">
        <f t="shared" si="0"/>
        <v>1.50726</v>
      </c>
      <c r="O29" s="86">
        <f t="shared" si="1"/>
        <v>100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f>+D30*N3/100000</f>
        <v>2.66771</v>
      </c>
      <c r="G30" s="87">
        <f>266771/100000</f>
        <v>2.66771</v>
      </c>
      <c r="H30" s="86">
        <v>0</v>
      </c>
      <c r="I30" s="86">
        <f>90000/100000</f>
        <v>0.9</v>
      </c>
      <c r="J30" s="86">
        <v>0</v>
      </c>
      <c r="K30" s="86">
        <v>0</v>
      </c>
      <c r="L30" s="86">
        <f>169500/100000</f>
        <v>1.6950000000000001</v>
      </c>
      <c r="M30" s="86">
        <f>7271/100000</f>
        <v>7.2709999999999997E-2</v>
      </c>
      <c r="N30" s="88">
        <f t="shared" si="0"/>
        <v>2.66771</v>
      </c>
      <c r="O30" s="86">
        <f t="shared" si="1"/>
        <v>100</v>
      </c>
    </row>
    <row r="31" spans="1:16">
      <c r="A31" s="991" t="s">
        <v>1040</v>
      </c>
      <c r="B31" s="991"/>
      <c r="C31" s="991"/>
      <c r="D31" s="80">
        <v>2700</v>
      </c>
      <c r="E31" s="80" t="s">
        <v>242</v>
      </c>
      <c r="F31" s="87">
        <v>1.92</v>
      </c>
      <c r="G31" s="87">
        <f>192000/100000</f>
        <v>1.92</v>
      </c>
      <c r="H31" s="86">
        <f>10468/100000</f>
        <v>0.10468</v>
      </c>
      <c r="I31" s="86">
        <f>44740/100000</f>
        <v>0.44740000000000002</v>
      </c>
      <c r="J31" s="86">
        <f>32175/100000</f>
        <v>0.32174999999999998</v>
      </c>
      <c r="K31" s="86">
        <f>32574/100000</f>
        <v>0.32573999999999997</v>
      </c>
      <c r="L31" s="86">
        <f>42905/100000</f>
        <v>0.42904999999999999</v>
      </c>
      <c r="M31" s="86">
        <f>29138/100000</f>
        <v>0.29137999999999997</v>
      </c>
      <c r="N31" s="88">
        <f t="shared" si="0"/>
        <v>1.92</v>
      </c>
      <c r="O31" s="86">
        <f t="shared" si="1"/>
        <v>100</v>
      </c>
    </row>
    <row r="32" spans="1:16">
      <c r="A32" s="1006" t="s">
        <v>230</v>
      </c>
      <c r="B32" s="1007"/>
      <c r="C32" s="1008"/>
      <c r="D32" s="70"/>
      <c r="E32" s="70"/>
      <c r="F32" s="88">
        <f t="shared" ref="F32:N32" si="2">SUM(F24:F31)</f>
        <v>38.007899999999999</v>
      </c>
      <c r="G32" s="88">
        <f t="shared" si="2"/>
        <v>36.489050000000006</v>
      </c>
      <c r="H32" s="88">
        <f t="shared" si="2"/>
        <v>0.24854999999999999</v>
      </c>
      <c r="I32" s="88">
        <f t="shared" si="2"/>
        <v>10.288220000000001</v>
      </c>
      <c r="J32" s="88">
        <f t="shared" si="2"/>
        <v>15.06026</v>
      </c>
      <c r="K32" s="88">
        <f t="shared" si="2"/>
        <v>5.2442799999999998</v>
      </c>
      <c r="L32" s="88">
        <f t="shared" si="2"/>
        <v>4.438955</v>
      </c>
      <c r="M32" s="88">
        <f t="shared" si="2"/>
        <v>1.1485800000000002</v>
      </c>
      <c r="N32" s="88">
        <f t="shared" si="2"/>
        <v>36.428845000000003</v>
      </c>
      <c r="O32" s="88">
        <f t="shared" si="1"/>
        <v>99.835005296109372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M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ageMargins left="0.7" right="0.7" top="0.75" bottom="0.75" header="0.3" footer="0.3"/>
  <pageSetup scale="74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Q32"/>
  <sheetViews>
    <sheetView workbookViewId="0">
      <selection activeCell="A4" sqref="A4:C4"/>
    </sheetView>
  </sheetViews>
  <sheetFormatPr defaultRowHeight="15"/>
  <cols>
    <col min="4" max="5" width="9.28515625" bestFit="1" customWidth="1"/>
    <col min="6" max="6" width="9.7109375" bestFit="1" customWidth="1"/>
    <col min="7" max="7" width="9.85546875" bestFit="1" customWidth="1"/>
    <col min="8" max="8" width="10.5703125" customWidth="1"/>
    <col min="9" max="9" width="12" customWidth="1"/>
    <col min="10" max="10" width="9.42578125" bestFit="1" customWidth="1"/>
    <col min="11" max="11" width="9.7109375" bestFit="1" customWidth="1"/>
    <col min="12" max="13" width="9.42578125" bestFit="1" customWidth="1"/>
    <col min="14" max="14" width="9.85546875" bestFit="1" customWidth="1"/>
    <col min="15" max="15" width="10.7109375" bestFit="1" customWidth="1"/>
    <col min="260" max="261" width="9.28515625" bestFit="1" customWidth="1"/>
    <col min="262" max="262" width="9.7109375" bestFit="1" customWidth="1"/>
    <col min="263" max="263" width="9.85546875" bestFit="1" customWidth="1"/>
    <col min="264" max="264" width="10.5703125" customWidth="1"/>
    <col min="265" max="265" width="12" customWidth="1"/>
    <col min="266" max="266" width="9.42578125" bestFit="1" customWidth="1"/>
    <col min="267" max="267" width="9.7109375" bestFit="1" customWidth="1"/>
    <col min="268" max="269" width="9.42578125" bestFit="1" customWidth="1"/>
    <col min="270" max="270" width="9.85546875" bestFit="1" customWidth="1"/>
    <col min="271" max="271" width="10.7109375" bestFit="1" customWidth="1"/>
    <col min="516" max="517" width="9.28515625" bestFit="1" customWidth="1"/>
    <col min="518" max="518" width="9.7109375" bestFit="1" customWidth="1"/>
    <col min="519" max="519" width="9.85546875" bestFit="1" customWidth="1"/>
    <col min="520" max="520" width="10.5703125" customWidth="1"/>
    <col min="521" max="521" width="12" customWidth="1"/>
    <col min="522" max="522" width="9.42578125" bestFit="1" customWidth="1"/>
    <col min="523" max="523" width="9.7109375" bestFit="1" customWidth="1"/>
    <col min="524" max="525" width="9.42578125" bestFit="1" customWidth="1"/>
    <col min="526" max="526" width="9.85546875" bestFit="1" customWidth="1"/>
    <col min="527" max="527" width="10.7109375" bestFit="1" customWidth="1"/>
    <col min="772" max="773" width="9.28515625" bestFit="1" customWidth="1"/>
    <col min="774" max="774" width="9.7109375" bestFit="1" customWidth="1"/>
    <col min="775" max="775" width="9.85546875" bestFit="1" customWidth="1"/>
    <col min="776" max="776" width="10.5703125" customWidth="1"/>
    <col min="777" max="777" width="12" customWidth="1"/>
    <col min="778" max="778" width="9.42578125" bestFit="1" customWidth="1"/>
    <col min="779" max="779" width="9.7109375" bestFit="1" customWidth="1"/>
    <col min="780" max="781" width="9.42578125" bestFit="1" customWidth="1"/>
    <col min="782" max="782" width="9.85546875" bestFit="1" customWidth="1"/>
    <col min="783" max="783" width="10.7109375" bestFit="1" customWidth="1"/>
    <col min="1028" max="1029" width="9.28515625" bestFit="1" customWidth="1"/>
    <col min="1030" max="1030" width="9.7109375" bestFit="1" customWidth="1"/>
    <col min="1031" max="1031" width="9.85546875" bestFit="1" customWidth="1"/>
    <col min="1032" max="1032" width="10.5703125" customWidth="1"/>
    <col min="1033" max="1033" width="12" customWidth="1"/>
    <col min="1034" max="1034" width="9.42578125" bestFit="1" customWidth="1"/>
    <col min="1035" max="1035" width="9.7109375" bestFit="1" customWidth="1"/>
    <col min="1036" max="1037" width="9.42578125" bestFit="1" customWidth="1"/>
    <col min="1038" max="1038" width="9.85546875" bestFit="1" customWidth="1"/>
    <col min="1039" max="1039" width="10.7109375" bestFit="1" customWidth="1"/>
    <col min="1284" max="1285" width="9.28515625" bestFit="1" customWidth="1"/>
    <col min="1286" max="1286" width="9.7109375" bestFit="1" customWidth="1"/>
    <col min="1287" max="1287" width="9.85546875" bestFit="1" customWidth="1"/>
    <col min="1288" max="1288" width="10.5703125" customWidth="1"/>
    <col min="1289" max="1289" width="12" customWidth="1"/>
    <col min="1290" max="1290" width="9.42578125" bestFit="1" customWidth="1"/>
    <col min="1291" max="1291" width="9.7109375" bestFit="1" customWidth="1"/>
    <col min="1292" max="1293" width="9.42578125" bestFit="1" customWidth="1"/>
    <col min="1294" max="1294" width="9.85546875" bestFit="1" customWidth="1"/>
    <col min="1295" max="1295" width="10.7109375" bestFit="1" customWidth="1"/>
    <col min="1540" max="1541" width="9.28515625" bestFit="1" customWidth="1"/>
    <col min="1542" max="1542" width="9.7109375" bestFit="1" customWidth="1"/>
    <col min="1543" max="1543" width="9.85546875" bestFit="1" customWidth="1"/>
    <col min="1544" max="1544" width="10.5703125" customWidth="1"/>
    <col min="1545" max="1545" width="12" customWidth="1"/>
    <col min="1546" max="1546" width="9.42578125" bestFit="1" customWidth="1"/>
    <col min="1547" max="1547" width="9.7109375" bestFit="1" customWidth="1"/>
    <col min="1548" max="1549" width="9.42578125" bestFit="1" customWidth="1"/>
    <col min="1550" max="1550" width="9.85546875" bestFit="1" customWidth="1"/>
    <col min="1551" max="1551" width="10.7109375" bestFit="1" customWidth="1"/>
    <col min="1796" max="1797" width="9.28515625" bestFit="1" customWidth="1"/>
    <col min="1798" max="1798" width="9.7109375" bestFit="1" customWidth="1"/>
    <col min="1799" max="1799" width="9.85546875" bestFit="1" customWidth="1"/>
    <col min="1800" max="1800" width="10.5703125" customWidth="1"/>
    <col min="1801" max="1801" width="12" customWidth="1"/>
    <col min="1802" max="1802" width="9.42578125" bestFit="1" customWidth="1"/>
    <col min="1803" max="1803" width="9.7109375" bestFit="1" customWidth="1"/>
    <col min="1804" max="1805" width="9.42578125" bestFit="1" customWidth="1"/>
    <col min="1806" max="1806" width="9.85546875" bestFit="1" customWidth="1"/>
    <col min="1807" max="1807" width="10.7109375" bestFit="1" customWidth="1"/>
    <col min="2052" max="2053" width="9.28515625" bestFit="1" customWidth="1"/>
    <col min="2054" max="2054" width="9.7109375" bestFit="1" customWidth="1"/>
    <col min="2055" max="2055" width="9.85546875" bestFit="1" customWidth="1"/>
    <col min="2056" max="2056" width="10.5703125" customWidth="1"/>
    <col min="2057" max="2057" width="12" customWidth="1"/>
    <col min="2058" max="2058" width="9.42578125" bestFit="1" customWidth="1"/>
    <col min="2059" max="2059" width="9.7109375" bestFit="1" customWidth="1"/>
    <col min="2060" max="2061" width="9.42578125" bestFit="1" customWidth="1"/>
    <col min="2062" max="2062" width="9.85546875" bestFit="1" customWidth="1"/>
    <col min="2063" max="2063" width="10.7109375" bestFit="1" customWidth="1"/>
    <col min="2308" max="2309" width="9.28515625" bestFit="1" customWidth="1"/>
    <col min="2310" max="2310" width="9.7109375" bestFit="1" customWidth="1"/>
    <col min="2311" max="2311" width="9.85546875" bestFit="1" customWidth="1"/>
    <col min="2312" max="2312" width="10.5703125" customWidth="1"/>
    <col min="2313" max="2313" width="12" customWidth="1"/>
    <col min="2314" max="2314" width="9.42578125" bestFit="1" customWidth="1"/>
    <col min="2315" max="2315" width="9.7109375" bestFit="1" customWidth="1"/>
    <col min="2316" max="2317" width="9.42578125" bestFit="1" customWidth="1"/>
    <col min="2318" max="2318" width="9.85546875" bestFit="1" customWidth="1"/>
    <col min="2319" max="2319" width="10.7109375" bestFit="1" customWidth="1"/>
    <col min="2564" max="2565" width="9.28515625" bestFit="1" customWidth="1"/>
    <col min="2566" max="2566" width="9.7109375" bestFit="1" customWidth="1"/>
    <col min="2567" max="2567" width="9.85546875" bestFit="1" customWidth="1"/>
    <col min="2568" max="2568" width="10.5703125" customWidth="1"/>
    <col min="2569" max="2569" width="12" customWidth="1"/>
    <col min="2570" max="2570" width="9.42578125" bestFit="1" customWidth="1"/>
    <col min="2571" max="2571" width="9.7109375" bestFit="1" customWidth="1"/>
    <col min="2572" max="2573" width="9.42578125" bestFit="1" customWidth="1"/>
    <col min="2574" max="2574" width="9.85546875" bestFit="1" customWidth="1"/>
    <col min="2575" max="2575" width="10.7109375" bestFit="1" customWidth="1"/>
    <col min="2820" max="2821" width="9.28515625" bestFit="1" customWidth="1"/>
    <col min="2822" max="2822" width="9.7109375" bestFit="1" customWidth="1"/>
    <col min="2823" max="2823" width="9.85546875" bestFit="1" customWidth="1"/>
    <col min="2824" max="2824" width="10.5703125" customWidth="1"/>
    <col min="2825" max="2825" width="12" customWidth="1"/>
    <col min="2826" max="2826" width="9.42578125" bestFit="1" customWidth="1"/>
    <col min="2827" max="2827" width="9.7109375" bestFit="1" customWidth="1"/>
    <col min="2828" max="2829" width="9.42578125" bestFit="1" customWidth="1"/>
    <col min="2830" max="2830" width="9.85546875" bestFit="1" customWidth="1"/>
    <col min="2831" max="2831" width="10.7109375" bestFit="1" customWidth="1"/>
    <col min="3076" max="3077" width="9.28515625" bestFit="1" customWidth="1"/>
    <col min="3078" max="3078" width="9.7109375" bestFit="1" customWidth="1"/>
    <col min="3079" max="3079" width="9.85546875" bestFit="1" customWidth="1"/>
    <col min="3080" max="3080" width="10.5703125" customWidth="1"/>
    <col min="3081" max="3081" width="12" customWidth="1"/>
    <col min="3082" max="3082" width="9.42578125" bestFit="1" customWidth="1"/>
    <col min="3083" max="3083" width="9.7109375" bestFit="1" customWidth="1"/>
    <col min="3084" max="3085" width="9.42578125" bestFit="1" customWidth="1"/>
    <col min="3086" max="3086" width="9.85546875" bestFit="1" customWidth="1"/>
    <col min="3087" max="3087" width="10.7109375" bestFit="1" customWidth="1"/>
    <col min="3332" max="3333" width="9.28515625" bestFit="1" customWidth="1"/>
    <col min="3334" max="3334" width="9.7109375" bestFit="1" customWidth="1"/>
    <col min="3335" max="3335" width="9.85546875" bestFit="1" customWidth="1"/>
    <col min="3336" max="3336" width="10.5703125" customWidth="1"/>
    <col min="3337" max="3337" width="12" customWidth="1"/>
    <col min="3338" max="3338" width="9.42578125" bestFit="1" customWidth="1"/>
    <col min="3339" max="3339" width="9.7109375" bestFit="1" customWidth="1"/>
    <col min="3340" max="3341" width="9.42578125" bestFit="1" customWidth="1"/>
    <col min="3342" max="3342" width="9.85546875" bestFit="1" customWidth="1"/>
    <col min="3343" max="3343" width="10.7109375" bestFit="1" customWidth="1"/>
    <col min="3588" max="3589" width="9.28515625" bestFit="1" customWidth="1"/>
    <col min="3590" max="3590" width="9.7109375" bestFit="1" customWidth="1"/>
    <col min="3591" max="3591" width="9.85546875" bestFit="1" customWidth="1"/>
    <col min="3592" max="3592" width="10.5703125" customWidth="1"/>
    <col min="3593" max="3593" width="12" customWidth="1"/>
    <col min="3594" max="3594" width="9.42578125" bestFit="1" customWidth="1"/>
    <col min="3595" max="3595" width="9.7109375" bestFit="1" customWidth="1"/>
    <col min="3596" max="3597" width="9.42578125" bestFit="1" customWidth="1"/>
    <col min="3598" max="3598" width="9.85546875" bestFit="1" customWidth="1"/>
    <col min="3599" max="3599" width="10.7109375" bestFit="1" customWidth="1"/>
    <col min="3844" max="3845" width="9.28515625" bestFit="1" customWidth="1"/>
    <col min="3846" max="3846" width="9.7109375" bestFit="1" customWidth="1"/>
    <col min="3847" max="3847" width="9.85546875" bestFit="1" customWidth="1"/>
    <col min="3848" max="3848" width="10.5703125" customWidth="1"/>
    <col min="3849" max="3849" width="12" customWidth="1"/>
    <col min="3850" max="3850" width="9.42578125" bestFit="1" customWidth="1"/>
    <col min="3851" max="3851" width="9.7109375" bestFit="1" customWidth="1"/>
    <col min="3852" max="3853" width="9.42578125" bestFit="1" customWidth="1"/>
    <col min="3854" max="3854" width="9.85546875" bestFit="1" customWidth="1"/>
    <col min="3855" max="3855" width="10.7109375" bestFit="1" customWidth="1"/>
    <col min="4100" max="4101" width="9.28515625" bestFit="1" customWidth="1"/>
    <col min="4102" max="4102" width="9.7109375" bestFit="1" customWidth="1"/>
    <col min="4103" max="4103" width="9.85546875" bestFit="1" customWidth="1"/>
    <col min="4104" max="4104" width="10.5703125" customWidth="1"/>
    <col min="4105" max="4105" width="12" customWidth="1"/>
    <col min="4106" max="4106" width="9.42578125" bestFit="1" customWidth="1"/>
    <col min="4107" max="4107" width="9.7109375" bestFit="1" customWidth="1"/>
    <col min="4108" max="4109" width="9.42578125" bestFit="1" customWidth="1"/>
    <col min="4110" max="4110" width="9.85546875" bestFit="1" customWidth="1"/>
    <col min="4111" max="4111" width="10.7109375" bestFit="1" customWidth="1"/>
    <col min="4356" max="4357" width="9.28515625" bestFit="1" customWidth="1"/>
    <col min="4358" max="4358" width="9.7109375" bestFit="1" customWidth="1"/>
    <col min="4359" max="4359" width="9.85546875" bestFit="1" customWidth="1"/>
    <col min="4360" max="4360" width="10.5703125" customWidth="1"/>
    <col min="4361" max="4361" width="12" customWidth="1"/>
    <col min="4362" max="4362" width="9.42578125" bestFit="1" customWidth="1"/>
    <col min="4363" max="4363" width="9.7109375" bestFit="1" customWidth="1"/>
    <col min="4364" max="4365" width="9.42578125" bestFit="1" customWidth="1"/>
    <col min="4366" max="4366" width="9.85546875" bestFit="1" customWidth="1"/>
    <col min="4367" max="4367" width="10.7109375" bestFit="1" customWidth="1"/>
    <col min="4612" max="4613" width="9.28515625" bestFit="1" customWidth="1"/>
    <col min="4614" max="4614" width="9.7109375" bestFit="1" customWidth="1"/>
    <col min="4615" max="4615" width="9.85546875" bestFit="1" customWidth="1"/>
    <col min="4616" max="4616" width="10.5703125" customWidth="1"/>
    <col min="4617" max="4617" width="12" customWidth="1"/>
    <col min="4618" max="4618" width="9.42578125" bestFit="1" customWidth="1"/>
    <col min="4619" max="4619" width="9.7109375" bestFit="1" customWidth="1"/>
    <col min="4620" max="4621" width="9.42578125" bestFit="1" customWidth="1"/>
    <col min="4622" max="4622" width="9.85546875" bestFit="1" customWidth="1"/>
    <col min="4623" max="4623" width="10.7109375" bestFit="1" customWidth="1"/>
    <col min="4868" max="4869" width="9.28515625" bestFit="1" customWidth="1"/>
    <col min="4870" max="4870" width="9.7109375" bestFit="1" customWidth="1"/>
    <col min="4871" max="4871" width="9.85546875" bestFit="1" customWidth="1"/>
    <col min="4872" max="4872" width="10.5703125" customWidth="1"/>
    <col min="4873" max="4873" width="12" customWidth="1"/>
    <col min="4874" max="4874" width="9.42578125" bestFit="1" customWidth="1"/>
    <col min="4875" max="4875" width="9.7109375" bestFit="1" customWidth="1"/>
    <col min="4876" max="4877" width="9.42578125" bestFit="1" customWidth="1"/>
    <col min="4878" max="4878" width="9.85546875" bestFit="1" customWidth="1"/>
    <col min="4879" max="4879" width="10.7109375" bestFit="1" customWidth="1"/>
    <col min="5124" max="5125" width="9.28515625" bestFit="1" customWidth="1"/>
    <col min="5126" max="5126" width="9.7109375" bestFit="1" customWidth="1"/>
    <col min="5127" max="5127" width="9.85546875" bestFit="1" customWidth="1"/>
    <col min="5128" max="5128" width="10.5703125" customWidth="1"/>
    <col min="5129" max="5129" width="12" customWidth="1"/>
    <col min="5130" max="5130" width="9.42578125" bestFit="1" customWidth="1"/>
    <col min="5131" max="5131" width="9.7109375" bestFit="1" customWidth="1"/>
    <col min="5132" max="5133" width="9.42578125" bestFit="1" customWidth="1"/>
    <col min="5134" max="5134" width="9.85546875" bestFit="1" customWidth="1"/>
    <col min="5135" max="5135" width="10.7109375" bestFit="1" customWidth="1"/>
    <col min="5380" max="5381" width="9.28515625" bestFit="1" customWidth="1"/>
    <col min="5382" max="5382" width="9.7109375" bestFit="1" customWidth="1"/>
    <col min="5383" max="5383" width="9.85546875" bestFit="1" customWidth="1"/>
    <col min="5384" max="5384" width="10.5703125" customWidth="1"/>
    <col min="5385" max="5385" width="12" customWidth="1"/>
    <col min="5386" max="5386" width="9.42578125" bestFit="1" customWidth="1"/>
    <col min="5387" max="5387" width="9.7109375" bestFit="1" customWidth="1"/>
    <col min="5388" max="5389" width="9.42578125" bestFit="1" customWidth="1"/>
    <col min="5390" max="5390" width="9.85546875" bestFit="1" customWidth="1"/>
    <col min="5391" max="5391" width="10.7109375" bestFit="1" customWidth="1"/>
    <col min="5636" max="5637" width="9.28515625" bestFit="1" customWidth="1"/>
    <col min="5638" max="5638" width="9.7109375" bestFit="1" customWidth="1"/>
    <col min="5639" max="5639" width="9.85546875" bestFit="1" customWidth="1"/>
    <col min="5640" max="5640" width="10.5703125" customWidth="1"/>
    <col min="5641" max="5641" width="12" customWidth="1"/>
    <col min="5642" max="5642" width="9.42578125" bestFit="1" customWidth="1"/>
    <col min="5643" max="5643" width="9.7109375" bestFit="1" customWidth="1"/>
    <col min="5644" max="5645" width="9.42578125" bestFit="1" customWidth="1"/>
    <col min="5646" max="5646" width="9.85546875" bestFit="1" customWidth="1"/>
    <col min="5647" max="5647" width="10.7109375" bestFit="1" customWidth="1"/>
    <col min="5892" max="5893" width="9.28515625" bestFit="1" customWidth="1"/>
    <col min="5894" max="5894" width="9.7109375" bestFit="1" customWidth="1"/>
    <col min="5895" max="5895" width="9.85546875" bestFit="1" customWidth="1"/>
    <col min="5896" max="5896" width="10.5703125" customWidth="1"/>
    <col min="5897" max="5897" width="12" customWidth="1"/>
    <col min="5898" max="5898" width="9.42578125" bestFit="1" customWidth="1"/>
    <col min="5899" max="5899" width="9.7109375" bestFit="1" customWidth="1"/>
    <col min="5900" max="5901" width="9.42578125" bestFit="1" customWidth="1"/>
    <col min="5902" max="5902" width="9.85546875" bestFit="1" customWidth="1"/>
    <col min="5903" max="5903" width="10.7109375" bestFit="1" customWidth="1"/>
    <col min="6148" max="6149" width="9.28515625" bestFit="1" customWidth="1"/>
    <col min="6150" max="6150" width="9.7109375" bestFit="1" customWidth="1"/>
    <col min="6151" max="6151" width="9.85546875" bestFit="1" customWidth="1"/>
    <col min="6152" max="6152" width="10.5703125" customWidth="1"/>
    <col min="6153" max="6153" width="12" customWidth="1"/>
    <col min="6154" max="6154" width="9.42578125" bestFit="1" customWidth="1"/>
    <col min="6155" max="6155" width="9.7109375" bestFit="1" customWidth="1"/>
    <col min="6156" max="6157" width="9.42578125" bestFit="1" customWidth="1"/>
    <col min="6158" max="6158" width="9.85546875" bestFit="1" customWidth="1"/>
    <col min="6159" max="6159" width="10.7109375" bestFit="1" customWidth="1"/>
    <col min="6404" max="6405" width="9.28515625" bestFit="1" customWidth="1"/>
    <col min="6406" max="6406" width="9.7109375" bestFit="1" customWidth="1"/>
    <col min="6407" max="6407" width="9.85546875" bestFit="1" customWidth="1"/>
    <col min="6408" max="6408" width="10.5703125" customWidth="1"/>
    <col min="6409" max="6409" width="12" customWidth="1"/>
    <col min="6410" max="6410" width="9.42578125" bestFit="1" customWidth="1"/>
    <col min="6411" max="6411" width="9.7109375" bestFit="1" customWidth="1"/>
    <col min="6412" max="6413" width="9.42578125" bestFit="1" customWidth="1"/>
    <col min="6414" max="6414" width="9.85546875" bestFit="1" customWidth="1"/>
    <col min="6415" max="6415" width="10.7109375" bestFit="1" customWidth="1"/>
    <col min="6660" max="6661" width="9.28515625" bestFit="1" customWidth="1"/>
    <col min="6662" max="6662" width="9.7109375" bestFit="1" customWidth="1"/>
    <col min="6663" max="6663" width="9.85546875" bestFit="1" customWidth="1"/>
    <col min="6664" max="6664" width="10.5703125" customWidth="1"/>
    <col min="6665" max="6665" width="12" customWidth="1"/>
    <col min="6666" max="6666" width="9.42578125" bestFit="1" customWidth="1"/>
    <col min="6667" max="6667" width="9.7109375" bestFit="1" customWidth="1"/>
    <col min="6668" max="6669" width="9.42578125" bestFit="1" customWidth="1"/>
    <col min="6670" max="6670" width="9.85546875" bestFit="1" customWidth="1"/>
    <col min="6671" max="6671" width="10.7109375" bestFit="1" customWidth="1"/>
    <col min="6916" max="6917" width="9.28515625" bestFit="1" customWidth="1"/>
    <col min="6918" max="6918" width="9.7109375" bestFit="1" customWidth="1"/>
    <col min="6919" max="6919" width="9.85546875" bestFit="1" customWidth="1"/>
    <col min="6920" max="6920" width="10.5703125" customWidth="1"/>
    <col min="6921" max="6921" width="12" customWidth="1"/>
    <col min="6922" max="6922" width="9.42578125" bestFit="1" customWidth="1"/>
    <col min="6923" max="6923" width="9.7109375" bestFit="1" customWidth="1"/>
    <col min="6924" max="6925" width="9.42578125" bestFit="1" customWidth="1"/>
    <col min="6926" max="6926" width="9.85546875" bestFit="1" customWidth="1"/>
    <col min="6927" max="6927" width="10.7109375" bestFit="1" customWidth="1"/>
    <col min="7172" max="7173" width="9.28515625" bestFit="1" customWidth="1"/>
    <col min="7174" max="7174" width="9.7109375" bestFit="1" customWidth="1"/>
    <col min="7175" max="7175" width="9.85546875" bestFit="1" customWidth="1"/>
    <col min="7176" max="7176" width="10.5703125" customWidth="1"/>
    <col min="7177" max="7177" width="12" customWidth="1"/>
    <col min="7178" max="7178" width="9.42578125" bestFit="1" customWidth="1"/>
    <col min="7179" max="7179" width="9.7109375" bestFit="1" customWidth="1"/>
    <col min="7180" max="7181" width="9.42578125" bestFit="1" customWidth="1"/>
    <col min="7182" max="7182" width="9.85546875" bestFit="1" customWidth="1"/>
    <col min="7183" max="7183" width="10.7109375" bestFit="1" customWidth="1"/>
    <col min="7428" max="7429" width="9.28515625" bestFit="1" customWidth="1"/>
    <col min="7430" max="7430" width="9.7109375" bestFit="1" customWidth="1"/>
    <col min="7431" max="7431" width="9.85546875" bestFit="1" customWidth="1"/>
    <col min="7432" max="7432" width="10.5703125" customWidth="1"/>
    <col min="7433" max="7433" width="12" customWidth="1"/>
    <col min="7434" max="7434" width="9.42578125" bestFit="1" customWidth="1"/>
    <col min="7435" max="7435" width="9.7109375" bestFit="1" customWidth="1"/>
    <col min="7436" max="7437" width="9.42578125" bestFit="1" customWidth="1"/>
    <col min="7438" max="7438" width="9.85546875" bestFit="1" customWidth="1"/>
    <col min="7439" max="7439" width="10.7109375" bestFit="1" customWidth="1"/>
    <col min="7684" max="7685" width="9.28515625" bestFit="1" customWidth="1"/>
    <col min="7686" max="7686" width="9.7109375" bestFit="1" customWidth="1"/>
    <col min="7687" max="7687" width="9.85546875" bestFit="1" customWidth="1"/>
    <col min="7688" max="7688" width="10.5703125" customWidth="1"/>
    <col min="7689" max="7689" width="12" customWidth="1"/>
    <col min="7690" max="7690" width="9.42578125" bestFit="1" customWidth="1"/>
    <col min="7691" max="7691" width="9.7109375" bestFit="1" customWidth="1"/>
    <col min="7692" max="7693" width="9.42578125" bestFit="1" customWidth="1"/>
    <col min="7694" max="7694" width="9.85546875" bestFit="1" customWidth="1"/>
    <col min="7695" max="7695" width="10.7109375" bestFit="1" customWidth="1"/>
    <col min="7940" max="7941" width="9.28515625" bestFit="1" customWidth="1"/>
    <col min="7942" max="7942" width="9.7109375" bestFit="1" customWidth="1"/>
    <col min="7943" max="7943" width="9.85546875" bestFit="1" customWidth="1"/>
    <col min="7944" max="7944" width="10.5703125" customWidth="1"/>
    <col min="7945" max="7945" width="12" customWidth="1"/>
    <col min="7946" max="7946" width="9.42578125" bestFit="1" customWidth="1"/>
    <col min="7947" max="7947" width="9.7109375" bestFit="1" customWidth="1"/>
    <col min="7948" max="7949" width="9.42578125" bestFit="1" customWidth="1"/>
    <col min="7950" max="7950" width="9.85546875" bestFit="1" customWidth="1"/>
    <col min="7951" max="7951" width="10.7109375" bestFit="1" customWidth="1"/>
    <col min="8196" max="8197" width="9.28515625" bestFit="1" customWidth="1"/>
    <col min="8198" max="8198" width="9.7109375" bestFit="1" customWidth="1"/>
    <col min="8199" max="8199" width="9.85546875" bestFit="1" customWidth="1"/>
    <col min="8200" max="8200" width="10.5703125" customWidth="1"/>
    <col min="8201" max="8201" width="12" customWidth="1"/>
    <col min="8202" max="8202" width="9.42578125" bestFit="1" customWidth="1"/>
    <col min="8203" max="8203" width="9.7109375" bestFit="1" customWidth="1"/>
    <col min="8204" max="8205" width="9.42578125" bestFit="1" customWidth="1"/>
    <col min="8206" max="8206" width="9.85546875" bestFit="1" customWidth="1"/>
    <col min="8207" max="8207" width="10.7109375" bestFit="1" customWidth="1"/>
    <col min="8452" max="8453" width="9.28515625" bestFit="1" customWidth="1"/>
    <col min="8454" max="8454" width="9.7109375" bestFit="1" customWidth="1"/>
    <col min="8455" max="8455" width="9.85546875" bestFit="1" customWidth="1"/>
    <col min="8456" max="8456" width="10.5703125" customWidth="1"/>
    <col min="8457" max="8457" width="12" customWidth="1"/>
    <col min="8458" max="8458" width="9.42578125" bestFit="1" customWidth="1"/>
    <col min="8459" max="8459" width="9.7109375" bestFit="1" customWidth="1"/>
    <col min="8460" max="8461" width="9.42578125" bestFit="1" customWidth="1"/>
    <col min="8462" max="8462" width="9.85546875" bestFit="1" customWidth="1"/>
    <col min="8463" max="8463" width="10.7109375" bestFit="1" customWidth="1"/>
    <col min="8708" max="8709" width="9.28515625" bestFit="1" customWidth="1"/>
    <col min="8710" max="8710" width="9.7109375" bestFit="1" customWidth="1"/>
    <col min="8711" max="8711" width="9.85546875" bestFit="1" customWidth="1"/>
    <col min="8712" max="8712" width="10.5703125" customWidth="1"/>
    <col min="8713" max="8713" width="12" customWidth="1"/>
    <col min="8714" max="8714" width="9.42578125" bestFit="1" customWidth="1"/>
    <col min="8715" max="8715" width="9.7109375" bestFit="1" customWidth="1"/>
    <col min="8716" max="8717" width="9.42578125" bestFit="1" customWidth="1"/>
    <col min="8718" max="8718" width="9.85546875" bestFit="1" customWidth="1"/>
    <col min="8719" max="8719" width="10.7109375" bestFit="1" customWidth="1"/>
    <col min="8964" max="8965" width="9.28515625" bestFit="1" customWidth="1"/>
    <col min="8966" max="8966" width="9.7109375" bestFit="1" customWidth="1"/>
    <col min="8967" max="8967" width="9.85546875" bestFit="1" customWidth="1"/>
    <col min="8968" max="8968" width="10.5703125" customWidth="1"/>
    <col min="8969" max="8969" width="12" customWidth="1"/>
    <col min="8970" max="8970" width="9.42578125" bestFit="1" customWidth="1"/>
    <col min="8971" max="8971" width="9.7109375" bestFit="1" customWidth="1"/>
    <col min="8972" max="8973" width="9.42578125" bestFit="1" customWidth="1"/>
    <col min="8974" max="8974" width="9.85546875" bestFit="1" customWidth="1"/>
    <col min="8975" max="8975" width="10.7109375" bestFit="1" customWidth="1"/>
    <col min="9220" max="9221" width="9.28515625" bestFit="1" customWidth="1"/>
    <col min="9222" max="9222" width="9.7109375" bestFit="1" customWidth="1"/>
    <col min="9223" max="9223" width="9.85546875" bestFit="1" customWidth="1"/>
    <col min="9224" max="9224" width="10.5703125" customWidth="1"/>
    <col min="9225" max="9225" width="12" customWidth="1"/>
    <col min="9226" max="9226" width="9.42578125" bestFit="1" customWidth="1"/>
    <col min="9227" max="9227" width="9.7109375" bestFit="1" customWidth="1"/>
    <col min="9228" max="9229" width="9.42578125" bestFit="1" customWidth="1"/>
    <col min="9230" max="9230" width="9.85546875" bestFit="1" customWidth="1"/>
    <col min="9231" max="9231" width="10.7109375" bestFit="1" customWidth="1"/>
    <col min="9476" max="9477" width="9.28515625" bestFit="1" customWidth="1"/>
    <col min="9478" max="9478" width="9.7109375" bestFit="1" customWidth="1"/>
    <col min="9479" max="9479" width="9.85546875" bestFit="1" customWidth="1"/>
    <col min="9480" max="9480" width="10.5703125" customWidth="1"/>
    <col min="9481" max="9481" width="12" customWidth="1"/>
    <col min="9482" max="9482" width="9.42578125" bestFit="1" customWidth="1"/>
    <col min="9483" max="9483" width="9.7109375" bestFit="1" customWidth="1"/>
    <col min="9484" max="9485" width="9.42578125" bestFit="1" customWidth="1"/>
    <col min="9486" max="9486" width="9.85546875" bestFit="1" customWidth="1"/>
    <col min="9487" max="9487" width="10.7109375" bestFit="1" customWidth="1"/>
    <col min="9732" max="9733" width="9.28515625" bestFit="1" customWidth="1"/>
    <col min="9734" max="9734" width="9.7109375" bestFit="1" customWidth="1"/>
    <col min="9735" max="9735" width="9.85546875" bestFit="1" customWidth="1"/>
    <col min="9736" max="9736" width="10.5703125" customWidth="1"/>
    <col min="9737" max="9737" width="12" customWidth="1"/>
    <col min="9738" max="9738" width="9.42578125" bestFit="1" customWidth="1"/>
    <col min="9739" max="9739" width="9.7109375" bestFit="1" customWidth="1"/>
    <col min="9740" max="9741" width="9.42578125" bestFit="1" customWidth="1"/>
    <col min="9742" max="9742" width="9.85546875" bestFit="1" customWidth="1"/>
    <col min="9743" max="9743" width="10.7109375" bestFit="1" customWidth="1"/>
    <col min="9988" max="9989" width="9.28515625" bestFit="1" customWidth="1"/>
    <col min="9990" max="9990" width="9.7109375" bestFit="1" customWidth="1"/>
    <col min="9991" max="9991" width="9.85546875" bestFit="1" customWidth="1"/>
    <col min="9992" max="9992" width="10.5703125" customWidth="1"/>
    <col min="9993" max="9993" width="12" customWidth="1"/>
    <col min="9994" max="9994" width="9.42578125" bestFit="1" customWidth="1"/>
    <col min="9995" max="9995" width="9.7109375" bestFit="1" customWidth="1"/>
    <col min="9996" max="9997" width="9.42578125" bestFit="1" customWidth="1"/>
    <col min="9998" max="9998" width="9.85546875" bestFit="1" customWidth="1"/>
    <col min="9999" max="9999" width="10.7109375" bestFit="1" customWidth="1"/>
    <col min="10244" max="10245" width="9.28515625" bestFit="1" customWidth="1"/>
    <col min="10246" max="10246" width="9.7109375" bestFit="1" customWidth="1"/>
    <col min="10247" max="10247" width="9.85546875" bestFit="1" customWidth="1"/>
    <col min="10248" max="10248" width="10.5703125" customWidth="1"/>
    <col min="10249" max="10249" width="12" customWidth="1"/>
    <col min="10250" max="10250" width="9.42578125" bestFit="1" customWidth="1"/>
    <col min="10251" max="10251" width="9.7109375" bestFit="1" customWidth="1"/>
    <col min="10252" max="10253" width="9.42578125" bestFit="1" customWidth="1"/>
    <col min="10254" max="10254" width="9.85546875" bestFit="1" customWidth="1"/>
    <col min="10255" max="10255" width="10.7109375" bestFit="1" customWidth="1"/>
    <col min="10500" max="10501" width="9.28515625" bestFit="1" customWidth="1"/>
    <col min="10502" max="10502" width="9.7109375" bestFit="1" customWidth="1"/>
    <col min="10503" max="10503" width="9.85546875" bestFit="1" customWidth="1"/>
    <col min="10504" max="10504" width="10.5703125" customWidth="1"/>
    <col min="10505" max="10505" width="12" customWidth="1"/>
    <col min="10506" max="10506" width="9.42578125" bestFit="1" customWidth="1"/>
    <col min="10507" max="10507" width="9.7109375" bestFit="1" customWidth="1"/>
    <col min="10508" max="10509" width="9.42578125" bestFit="1" customWidth="1"/>
    <col min="10510" max="10510" width="9.85546875" bestFit="1" customWidth="1"/>
    <col min="10511" max="10511" width="10.7109375" bestFit="1" customWidth="1"/>
    <col min="10756" max="10757" width="9.28515625" bestFit="1" customWidth="1"/>
    <col min="10758" max="10758" width="9.7109375" bestFit="1" customWidth="1"/>
    <col min="10759" max="10759" width="9.85546875" bestFit="1" customWidth="1"/>
    <col min="10760" max="10760" width="10.5703125" customWidth="1"/>
    <col min="10761" max="10761" width="12" customWidth="1"/>
    <col min="10762" max="10762" width="9.42578125" bestFit="1" customWidth="1"/>
    <col min="10763" max="10763" width="9.7109375" bestFit="1" customWidth="1"/>
    <col min="10764" max="10765" width="9.42578125" bestFit="1" customWidth="1"/>
    <col min="10766" max="10766" width="9.85546875" bestFit="1" customWidth="1"/>
    <col min="10767" max="10767" width="10.7109375" bestFit="1" customWidth="1"/>
    <col min="11012" max="11013" width="9.28515625" bestFit="1" customWidth="1"/>
    <col min="11014" max="11014" width="9.7109375" bestFit="1" customWidth="1"/>
    <col min="11015" max="11015" width="9.85546875" bestFit="1" customWidth="1"/>
    <col min="11016" max="11016" width="10.5703125" customWidth="1"/>
    <col min="11017" max="11017" width="12" customWidth="1"/>
    <col min="11018" max="11018" width="9.42578125" bestFit="1" customWidth="1"/>
    <col min="11019" max="11019" width="9.7109375" bestFit="1" customWidth="1"/>
    <col min="11020" max="11021" width="9.42578125" bestFit="1" customWidth="1"/>
    <col min="11022" max="11022" width="9.85546875" bestFit="1" customWidth="1"/>
    <col min="11023" max="11023" width="10.7109375" bestFit="1" customWidth="1"/>
    <col min="11268" max="11269" width="9.28515625" bestFit="1" customWidth="1"/>
    <col min="11270" max="11270" width="9.7109375" bestFit="1" customWidth="1"/>
    <col min="11271" max="11271" width="9.85546875" bestFit="1" customWidth="1"/>
    <col min="11272" max="11272" width="10.5703125" customWidth="1"/>
    <col min="11273" max="11273" width="12" customWidth="1"/>
    <col min="11274" max="11274" width="9.42578125" bestFit="1" customWidth="1"/>
    <col min="11275" max="11275" width="9.7109375" bestFit="1" customWidth="1"/>
    <col min="11276" max="11277" width="9.42578125" bestFit="1" customWidth="1"/>
    <col min="11278" max="11278" width="9.85546875" bestFit="1" customWidth="1"/>
    <col min="11279" max="11279" width="10.7109375" bestFit="1" customWidth="1"/>
    <col min="11524" max="11525" width="9.28515625" bestFit="1" customWidth="1"/>
    <col min="11526" max="11526" width="9.7109375" bestFit="1" customWidth="1"/>
    <col min="11527" max="11527" width="9.85546875" bestFit="1" customWidth="1"/>
    <col min="11528" max="11528" width="10.5703125" customWidth="1"/>
    <col min="11529" max="11529" width="12" customWidth="1"/>
    <col min="11530" max="11530" width="9.42578125" bestFit="1" customWidth="1"/>
    <col min="11531" max="11531" width="9.7109375" bestFit="1" customWidth="1"/>
    <col min="11532" max="11533" width="9.42578125" bestFit="1" customWidth="1"/>
    <col min="11534" max="11534" width="9.85546875" bestFit="1" customWidth="1"/>
    <col min="11535" max="11535" width="10.7109375" bestFit="1" customWidth="1"/>
    <col min="11780" max="11781" width="9.28515625" bestFit="1" customWidth="1"/>
    <col min="11782" max="11782" width="9.7109375" bestFit="1" customWidth="1"/>
    <col min="11783" max="11783" width="9.85546875" bestFit="1" customWidth="1"/>
    <col min="11784" max="11784" width="10.5703125" customWidth="1"/>
    <col min="11785" max="11785" width="12" customWidth="1"/>
    <col min="11786" max="11786" width="9.42578125" bestFit="1" customWidth="1"/>
    <col min="11787" max="11787" width="9.7109375" bestFit="1" customWidth="1"/>
    <col min="11788" max="11789" width="9.42578125" bestFit="1" customWidth="1"/>
    <col min="11790" max="11790" width="9.85546875" bestFit="1" customWidth="1"/>
    <col min="11791" max="11791" width="10.7109375" bestFit="1" customWidth="1"/>
    <col min="12036" max="12037" width="9.28515625" bestFit="1" customWidth="1"/>
    <col min="12038" max="12038" width="9.7109375" bestFit="1" customWidth="1"/>
    <col min="12039" max="12039" width="9.85546875" bestFit="1" customWidth="1"/>
    <col min="12040" max="12040" width="10.5703125" customWidth="1"/>
    <col min="12041" max="12041" width="12" customWidth="1"/>
    <col min="12042" max="12042" width="9.42578125" bestFit="1" customWidth="1"/>
    <col min="12043" max="12043" width="9.7109375" bestFit="1" customWidth="1"/>
    <col min="12044" max="12045" width="9.42578125" bestFit="1" customWidth="1"/>
    <col min="12046" max="12046" width="9.85546875" bestFit="1" customWidth="1"/>
    <col min="12047" max="12047" width="10.7109375" bestFit="1" customWidth="1"/>
    <col min="12292" max="12293" width="9.28515625" bestFit="1" customWidth="1"/>
    <col min="12294" max="12294" width="9.7109375" bestFit="1" customWidth="1"/>
    <col min="12295" max="12295" width="9.85546875" bestFit="1" customWidth="1"/>
    <col min="12296" max="12296" width="10.5703125" customWidth="1"/>
    <col min="12297" max="12297" width="12" customWidth="1"/>
    <col min="12298" max="12298" width="9.42578125" bestFit="1" customWidth="1"/>
    <col min="12299" max="12299" width="9.7109375" bestFit="1" customWidth="1"/>
    <col min="12300" max="12301" width="9.42578125" bestFit="1" customWidth="1"/>
    <col min="12302" max="12302" width="9.85546875" bestFit="1" customWidth="1"/>
    <col min="12303" max="12303" width="10.7109375" bestFit="1" customWidth="1"/>
    <col min="12548" max="12549" width="9.28515625" bestFit="1" customWidth="1"/>
    <col min="12550" max="12550" width="9.7109375" bestFit="1" customWidth="1"/>
    <col min="12551" max="12551" width="9.85546875" bestFit="1" customWidth="1"/>
    <col min="12552" max="12552" width="10.5703125" customWidth="1"/>
    <col min="12553" max="12553" width="12" customWidth="1"/>
    <col min="12554" max="12554" width="9.42578125" bestFit="1" customWidth="1"/>
    <col min="12555" max="12555" width="9.7109375" bestFit="1" customWidth="1"/>
    <col min="12556" max="12557" width="9.42578125" bestFit="1" customWidth="1"/>
    <col min="12558" max="12558" width="9.85546875" bestFit="1" customWidth="1"/>
    <col min="12559" max="12559" width="10.7109375" bestFit="1" customWidth="1"/>
    <col min="12804" max="12805" width="9.28515625" bestFit="1" customWidth="1"/>
    <col min="12806" max="12806" width="9.7109375" bestFit="1" customWidth="1"/>
    <col min="12807" max="12807" width="9.85546875" bestFit="1" customWidth="1"/>
    <col min="12808" max="12808" width="10.5703125" customWidth="1"/>
    <col min="12809" max="12809" width="12" customWidth="1"/>
    <col min="12810" max="12810" width="9.42578125" bestFit="1" customWidth="1"/>
    <col min="12811" max="12811" width="9.7109375" bestFit="1" customWidth="1"/>
    <col min="12812" max="12813" width="9.42578125" bestFit="1" customWidth="1"/>
    <col min="12814" max="12814" width="9.85546875" bestFit="1" customWidth="1"/>
    <col min="12815" max="12815" width="10.7109375" bestFit="1" customWidth="1"/>
    <col min="13060" max="13061" width="9.28515625" bestFit="1" customWidth="1"/>
    <col min="13062" max="13062" width="9.7109375" bestFit="1" customWidth="1"/>
    <col min="13063" max="13063" width="9.85546875" bestFit="1" customWidth="1"/>
    <col min="13064" max="13064" width="10.5703125" customWidth="1"/>
    <col min="13065" max="13065" width="12" customWidth="1"/>
    <col min="13066" max="13066" width="9.42578125" bestFit="1" customWidth="1"/>
    <col min="13067" max="13067" width="9.7109375" bestFit="1" customWidth="1"/>
    <col min="13068" max="13069" width="9.42578125" bestFit="1" customWidth="1"/>
    <col min="13070" max="13070" width="9.85546875" bestFit="1" customWidth="1"/>
    <col min="13071" max="13071" width="10.7109375" bestFit="1" customWidth="1"/>
    <col min="13316" max="13317" width="9.28515625" bestFit="1" customWidth="1"/>
    <col min="13318" max="13318" width="9.7109375" bestFit="1" customWidth="1"/>
    <col min="13319" max="13319" width="9.85546875" bestFit="1" customWidth="1"/>
    <col min="13320" max="13320" width="10.5703125" customWidth="1"/>
    <col min="13321" max="13321" width="12" customWidth="1"/>
    <col min="13322" max="13322" width="9.42578125" bestFit="1" customWidth="1"/>
    <col min="13323" max="13323" width="9.7109375" bestFit="1" customWidth="1"/>
    <col min="13324" max="13325" width="9.42578125" bestFit="1" customWidth="1"/>
    <col min="13326" max="13326" width="9.85546875" bestFit="1" customWidth="1"/>
    <col min="13327" max="13327" width="10.7109375" bestFit="1" customWidth="1"/>
    <col min="13572" max="13573" width="9.28515625" bestFit="1" customWidth="1"/>
    <col min="13574" max="13574" width="9.7109375" bestFit="1" customWidth="1"/>
    <col min="13575" max="13575" width="9.85546875" bestFit="1" customWidth="1"/>
    <col min="13576" max="13576" width="10.5703125" customWidth="1"/>
    <col min="13577" max="13577" width="12" customWidth="1"/>
    <col min="13578" max="13578" width="9.42578125" bestFit="1" customWidth="1"/>
    <col min="13579" max="13579" width="9.7109375" bestFit="1" customWidth="1"/>
    <col min="13580" max="13581" width="9.42578125" bestFit="1" customWidth="1"/>
    <col min="13582" max="13582" width="9.85546875" bestFit="1" customWidth="1"/>
    <col min="13583" max="13583" width="10.7109375" bestFit="1" customWidth="1"/>
    <col min="13828" max="13829" width="9.28515625" bestFit="1" customWidth="1"/>
    <col min="13830" max="13830" width="9.7109375" bestFit="1" customWidth="1"/>
    <col min="13831" max="13831" width="9.85546875" bestFit="1" customWidth="1"/>
    <col min="13832" max="13832" width="10.5703125" customWidth="1"/>
    <col min="13833" max="13833" width="12" customWidth="1"/>
    <col min="13834" max="13834" width="9.42578125" bestFit="1" customWidth="1"/>
    <col min="13835" max="13835" width="9.7109375" bestFit="1" customWidth="1"/>
    <col min="13836" max="13837" width="9.42578125" bestFit="1" customWidth="1"/>
    <col min="13838" max="13838" width="9.85546875" bestFit="1" customWidth="1"/>
    <col min="13839" max="13839" width="10.7109375" bestFit="1" customWidth="1"/>
    <col min="14084" max="14085" width="9.28515625" bestFit="1" customWidth="1"/>
    <col min="14086" max="14086" width="9.7109375" bestFit="1" customWidth="1"/>
    <col min="14087" max="14087" width="9.85546875" bestFit="1" customWidth="1"/>
    <col min="14088" max="14088" width="10.5703125" customWidth="1"/>
    <col min="14089" max="14089" width="12" customWidth="1"/>
    <col min="14090" max="14090" width="9.42578125" bestFit="1" customWidth="1"/>
    <col min="14091" max="14091" width="9.7109375" bestFit="1" customWidth="1"/>
    <col min="14092" max="14093" width="9.42578125" bestFit="1" customWidth="1"/>
    <col min="14094" max="14094" width="9.85546875" bestFit="1" customWidth="1"/>
    <col min="14095" max="14095" width="10.7109375" bestFit="1" customWidth="1"/>
    <col min="14340" max="14341" width="9.28515625" bestFit="1" customWidth="1"/>
    <col min="14342" max="14342" width="9.7109375" bestFit="1" customWidth="1"/>
    <col min="14343" max="14343" width="9.85546875" bestFit="1" customWidth="1"/>
    <col min="14344" max="14344" width="10.5703125" customWidth="1"/>
    <col min="14345" max="14345" width="12" customWidth="1"/>
    <col min="14346" max="14346" width="9.42578125" bestFit="1" customWidth="1"/>
    <col min="14347" max="14347" width="9.7109375" bestFit="1" customWidth="1"/>
    <col min="14348" max="14349" width="9.42578125" bestFit="1" customWidth="1"/>
    <col min="14350" max="14350" width="9.85546875" bestFit="1" customWidth="1"/>
    <col min="14351" max="14351" width="10.7109375" bestFit="1" customWidth="1"/>
    <col min="14596" max="14597" width="9.28515625" bestFit="1" customWidth="1"/>
    <col min="14598" max="14598" width="9.7109375" bestFit="1" customWidth="1"/>
    <col min="14599" max="14599" width="9.85546875" bestFit="1" customWidth="1"/>
    <col min="14600" max="14600" width="10.5703125" customWidth="1"/>
    <col min="14601" max="14601" width="12" customWidth="1"/>
    <col min="14602" max="14602" width="9.42578125" bestFit="1" customWidth="1"/>
    <col min="14603" max="14603" width="9.7109375" bestFit="1" customWidth="1"/>
    <col min="14604" max="14605" width="9.42578125" bestFit="1" customWidth="1"/>
    <col min="14606" max="14606" width="9.85546875" bestFit="1" customWidth="1"/>
    <col min="14607" max="14607" width="10.7109375" bestFit="1" customWidth="1"/>
    <col min="14852" max="14853" width="9.28515625" bestFit="1" customWidth="1"/>
    <col min="14854" max="14854" width="9.7109375" bestFit="1" customWidth="1"/>
    <col min="14855" max="14855" width="9.85546875" bestFit="1" customWidth="1"/>
    <col min="14856" max="14856" width="10.5703125" customWidth="1"/>
    <col min="14857" max="14857" width="12" customWidth="1"/>
    <col min="14858" max="14858" width="9.42578125" bestFit="1" customWidth="1"/>
    <col min="14859" max="14859" width="9.7109375" bestFit="1" customWidth="1"/>
    <col min="14860" max="14861" width="9.42578125" bestFit="1" customWidth="1"/>
    <col min="14862" max="14862" width="9.85546875" bestFit="1" customWidth="1"/>
    <col min="14863" max="14863" width="10.7109375" bestFit="1" customWidth="1"/>
    <col min="15108" max="15109" width="9.28515625" bestFit="1" customWidth="1"/>
    <col min="15110" max="15110" width="9.7109375" bestFit="1" customWidth="1"/>
    <col min="15111" max="15111" width="9.85546875" bestFit="1" customWidth="1"/>
    <col min="15112" max="15112" width="10.5703125" customWidth="1"/>
    <col min="15113" max="15113" width="12" customWidth="1"/>
    <col min="15114" max="15114" width="9.42578125" bestFit="1" customWidth="1"/>
    <col min="15115" max="15115" width="9.7109375" bestFit="1" customWidth="1"/>
    <col min="15116" max="15117" width="9.42578125" bestFit="1" customWidth="1"/>
    <col min="15118" max="15118" width="9.85546875" bestFit="1" customWidth="1"/>
    <col min="15119" max="15119" width="10.7109375" bestFit="1" customWidth="1"/>
    <col min="15364" max="15365" width="9.28515625" bestFit="1" customWidth="1"/>
    <col min="15366" max="15366" width="9.7109375" bestFit="1" customWidth="1"/>
    <col min="15367" max="15367" width="9.85546875" bestFit="1" customWidth="1"/>
    <col min="15368" max="15368" width="10.5703125" customWidth="1"/>
    <col min="15369" max="15369" width="12" customWidth="1"/>
    <col min="15370" max="15370" width="9.42578125" bestFit="1" customWidth="1"/>
    <col min="15371" max="15371" width="9.7109375" bestFit="1" customWidth="1"/>
    <col min="15372" max="15373" width="9.42578125" bestFit="1" customWidth="1"/>
    <col min="15374" max="15374" width="9.85546875" bestFit="1" customWidth="1"/>
    <col min="15375" max="15375" width="10.7109375" bestFit="1" customWidth="1"/>
    <col min="15620" max="15621" width="9.28515625" bestFit="1" customWidth="1"/>
    <col min="15622" max="15622" width="9.7109375" bestFit="1" customWidth="1"/>
    <col min="15623" max="15623" width="9.85546875" bestFit="1" customWidth="1"/>
    <col min="15624" max="15624" width="10.5703125" customWidth="1"/>
    <col min="15625" max="15625" width="12" customWidth="1"/>
    <col min="15626" max="15626" width="9.42578125" bestFit="1" customWidth="1"/>
    <col min="15627" max="15627" width="9.7109375" bestFit="1" customWidth="1"/>
    <col min="15628" max="15629" width="9.42578125" bestFit="1" customWidth="1"/>
    <col min="15630" max="15630" width="9.85546875" bestFit="1" customWidth="1"/>
    <col min="15631" max="15631" width="10.7109375" bestFit="1" customWidth="1"/>
    <col min="15876" max="15877" width="9.28515625" bestFit="1" customWidth="1"/>
    <col min="15878" max="15878" width="9.7109375" bestFit="1" customWidth="1"/>
    <col min="15879" max="15879" width="9.85546875" bestFit="1" customWidth="1"/>
    <col min="15880" max="15880" width="10.5703125" customWidth="1"/>
    <col min="15881" max="15881" width="12" customWidth="1"/>
    <col min="15882" max="15882" width="9.42578125" bestFit="1" customWidth="1"/>
    <col min="15883" max="15883" width="9.7109375" bestFit="1" customWidth="1"/>
    <col min="15884" max="15885" width="9.42578125" bestFit="1" customWidth="1"/>
    <col min="15886" max="15886" width="9.85546875" bestFit="1" customWidth="1"/>
    <col min="15887" max="15887" width="10.7109375" bestFit="1" customWidth="1"/>
    <col min="16132" max="16133" width="9.28515625" bestFit="1" customWidth="1"/>
    <col min="16134" max="16134" width="9.7109375" bestFit="1" customWidth="1"/>
    <col min="16135" max="16135" width="9.85546875" bestFit="1" customWidth="1"/>
    <col min="16136" max="16136" width="10.5703125" customWidth="1"/>
    <col min="16137" max="16137" width="12" customWidth="1"/>
    <col min="16138" max="16138" width="9.42578125" bestFit="1" customWidth="1"/>
    <col min="16139" max="16139" width="9.7109375" bestFit="1" customWidth="1"/>
    <col min="16140" max="16141" width="9.42578125" bestFit="1" customWidth="1"/>
    <col min="16142" max="16142" width="9.85546875" bestFit="1" customWidth="1"/>
    <col min="16143" max="16143" width="10.7109375" bestFit="1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1052</v>
      </c>
      <c r="E3" s="854"/>
      <c r="F3" s="854"/>
      <c r="G3" s="1002" t="s">
        <v>1004</v>
      </c>
      <c r="H3" s="998"/>
      <c r="I3" s="998"/>
      <c r="J3" s="854">
        <v>902110201</v>
      </c>
      <c r="K3" s="854"/>
      <c r="L3" s="1004" t="s">
        <v>1005</v>
      </c>
      <c r="M3" s="1005"/>
      <c r="N3" s="47">
        <v>333.51900000000001</v>
      </c>
      <c r="O3" s="851" t="s">
        <v>831</v>
      </c>
      <c r="P3" s="997"/>
      <c r="Q3" s="80">
        <v>200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392</v>
      </c>
      <c r="E5" s="854"/>
      <c r="F5" s="854"/>
      <c r="G5" s="1002" t="s">
        <v>1008</v>
      </c>
      <c r="H5" s="998"/>
      <c r="I5" s="1001"/>
      <c r="J5" s="854" t="s">
        <v>1053</v>
      </c>
      <c r="K5" s="854"/>
      <c r="L5" s="854"/>
      <c r="M5" s="46"/>
      <c r="N5" s="46"/>
      <c r="O5" s="46"/>
      <c r="P5" s="46"/>
    </row>
    <row r="6" spans="1:17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 t="s">
        <v>1054</v>
      </c>
      <c r="E7" s="854"/>
      <c r="F7" s="854"/>
      <c r="G7" s="1002" t="s">
        <v>1011</v>
      </c>
      <c r="H7" s="998"/>
      <c r="I7" s="1001"/>
      <c r="J7" s="854" t="s">
        <v>1055</v>
      </c>
      <c r="K7" s="854"/>
      <c r="L7" s="854"/>
      <c r="M7" s="46"/>
      <c r="N7" s="46"/>
      <c r="O7" s="46"/>
      <c r="P7" s="46"/>
    </row>
    <row r="8" spans="1:17">
      <c r="A8" s="46"/>
      <c r="B8" s="46"/>
      <c r="C8" s="46"/>
      <c r="D8" s="46"/>
      <c r="E8" s="46"/>
      <c r="F8" s="46"/>
      <c r="G8" s="46"/>
      <c r="H8" s="46"/>
      <c r="I8" s="46"/>
      <c r="J8" s="854"/>
      <c r="K8" s="854"/>
      <c r="L8" s="854"/>
      <c r="M8" s="46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1056</v>
      </c>
      <c r="E10" s="854"/>
      <c r="F10" s="854" t="s">
        <v>1057</v>
      </c>
      <c r="G10" s="854"/>
      <c r="H10" s="854"/>
      <c r="I10" s="854"/>
      <c r="J10" s="854"/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1058</v>
      </c>
      <c r="E11" s="854"/>
      <c r="F11" s="854" t="s">
        <v>1059</v>
      </c>
      <c r="G11" s="854"/>
      <c r="H11" s="854"/>
      <c r="I11" s="854"/>
      <c r="J11" s="854"/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1060</v>
      </c>
      <c r="E12" s="854"/>
      <c r="F12" s="854" t="s">
        <v>1061</v>
      </c>
      <c r="G12" s="854"/>
      <c r="H12" s="854"/>
      <c r="I12" s="854"/>
      <c r="J12" s="854"/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 t="s">
        <v>392</v>
      </c>
      <c r="E13" s="854"/>
      <c r="F13" s="854" t="s">
        <v>1062</v>
      </c>
      <c r="G13" s="854"/>
      <c r="H13" s="854"/>
      <c r="I13" s="854"/>
      <c r="J13" s="854"/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2</v>
      </c>
      <c r="E15" s="82" t="s">
        <v>1025</v>
      </c>
      <c r="F15" s="83"/>
      <c r="G15" s="83"/>
      <c r="H15" s="47">
        <v>2</v>
      </c>
      <c r="I15" s="46" t="s">
        <v>1026</v>
      </c>
      <c r="J15" s="47">
        <v>11</v>
      </c>
      <c r="K15" s="46" t="s">
        <v>1027</v>
      </c>
      <c r="L15" s="47">
        <v>1</v>
      </c>
      <c r="M15" s="84" t="s">
        <v>645</v>
      </c>
      <c r="N15" s="47">
        <v>8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152</v>
      </c>
      <c r="F17" s="46" t="s">
        <v>205</v>
      </c>
      <c r="G17" s="47">
        <v>14</v>
      </c>
      <c r="H17" s="46" t="s">
        <v>206</v>
      </c>
      <c r="I17" s="47"/>
      <c r="J17" s="46" t="s">
        <v>230</v>
      </c>
      <c r="K17" s="47">
        <v>166</v>
      </c>
      <c r="L17" s="46" t="s">
        <v>207</v>
      </c>
      <c r="M17" s="47">
        <v>11</v>
      </c>
      <c r="N17" s="46" t="s">
        <v>1028</v>
      </c>
      <c r="O17" s="46"/>
      <c r="P17" s="47">
        <v>33</v>
      </c>
    </row>
    <row r="18" spans="1:16">
      <c r="A18" s="46" t="s">
        <v>1029</v>
      </c>
      <c r="B18" s="46"/>
      <c r="C18" s="46"/>
      <c r="D18" s="46" t="s">
        <v>1030</v>
      </c>
      <c r="E18" s="47">
        <v>369</v>
      </c>
      <c r="F18" s="46" t="s">
        <v>211</v>
      </c>
      <c r="G18" s="47">
        <v>21</v>
      </c>
      <c r="H18" s="46" t="s">
        <v>212</v>
      </c>
      <c r="I18" s="47"/>
      <c r="J18" s="46" t="s">
        <v>411</v>
      </c>
      <c r="K18" s="47">
        <v>390</v>
      </c>
      <c r="L18" s="46"/>
      <c r="M18" s="46"/>
      <c r="N18" s="46"/>
      <c r="O18" s="46"/>
      <c r="P18" s="46">
        <f>135870+79230</f>
        <v>215100</v>
      </c>
    </row>
    <row r="19" spans="1:16">
      <c r="A19" s="46"/>
      <c r="B19" s="46"/>
      <c r="C19" s="46"/>
      <c r="D19" s="46" t="s">
        <v>213</v>
      </c>
      <c r="E19" s="47">
        <v>342</v>
      </c>
      <c r="F19" s="46" t="s">
        <v>214</v>
      </c>
      <c r="G19" s="47">
        <v>25</v>
      </c>
      <c r="H19" s="46" t="s">
        <v>215</v>
      </c>
      <c r="I19" s="47"/>
      <c r="J19" s="46" t="s">
        <v>410</v>
      </c>
      <c r="K19" s="47">
        <v>367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854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854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2668152/100000</f>
        <v>26.681519999999999</v>
      </c>
      <c r="G24" s="87">
        <f>2668152/100000</f>
        <v>26.681519999999999</v>
      </c>
      <c r="H24" s="86">
        <f>29514/100000</f>
        <v>0.29514000000000001</v>
      </c>
      <c r="I24" s="86">
        <f>535496/100000</f>
        <v>5.3549600000000002</v>
      </c>
      <c r="J24" s="86">
        <f>620283/100000</f>
        <v>6.2028299999999996</v>
      </c>
      <c r="K24" s="86">
        <f>1163025/100000</f>
        <v>11.63025</v>
      </c>
      <c r="L24" s="86">
        <f>209760/100000</f>
        <v>2.0975999999999999</v>
      </c>
      <c r="M24" s="86">
        <f>115677/100000</f>
        <v>1.1567700000000001</v>
      </c>
      <c r="N24" s="88">
        <f>SUM(H24:M24)</f>
        <v>26.737550000000002</v>
      </c>
      <c r="O24" s="86">
        <f>N24*100/G24</f>
        <v>100.20999553248841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6">
        <f>560000/100000</f>
        <v>5.6</v>
      </c>
      <c r="G25" s="86">
        <f>560000/100000</f>
        <v>5.6</v>
      </c>
      <c r="H25" s="86">
        <v>0</v>
      </c>
      <c r="I25" s="86">
        <v>0</v>
      </c>
      <c r="J25" s="86">
        <f>59846/100000</f>
        <v>0.59845999999999999</v>
      </c>
      <c r="K25" s="86">
        <f>195588/100000</f>
        <v>1.9558800000000001</v>
      </c>
      <c r="L25" s="86">
        <f>197850/100000</f>
        <v>1.9784999999999999</v>
      </c>
      <c r="M25" s="86">
        <f>105665/100000</f>
        <v>1.0566500000000001</v>
      </c>
      <c r="N25" s="88">
        <f t="shared" ref="N25:N31" si="0">SUM(H25:M25)</f>
        <v>5.5894900000000005</v>
      </c>
      <c r="O25" s="86">
        <f t="shared" ref="O25:O32" si="1">N25*100/G25</f>
        <v>99.812321428571451</v>
      </c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f>143000/100000</f>
        <v>1.43</v>
      </c>
      <c r="G26" s="87">
        <f>63000/100000</f>
        <v>0.63</v>
      </c>
      <c r="H26" s="86">
        <v>0</v>
      </c>
      <c r="I26" s="86">
        <v>0</v>
      </c>
      <c r="J26" s="86">
        <f>7462/100000</f>
        <v>7.4620000000000006E-2</v>
      </c>
      <c r="K26" s="86">
        <f>14576/100000</f>
        <v>0.14576</v>
      </c>
      <c r="L26" s="86">
        <f>20962/100000</f>
        <v>0.20962</v>
      </c>
      <c r="M26" s="86">
        <f>20000/100000</f>
        <v>0.2</v>
      </c>
      <c r="N26" s="88">
        <f t="shared" si="0"/>
        <v>0.63000000000000012</v>
      </c>
      <c r="O26" s="86">
        <f t="shared" si="1"/>
        <v>100.00000000000003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7">
        <f>34000/100000</f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5330/100000</f>
        <v>5.33E-2</v>
      </c>
      <c r="L27" s="86">
        <f>9860/100000</f>
        <v>9.8599999999999993E-2</v>
      </c>
      <c r="M27" s="86">
        <v>0</v>
      </c>
      <c r="N27" s="88">
        <f t="shared" si="0"/>
        <v>0.31389999999999996</v>
      </c>
      <c r="O27" s="86">
        <f t="shared" si="1"/>
        <v>92.323529411764696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f>400223/100000</f>
        <v>4.00223</v>
      </c>
      <c r="G28" s="87">
        <f>400223/100000</f>
        <v>4.00223</v>
      </c>
      <c r="H28" s="86">
        <v>0</v>
      </c>
      <c r="I28" s="86">
        <v>0</v>
      </c>
      <c r="J28" s="86">
        <v>0</v>
      </c>
      <c r="K28" s="86">
        <v>0</v>
      </c>
      <c r="L28" s="86">
        <f>153500/100000</f>
        <v>1.5349999999999999</v>
      </c>
      <c r="M28" s="86">
        <f>65926/100000</f>
        <v>0.65925999999999996</v>
      </c>
      <c r="N28" s="88">
        <f t="shared" si="0"/>
        <v>2.1942599999999999</v>
      </c>
      <c r="O28" s="86">
        <f t="shared" si="1"/>
        <v>54.825934541493112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ROUND((+D29*N3),0)/100000</f>
        <v>1.8843799999999999</v>
      </c>
      <c r="G29" s="87">
        <f>188439/100000</f>
        <v>1.88439</v>
      </c>
      <c r="H29" s="86">
        <v>0</v>
      </c>
      <c r="I29" s="86">
        <v>0</v>
      </c>
      <c r="J29" s="86">
        <f>23182/100000</f>
        <v>0.23182</v>
      </c>
      <c r="K29" s="86">
        <f>165257/100000</f>
        <v>1.6525700000000001</v>
      </c>
      <c r="L29" s="86">
        <v>0</v>
      </c>
      <c r="M29" s="86">
        <v>0</v>
      </c>
      <c r="N29" s="87">
        <f t="shared" si="0"/>
        <v>1.88439</v>
      </c>
      <c r="O29" s="86">
        <f t="shared" si="1"/>
        <v>100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f>333519/100000</f>
        <v>3.3351899999999999</v>
      </c>
      <c r="G30" s="87">
        <f>333519/100000</f>
        <v>3.3351899999999999</v>
      </c>
      <c r="H30" s="86">
        <v>0</v>
      </c>
      <c r="I30" s="86">
        <f>30000/100000</f>
        <v>0.3</v>
      </c>
      <c r="J30" s="86">
        <f>58400/100000</f>
        <v>0.58399999999999996</v>
      </c>
      <c r="K30" s="86">
        <f>11600/100000</f>
        <v>0.11600000000000001</v>
      </c>
      <c r="L30" s="86">
        <v>0</v>
      </c>
      <c r="M30" s="86">
        <f>201508/100000</f>
        <v>2.0150800000000002</v>
      </c>
      <c r="N30" s="88">
        <f t="shared" si="0"/>
        <v>3.0150800000000002</v>
      </c>
      <c r="O30" s="86">
        <f t="shared" si="1"/>
        <v>90.402046060344404</v>
      </c>
    </row>
    <row r="31" spans="1:16">
      <c r="A31" s="991" t="s">
        <v>1040</v>
      </c>
      <c r="B31" s="991"/>
      <c r="C31" s="991"/>
      <c r="D31" s="80">
        <v>2700</v>
      </c>
      <c r="E31" s="80" t="s">
        <v>242</v>
      </c>
      <c r="F31" s="87">
        <f>192000/100000</f>
        <v>1.92</v>
      </c>
      <c r="G31" s="87">
        <f>192000/100000</f>
        <v>1.92</v>
      </c>
      <c r="H31" s="86">
        <f>6274/100000</f>
        <v>6.2740000000000004E-2</v>
      </c>
      <c r="I31" s="86">
        <f>27134/100000</f>
        <v>0.27134000000000003</v>
      </c>
      <c r="J31" s="86">
        <f>18068/100000</f>
        <v>0.18068000000000001</v>
      </c>
      <c r="K31" s="86">
        <f>49148/100000</f>
        <v>0.49147999999999997</v>
      </c>
      <c r="L31" s="86">
        <f>58127/100000</f>
        <v>0.58126999999999995</v>
      </c>
      <c r="M31" s="86">
        <f>30556/100000</f>
        <v>0.30556</v>
      </c>
      <c r="N31" s="88">
        <f t="shared" si="0"/>
        <v>1.89307</v>
      </c>
      <c r="O31" s="86">
        <f t="shared" si="1"/>
        <v>98.597395833333351</v>
      </c>
    </row>
    <row r="32" spans="1:16">
      <c r="A32" s="1006" t="s">
        <v>230</v>
      </c>
      <c r="B32" s="1007"/>
      <c r="C32" s="1008"/>
      <c r="D32" s="70"/>
      <c r="E32" s="70"/>
      <c r="F32" s="88">
        <f t="shared" ref="F32:N32" si="2">SUM(F24:F31)</f>
        <v>45.19332</v>
      </c>
      <c r="G32" s="88">
        <f t="shared" si="2"/>
        <v>44.393330000000006</v>
      </c>
      <c r="H32" s="88">
        <f t="shared" si="2"/>
        <v>0.35788000000000003</v>
      </c>
      <c r="I32" s="88">
        <f t="shared" si="2"/>
        <v>5.9263000000000003</v>
      </c>
      <c r="J32" s="88">
        <f t="shared" si="2"/>
        <v>8.0344099999999994</v>
      </c>
      <c r="K32" s="88">
        <f t="shared" si="2"/>
        <v>16.04524</v>
      </c>
      <c r="L32" s="88">
        <f t="shared" si="2"/>
        <v>6.5005900000000008</v>
      </c>
      <c r="M32" s="88">
        <f t="shared" si="2"/>
        <v>5.3933200000000001</v>
      </c>
      <c r="N32" s="88">
        <f t="shared" si="2"/>
        <v>42.257740000000005</v>
      </c>
      <c r="O32" s="88">
        <f t="shared" si="1"/>
        <v>95.189389937632512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L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ageMargins left="0.7" right="0.7" top="0.75" bottom="0.75" header="0.3" footer="0.3"/>
  <pageSetup scale="66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Q32"/>
  <sheetViews>
    <sheetView workbookViewId="0">
      <selection activeCell="A4" sqref="A4:C4"/>
    </sheetView>
  </sheetViews>
  <sheetFormatPr defaultRowHeight="15"/>
  <cols>
    <col min="4" max="5" width="9.28515625" bestFit="1" customWidth="1"/>
    <col min="6" max="7" width="9.7109375" bestFit="1" customWidth="1"/>
    <col min="8" max="8" width="9.42578125" bestFit="1" customWidth="1"/>
    <col min="9" max="11" width="9.7109375" bestFit="1" customWidth="1"/>
    <col min="12" max="13" width="9.42578125" bestFit="1" customWidth="1"/>
    <col min="14" max="14" width="9.85546875" bestFit="1" customWidth="1"/>
    <col min="15" max="15" width="10.7109375" bestFit="1" customWidth="1"/>
    <col min="260" max="261" width="9.28515625" bestFit="1" customWidth="1"/>
    <col min="262" max="263" width="9.7109375" bestFit="1" customWidth="1"/>
    <col min="264" max="264" width="9.42578125" bestFit="1" customWidth="1"/>
    <col min="265" max="267" width="9.7109375" bestFit="1" customWidth="1"/>
    <col min="268" max="269" width="9.42578125" bestFit="1" customWidth="1"/>
    <col min="270" max="270" width="9.85546875" bestFit="1" customWidth="1"/>
    <col min="271" max="271" width="10.7109375" bestFit="1" customWidth="1"/>
    <col min="516" max="517" width="9.28515625" bestFit="1" customWidth="1"/>
    <col min="518" max="519" width="9.7109375" bestFit="1" customWidth="1"/>
    <col min="520" max="520" width="9.42578125" bestFit="1" customWidth="1"/>
    <col min="521" max="523" width="9.7109375" bestFit="1" customWidth="1"/>
    <col min="524" max="525" width="9.42578125" bestFit="1" customWidth="1"/>
    <col min="526" max="526" width="9.85546875" bestFit="1" customWidth="1"/>
    <col min="527" max="527" width="10.7109375" bestFit="1" customWidth="1"/>
    <col min="772" max="773" width="9.28515625" bestFit="1" customWidth="1"/>
    <col min="774" max="775" width="9.7109375" bestFit="1" customWidth="1"/>
    <col min="776" max="776" width="9.42578125" bestFit="1" customWidth="1"/>
    <col min="777" max="779" width="9.7109375" bestFit="1" customWidth="1"/>
    <col min="780" max="781" width="9.42578125" bestFit="1" customWidth="1"/>
    <col min="782" max="782" width="9.85546875" bestFit="1" customWidth="1"/>
    <col min="783" max="783" width="10.7109375" bestFit="1" customWidth="1"/>
    <col min="1028" max="1029" width="9.28515625" bestFit="1" customWidth="1"/>
    <col min="1030" max="1031" width="9.7109375" bestFit="1" customWidth="1"/>
    <col min="1032" max="1032" width="9.42578125" bestFit="1" customWidth="1"/>
    <col min="1033" max="1035" width="9.7109375" bestFit="1" customWidth="1"/>
    <col min="1036" max="1037" width="9.42578125" bestFit="1" customWidth="1"/>
    <col min="1038" max="1038" width="9.85546875" bestFit="1" customWidth="1"/>
    <col min="1039" max="1039" width="10.7109375" bestFit="1" customWidth="1"/>
    <col min="1284" max="1285" width="9.28515625" bestFit="1" customWidth="1"/>
    <col min="1286" max="1287" width="9.7109375" bestFit="1" customWidth="1"/>
    <col min="1288" max="1288" width="9.42578125" bestFit="1" customWidth="1"/>
    <col min="1289" max="1291" width="9.7109375" bestFit="1" customWidth="1"/>
    <col min="1292" max="1293" width="9.42578125" bestFit="1" customWidth="1"/>
    <col min="1294" max="1294" width="9.85546875" bestFit="1" customWidth="1"/>
    <col min="1295" max="1295" width="10.7109375" bestFit="1" customWidth="1"/>
    <col min="1540" max="1541" width="9.28515625" bestFit="1" customWidth="1"/>
    <col min="1542" max="1543" width="9.7109375" bestFit="1" customWidth="1"/>
    <col min="1544" max="1544" width="9.42578125" bestFit="1" customWidth="1"/>
    <col min="1545" max="1547" width="9.7109375" bestFit="1" customWidth="1"/>
    <col min="1548" max="1549" width="9.42578125" bestFit="1" customWidth="1"/>
    <col min="1550" max="1550" width="9.85546875" bestFit="1" customWidth="1"/>
    <col min="1551" max="1551" width="10.7109375" bestFit="1" customWidth="1"/>
    <col min="1796" max="1797" width="9.28515625" bestFit="1" customWidth="1"/>
    <col min="1798" max="1799" width="9.7109375" bestFit="1" customWidth="1"/>
    <col min="1800" max="1800" width="9.42578125" bestFit="1" customWidth="1"/>
    <col min="1801" max="1803" width="9.7109375" bestFit="1" customWidth="1"/>
    <col min="1804" max="1805" width="9.42578125" bestFit="1" customWidth="1"/>
    <col min="1806" max="1806" width="9.85546875" bestFit="1" customWidth="1"/>
    <col min="1807" max="1807" width="10.7109375" bestFit="1" customWidth="1"/>
    <col min="2052" max="2053" width="9.28515625" bestFit="1" customWidth="1"/>
    <col min="2054" max="2055" width="9.7109375" bestFit="1" customWidth="1"/>
    <col min="2056" max="2056" width="9.42578125" bestFit="1" customWidth="1"/>
    <col min="2057" max="2059" width="9.7109375" bestFit="1" customWidth="1"/>
    <col min="2060" max="2061" width="9.42578125" bestFit="1" customWidth="1"/>
    <col min="2062" max="2062" width="9.85546875" bestFit="1" customWidth="1"/>
    <col min="2063" max="2063" width="10.7109375" bestFit="1" customWidth="1"/>
    <col min="2308" max="2309" width="9.28515625" bestFit="1" customWidth="1"/>
    <col min="2310" max="2311" width="9.7109375" bestFit="1" customWidth="1"/>
    <col min="2312" max="2312" width="9.42578125" bestFit="1" customWidth="1"/>
    <col min="2313" max="2315" width="9.7109375" bestFit="1" customWidth="1"/>
    <col min="2316" max="2317" width="9.42578125" bestFit="1" customWidth="1"/>
    <col min="2318" max="2318" width="9.85546875" bestFit="1" customWidth="1"/>
    <col min="2319" max="2319" width="10.7109375" bestFit="1" customWidth="1"/>
    <col min="2564" max="2565" width="9.28515625" bestFit="1" customWidth="1"/>
    <col min="2566" max="2567" width="9.7109375" bestFit="1" customWidth="1"/>
    <col min="2568" max="2568" width="9.42578125" bestFit="1" customWidth="1"/>
    <col min="2569" max="2571" width="9.7109375" bestFit="1" customWidth="1"/>
    <col min="2572" max="2573" width="9.42578125" bestFit="1" customWidth="1"/>
    <col min="2574" max="2574" width="9.85546875" bestFit="1" customWidth="1"/>
    <col min="2575" max="2575" width="10.7109375" bestFit="1" customWidth="1"/>
    <col min="2820" max="2821" width="9.28515625" bestFit="1" customWidth="1"/>
    <col min="2822" max="2823" width="9.7109375" bestFit="1" customWidth="1"/>
    <col min="2824" max="2824" width="9.42578125" bestFit="1" customWidth="1"/>
    <col min="2825" max="2827" width="9.7109375" bestFit="1" customWidth="1"/>
    <col min="2828" max="2829" width="9.42578125" bestFit="1" customWidth="1"/>
    <col min="2830" max="2830" width="9.85546875" bestFit="1" customWidth="1"/>
    <col min="2831" max="2831" width="10.7109375" bestFit="1" customWidth="1"/>
    <col min="3076" max="3077" width="9.28515625" bestFit="1" customWidth="1"/>
    <col min="3078" max="3079" width="9.7109375" bestFit="1" customWidth="1"/>
    <col min="3080" max="3080" width="9.42578125" bestFit="1" customWidth="1"/>
    <col min="3081" max="3083" width="9.7109375" bestFit="1" customWidth="1"/>
    <col min="3084" max="3085" width="9.42578125" bestFit="1" customWidth="1"/>
    <col min="3086" max="3086" width="9.85546875" bestFit="1" customWidth="1"/>
    <col min="3087" max="3087" width="10.7109375" bestFit="1" customWidth="1"/>
    <col min="3332" max="3333" width="9.28515625" bestFit="1" customWidth="1"/>
    <col min="3334" max="3335" width="9.7109375" bestFit="1" customWidth="1"/>
    <col min="3336" max="3336" width="9.42578125" bestFit="1" customWidth="1"/>
    <col min="3337" max="3339" width="9.7109375" bestFit="1" customWidth="1"/>
    <col min="3340" max="3341" width="9.42578125" bestFit="1" customWidth="1"/>
    <col min="3342" max="3342" width="9.85546875" bestFit="1" customWidth="1"/>
    <col min="3343" max="3343" width="10.7109375" bestFit="1" customWidth="1"/>
    <col min="3588" max="3589" width="9.28515625" bestFit="1" customWidth="1"/>
    <col min="3590" max="3591" width="9.7109375" bestFit="1" customWidth="1"/>
    <col min="3592" max="3592" width="9.42578125" bestFit="1" customWidth="1"/>
    <col min="3593" max="3595" width="9.7109375" bestFit="1" customWidth="1"/>
    <col min="3596" max="3597" width="9.42578125" bestFit="1" customWidth="1"/>
    <col min="3598" max="3598" width="9.85546875" bestFit="1" customWidth="1"/>
    <col min="3599" max="3599" width="10.7109375" bestFit="1" customWidth="1"/>
    <col min="3844" max="3845" width="9.28515625" bestFit="1" customWidth="1"/>
    <col min="3846" max="3847" width="9.7109375" bestFit="1" customWidth="1"/>
    <col min="3848" max="3848" width="9.42578125" bestFit="1" customWidth="1"/>
    <col min="3849" max="3851" width="9.7109375" bestFit="1" customWidth="1"/>
    <col min="3852" max="3853" width="9.42578125" bestFit="1" customWidth="1"/>
    <col min="3854" max="3854" width="9.85546875" bestFit="1" customWidth="1"/>
    <col min="3855" max="3855" width="10.7109375" bestFit="1" customWidth="1"/>
    <col min="4100" max="4101" width="9.28515625" bestFit="1" customWidth="1"/>
    <col min="4102" max="4103" width="9.7109375" bestFit="1" customWidth="1"/>
    <col min="4104" max="4104" width="9.42578125" bestFit="1" customWidth="1"/>
    <col min="4105" max="4107" width="9.7109375" bestFit="1" customWidth="1"/>
    <col min="4108" max="4109" width="9.42578125" bestFit="1" customWidth="1"/>
    <col min="4110" max="4110" width="9.85546875" bestFit="1" customWidth="1"/>
    <col min="4111" max="4111" width="10.7109375" bestFit="1" customWidth="1"/>
    <col min="4356" max="4357" width="9.28515625" bestFit="1" customWidth="1"/>
    <col min="4358" max="4359" width="9.7109375" bestFit="1" customWidth="1"/>
    <col min="4360" max="4360" width="9.42578125" bestFit="1" customWidth="1"/>
    <col min="4361" max="4363" width="9.7109375" bestFit="1" customWidth="1"/>
    <col min="4364" max="4365" width="9.42578125" bestFit="1" customWidth="1"/>
    <col min="4366" max="4366" width="9.85546875" bestFit="1" customWidth="1"/>
    <col min="4367" max="4367" width="10.7109375" bestFit="1" customWidth="1"/>
    <col min="4612" max="4613" width="9.28515625" bestFit="1" customWidth="1"/>
    <col min="4614" max="4615" width="9.7109375" bestFit="1" customWidth="1"/>
    <col min="4616" max="4616" width="9.42578125" bestFit="1" customWidth="1"/>
    <col min="4617" max="4619" width="9.7109375" bestFit="1" customWidth="1"/>
    <col min="4620" max="4621" width="9.42578125" bestFit="1" customWidth="1"/>
    <col min="4622" max="4622" width="9.85546875" bestFit="1" customWidth="1"/>
    <col min="4623" max="4623" width="10.7109375" bestFit="1" customWidth="1"/>
    <col min="4868" max="4869" width="9.28515625" bestFit="1" customWidth="1"/>
    <col min="4870" max="4871" width="9.7109375" bestFit="1" customWidth="1"/>
    <col min="4872" max="4872" width="9.42578125" bestFit="1" customWidth="1"/>
    <col min="4873" max="4875" width="9.7109375" bestFit="1" customWidth="1"/>
    <col min="4876" max="4877" width="9.42578125" bestFit="1" customWidth="1"/>
    <col min="4878" max="4878" width="9.85546875" bestFit="1" customWidth="1"/>
    <col min="4879" max="4879" width="10.7109375" bestFit="1" customWidth="1"/>
    <col min="5124" max="5125" width="9.28515625" bestFit="1" customWidth="1"/>
    <col min="5126" max="5127" width="9.7109375" bestFit="1" customWidth="1"/>
    <col min="5128" max="5128" width="9.42578125" bestFit="1" customWidth="1"/>
    <col min="5129" max="5131" width="9.7109375" bestFit="1" customWidth="1"/>
    <col min="5132" max="5133" width="9.42578125" bestFit="1" customWidth="1"/>
    <col min="5134" max="5134" width="9.85546875" bestFit="1" customWidth="1"/>
    <col min="5135" max="5135" width="10.7109375" bestFit="1" customWidth="1"/>
    <col min="5380" max="5381" width="9.28515625" bestFit="1" customWidth="1"/>
    <col min="5382" max="5383" width="9.7109375" bestFit="1" customWidth="1"/>
    <col min="5384" max="5384" width="9.42578125" bestFit="1" customWidth="1"/>
    <col min="5385" max="5387" width="9.7109375" bestFit="1" customWidth="1"/>
    <col min="5388" max="5389" width="9.42578125" bestFit="1" customWidth="1"/>
    <col min="5390" max="5390" width="9.85546875" bestFit="1" customWidth="1"/>
    <col min="5391" max="5391" width="10.7109375" bestFit="1" customWidth="1"/>
    <col min="5636" max="5637" width="9.28515625" bestFit="1" customWidth="1"/>
    <col min="5638" max="5639" width="9.7109375" bestFit="1" customWidth="1"/>
    <col min="5640" max="5640" width="9.42578125" bestFit="1" customWidth="1"/>
    <col min="5641" max="5643" width="9.7109375" bestFit="1" customWidth="1"/>
    <col min="5644" max="5645" width="9.42578125" bestFit="1" customWidth="1"/>
    <col min="5646" max="5646" width="9.85546875" bestFit="1" customWidth="1"/>
    <col min="5647" max="5647" width="10.7109375" bestFit="1" customWidth="1"/>
    <col min="5892" max="5893" width="9.28515625" bestFit="1" customWidth="1"/>
    <col min="5894" max="5895" width="9.7109375" bestFit="1" customWidth="1"/>
    <col min="5896" max="5896" width="9.42578125" bestFit="1" customWidth="1"/>
    <col min="5897" max="5899" width="9.7109375" bestFit="1" customWidth="1"/>
    <col min="5900" max="5901" width="9.42578125" bestFit="1" customWidth="1"/>
    <col min="5902" max="5902" width="9.85546875" bestFit="1" customWidth="1"/>
    <col min="5903" max="5903" width="10.7109375" bestFit="1" customWidth="1"/>
    <col min="6148" max="6149" width="9.28515625" bestFit="1" customWidth="1"/>
    <col min="6150" max="6151" width="9.7109375" bestFit="1" customWidth="1"/>
    <col min="6152" max="6152" width="9.42578125" bestFit="1" customWidth="1"/>
    <col min="6153" max="6155" width="9.7109375" bestFit="1" customWidth="1"/>
    <col min="6156" max="6157" width="9.42578125" bestFit="1" customWidth="1"/>
    <col min="6158" max="6158" width="9.85546875" bestFit="1" customWidth="1"/>
    <col min="6159" max="6159" width="10.7109375" bestFit="1" customWidth="1"/>
    <col min="6404" max="6405" width="9.28515625" bestFit="1" customWidth="1"/>
    <col min="6406" max="6407" width="9.7109375" bestFit="1" customWidth="1"/>
    <col min="6408" max="6408" width="9.42578125" bestFit="1" customWidth="1"/>
    <col min="6409" max="6411" width="9.7109375" bestFit="1" customWidth="1"/>
    <col min="6412" max="6413" width="9.42578125" bestFit="1" customWidth="1"/>
    <col min="6414" max="6414" width="9.85546875" bestFit="1" customWidth="1"/>
    <col min="6415" max="6415" width="10.7109375" bestFit="1" customWidth="1"/>
    <col min="6660" max="6661" width="9.28515625" bestFit="1" customWidth="1"/>
    <col min="6662" max="6663" width="9.7109375" bestFit="1" customWidth="1"/>
    <col min="6664" max="6664" width="9.42578125" bestFit="1" customWidth="1"/>
    <col min="6665" max="6667" width="9.7109375" bestFit="1" customWidth="1"/>
    <col min="6668" max="6669" width="9.42578125" bestFit="1" customWidth="1"/>
    <col min="6670" max="6670" width="9.85546875" bestFit="1" customWidth="1"/>
    <col min="6671" max="6671" width="10.7109375" bestFit="1" customWidth="1"/>
    <col min="6916" max="6917" width="9.28515625" bestFit="1" customWidth="1"/>
    <col min="6918" max="6919" width="9.7109375" bestFit="1" customWidth="1"/>
    <col min="6920" max="6920" width="9.42578125" bestFit="1" customWidth="1"/>
    <col min="6921" max="6923" width="9.7109375" bestFit="1" customWidth="1"/>
    <col min="6924" max="6925" width="9.42578125" bestFit="1" customWidth="1"/>
    <col min="6926" max="6926" width="9.85546875" bestFit="1" customWidth="1"/>
    <col min="6927" max="6927" width="10.7109375" bestFit="1" customWidth="1"/>
    <col min="7172" max="7173" width="9.28515625" bestFit="1" customWidth="1"/>
    <col min="7174" max="7175" width="9.7109375" bestFit="1" customWidth="1"/>
    <col min="7176" max="7176" width="9.42578125" bestFit="1" customWidth="1"/>
    <col min="7177" max="7179" width="9.7109375" bestFit="1" customWidth="1"/>
    <col min="7180" max="7181" width="9.42578125" bestFit="1" customWidth="1"/>
    <col min="7182" max="7182" width="9.85546875" bestFit="1" customWidth="1"/>
    <col min="7183" max="7183" width="10.7109375" bestFit="1" customWidth="1"/>
    <col min="7428" max="7429" width="9.28515625" bestFit="1" customWidth="1"/>
    <col min="7430" max="7431" width="9.7109375" bestFit="1" customWidth="1"/>
    <col min="7432" max="7432" width="9.42578125" bestFit="1" customWidth="1"/>
    <col min="7433" max="7435" width="9.7109375" bestFit="1" customWidth="1"/>
    <col min="7436" max="7437" width="9.42578125" bestFit="1" customWidth="1"/>
    <col min="7438" max="7438" width="9.85546875" bestFit="1" customWidth="1"/>
    <col min="7439" max="7439" width="10.7109375" bestFit="1" customWidth="1"/>
    <col min="7684" max="7685" width="9.28515625" bestFit="1" customWidth="1"/>
    <col min="7686" max="7687" width="9.7109375" bestFit="1" customWidth="1"/>
    <col min="7688" max="7688" width="9.42578125" bestFit="1" customWidth="1"/>
    <col min="7689" max="7691" width="9.7109375" bestFit="1" customWidth="1"/>
    <col min="7692" max="7693" width="9.42578125" bestFit="1" customWidth="1"/>
    <col min="7694" max="7694" width="9.85546875" bestFit="1" customWidth="1"/>
    <col min="7695" max="7695" width="10.7109375" bestFit="1" customWidth="1"/>
    <col min="7940" max="7941" width="9.28515625" bestFit="1" customWidth="1"/>
    <col min="7942" max="7943" width="9.7109375" bestFit="1" customWidth="1"/>
    <col min="7944" max="7944" width="9.42578125" bestFit="1" customWidth="1"/>
    <col min="7945" max="7947" width="9.7109375" bestFit="1" customWidth="1"/>
    <col min="7948" max="7949" width="9.42578125" bestFit="1" customWidth="1"/>
    <col min="7950" max="7950" width="9.85546875" bestFit="1" customWidth="1"/>
    <col min="7951" max="7951" width="10.7109375" bestFit="1" customWidth="1"/>
    <col min="8196" max="8197" width="9.28515625" bestFit="1" customWidth="1"/>
    <col min="8198" max="8199" width="9.7109375" bestFit="1" customWidth="1"/>
    <col min="8200" max="8200" width="9.42578125" bestFit="1" customWidth="1"/>
    <col min="8201" max="8203" width="9.7109375" bestFit="1" customWidth="1"/>
    <col min="8204" max="8205" width="9.42578125" bestFit="1" customWidth="1"/>
    <col min="8206" max="8206" width="9.85546875" bestFit="1" customWidth="1"/>
    <col min="8207" max="8207" width="10.7109375" bestFit="1" customWidth="1"/>
    <col min="8452" max="8453" width="9.28515625" bestFit="1" customWidth="1"/>
    <col min="8454" max="8455" width="9.7109375" bestFit="1" customWidth="1"/>
    <col min="8456" max="8456" width="9.42578125" bestFit="1" customWidth="1"/>
    <col min="8457" max="8459" width="9.7109375" bestFit="1" customWidth="1"/>
    <col min="8460" max="8461" width="9.42578125" bestFit="1" customWidth="1"/>
    <col min="8462" max="8462" width="9.85546875" bestFit="1" customWidth="1"/>
    <col min="8463" max="8463" width="10.7109375" bestFit="1" customWidth="1"/>
    <col min="8708" max="8709" width="9.28515625" bestFit="1" customWidth="1"/>
    <col min="8710" max="8711" width="9.7109375" bestFit="1" customWidth="1"/>
    <col min="8712" max="8712" width="9.42578125" bestFit="1" customWidth="1"/>
    <col min="8713" max="8715" width="9.7109375" bestFit="1" customWidth="1"/>
    <col min="8716" max="8717" width="9.42578125" bestFit="1" customWidth="1"/>
    <col min="8718" max="8718" width="9.85546875" bestFit="1" customWidth="1"/>
    <col min="8719" max="8719" width="10.7109375" bestFit="1" customWidth="1"/>
    <col min="8964" max="8965" width="9.28515625" bestFit="1" customWidth="1"/>
    <col min="8966" max="8967" width="9.7109375" bestFit="1" customWidth="1"/>
    <col min="8968" max="8968" width="9.42578125" bestFit="1" customWidth="1"/>
    <col min="8969" max="8971" width="9.7109375" bestFit="1" customWidth="1"/>
    <col min="8972" max="8973" width="9.42578125" bestFit="1" customWidth="1"/>
    <col min="8974" max="8974" width="9.85546875" bestFit="1" customWidth="1"/>
    <col min="8975" max="8975" width="10.7109375" bestFit="1" customWidth="1"/>
    <col min="9220" max="9221" width="9.28515625" bestFit="1" customWidth="1"/>
    <col min="9222" max="9223" width="9.7109375" bestFit="1" customWidth="1"/>
    <col min="9224" max="9224" width="9.42578125" bestFit="1" customWidth="1"/>
    <col min="9225" max="9227" width="9.7109375" bestFit="1" customWidth="1"/>
    <col min="9228" max="9229" width="9.42578125" bestFit="1" customWidth="1"/>
    <col min="9230" max="9230" width="9.85546875" bestFit="1" customWidth="1"/>
    <col min="9231" max="9231" width="10.7109375" bestFit="1" customWidth="1"/>
    <col min="9476" max="9477" width="9.28515625" bestFit="1" customWidth="1"/>
    <col min="9478" max="9479" width="9.7109375" bestFit="1" customWidth="1"/>
    <col min="9480" max="9480" width="9.42578125" bestFit="1" customWidth="1"/>
    <col min="9481" max="9483" width="9.7109375" bestFit="1" customWidth="1"/>
    <col min="9484" max="9485" width="9.42578125" bestFit="1" customWidth="1"/>
    <col min="9486" max="9486" width="9.85546875" bestFit="1" customWidth="1"/>
    <col min="9487" max="9487" width="10.7109375" bestFit="1" customWidth="1"/>
    <col min="9732" max="9733" width="9.28515625" bestFit="1" customWidth="1"/>
    <col min="9734" max="9735" width="9.7109375" bestFit="1" customWidth="1"/>
    <col min="9736" max="9736" width="9.42578125" bestFit="1" customWidth="1"/>
    <col min="9737" max="9739" width="9.7109375" bestFit="1" customWidth="1"/>
    <col min="9740" max="9741" width="9.42578125" bestFit="1" customWidth="1"/>
    <col min="9742" max="9742" width="9.85546875" bestFit="1" customWidth="1"/>
    <col min="9743" max="9743" width="10.7109375" bestFit="1" customWidth="1"/>
    <col min="9988" max="9989" width="9.28515625" bestFit="1" customWidth="1"/>
    <col min="9990" max="9991" width="9.7109375" bestFit="1" customWidth="1"/>
    <col min="9992" max="9992" width="9.42578125" bestFit="1" customWidth="1"/>
    <col min="9993" max="9995" width="9.7109375" bestFit="1" customWidth="1"/>
    <col min="9996" max="9997" width="9.42578125" bestFit="1" customWidth="1"/>
    <col min="9998" max="9998" width="9.85546875" bestFit="1" customWidth="1"/>
    <col min="9999" max="9999" width="10.7109375" bestFit="1" customWidth="1"/>
    <col min="10244" max="10245" width="9.28515625" bestFit="1" customWidth="1"/>
    <col min="10246" max="10247" width="9.7109375" bestFit="1" customWidth="1"/>
    <col min="10248" max="10248" width="9.42578125" bestFit="1" customWidth="1"/>
    <col min="10249" max="10251" width="9.7109375" bestFit="1" customWidth="1"/>
    <col min="10252" max="10253" width="9.42578125" bestFit="1" customWidth="1"/>
    <col min="10254" max="10254" width="9.85546875" bestFit="1" customWidth="1"/>
    <col min="10255" max="10255" width="10.7109375" bestFit="1" customWidth="1"/>
    <col min="10500" max="10501" width="9.28515625" bestFit="1" customWidth="1"/>
    <col min="10502" max="10503" width="9.7109375" bestFit="1" customWidth="1"/>
    <col min="10504" max="10504" width="9.42578125" bestFit="1" customWidth="1"/>
    <col min="10505" max="10507" width="9.7109375" bestFit="1" customWidth="1"/>
    <col min="10508" max="10509" width="9.42578125" bestFit="1" customWidth="1"/>
    <col min="10510" max="10510" width="9.85546875" bestFit="1" customWidth="1"/>
    <col min="10511" max="10511" width="10.7109375" bestFit="1" customWidth="1"/>
    <col min="10756" max="10757" width="9.28515625" bestFit="1" customWidth="1"/>
    <col min="10758" max="10759" width="9.7109375" bestFit="1" customWidth="1"/>
    <col min="10760" max="10760" width="9.42578125" bestFit="1" customWidth="1"/>
    <col min="10761" max="10763" width="9.7109375" bestFit="1" customWidth="1"/>
    <col min="10764" max="10765" width="9.42578125" bestFit="1" customWidth="1"/>
    <col min="10766" max="10766" width="9.85546875" bestFit="1" customWidth="1"/>
    <col min="10767" max="10767" width="10.7109375" bestFit="1" customWidth="1"/>
    <col min="11012" max="11013" width="9.28515625" bestFit="1" customWidth="1"/>
    <col min="11014" max="11015" width="9.7109375" bestFit="1" customWidth="1"/>
    <col min="11016" max="11016" width="9.42578125" bestFit="1" customWidth="1"/>
    <col min="11017" max="11019" width="9.7109375" bestFit="1" customWidth="1"/>
    <col min="11020" max="11021" width="9.42578125" bestFit="1" customWidth="1"/>
    <col min="11022" max="11022" width="9.85546875" bestFit="1" customWidth="1"/>
    <col min="11023" max="11023" width="10.7109375" bestFit="1" customWidth="1"/>
    <col min="11268" max="11269" width="9.28515625" bestFit="1" customWidth="1"/>
    <col min="11270" max="11271" width="9.7109375" bestFit="1" customWidth="1"/>
    <col min="11272" max="11272" width="9.42578125" bestFit="1" customWidth="1"/>
    <col min="11273" max="11275" width="9.7109375" bestFit="1" customWidth="1"/>
    <col min="11276" max="11277" width="9.42578125" bestFit="1" customWidth="1"/>
    <col min="11278" max="11278" width="9.85546875" bestFit="1" customWidth="1"/>
    <col min="11279" max="11279" width="10.7109375" bestFit="1" customWidth="1"/>
    <col min="11524" max="11525" width="9.28515625" bestFit="1" customWidth="1"/>
    <col min="11526" max="11527" width="9.7109375" bestFit="1" customWidth="1"/>
    <col min="11528" max="11528" width="9.42578125" bestFit="1" customWidth="1"/>
    <col min="11529" max="11531" width="9.7109375" bestFit="1" customWidth="1"/>
    <col min="11532" max="11533" width="9.42578125" bestFit="1" customWidth="1"/>
    <col min="11534" max="11534" width="9.85546875" bestFit="1" customWidth="1"/>
    <col min="11535" max="11535" width="10.7109375" bestFit="1" customWidth="1"/>
    <col min="11780" max="11781" width="9.28515625" bestFit="1" customWidth="1"/>
    <col min="11782" max="11783" width="9.7109375" bestFit="1" customWidth="1"/>
    <col min="11784" max="11784" width="9.42578125" bestFit="1" customWidth="1"/>
    <col min="11785" max="11787" width="9.7109375" bestFit="1" customWidth="1"/>
    <col min="11788" max="11789" width="9.42578125" bestFit="1" customWidth="1"/>
    <col min="11790" max="11790" width="9.85546875" bestFit="1" customWidth="1"/>
    <col min="11791" max="11791" width="10.7109375" bestFit="1" customWidth="1"/>
    <col min="12036" max="12037" width="9.28515625" bestFit="1" customWidth="1"/>
    <col min="12038" max="12039" width="9.7109375" bestFit="1" customWidth="1"/>
    <col min="12040" max="12040" width="9.42578125" bestFit="1" customWidth="1"/>
    <col min="12041" max="12043" width="9.7109375" bestFit="1" customWidth="1"/>
    <col min="12044" max="12045" width="9.42578125" bestFit="1" customWidth="1"/>
    <col min="12046" max="12046" width="9.85546875" bestFit="1" customWidth="1"/>
    <col min="12047" max="12047" width="10.7109375" bestFit="1" customWidth="1"/>
    <col min="12292" max="12293" width="9.28515625" bestFit="1" customWidth="1"/>
    <col min="12294" max="12295" width="9.7109375" bestFit="1" customWidth="1"/>
    <col min="12296" max="12296" width="9.42578125" bestFit="1" customWidth="1"/>
    <col min="12297" max="12299" width="9.7109375" bestFit="1" customWidth="1"/>
    <col min="12300" max="12301" width="9.42578125" bestFit="1" customWidth="1"/>
    <col min="12302" max="12302" width="9.85546875" bestFit="1" customWidth="1"/>
    <col min="12303" max="12303" width="10.7109375" bestFit="1" customWidth="1"/>
    <col min="12548" max="12549" width="9.28515625" bestFit="1" customWidth="1"/>
    <col min="12550" max="12551" width="9.7109375" bestFit="1" customWidth="1"/>
    <col min="12552" max="12552" width="9.42578125" bestFit="1" customWidth="1"/>
    <col min="12553" max="12555" width="9.7109375" bestFit="1" customWidth="1"/>
    <col min="12556" max="12557" width="9.42578125" bestFit="1" customWidth="1"/>
    <col min="12558" max="12558" width="9.85546875" bestFit="1" customWidth="1"/>
    <col min="12559" max="12559" width="10.7109375" bestFit="1" customWidth="1"/>
    <col min="12804" max="12805" width="9.28515625" bestFit="1" customWidth="1"/>
    <col min="12806" max="12807" width="9.7109375" bestFit="1" customWidth="1"/>
    <col min="12808" max="12808" width="9.42578125" bestFit="1" customWidth="1"/>
    <col min="12809" max="12811" width="9.7109375" bestFit="1" customWidth="1"/>
    <col min="12812" max="12813" width="9.42578125" bestFit="1" customWidth="1"/>
    <col min="12814" max="12814" width="9.85546875" bestFit="1" customWidth="1"/>
    <col min="12815" max="12815" width="10.7109375" bestFit="1" customWidth="1"/>
    <col min="13060" max="13061" width="9.28515625" bestFit="1" customWidth="1"/>
    <col min="13062" max="13063" width="9.7109375" bestFit="1" customWidth="1"/>
    <col min="13064" max="13064" width="9.42578125" bestFit="1" customWidth="1"/>
    <col min="13065" max="13067" width="9.7109375" bestFit="1" customWidth="1"/>
    <col min="13068" max="13069" width="9.42578125" bestFit="1" customWidth="1"/>
    <col min="13070" max="13070" width="9.85546875" bestFit="1" customWidth="1"/>
    <col min="13071" max="13071" width="10.7109375" bestFit="1" customWidth="1"/>
    <col min="13316" max="13317" width="9.28515625" bestFit="1" customWidth="1"/>
    <col min="13318" max="13319" width="9.7109375" bestFit="1" customWidth="1"/>
    <col min="13320" max="13320" width="9.42578125" bestFit="1" customWidth="1"/>
    <col min="13321" max="13323" width="9.7109375" bestFit="1" customWidth="1"/>
    <col min="13324" max="13325" width="9.42578125" bestFit="1" customWidth="1"/>
    <col min="13326" max="13326" width="9.85546875" bestFit="1" customWidth="1"/>
    <col min="13327" max="13327" width="10.7109375" bestFit="1" customWidth="1"/>
    <col min="13572" max="13573" width="9.28515625" bestFit="1" customWidth="1"/>
    <col min="13574" max="13575" width="9.7109375" bestFit="1" customWidth="1"/>
    <col min="13576" max="13576" width="9.42578125" bestFit="1" customWidth="1"/>
    <col min="13577" max="13579" width="9.7109375" bestFit="1" customWidth="1"/>
    <col min="13580" max="13581" width="9.42578125" bestFit="1" customWidth="1"/>
    <col min="13582" max="13582" width="9.85546875" bestFit="1" customWidth="1"/>
    <col min="13583" max="13583" width="10.7109375" bestFit="1" customWidth="1"/>
    <col min="13828" max="13829" width="9.28515625" bestFit="1" customWidth="1"/>
    <col min="13830" max="13831" width="9.7109375" bestFit="1" customWidth="1"/>
    <col min="13832" max="13832" width="9.42578125" bestFit="1" customWidth="1"/>
    <col min="13833" max="13835" width="9.7109375" bestFit="1" customWidth="1"/>
    <col min="13836" max="13837" width="9.42578125" bestFit="1" customWidth="1"/>
    <col min="13838" max="13838" width="9.85546875" bestFit="1" customWidth="1"/>
    <col min="13839" max="13839" width="10.7109375" bestFit="1" customWidth="1"/>
    <col min="14084" max="14085" width="9.28515625" bestFit="1" customWidth="1"/>
    <col min="14086" max="14087" width="9.7109375" bestFit="1" customWidth="1"/>
    <col min="14088" max="14088" width="9.42578125" bestFit="1" customWidth="1"/>
    <col min="14089" max="14091" width="9.7109375" bestFit="1" customWidth="1"/>
    <col min="14092" max="14093" width="9.42578125" bestFit="1" customWidth="1"/>
    <col min="14094" max="14094" width="9.85546875" bestFit="1" customWidth="1"/>
    <col min="14095" max="14095" width="10.7109375" bestFit="1" customWidth="1"/>
    <col min="14340" max="14341" width="9.28515625" bestFit="1" customWidth="1"/>
    <col min="14342" max="14343" width="9.7109375" bestFit="1" customWidth="1"/>
    <col min="14344" max="14344" width="9.42578125" bestFit="1" customWidth="1"/>
    <col min="14345" max="14347" width="9.7109375" bestFit="1" customWidth="1"/>
    <col min="14348" max="14349" width="9.42578125" bestFit="1" customWidth="1"/>
    <col min="14350" max="14350" width="9.85546875" bestFit="1" customWidth="1"/>
    <col min="14351" max="14351" width="10.7109375" bestFit="1" customWidth="1"/>
    <col min="14596" max="14597" width="9.28515625" bestFit="1" customWidth="1"/>
    <col min="14598" max="14599" width="9.7109375" bestFit="1" customWidth="1"/>
    <col min="14600" max="14600" width="9.42578125" bestFit="1" customWidth="1"/>
    <col min="14601" max="14603" width="9.7109375" bestFit="1" customWidth="1"/>
    <col min="14604" max="14605" width="9.42578125" bestFit="1" customWidth="1"/>
    <col min="14606" max="14606" width="9.85546875" bestFit="1" customWidth="1"/>
    <col min="14607" max="14607" width="10.7109375" bestFit="1" customWidth="1"/>
    <col min="14852" max="14853" width="9.28515625" bestFit="1" customWidth="1"/>
    <col min="14854" max="14855" width="9.7109375" bestFit="1" customWidth="1"/>
    <col min="14856" max="14856" width="9.42578125" bestFit="1" customWidth="1"/>
    <col min="14857" max="14859" width="9.7109375" bestFit="1" customWidth="1"/>
    <col min="14860" max="14861" width="9.42578125" bestFit="1" customWidth="1"/>
    <col min="14862" max="14862" width="9.85546875" bestFit="1" customWidth="1"/>
    <col min="14863" max="14863" width="10.7109375" bestFit="1" customWidth="1"/>
    <col min="15108" max="15109" width="9.28515625" bestFit="1" customWidth="1"/>
    <col min="15110" max="15111" width="9.7109375" bestFit="1" customWidth="1"/>
    <col min="15112" max="15112" width="9.42578125" bestFit="1" customWidth="1"/>
    <col min="15113" max="15115" width="9.7109375" bestFit="1" customWidth="1"/>
    <col min="15116" max="15117" width="9.42578125" bestFit="1" customWidth="1"/>
    <col min="15118" max="15118" width="9.85546875" bestFit="1" customWidth="1"/>
    <col min="15119" max="15119" width="10.7109375" bestFit="1" customWidth="1"/>
    <col min="15364" max="15365" width="9.28515625" bestFit="1" customWidth="1"/>
    <col min="15366" max="15367" width="9.7109375" bestFit="1" customWidth="1"/>
    <col min="15368" max="15368" width="9.42578125" bestFit="1" customWidth="1"/>
    <col min="15369" max="15371" width="9.7109375" bestFit="1" customWidth="1"/>
    <col min="15372" max="15373" width="9.42578125" bestFit="1" customWidth="1"/>
    <col min="15374" max="15374" width="9.85546875" bestFit="1" customWidth="1"/>
    <col min="15375" max="15375" width="10.7109375" bestFit="1" customWidth="1"/>
    <col min="15620" max="15621" width="9.28515625" bestFit="1" customWidth="1"/>
    <col min="15622" max="15623" width="9.7109375" bestFit="1" customWidth="1"/>
    <col min="15624" max="15624" width="9.42578125" bestFit="1" customWidth="1"/>
    <col min="15625" max="15627" width="9.7109375" bestFit="1" customWidth="1"/>
    <col min="15628" max="15629" width="9.42578125" bestFit="1" customWidth="1"/>
    <col min="15630" max="15630" width="9.85546875" bestFit="1" customWidth="1"/>
    <col min="15631" max="15631" width="10.7109375" bestFit="1" customWidth="1"/>
    <col min="15876" max="15877" width="9.28515625" bestFit="1" customWidth="1"/>
    <col min="15878" max="15879" width="9.7109375" bestFit="1" customWidth="1"/>
    <col min="15880" max="15880" width="9.42578125" bestFit="1" customWidth="1"/>
    <col min="15881" max="15883" width="9.7109375" bestFit="1" customWidth="1"/>
    <col min="15884" max="15885" width="9.42578125" bestFit="1" customWidth="1"/>
    <col min="15886" max="15886" width="9.85546875" bestFit="1" customWidth="1"/>
    <col min="15887" max="15887" width="10.7109375" bestFit="1" customWidth="1"/>
    <col min="16132" max="16133" width="9.28515625" bestFit="1" customWidth="1"/>
    <col min="16134" max="16135" width="9.7109375" bestFit="1" customWidth="1"/>
    <col min="16136" max="16136" width="9.42578125" bestFit="1" customWidth="1"/>
    <col min="16137" max="16139" width="9.7109375" bestFit="1" customWidth="1"/>
    <col min="16140" max="16141" width="9.42578125" bestFit="1" customWidth="1"/>
    <col min="16142" max="16142" width="9.85546875" bestFit="1" customWidth="1"/>
    <col min="16143" max="16143" width="10.7109375" bestFit="1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1063</v>
      </c>
      <c r="E3" s="854"/>
      <c r="F3" s="854"/>
      <c r="G3" s="1002" t="s">
        <v>1004</v>
      </c>
      <c r="H3" s="998"/>
      <c r="I3" s="998"/>
      <c r="J3" s="854">
        <v>902170201</v>
      </c>
      <c r="K3" s="854"/>
      <c r="L3" s="1004" t="s">
        <v>1005</v>
      </c>
      <c r="M3" s="1005"/>
      <c r="N3" s="47">
        <v>416.29199999999997</v>
      </c>
      <c r="O3" s="851" t="s">
        <v>831</v>
      </c>
      <c r="P3" s="997"/>
      <c r="Q3" s="80">
        <v>200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1064</v>
      </c>
      <c r="E5" s="854"/>
      <c r="F5" s="854"/>
      <c r="G5" s="1002" t="s">
        <v>1008</v>
      </c>
      <c r="H5" s="998"/>
      <c r="I5" s="1001"/>
      <c r="J5" s="854" t="s">
        <v>1065</v>
      </c>
      <c r="K5" s="854"/>
      <c r="L5" s="854"/>
      <c r="M5" s="46"/>
      <c r="N5" s="46"/>
      <c r="O5" s="46"/>
      <c r="P5" s="46"/>
    </row>
    <row r="6" spans="1:17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 t="s">
        <v>1066</v>
      </c>
      <c r="E7" s="854"/>
      <c r="F7" s="854"/>
      <c r="G7" s="1002" t="s">
        <v>1011</v>
      </c>
      <c r="H7" s="998"/>
      <c r="I7" s="1001"/>
      <c r="J7" s="854" t="s">
        <v>1067</v>
      </c>
      <c r="K7" s="854"/>
      <c r="L7" s="854"/>
      <c r="M7" s="46"/>
      <c r="N7" s="46"/>
      <c r="O7" s="46"/>
      <c r="P7" s="46"/>
    </row>
    <row r="8" spans="1:17">
      <c r="A8" s="46"/>
      <c r="B8" s="46"/>
      <c r="C8" s="46"/>
      <c r="D8" s="46"/>
      <c r="E8" s="46"/>
      <c r="F8" s="46"/>
      <c r="G8" s="46"/>
      <c r="H8" s="46"/>
      <c r="I8" s="46"/>
      <c r="J8" s="854"/>
      <c r="K8" s="854"/>
      <c r="L8" s="854"/>
      <c r="M8" s="46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1068</v>
      </c>
      <c r="E10" s="854"/>
      <c r="F10" s="854" t="s">
        <v>1069</v>
      </c>
      <c r="G10" s="854"/>
      <c r="H10" s="854" t="s">
        <v>1070</v>
      </c>
      <c r="I10" s="854"/>
      <c r="J10" s="854" t="s">
        <v>1071</v>
      </c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1072</v>
      </c>
      <c r="E11" s="854"/>
      <c r="F11" s="854" t="s">
        <v>1073</v>
      </c>
      <c r="G11" s="854"/>
      <c r="H11" s="854" t="s">
        <v>1074</v>
      </c>
      <c r="I11" s="854"/>
      <c r="J11" s="854" t="s">
        <v>1075</v>
      </c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1076</v>
      </c>
      <c r="E12" s="854"/>
      <c r="F12" s="854" t="s">
        <v>1077</v>
      </c>
      <c r="G12" s="854"/>
      <c r="H12" s="854" t="s">
        <v>1078</v>
      </c>
      <c r="I12" s="854"/>
      <c r="J12" s="854" t="s">
        <v>1079</v>
      </c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/>
      <c r="E13" s="854"/>
      <c r="F13" s="854" t="s">
        <v>1080</v>
      </c>
      <c r="G13" s="854"/>
      <c r="H13" s="854" t="s">
        <v>1081</v>
      </c>
      <c r="I13" s="854"/>
      <c r="J13" s="854"/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4</v>
      </c>
      <c r="E15" s="82" t="s">
        <v>1025</v>
      </c>
      <c r="F15" s="83"/>
      <c r="G15" s="83"/>
      <c r="H15" s="47">
        <v>4</v>
      </c>
      <c r="I15" s="46" t="s">
        <v>1026</v>
      </c>
      <c r="J15" s="47">
        <v>14</v>
      </c>
      <c r="K15" s="46" t="s">
        <v>1027</v>
      </c>
      <c r="L15" s="47">
        <v>4</v>
      </c>
      <c r="M15" s="84" t="s">
        <v>645</v>
      </c>
      <c r="N15" s="47">
        <v>9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124</v>
      </c>
      <c r="F17" s="46" t="s">
        <v>205</v>
      </c>
      <c r="G17" s="47"/>
      <c r="H17" s="46" t="s">
        <v>206</v>
      </c>
      <c r="I17" s="47"/>
      <c r="J17" s="46" t="s">
        <v>230</v>
      </c>
      <c r="K17" s="47">
        <v>124</v>
      </c>
      <c r="L17" s="46" t="s">
        <v>207</v>
      </c>
      <c r="M17" s="47">
        <v>7</v>
      </c>
      <c r="N17" s="46" t="s">
        <v>1028</v>
      </c>
      <c r="O17" s="46"/>
      <c r="P17" s="47">
        <v>33</v>
      </c>
    </row>
    <row r="18" spans="1:16">
      <c r="A18" s="46" t="s">
        <v>1029</v>
      </c>
      <c r="B18" s="46"/>
      <c r="C18" s="46"/>
      <c r="D18" s="46" t="s">
        <v>1030</v>
      </c>
      <c r="E18" s="47">
        <v>322</v>
      </c>
      <c r="F18" s="46" t="s">
        <v>211</v>
      </c>
      <c r="G18" s="47"/>
      <c r="H18" s="46" t="s">
        <v>212</v>
      </c>
      <c r="I18" s="47"/>
      <c r="J18" s="46" t="s">
        <v>411</v>
      </c>
      <c r="K18" s="47">
        <v>322</v>
      </c>
      <c r="L18" s="46"/>
      <c r="M18" s="46"/>
      <c r="N18" s="46"/>
      <c r="O18" s="46"/>
      <c r="P18" s="46"/>
    </row>
    <row r="19" spans="1:16">
      <c r="A19" s="46"/>
      <c r="B19" s="46"/>
      <c r="C19" s="46"/>
      <c r="D19" s="46" t="s">
        <v>213</v>
      </c>
      <c r="E19" s="47">
        <v>313</v>
      </c>
      <c r="F19" s="46" t="s">
        <v>214</v>
      </c>
      <c r="G19" s="47"/>
      <c r="H19" s="46" t="s">
        <v>215</v>
      </c>
      <c r="I19" s="47"/>
      <c r="J19" s="46" t="s">
        <v>410</v>
      </c>
      <c r="K19" s="47">
        <v>313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854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854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3330336/100000</f>
        <v>33.303359999999998</v>
      </c>
      <c r="G24" s="87">
        <f>3330336/100000</f>
        <v>33.303359999999998</v>
      </c>
      <c r="H24" s="86">
        <f>49942/100000</f>
        <v>0.49941999999999998</v>
      </c>
      <c r="I24" s="86">
        <f>934929/100000</f>
        <v>9.3492899999999999</v>
      </c>
      <c r="J24" s="86">
        <f>1570949/100000</f>
        <v>15.709490000000001</v>
      </c>
      <c r="K24" s="86">
        <f>758548/100000</f>
        <v>7.5854799999999996</v>
      </c>
      <c r="L24" s="86">
        <f>10400/100000</f>
        <v>0.104</v>
      </c>
      <c r="M24" s="86">
        <v>0</v>
      </c>
      <c r="N24" s="88">
        <f>SUM(H24:M24)</f>
        <v>33.247679999999995</v>
      </c>
      <c r="O24" s="86">
        <f>N24*100/G24</f>
        <v>99.832809662448469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6">
        <f>560000/100000</f>
        <v>5.6</v>
      </c>
      <c r="G25" s="86">
        <f>560000/100000</f>
        <v>5.6</v>
      </c>
      <c r="H25" s="86">
        <v>0</v>
      </c>
      <c r="I25" s="86">
        <v>0</v>
      </c>
      <c r="J25" s="86">
        <f>119630/100000</f>
        <v>1.1962999999999999</v>
      </c>
      <c r="K25" s="86">
        <f>355360/100000</f>
        <v>3.5535999999999999</v>
      </c>
      <c r="L25" s="86">
        <f>85510/100000</f>
        <v>0.85509999999999997</v>
      </c>
      <c r="M25" s="86">
        <v>0</v>
      </c>
      <c r="N25" s="88">
        <f t="shared" ref="N25:N31" si="0">SUM(H25:M25)</f>
        <v>5.6050000000000004</v>
      </c>
      <c r="O25" s="86">
        <f t="shared" ref="O25:O32" si="1">N25*100/G25</f>
        <v>100.08928571428572</v>
      </c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f>143000/100000</f>
        <v>1.43</v>
      </c>
      <c r="G26" s="87">
        <f>63000/100000</f>
        <v>0.63</v>
      </c>
      <c r="H26" s="86">
        <v>0</v>
      </c>
      <c r="I26" s="86">
        <v>0</v>
      </c>
      <c r="J26" s="86">
        <f>1526/100000</f>
        <v>1.5259999999999999E-2</v>
      </c>
      <c r="K26" s="86">
        <f>23583/100000</f>
        <v>0.23583000000000001</v>
      </c>
      <c r="L26" s="86">
        <f>17891/100000</f>
        <v>0.17891000000000001</v>
      </c>
      <c r="M26" s="86">
        <f>20000/100000</f>
        <v>0.2</v>
      </c>
      <c r="N26" s="88">
        <f t="shared" si="0"/>
        <v>0.63000000000000012</v>
      </c>
      <c r="O26" s="86">
        <f t="shared" si="1"/>
        <v>100.00000000000003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7">
        <f>34000/100000</f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5200/100000</f>
        <v>5.1999999999999998E-2</v>
      </c>
      <c r="L27" s="86">
        <f>10600/100000</f>
        <v>0.106</v>
      </c>
      <c r="M27" s="86">
        <f>2000/100000</f>
        <v>0.02</v>
      </c>
      <c r="N27" s="88">
        <f t="shared" si="0"/>
        <v>0.34</v>
      </c>
      <c r="O27" s="86">
        <f t="shared" si="1"/>
        <v>99.999999999999986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f>499550/100000</f>
        <v>4.9954999999999998</v>
      </c>
      <c r="G28" s="87">
        <f>499550/100000</f>
        <v>4.9954999999999998</v>
      </c>
      <c r="H28" s="86">
        <v>0</v>
      </c>
      <c r="I28" s="86">
        <v>0</v>
      </c>
      <c r="J28" s="86">
        <v>0</v>
      </c>
      <c r="K28" s="86">
        <f>100000/100000</f>
        <v>1</v>
      </c>
      <c r="L28" s="86">
        <f>164750/100000</f>
        <v>1.6475</v>
      </c>
      <c r="M28" s="86">
        <v>0</v>
      </c>
      <c r="N28" s="88">
        <f t="shared" si="0"/>
        <v>2.6475</v>
      </c>
      <c r="O28" s="86">
        <f t="shared" si="1"/>
        <v>52.997697928135324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+D29*N3/100000</f>
        <v>2.3520497999999996</v>
      </c>
      <c r="G29" s="87">
        <f>235204/100000</f>
        <v>2.3520400000000001</v>
      </c>
      <c r="H29" s="86">
        <v>0</v>
      </c>
      <c r="I29" s="86">
        <f>60000/100000</f>
        <v>0.6</v>
      </c>
      <c r="J29" s="86">
        <f>5022/100000</f>
        <v>5.0220000000000001E-2</v>
      </c>
      <c r="K29" s="86">
        <f>170182/100000</f>
        <v>1.7018200000000001</v>
      </c>
      <c r="L29" s="86">
        <v>0</v>
      </c>
      <c r="M29" s="86">
        <v>0</v>
      </c>
      <c r="N29" s="87">
        <f t="shared" si="0"/>
        <v>2.3520400000000001</v>
      </c>
      <c r="O29" s="86">
        <f t="shared" si="1"/>
        <v>100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f>416292/100000</f>
        <v>4.1629199999999997</v>
      </c>
      <c r="G30" s="87">
        <f>416292/100000</f>
        <v>4.1629199999999997</v>
      </c>
      <c r="H30" s="86">
        <f>31191/100000</f>
        <v>0.31191000000000002</v>
      </c>
      <c r="I30" s="86">
        <f>68000/100000</f>
        <v>0.68</v>
      </c>
      <c r="J30" s="86">
        <v>0</v>
      </c>
      <c r="K30" s="86">
        <f>809/100000</f>
        <v>8.09E-3</v>
      </c>
      <c r="L30" s="86">
        <v>0</v>
      </c>
      <c r="M30" s="86">
        <f>296212/100000</f>
        <v>2.9621200000000001</v>
      </c>
      <c r="N30" s="88">
        <f t="shared" si="0"/>
        <v>3.9621200000000001</v>
      </c>
      <c r="O30" s="86">
        <f t="shared" si="1"/>
        <v>95.176462675237573</v>
      </c>
    </row>
    <row r="31" spans="1:16">
      <c r="A31" s="991" t="s">
        <v>1040</v>
      </c>
      <c r="B31" s="991"/>
      <c r="C31" s="991"/>
      <c r="D31" s="80">
        <v>2700</v>
      </c>
      <c r="E31" s="80" t="s">
        <v>242</v>
      </c>
      <c r="F31" s="87">
        <f>192000/100000</f>
        <v>1.92</v>
      </c>
      <c r="G31" s="87">
        <f>192000/100000</f>
        <v>1.92</v>
      </c>
      <c r="H31" s="86">
        <f>7871/100000</f>
        <v>7.8710000000000002E-2</v>
      </c>
      <c r="I31" s="86">
        <f>36149/100000</f>
        <v>0.36148999999999998</v>
      </c>
      <c r="J31" s="86">
        <f>37872/100000</f>
        <v>0.37872</v>
      </c>
      <c r="K31" s="86">
        <f>31931/100000</f>
        <v>0.31930999999999998</v>
      </c>
      <c r="L31" s="86">
        <f>51671/100000</f>
        <v>0.51671</v>
      </c>
      <c r="M31" s="86">
        <f>5089/100000</f>
        <v>5.0889999999999998E-2</v>
      </c>
      <c r="N31" s="88">
        <f t="shared" si="0"/>
        <v>1.7058300000000002</v>
      </c>
      <c r="O31" s="86">
        <f t="shared" si="1"/>
        <v>88.84531250000002</v>
      </c>
    </row>
    <row r="32" spans="1:16">
      <c r="A32" s="992" t="s">
        <v>230</v>
      </c>
      <c r="B32" s="993"/>
      <c r="C32" s="994"/>
      <c r="D32" s="70"/>
      <c r="E32" s="70"/>
      <c r="F32" s="88">
        <f t="shared" ref="F32:N32" si="2">SUM(F24:F31)</f>
        <v>54.1038298</v>
      </c>
      <c r="G32" s="88">
        <f t="shared" si="2"/>
        <v>53.303820000000009</v>
      </c>
      <c r="H32" s="88">
        <f t="shared" si="2"/>
        <v>0.89003999999999994</v>
      </c>
      <c r="I32" s="88">
        <f t="shared" si="2"/>
        <v>10.990779999999999</v>
      </c>
      <c r="J32" s="88">
        <f t="shared" si="2"/>
        <v>17.511990000000001</v>
      </c>
      <c r="K32" s="88">
        <f t="shared" si="2"/>
        <v>14.456129999999998</v>
      </c>
      <c r="L32" s="88">
        <f t="shared" si="2"/>
        <v>3.40822</v>
      </c>
      <c r="M32" s="88">
        <f t="shared" si="2"/>
        <v>3.2330100000000002</v>
      </c>
      <c r="N32" s="88">
        <f t="shared" si="2"/>
        <v>50.490169999999999</v>
      </c>
      <c r="O32" s="88">
        <f t="shared" si="1"/>
        <v>94.721485251901257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L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ageMargins left="0.7" right="0.7" top="0.75" bottom="0.75" header="0.3" footer="0.3"/>
  <pageSetup scale="75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2"/>
  <sheetViews>
    <sheetView workbookViewId="0">
      <selection activeCell="A4" sqref="A4:C4"/>
    </sheetView>
  </sheetViews>
  <sheetFormatPr defaultRowHeight="15"/>
  <cols>
    <col min="4" max="5" width="9.28515625" bestFit="1" customWidth="1"/>
    <col min="6" max="6" width="10.7109375" bestFit="1" customWidth="1"/>
    <col min="7" max="7" width="9.85546875" bestFit="1" customWidth="1"/>
    <col min="8" max="8" width="9.42578125" bestFit="1" customWidth="1"/>
    <col min="9" max="10" width="9.7109375" bestFit="1" customWidth="1"/>
    <col min="11" max="12" width="9.85546875" bestFit="1" customWidth="1"/>
    <col min="13" max="13" width="9.42578125" bestFit="1" customWidth="1"/>
    <col min="14" max="14" width="10.85546875" bestFit="1" customWidth="1"/>
    <col min="15" max="15" width="10.7109375" bestFit="1" customWidth="1"/>
    <col min="260" max="261" width="9.28515625" bestFit="1" customWidth="1"/>
    <col min="262" max="262" width="10.7109375" bestFit="1" customWidth="1"/>
    <col min="263" max="263" width="9.85546875" bestFit="1" customWidth="1"/>
    <col min="264" max="264" width="9.42578125" bestFit="1" customWidth="1"/>
    <col min="265" max="266" width="9.7109375" bestFit="1" customWidth="1"/>
    <col min="267" max="268" width="9.85546875" bestFit="1" customWidth="1"/>
    <col min="269" max="269" width="9.42578125" bestFit="1" customWidth="1"/>
    <col min="270" max="270" width="10.85546875" bestFit="1" customWidth="1"/>
    <col min="271" max="271" width="10.7109375" bestFit="1" customWidth="1"/>
    <col min="516" max="517" width="9.28515625" bestFit="1" customWidth="1"/>
    <col min="518" max="518" width="10.7109375" bestFit="1" customWidth="1"/>
    <col min="519" max="519" width="9.85546875" bestFit="1" customWidth="1"/>
    <col min="520" max="520" width="9.42578125" bestFit="1" customWidth="1"/>
    <col min="521" max="522" width="9.7109375" bestFit="1" customWidth="1"/>
    <col min="523" max="524" width="9.85546875" bestFit="1" customWidth="1"/>
    <col min="525" max="525" width="9.42578125" bestFit="1" customWidth="1"/>
    <col min="526" max="526" width="10.85546875" bestFit="1" customWidth="1"/>
    <col min="527" max="527" width="10.7109375" bestFit="1" customWidth="1"/>
    <col min="772" max="773" width="9.28515625" bestFit="1" customWidth="1"/>
    <col min="774" max="774" width="10.7109375" bestFit="1" customWidth="1"/>
    <col min="775" max="775" width="9.85546875" bestFit="1" customWidth="1"/>
    <col min="776" max="776" width="9.42578125" bestFit="1" customWidth="1"/>
    <col min="777" max="778" width="9.7109375" bestFit="1" customWidth="1"/>
    <col min="779" max="780" width="9.85546875" bestFit="1" customWidth="1"/>
    <col min="781" max="781" width="9.42578125" bestFit="1" customWidth="1"/>
    <col min="782" max="782" width="10.85546875" bestFit="1" customWidth="1"/>
    <col min="783" max="783" width="10.7109375" bestFit="1" customWidth="1"/>
    <col min="1028" max="1029" width="9.28515625" bestFit="1" customWidth="1"/>
    <col min="1030" max="1030" width="10.7109375" bestFit="1" customWidth="1"/>
    <col min="1031" max="1031" width="9.85546875" bestFit="1" customWidth="1"/>
    <col min="1032" max="1032" width="9.42578125" bestFit="1" customWidth="1"/>
    <col min="1033" max="1034" width="9.7109375" bestFit="1" customWidth="1"/>
    <col min="1035" max="1036" width="9.85546875" bestFit="1" customWidth="1"/>
    <col min="1037" max="1037" width="9.42578125" bestFit="1" customWidth="1"/>
    <col min="1038" max="1038" width="10.85546875" bestFit="1" customWidth="1"/>
    <col min="1039" max="1039" width="10.7109375" bestFit="1" customWidth="1"/>
    <col min="1284" max="1285" width="9.28515625" bestFit="1" customWidth="1"/>
    <col min="1286" max="1286" width="10.7109375" bestFit="1" customWidth="1"/>
    <col min="1287" max="1287" width="9.85546875" bestFit="1" customWidth="1"/>
    <col min="1288" max="1288" width="9.42578125" bestFit="1" customWidth="1"/>
    <col min="1289" max="1290" width="9.7109375" bestFit="1" customWidth="1"/>
    <col min="1291" max="1292" width="9.85546875" bestFit="1" customWidth="1"/>
    <col min="1293" max="1293" width="9.42578125" bestFit="1" customWidth="1"/>
    <col min="1294" max="1294" width="10.85546875" bestFit="1" customWidth="1"/>
    <col min="1295" max="1295" width="10.7109375" bestFit="1" customWidth="1"/>
    <col min="1540" max="1541" width="9.28515625" bestFit="1" customWidth="1"/>
    <col min="1542" max="1542" width="10.7109375" bestFit="1" customWidth="1"/>
    <col min="1543" max="1543" width="9.85546875" bestFit="1" customWidth="1"/>
    <col min="1544" max="1544" width="9.42578125" bestFit="1" customWidth="1"/>
    <col min="1545" max="1546" width="9.7109375" bestFit="1" customWidth="1"/>
    <col min="1547" max="1548" width="9.85546875" bestFit="1" customWidth="1"/>
    <col min="1549" max="1549" width="9.42578125" bestFit="1" customWidth="1"/>
    <col min="1550" max="1550" width="10.85546875" bestFit="1" customWidth="1"/>
    <col min="1551" max="1551" width="10.7109375" bestFit="1" customWidth="1"/>
    <col min="1796" max="1797" width="9.28515625" bestFit="1" customWidth="1"/>
    <col min="1798" max="1798" width="10.7109375" bestFit="1" customWidth="1"/>
    <col min="1799" max="1799" width="9.85546875" bestFit="1" customWidth="1"/>
    <col min="1800" max="1800" width="9.42578125" bestFit="1" customWidth="1"/>
    <col min="1801" max="1802" width="9.7109375" bestFit="1" customWidth="1"/>
    <col min="1803" max="1804" width="9.85546875" bestFit="1" customWidth="1"/>
    <col min="1805" max="1805" width="9.42578125" bestFit="1" customWidth="1"/>
    <col min="1806" max="1806" width="10.85546875" bestFit="1" customWidth="1"/>
    <col min="1807" max="1807" width="10.7109375" bestFit="1" customWidth="1"/>
    <col min="2052" max="2053" width="9.28515625" bestFit="1" customWidth="1"/>
    <col min="2054" max="2054" width="10.7109375" bestFit="1" customWidth="1"/>
    <col min="2055" max="2055" width="9.85546875" bestFit="1" customWidth="1"/>
    <col min="2056" max="2056" width="9.42578125" bestFit="1" customWidth="1"/>
    <col min="2057" max="2058" width="9.7109375" bestFit="1" customWidth="1"/>
    <col min="2059" max="2060" width="9.85546875" bestFit="1" customWidth="1"/>
    <col min="2061" max="2061" width="9.42578125" bestFit="1" customWidth="1"/>
    <col min="2062" max="2062" width="10.85546875" bestFit="1" customWidth="1"/>
    <col min="2063" max="2063" width="10.7109375" bestFit="1" customWidth="1"/>
    <col min="2308" max="2309" width="9.28515625" bestFit="1" customWidth="1"/>
    <col min="2310" max="2310" width="10.7109375" bestFit="1" customWidth="1"/>
    <col min="2311" max="2311" width="9.85546875" bestFit="1" customWidth="1"/>
    <col min="2312" max="2312" width="9.42578125" bestFit="1" customWidth="1"/>
    <col min="2313" max="2314" width="9.7109375" bestFit="1" customWidth="1"/>
    <col min="2315" max="2316" width="9.85546875" bestFit="1" customWidth="1"/>
    <col min="2317" max="2317" width="9.42578125" bestFit="1" customWidth="1"/>
    <col min="2318" max="2318" width="10.85546875" bestFit="1" customWidth="1"/>
    <col min="2319" max="2319" width="10.7109375" bestFit="1" customWidth="1"/>
    <col min="2564" max="2565" width="9.28515625" bestFit="1" customWidth="1"/>
    <col min="2566" max="2566" width="10.7109375" bestFit="1" customWidth="1"/>
    <col min="2567" max="2567" width="9.85546875" bestFit="1" customWidth="1"/>
    <col min="2568" max="2568" width="9.42578125" bestFit="1" customWidth="1"/>
    <col min="2569" max="2570" width="9.7109375" bestFit="1" customWidth="1"/>
    <col min="2571" max="2572" width="9.85546875" bestFit="1" customWidth="1"/>
    <col min="2573" max="2573" width="9.42578125" bestFit="1" customWidth="1"/>
    <col min="2574" max="2574" width="10.85546875" bestFit="1" customWidth="1"/>
    <col min="2575" max="2575" width="10.7109375" bestFit="1" customWidth="1"/>
    <col min="2820" max="2821" width="9.28515625" bestFit="1" customWidth="1"/>
    <col min="2822" max="2822" width="10.7109375" bestFit="1" customWidth="1"/>
    <col min="2823" max="2823" width="9.85546875" bestFit="1" customWidth="1"/>
    <col min="2824" max="2824" width="9.42578125" bestFit="1" customWidth="1"/>
    <col min="2825" max="2826" width="9.7109375" bestFit="1" customWidth="1"/>
    <col min="2827" max="2828" width="9.85546875" bestFit="1" customWidth="1"/>
    <col min="2829" max="2829" width="9.42578125" bestFit="1" customWidth="1"/>
    <col min="2830" max="2830" width="10.85546875" bestFit="1" customWidth="1"/>
    <col min="2831" max="2831" width="10.7109375" bestFit="1" customWidth="1"/>
    <col min="3076" max="3077" width="9.28515625" bestFit="1" customWidth="1"/>
    <col min="3078" max="3078" width="10.7109375" bestFit="1" customWidth="1"/>
    <col min="3079" max="3079" width="9.85546875" bestFit="1" customWidth="1"/>
    <col min="3080" max="3080" width="9.42578125" bestFit="1" customWidth="1"/>
    <col min="3081" max="3082" width="9.7109375" bestFit="1" customWidth="1"/>
    <col min="3083" max="3084" width="9.85546875" bestFit="1" customWidth="1"/>
    <col min="3085" max="3085" width="9.42578125" bestFit="1" customWidth="1"/>
    <col min="3086" max="3086" width="10.85546875" bestFit="1" customWidth="1"/>
    <col min="3087" max="3087" width="10.7109375" bestFit="1" customWidth="1"/>
    <col min="3332" max="3333" width="9.28515625" bestFit="1" customWidth="1"/>
    <col min="3334" max="3334" width="10.7109375" bestFit="1" customWidth="1"/>
    <col min="3335" max="3335" width="9.85546875" bestFit="1" customWidth="1"/>
    <col min="3336" max="3336" width="9.42578125" bestFit="1" customWidth="1"/>
    <col min="3337" max="3338" width="9.7109375" bestFit="1" customWidth="1"/>
    <col min="3339" max="3340" width="9.85546875" bestFit="1" customWidth="1"/>
    <col min="3341" max="3341" width="9.42578125" bestFit="1" customWidth="1"/>
    <col min="3342" max="3342" width="10.85546875" bestFit="1" customWidth="1"/>
    <col min="3343" max="3343" width="10.7109375" bestFit="1" customWidth="1"/>
    <col min="3588" max="3589" width="9.28515625" bestFit="1" customWidth="1"/>
    <col min="3590" max="3590" width="10.7109375" bestFit="1" customWidth="1"/>
    <col min="3591" max="3591" width="9.85546875" bestFit="1" customWidth="1"/>
    <col min="3592" max="3592" width="9.42578125" bestFit="1" customWidth="1"/>
    <col min="3593" max="3594" width="9.7109375" bestFit="1" customWidth="1"/>
    <col min="3595" max="3596" width="9.85546875" bestFit="1" customWidth="1"/>
    <col min="3597" max="3597" width="9.42578125" bestFit="1" customWidth="1"/>
    <col min="3598" max="3598" width="10.85546875" bestFit="1" customWidth="1"/>
    <col min="3599" max="3599" width="10.7109375" bestFit="1" customWidth="1"/>
    <col min="3844" max="3845" width="9.28515625" bestFit="1" customWidth="1"/>
    <col min="3846" max="3846" width="10.7109375" bestFit="1" customWidth="1"/>
    <col min="3847" max="3847" width="9.85546875" bestFit="1" customWidth="1"/>
    <col min="3848" max="3848" width="9.42578125" bestFit="1" customWidth="1"/>
    <col min="3849" max="3850" width="9.7109375" bestFit="1" customWidth="1"/>
    <col min="3851" max="3852" width="9.85546875" bestFit="1" customWidth="1"/>
    <col min="3853" max="3853" width="9.42578125" bestFit="1" customWidth="1"/>
    <col min="3854" max="3854" width="10.85546875" bestFit="1" customWidth="1"/>
    <col min="3855" max="3855" width="10.7109375" bestFit="1" customWidth="1"/>
    <col min="4100" max="4101" width="9.28515625" bestFit="1" customWidth="1"/>
    <col min="4102" max="4102" width="10.7109375" bestFit="1" customWidth="1"/>
    <col min="4103" max="4103" width="9.85546875" bestFit="1" customWidth="1"/>
    <col min="4104" max="4104" width="9.42578125" bestFit="1" customWidth="1"/>
    <col min="4105" max="4106" width="9.7109375" bestFit="1" customWidth="1"/>
    <col min="4107" max="4108" width="9.85546875" bestFit="1" customWidth="1"/>
    <col min="4109" max="4109" width="9.42578125" bestFit="1" customWidth="1"/>
    <col min="4110" max="4110" width="10.85546875" bestFit="1" customWidth="1"/>
    <col min="4111" max="4111" width="10.7109375" bestFit="1" customWidth="1"/>
    <col min="4356" max="4357" width="9.28515625" bestFit="1" customWidth="1"/>
    <col min="4358" max="4358" width="10.7109375" bestFit="1" customWidth="1"/>
    <col min="4359" max="4359" width="9.85546875" bestFit="1" customWidth="1"/>
    <col min="4360" max="4360" width="9.42578125" bestFit="1" customWidth="1"/>
    <col min="4361" max="4362" width="9.7109375" bestFit="1" customWidth="1"/>
    <col min="4363" max="4364" width="9.85546875" bestFit="1" customWidth="1"/>
    <col min="4365" max="4365" width="9.42578125" bestFit="1" customWidth="1"/>
    <col min="4366" max="4366" width="10.85546875" bestFit="1" customWidth="1"/>
    <col min="4367" max="4367" width="10.7109375" bestFit="1" customWidth="1"/>
    <col min="4612" max="4613" width="9.28515625" bestFit="1" customWidth="1"/>
    <col min="4614" max="4614" width="10.7109375" bestFit="1" customWidth="1"/>
    <col min="4615" max="4615" width="9.85546875" bestFit="1" customWidth="1"/>
    <col min="4616" max="4616" width="9.42578125" bestFit="1" customWidth="1"/>
    <col min="4617" max="4618" width="9.7109375" bestFit="1" customWidth="1"/>
    <col min="4619" max="4620" width="9.85546875" bestFit="1" customWidth="1"/>
    <col min="4621" max="4621" width="9.42578125" bestFit="1" customWidth="1"/>
    <col min="4622" max="4622" width="10.85546875" bestFit="1" customWidth="1"/>
    <col min="4623" max="4623" width="10.7109375" bestFit="1" customWidth="1"/>
    <col min="4868" max="4869" width="9.28515625" bestFit="1" customWidth="1"/>
    <col min="4870" max="4870" width="10.7109375" bestFit="1" customWidth="1"/>
    <col min="4871" max="4871" width="9.85546875" bestFit="1" customWidth="1"/>
    <col min="4872" max="4872" width="9.42578125" bestFit="1" customWidth="1"/>
    <col min="4873" max="4874" width="9.7109375" bestFit="1" customWidth="1"/>
    <col min="4875" max="4876" width="9.85546875" bestFit="1" customWidth="1"/>
    <col min="4877" max="4877" width="9.42578125" bestFit="1" customWidth="1"/>
    <col min="4878" max="4878" width="10.85546875" bestFit="1" customWidth="1"/>
    <col min="4879" max="4879" width="10.7109375" bestFit="1" customWidth="1"/>
    <col min="5124" max="5125" width="9.28515625" bestFit="1" customWidth="1"/>
    <col min="5126" max="5126" width="10.7109375" bestFit="1" customWidth="1"/>
    <col min="5127" max="5127" width="9.85546875" bestFit="1" customWidth="1"/>
    <col min="5128" max="5128" width="9.42578125" bestFit="1" customWidth="1"/>
    <col min="5129" max="5130" width="9.7109375" bestFit="1" customWidth="1"/>
    <col min="5131" max="5132" width="9.85546875" bestFit="1" customWidth="1"/>
    <col min="5133" max="5133" width="9.42578125" bestFit="1" customWidth="1"/>
    <col min="5134" max="5134" width="10.85546875" bestFit="1" customWidth="1"/>
    <col min="5135" max="5135" width="10.7109375" bestFit="1" customWidth="1"/>
    <col min="5380" max="5381" width="9.28515625" bestFit="1" customWidth="1"/>
    <col min="5382" max="5382" width="10.7109375" bestFit="1" customWidth="1"/>
    <col min="5383" max="5383" width="9.85546875" bestFit="1" customWidth="1"/>
    <col min="5384" max="5384" width="9.42578125" bestFit="1" customWidth="1"/>
    <col min="5385" max="5386" width="9.7109375" bestFit="1" customWidth="1"/>
    <col min="5387" max="5388" width="9.85546875" bestFit="1" customWidth="1"/>
    <col min="5389" max="5389" width="9.42578125" bestFit="1" customWidth="1"/>
    <col min="5390" max="5390" width="10.85546875" bestFit="1" customWidth="1"/>
    <col min="5391" max="5391" width="10.7109375" bestFit="1" customWidth="1"/>
    <col min="5636" max="5637" width="9.28515625" bestFit="1" customWidth="1"/>
    <col min="5638" max="5638" width="10.7109375" bestFit="1" customWidth="1"/>
    <col min="5639" max="5639" width="9.85546875" bestFit="1" customWidth="1"/>
    <col min="5640" max="5640" width="9.42578125" bestFit="1" customWidth="1"/>
    <col min="5641" max="5642" width="9.7109375" bestFit="1" customWidth="1"/>
    <col min="5643" max="5644" width="9.85546875" bestFit="1" customWidth="1"/>
    <col min="5645" max="5645" width="9.42578125" bestFit="1" customWidth="1"/>
    <col min="5646" max="5646" width="10.85546875" bestFit="1" customWidth="1"/>
    <col min="5647" max="5647" width="10.7109375" bestFit="1" customWidth="1"/>
    <col min="5892" max="5893" width="9.28515625" bestFit="1" customWidth="1"/>
    <col min="5894" max="5894" width="10.7109375" bestFit="1" customWidth="1"/>
    <col min="5895" max="5895" width="9.85546875" bestFit="1" customWidth="1"/>
    <col min="5896" max="5896" width="9.42578125" bestFit="1" customWidth="1"/>
    <col min="5897" max="5898" width="9.7109375" bestFit="1" customWidth="1"/>
    <col min="5899" max="5900" width="9.85546875" bestFit="1" customWidth="1"/>
    <col min="5901" max="5901" width="9.42578125" bestFit="1" customWidth="1"/>
    <col min="5902" max="5902" width="10.85546875" bestFit="1" customWidth="1"/>
    <col min="5903" max="5903" width="10.7109375" bestFit="1" customWidth="1"/>
    <col min="6148" max="6149" width="9.28515625" bestFit="1" customWidth="1"/>
    <col min="6150" max="6150" width="10.7109375" bestFit="1" customWidth="1"/>
    <col min="6151" max="6151" width="9.85546875" bestFit="1" customWidth="1"/>
    <col min="6152" max="6152" width="9.42578125" bestFit="1" customWidth="1"/>
    <col min="6153" max="6154" width="9.7109375" bestFit="1" customWidth="1"/>
    <col min="6155" max="6156" width="9.85546875" bestFit="1" customWidth="1"/>
    <col min="6157" max="6157" width="9.42578125" bestFit="1" customWidth="1"/>
    <col min="6158" max="6158" width="10.85546875" bestFit="1" customWidth="1"/>
    <col min="6159" max="6159" width="10.7109375" bestFit="1" customWidth="1"/>
    <col min="6404" max="6405" width="9.28515625" bestFit="1" customWidth="1"/>
    <col min="6406" max="6406" width="10.7109375" bestFit="1" customWidth="1"/>
    <col min="6407" max="6407" width="9.85546875" bestFit="1" customWidth="1"/>
    <col min="6408" max="6408" width="9.42578125" bestFit="1" customWidth="1"/>
    <col min="6409" max="6410" width="9.7109375" bestFit="1" customWidth="1"/>
    <col min="6411" max="6412" width="9.85546875" bestFit="1" customWidth="1"/>
    <col min="6413" max="6413" width="9.42578125" bestFit="1" customWidth="1"/>
    <col min="6414" max="6414" width="10.85546875" bestFit="1" customWidth="1"/>
    <col min="6415" max="6415" width="10.7109375" bestFit="1" customWidth="1"/>
    <col min="6660" max="6661" width="9.28515625" bestFit="1" customWidth="1"/>
    <col min="6662" max="6662" width="10.7109375" bestFit="1" customWidth="1"/>
    <col min="6663" max="6663" width="9.85546875" bestFit="1" customWidth="1"/>
    <col min="6664" max="6664" width="9.42578125" bestFit="1" customWidth="1"/>
    <col min="6665" max="6666" width="9.7109375" bestFit="1" customWidth="1"/>
    <col min="6667" max="6668" width="9.85546875" bestFit="1" customWidth="1"/>
    <col min="6669" max="6669" width="9.42578125" bestFit="1" customWidth="1"/>
    <col min="6670" max="6670" width="10.85546875" bestFit="1" customWidth="1"/>
    <col min="6671" max="6671" width="10.7109375" bestFit="1" customWidth="1"/>
    <col min="6916" max="6917" width="9.28515625" bestFit="1" customWidth="1"/>
    <col min="6918" max="6918" width="10.7109375" bestFit="1" customWidth="1"/>
    <col min="6919" max="6919" width="9.85546875" bestFit="1" customWidth="1"/>
    <col min="6920" max="6920" width="9.42578125" bestFit="1" customWidth="1"/>
    <col min="6921" max="6922" width="9.7109375" bestFit="1" customWidth="1"/>
    <col min="6923" max="6924" width="9.85546875" bestFit="1" customWidth="1"/>
    <col min="6925" max="6925" width="9.42578125" bestFit="1" customWidth="1"/>
    <col min="6926" max="6926" width="10.85546875" bestFit="1" customWidth="1"/>
    <col min="6927" max="6927" width="10.7109375" bestFit="1" customWidth="1"/>
    <col min="7172" max="7173" width="9.28515625" bestFit="1" customWidth="1"/>
    <col min="7174" max="7174" width="10.7109375" bestFit="1" customWidth="1"/>
    <col min="7175" max="7175" width="9.85546875" bestFit="1" customWidth="1"/>
    <col min="7176" max="7176" width="9.42578125" bestFit="1" customWidth="1"/>
    <col min="7177" max="7178" width="9.7109375" bestFit="1" customWidth="1"/>
    <col min="7179" max="7180" width="9.85546875" bestFit="1" customWidth="1"/>
    <col min="7181" max="7181" width="9.42578125" bestFit="1" customWidth="1"/>
    <col min="7182" max="7182" width="10.85546875" bestFit="1" customWidth="1"/>
    <col min="7183" max="7183" width="10.7109375" bestFit="1" customWidth="1"/>
    <col min="7428" max="7429" width="9.28515625" bestFit="1" customWidth="1"/>
    <col min="7430" max="7430" width="10.7109375" bestFit="1" customWidth="1"/>
    <col min="7431" max="7431" width="9.85546875" bestFit="1" customWidth="1"/>
    <col min="7432" max="7432" width="9.42578125" bestFit="1" customWidth="1"/>
    <col min="7433" max="7434" width="9.7109375" bestFit="1" customWidth="1"/>
    <col min="7435" max="7436" width="9.85546875" bestFit="1" customWidth="1"/>
    <col min="7437" max="7437" width="9.42578125" bestFit="1" customWidth="1"/>
    <col min="7438" max="7438" width="10.85546875" bestFit="1" customWidth="1"/>
    <col min="7439" max="7439" width="10.7109375" bestFit="1" customWidth="1"/>
    <col min="7684" max="7685" width="9.28515625" bestFit="1" customWidth="1"/>
    <col min="7686" max="7686" width="10.7109375" bestFit="1" customWidth="1"/>
    <col min="7687" max="7687" width="9.85546875" bestFit="1" customWidth="1"/>
    <col min="7688" max="7688" width="9.42578125" bestFit="1" customWidth="1"/>
    <col min="7689" max="7690" width="9.7109375" bestFit="1" customWidth="1"/>
    <col min="7691" max="7692" width="9.85546875" bestFit="1" customWidth="1"/>
    <col min="7693" max="7693" width="9.42578125" bestFit="1" customWidth="1"/>
    <col min="7694" max="7694" width="10.85546875" bestFit="1" customWidth="1"/>
    <col min="7695" max="7695" width="10.7109375" bestFit="1" customWidth="1"/>
    <col min="7940" max="7941" width="9.28515625" bestFit="1" customWidth="1"/>
    <col min="7942" max="7942" width="10.7109375" bestFit="1" customWidth="1"/>
    <col min="7943" max="7943" width="9.85546875" bestFit="1" customWidth="1"/>
    <col min="7944" max="7944" width="9.42578125" bestFit="1" customWidth="1"/>
    <col min="7945" max="7946" width="9.7109375" bestFit="1" customWidth="1"/>
    <col min="7947" max="7948" width="9.85546875" bestFit="1" customWidth="1"/>
    <col min="7949" max="7949" width="9.42578125" bestFit="1" customWidth="1"/>
    <col min="7950" max="7950" width="10.85546875" bestFit="1" customWidth="1"/>
    <col min="7951" max="7951" width="10.7109375" bestFit="1" customWidth="1"/>
    <col min="8196" max="8197" width="9.28515625" bestFit="1" customWidth="1"/>
    <col min="8198" max="8198" width="10.7109375" bestFit="1" customWidth="1"/>
    <col min="8199" max="8199" width="9.85546875" bestFit="1" customWidth="1"/>
    <col min="8200" max="8200" width="9.42578125" bestFit="1" customWidth="1"/>
    <col min="8201" max="8202" width="9.7109375" bestFit="1" customWidth="1"/>
    <col min="8203" max="8204" width="9.85546875" bestFit="1" customWidth="1"/>
    <col min="8205" max="8205" width="9.42578125" bestFit="1" customWidth="1"/>
    <col min="8206" max="8206" width="10.85546875" bestFit="1" customWidth="1"/>
    <col min="8207" max="8207" width="10.7109375" bestFit="1" customWidth="1"/>
    <col min="8452" max="8453" width="9.28515625" bestFit="1" customWidth="1"/>
    <col min="8454" max="8454" width="10.7109375" bestFit="1" customWidth="1"/>
    <col min="8455" max="8455" width="9.85546875" bestFit="1" customWidth="1"/>
    <col min="8456" max="8456" width="9.42578125" bestFit="1" customWidth="1"/>
    <col min="8457" max="8458" width="9.7109375" bestFit="1" customWidth="1"/>
    <col min="8459" max="8460" width="9.85546875" bestFit="1" customWidth="1"/>
    <col min="8461" max="8461" width="9.42578125" bestFit="1" customWidth="1"/>
    <col min="8462" max="8462" width="10.85546875" bestFit="1" customWidth="1"/>
    <col min="8463" max="8463" width="10.7109375" bestFit="1" customWidth="1"/>
    <col min="8708" max="8709" width="9.28515625" bestFit="1" customWidth="1"/>
    <col min="8710" max="8710" width="10.7109375" bestFit="1" customWidth="1"/>
    <col min="8711" max="8711" width="9.85546875" bestFit="1" customWidth="1"/>
    <col min="8712" max="8712" width="9.42578125" bestFit="1" customWidth="1"/>
    <col min="8713" max="8714" width="9.7109375" bestFit="1" customWidth="1"/>
    <col min="8715" max="8716" width="9.85546875" bestFit="1" customWidth="1"/>
    <col min="8717" max="8717" width="9.42578125" bestFit="1" customWidth="1"/>
    <col min="8718" max="8718" width="10.85546875" bestFit="1" customWidth="1"/>
    <col min="8719" max="8719" width="10.7109375" bestFit="1" customWidth="1"/>
    <col min="8964" max="8965" width="9.28515625" bestFit="1" customWidth="1"/>
    <col min="8966" max="8966" width="10.7109375" bestFit="1" customWidth="1"/>
    <col min="8967" max="8967" width="9.85546875" bestFit="1" customWidth="1"/>
    <col min="8968" max="8968" width="9.42578125" bestFit="1" customWidth="1"/>
    <col min="8969" max="8970" width="9.7109375" bestFit="1" customWidth="1"/>
    <col min="8971" max="8972" width="9.85546875" bestFit="1" customWidth="1"/>
    <col min="8973" max="8973" width="9.42578125" bestFit="1" customWidth="1"/>
    <col min="8974" max="8974" width="10.85546875" bestFit="1" customWidth="1"/>
    <col min="8975" max="8975" width="10.7109375" bestFit="1" customWidth="1"/>
    <col min="9220" max="9221" width="9.28515625" bestFit="1" customWidth="1"/>
    <col min="9222" max="9222" width="10.7109375" bestFit="1" customWidth="1"/>
    <col min="9223" max="9223" width="9.85546875" bestFit="1" customWidth="1"/>
    <col min="9224" max="9224" width="9.42578125" bestFit="1" customWidth="1"/>
    <col min="9225" max="9226" width="9.7109375" bestFit="1" customWidth="1"/>
    <col min="9227" max="9228" width="9.85546875" bestFit="1" customWidth="1"/>
    <col min="9229" max="9229" width="9.42578125" bestFit="1" customWidth="1"/>
    <col min="9230" max="9230" width="10.85546875" bestFit="1" customWidth="1"/>
    <col min="9231" max="9231" width="10.7109375" bestFit="1" customWidth="1"/>
    <col min="9476" max="9477" width="9.28515625" bestFit="1" customWidth="1"/>
    <col min="9478" max="9478" width="10.7109375" bestFit="1" customWidth="1"/>
    <col min="9479" max="9479" width="9.85546875" bestFit="1" customWidth="1"/>
    <col min="9480" max="9480" width="9.42578125" bestFit="1" customWidth="1"/>
    <col min="9481" max="9482" width="9.7109375" bestFit="1" customWidth="1"/>
    <col min="9483" max="9484" width="9.85546875" bestFit="1" customWidth="1"/>
    <col min="9485" max="9485" width="9.42578125" bestFit="1" customWidth="1"/>
    <col min="9486" max="9486" width="10.85546875" bestFit="1" customWidth="1"/>
    <col min="9487" max="9487" width="10.7109375" bestFit="1" customWidth="1"/>
    <col min="9732" max="9733" width="9.28515625" bestFit="1" customWidth="1"/>
    <col min="9734" max="9734" width="10.7109375" bestFit="1" customWidth="1"/>
    <col min="9735" max="9735" width="9.85546875" bestFit="1" customWidth="1"/>
    <col min="9736" max="9736" width="9.42578125" bestFit="1" customWidth="1"/>
    <col min="9737" max="9738" width="9.7109375" bestFit="1" customWidth="1"/>
    <col min="9739" max="9740" width="9.85546875" bestFit="1" customWidth="1"/>
    <col min="9741" max="9741" width="9.42578125" bestFit="1" customWidth="1"/>
    <col min="9742" max="9742" width="10.85546875" bestFit="1" customWidth="1"/>
    <col min="9743" max="9743" width="10.7109375" bestFit="1" customWidth="1"/>
    <col min="9988" max="9989" width="9.28515625" bestFit="1" customWidth="1"/>
    <col min="9990" max="9990" width="10.7109375" bestFit="1" customWidth="1"/>
    <col min="9991" max="9991" width="9.85546875" bestFit="1" customWidth="1"/>
    <col min="9992" max="9992" width="9.42578125" bestFit="1" customWidth="1"/>
    <col min="9993" max="9994" width="9.7109375" bestFit="1" customWidth="1"/>
    <col min="9995" max="9996" width="9.85546875" bestFit="1" customWidth="1"/>
    <col min="9997" max="9997" width="9.42578125" bestFit="1" customWidth="1"/>
    <col min="9998" max="9998" width="10.85546875" bestFit="1" customWidth="1"/>
    <col min="9999" max="9999" width="10.7109375" bestFit="1" customWidth="1"/>
    <col min="10244" max="10245" width="9.28515625" bestFit="1" customWidth="1"/>
    <col min="10246" max="10246" width="10.7109375" bestFit="1" customWidth="1"/>
    <col min="10247" max="10247" width="9.85546875" bestFit="1" customWidth="1"/>
    <col min="10248" max="10248" width="9.42578125" bestFit="1" customWidth="1"/>
    <col min="10249" max="10250" width="9.7109375" bestFit="1" customWidth="1"/>
    <col min="10251" max="10252" width="9.85546875" bestFit="1" customWidth="1"/>
    <col min="10253" max="10253" width="9.42578125" bestFit="1" customWidth="1"/>
    <col min="10254" max="10254" width="10.85546875" bestFit="1" customWidth="1"/>
    <col min="10255" max="10255" width="10.7109375" bestFit="1" customWidth="1"/>
    <col min="10500" max="10501" width="9.28515625" bestFit="1" customWidth="1"/>
    <col min="10502" max="10502" width="10.7109375" bestFit="1" customWidth="1"/>
    <col min="10503" max="10503" width="9.85546875" bestFit="1" customWidth="1"/>
    <col min="10504" max="10504" width="9.42578125" bestFit="1" customWidth="1"/>
    <col min="10505" max="10506" width="9.7109375" bestFit="1" customWidth="1"/>
    <col min="10507" max="10508" width="9.85546875" bestFit="1" customWidth="1"/>
    <col min="10509" max="10509" width="9.42578125" bestFit="1" customWidth="1"/>
    <col min="10510" max="10510" width="10.85546875" bestFit="1" customWidth="1"/>
    <col min="10511" max="10511" width="10.7109375" bestFit="1" customWidth="1"/>
    <col min="10756" max="10757" width="9.28515625" bestFit="1" customWidth="1"/>
    <col min="10758" max="10758" width="10.7109375" bestFit="1" customWidth="1"/>
    <col min="10759" max="10759" width="9.85546875" bestFit="1" customWidth="1"/>
    <col min="10760" max="10760" width="9.42578125" bestFit="1" customWidth="1"/>
    <col min="10761" max="10762" width="9.7109375" bestFit="1" customWidth="1"/>
    <col min="10763" max="10764" width="9.85546875" bestFit="1" customWidth="1"/>
    <col min="10765" max="10765" width="9.42578125" bestFit="1" customWidth="1"/>
    <col min="10766" max="10766" width="10.85546875" bestFit="1" customWidth="1"/>
    <col min="10767" max="10767" width="10.7109375" bestFit="1" customWidth="1"/>
    <col min="11012" max="11013" width="9.28515625" bestFit="1" customWidth="1"/>
    <col min="11014" max="11014" width="10.7109375" bestFit="1" customWidth="1"/>
    <col min="11015" max="11015" width="9.85546875" bestFit="1" customWidth="1"/>
    <col min="11016" max="11016" width="9.42578125" bestFit="1" customWidth="1"/>
    <col min="11017" max="11018" width="9.7109375" bestFit="1" customWidth="1"/>
    <col min="11019" max="11020" width="9.85546875" bestFit="1" customWidth="1"/>
    <col min="11021" max="11021" width="9.42578125" bestFit="1" customWidth="1"/>
    <col min="11022" max="11022" width="10.85546875" bestFit="1" customWidth="1"/>
    <col min="11023" max="11023" width="10.7109375" bestFit="1" customWidth="1"/>
    <col min="11268" max="11269" width="9.28515625" bestFit="1" customWidth="1"/>
    <col min="11270" max="11270" width="10.7109375" bestFit="1" customWidth="1"/>
    <col min="11271" max="11271" width="9.85546875" bestFit="1" customWidth="1"/>
    <col min="11272" max="11272" width="9.42578125" bestFit="1" customWidth="1"/>
    <col min="11273" max="11274" width="9.7109375" bestFit="1" customWidth="1"/>
    <col min="11275" max="11276" width="9.85546875" bestFit="1" customWidth="1"/>
    <col min="11277" max="11277" width="9.42578125" bestFit="1" customWidth="1"/>
    <col min="11278" max="11278" width="10.85546875" bestFit="1" customWidth="1"/>
    <col min="11279" max="11279" width="10.7109375" bestFit="1" customWidth="1"/>
    <col min="11524" max="11525" width="9.28515625" bestFit="1" customWidth="1"/>
    <col min="11526" max="11526" width="10.7109375" bestFit="1" customWidth="1"/>
    <col min="11527" max="11527" width="9.85546875" bestFit="1" customWidth="1"/>
    <col min="11528" max="11528" width="9.42578125" bestFit="1" customWidth="1"/>
    <col min="11529" max="11530" width="9.7109375" bestFit="1" customWidth="1"/>
    <col min="11531" max="11532" width="9.85546875" bestFit="1" customWidth="1"/>
    <col min="11533" max="11533" width="9.42578125" bestFit="1" customWidth="1"/>
    <col min="11534" max="11534" width="10.85546875" bestFit="1" customWidth="1"/>
    <col min="11535" max="11535" width="10.7109375" bestFit="1" customWidth="1"/>
    <col min="11780" max="11781" width="9.28515625" bestFit="1" customWidth="1"/>
    <col min="11782" max="11782" width="10.7109375" bestFit="1" customWidth="1"/>
    <col min="11783" max="11783" width="9.85546875" bestFit="1" customWidth="1"/>
    <col min="11784" max="11784" width="9.42578125" bestFit="1" customWidth="1"/>
    <col min="11785" max="11786" width="9.7109375" bestFit="1" customWidth="1"/>
    <col min="11787" max="11788" width="9.85546875" bestFit="1" customWidth="1"/>
    <col min="11789" max="11789" width="9.42578125" bestFit="1" customWidth="1"/>
    <col min="11790" max="11790" width="10.85546875" bestFit="1" customWidth="1"/>
    <col min="11791" max="11791" width="10.7109375" bestFit="1" customWidth="1"/>
    <col min="12036" max="12037" width="9.28515625" bestFit="1" customWidth="1"/>
    <col min="12038" max="12038" width="10.7109375" bestFit="1" customWidth="1"/>
    <col min="12039" max="12039" width="9.85546875" bestFit="1" customWidth="1"/>
    <col min="12040" max="12040" width="9.42578125" bestFit="1" customWidth="1"/>
    <col min="12041" max="12042" width="9.7109375" bestFit="1" customWidth="1"/>
    <col min="12043" max="12044" width="9.85546875" bestFit="1" customWidth="1"/>
    <col min="12045" max="12045" width="9.42578125" bestFit="1" customWidth="1"/>
    <col min="12046" max="12046" width="10.85546875" bestFit="1" customWidth="1"/>
    <col min="12047" max="12047" width="10.7109375" bestFit="1" customWidth="1"/>
    <col min="12292" max="12293" width="9.28515625" bestFit="1" customWidth="1"/>
    <col min="12294" max="12294" width="10.7109375" bestFit="1" customWidth="1"/>
    <col min="12295" max="12295" width="9.85546875" bestFit="1" customWidth="1"/>
    <col min="12296" max="12296" width="9.42578125" bestFit="1" customWidth="1"/>
    <col min="12297" max="12298" width="9.7109375" bestFit="1" customWidth="1"/>
    <col min="12299" max="12300" width="9.85546875" bestFit="1" customWidth="1"/>
    <col min="12301" max="12301" width="9.42578125" bestFit="1" customWidth="1"/>
    <col min="12302" max="12302" width="10.85546875" bestFit="1" customWidth="1"/>
    <col min="12303" max="12303" width="10.7109375" bestFit="1" customWidth="1"/>
    <col min="12548" max="12549" width="9.28515625" bestFit="1" customWidth="1"/>
    <col min="12550" max="12550" width="10.7109375" bestFit="1" customWidth="1"/>
    <col min="12551" max="12551" width="9.85546875" bestFit="1" customWidth="1"/>
    <col min="12552" max="12552" width="9.42578125" bestFit="1" customWidth="1"/>
    <col min="12553" max="12554" width="9.7109375" bestFit="1" customWidth="1"/>
    <col min="12555" max="12556" width="9.85546875" bestFit="1" customWidth="1"/>
    <col min="12557" max="12557" width="9.42578125" bestFit="1" customWidth="1"/>
    <col min="12558" max="12558" width="10.85546875" bestFit="1" customWidth="1"/>
    <col min="12559" max="12559" width="10.7109375" bestFit="1" customWidth="1"/>
    <col min="12804" max="12805" width="9.28515625" bestFit="1" customWidth="1"/>
    <col min="12806" max="12806" width="10.7109375" bestFit="1" customWidth="1"/>
    <col min="12807" max="12807" width="9.85546875" bestFit="1" customWidth="1"/>
    <col min="12808" max="12808" width="9.42578125" bestFit="1" customWidth="1"/>
    <col min="12809" max="12810" width="9.7109375" bestFit="1" customWidth="1"/>
    <col min="12811" max="12812" width="9.85546875" bestFit="1" customWidth="1"/>
    <col min="12813" max="12813" width="9.42578125" bestFit="1" customWidth="1"/>
    <col min="12814" max="12814" width="10.85546875" bestFit="1" customWidth="1"/>
    <col min="12815" max="12815" width="10.7109375" bestFit="1" customWidth="1"/>
    <col min="13060" max="13061" width="9.28515625" bestFit="1" customWidth="1"/>
    <col min="13062" max="13062" width="10.7109375" bestFit="1" customWidth="1"/>
    <col min="13063" max="13063" width="9.85546875" bestFit="1" customWidth="1"/>
    <col min="13064" max="13064" width="9.42578125" bestFit="1" customWidth="1"/>
    <col min="13065" max="13066" width="9.7109375" bestFit="1" customWidth="1"/>
    <col min="13067" max="13068" width="9.85546875" bestFit="1" customWidth="1"/>
    <col min="13069" max="13069" width="9.42578125" bestFit="1" customWidth="1"/>
    <col min="13070" max="13070" width="10.85546875" bestFit="1" customWidth="1"/>
    <col min="13071" max="13071" width="10.7109375" bestFit="1" customWidth="1"/>
    <col min="13316" max="13317" width="9.28515625" bestFit="1" customWidth="1"/>
    <col min="13318" max="13318" width="10.7109375" bestFit="1" customWidth="1"/>
    <col min="13319" max="13319" width="9.85546875" bestFit="1" customWidth="1"/>
    <col min="13320" max="13320" width="9.42578125" bestFit="1" customWidth="1"/>
    <col min="13321" max="13322" width="9.7109375" bestFit="1" customWidth="1"/>
    <col min="13323" max="13324" width="9.85546875" bestFit="1" customWidth="1"/>
    <col min="13325" max="13325" width="9.42578125" bestFit="1" customWidth="1"/>
    <col min="13326" max="13326" width="10.85546875" bestFit="1" customWidth="1"/>
    <col min="13327" max="13327" width="10.7109375" bestFit="1" customWidth="1"/>
    <col min="13572" max="13573" width="9.28515625" bestFit="1" customWidth="1"/>
    <col min="13574" max="13574" width="10.7109375" bestFit="1" customWidth="1"/>
    <col min="13575" max="13575" width="9.85546875" bestFit="1" customWidth="1"/>
    <col min="13576" max="13576" width="9.42578125" bestFit="1" customWidth="1"/>
    <col min="13577" max="13578" width="9.7109375" bestFit="1" customWidth="1"/>
    <col min="13579" max="13580" width="9.85546875" bestFit="1" customWidth="1"/>
    <col min="13581" max="13581" width="9.42578125" bestFit="1" customWidth="1"/>
    <col min="13582" max="13582" width="10.85546875" bestFit="1" customWidth="1"/>
    <col min="13583" max="13583" width="10.7109375" bestFit="1" customWidth="1"/>
    <col min="13828" max="13829" width="9.28515625" bestFit="1" customWidth="1"/>
    <col min="13830" max="13830" width="10.7109375" bestFit="1" customWidth="1"/>
    <col min="13831" max="13831" width="9.85546875" bestFit="1" customWidth="1"/>
    <col min="13832" max="13832" width="9.42578125" bestFit="1" customWidth="1"/>
    <col min="13833" max="13834" width="9.7109375" bestFit="1" customWidth="1"/>
    <col min="13835" max="13836" width="9.85546875" bestFit="1" customWidth="1"/>
    <col min="13837" max="13837" width="9.42578125" bestFit="1" customWidth="1"/>
    <col min="13838" max="13838" width="10.85546875" bestFit="1" customWidth="1"/>
    <col min="13839" max="13839" width="10.7109375" bestFit="1" customWidth="1"/>
    <col min="14084" max="14085" width="9.28515625" bestFit="1" customWidth="1"/>
    <col min="14086" max="14086" width="10.7109375" bestFit="1" customWidth="1"/>
    <col min="14087" max="14087" width="9.85546875" bestFit="1" customWidth="1"/>
    <col min="14088" max="14088" width="9.42578125" bestFit="1" customWidth="1"/>
    <col min="14089" max="14090" width="9.7109375" bestFit="1" customWidth="1"/>
    <col min="14091" max="14092" width="9.85546875" bestFit="1" customWidth="1"/>
    <col min="14093" max="14093" width="9.42578125" bestFit="1" customWidth="1"/>
    <col min="14094" max="14094" width="10.85546875" bestFit="1" customWidth="1"/>
    <col min="14095" max="14095" width="10.7109375" bestFit="1" customWidth="1"/>
    <col min="14340" max="14341" width="9.28515625" bestFit="1" customWidth="1"/>
    <col min="14342" max="14342" width="10.7109375" bestFit="1" customWidth="1"/>
    <col min="14343" max="14343" width="9.85546875" bestFit="1" customWidth="1"/>
    <col min="14344" max="14344" width="9.42578125" bestFit="1" customWidth="1"/>
    <col min="14345" max="14346" width="9.7109375" bestFit="1" customWidth="1"/>
    <col min="14347" max="14348" width="9.85546875" bestFit="1" customWidth="1"/>
    <col min="14349" max="14349" width="9.42578125" bestFit="1" customWidth="1"/>
    <col min="14350" max="14350" width="10.85546875" bestFit="1" customWidth="1"/>
    <col min="14351" max="14351" width="10.7109375" bestFit="1" customWidth="1"/>
    <col min="14596" max="14597" width="9.28515625" bestFit="1" customWidth="1"/>
    <col min="14598" max="14598" width="10.7109375" bestFit="1" customWidth="1"/>
    <col min="14599" max="14599" width="9.85546875" bestFit="1" customWidth="1"/>
    <col min="14600" max="14600" width="9.42578125" bestFit="1" customWidth="1"/>
    <col min="14601" max="14602" width="9.7109375" bestFit="1" customWidth="1"/>
    <col min="14603" max="14604" width="9.85546875" bestFit="1" customWidth="1"/>
    <col min="14605" max="14605" width="9.42578125" bestFit="1" customWidth="1"/>
    <col min="14606" max="14606" width="10.85546875" bestFit="1" customWidth="1"/>
    <col min="14607" max="14607" width="10.7109375" bestFit="1" customWidth="1"/>
    <col min="14852" max="14853" width="9.28515625" bestFit="1" customWidth="1"/>
    <col min="14854" max="14854" width="10.7109375" bestFit="1" customWidth="1"/>
    <col min="14855" max="14855" width="9.85546875" bestFit="1" customWidth="1"/>
    <col min="14856" max="14856" width="9.42578125" bestFit="1" customWidth="1"/>
    <col min="14857" max="14858" width="9.7109375" bestFit="1" customWidth="1"/>
    <col min="14859" max="14860" width="9.85546875" bestFit="1" customWidth="1"/>
    <col min="14861" max="14861" width="9.42578125" bestFit="1" customWidth="1"/>
    <col min="14862" max="14862" width="10.85546875" bestFit="1" customWidth="1"/>
    <col min="14863" max="14863" width="10.7109375" bestFit="1" customWidth="1"/>
    <col min="15108" max="15109" width="9.28515625" bestFit="1" customWidth="1"/>
    <col min="15110" max="15110" width="10.7109375" bestFit="1" customWidth="1"/>
    <col min="15111" max="15111" width="9.85546875" bestFit="1" customWidth="1"/>
    <col min="15112" max="15112" width="9.42578125" bestFit="1" customWidth="1"/>
    <col min="15113" max="15114" width="9.7109375" bestFit="1" customWidth="1"/>
    <col min="15115" max="15116" width="9.85546875" bestFit="1" customWidth="1"/>
    <col min="15117" max="15117" width="9.42578125" bestFit="1" customWidth="1"/>
    <col min="15118" max="15118" width="10.85546875" bestFit="1" customWidth="1"/>
    <col min="15119" max="15119" width="10.7109375" bestFit="1" customWidth="1"/>
    <col min="15364" max="15365" width="9.28515625" bestFit="1" customWidth="1"/>
    <col min="15366" max="15366" width="10.7109375" bestFit="1" customWidth="1"/>
    <col min="15367" max="15367" width="9.85546875" bestFit="1" customWidth="1"/>
    <col min="15368" max="15368" width="9.42578125" bestFit="1" customWidth="1"/>
    <col min="15369" max="15370" width="9.7109375" bestFit="1" customWidth="1"/>
    <col min="15371" max="15372" width="9.85546875" bestFit="1" customWidth="1"/>
    <col min="15373" max="15373" width="9.42578125" bestFit="1" customWidth="1"/>
    <col min="15374" max="15374" width="10.85546875" bestFit="1" customWidth="1"/>
    <col min="15375" max="15375" width="10.7109375" bestFit="1" customWidth="1"/>
    <col min="15620" max="15621" width="9.28515625" bestFit="1" customWidth="1"/>
    <col min="15622" max="15622" width="10.7109375" bestFit="1" customWidth="1"/>
    <col min="15623" max="15623" width="9.85546875" bestFit="1" customWidth="1"/>
    <col min="15624" max="15624" width="9.42578125" bestFit="1" customWidth="1"/>
    <col min="15625" max="15626" width="9.7109375" bestFit="1" customWidth="1"/>
    <col min="15627" max="15628" width="9.85546875" bestFit="1" customWidth="1"/>
    <col min="15629" max="15629" width="9.42578125" bestFit="1" customWidth="1"/>
    <col min="15630" max="15630" width="10.85546875" bestFit="1" customWidth="1"/>
    <col min="15631" max="15631" width="10.7109375" bestFit="1" customWidth="1"/>
    <col min="15876" max="15877" width="9.28515625" bestFit="1" customWidth="1"/>
    <col min="15878" max="15878" width="10.7109375" bestFit="1" customWidth="1"/>
    <col min="15879" max="15879" width="9.85546875" bestFit="1" customWidth="1"/>
    <col min="15880" max="15880" width="9.42578125" bestFit="1" customWidth="1"/>
    <col min="15881" max="15882" width="9.7109375" bestFit="1" customWidth="1"/>
    <col min="15883" max="15884" width="9.85546875" bestFit="1" customWidth="1"/>
    <col min="15885" max="15885" width="9.42578125" bestFit="1" customWidth="1"/>
    <col min="15886" max="15886" width="10.85546875" bestFit="1" customWidth="1"/>
    <col min="15887" max="15887" width="10.7109375" bestFit="1" customWidth="1"/>
    <col min="16132" max="16133" width="9.28515625" bestFit="1" customWidth="1"/>
    <col min="16134" max="16134" width="10.7109375" bestFit="1" customWidth="1"/>
    <col min="16135" max="16135" width="9.85546875" bestFit="1" customWidth="1"/>
    <col min="16136" max="16136" width="9.42578125" bestFit="1" customWidth="1"/>
    <col min="16137" max="16138" width="9.7109375" bestFit="1" customWidth="1"/>
    <col min="16139" max="16140" width="9.85546875" bestFit="1" customWidth="1"/>
    <col min="16141" max="16141" width="9.42578125" bestFit="1" customWidth="1"/>
    <col min="16142" max="16142" width="10.85546875" bestFit="1" customWidth="1"/>
    <col min="16143" max="16143" width="10.7109375" bestFit="1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1082</v>
      </c>
      <c r="E3" s="854"/>
      <c r="F3" s="854"/>
      <c r="G3" s="1002" t="s">
        <v>1004</v>
      </c>
      <c r="H3" s="998"/>
      <c r="I3" s="998"/>
      <c r="J3" s="854">
        <v>902180201</v>
      </c>
      <c r="K3" s="854"/>
      <c r="L3" s="1004" t="s">
        <v>1005</v>
      </c>
      <c r="M3" s="1005"/>
      <c r="N3" s="47">
        <v>886.69100000000003</v>
      </c>
      <c r="O3" s="851" t="s">
        <v>831</v>
      </c>
      <c r="P3" s="997"/>
      <c r="Q3" s="80">
        <v>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1083</v>
      </c>
      <c r="E5" s="854"/>
      <c r="F5" s="854"/>
      <c r="G5" s="1002" t="s">
        <v>1008</v>
      </c>
      <c r="H5" s="998"/>
      <c r="I5" s="1001"/>
      <c r="J5" s="854" t="s">
        <v>1084</v>
      </c>
      <c r="K5" s="854"/>
      <c r="L5" s="854"/>
      <c r="M5" s="46"/>
      <c r="N5" s="46"/>
      <c r="O5" s="46"/>
      <c r="P5" s="46"/>
    </row>
    <row r="6" spans="1:17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 t="s">
        <v>1085</v>
      </c>
      <c r="E7" s="854"/>
      <c r="F7" s="854"/>
      <c r="G7" s="1002" t="s">
        <v>1011</v>
      </c>
      <c r="H7" s="998"/>
      <c r="I7" s="1001"/>
      <c r="J7" s="858" t="s">
        <v>1086</v>
      </c>
      <c r="K7" s="859"/>
      <c r="L7" s="860"/>
      <c r="M7" s="46"/>
      <c r="N7" s="46"/>
      <c r="O7" s="46"/>
      <c r="P7" s="46"/>
    </row>
    <row r="8" spans="1:17">
      <c r="A8" s="46"/>
      <c r="B8" s="46"/>
      <c r="C8" s="46"/>
      <c r="D8" s="46"/>
      <c r="E8" s="46"/>
      <c r="F8" s="46"/>
      <c r="G8" s="46"/>
      <c r="H8" s="46"/>
      <c r="I8" s="46"/>
      <c r="J8" s="861"/>
      <c r="K8" s="862"/>
      <c r="L8" s="863"/>
      <c r="M8" s="46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1087</v>
      </c>
      <c r="E10" s="854"/>
      <c r="F10" s="854" t="s">
        <v>1088</v>
      </c>
      <c r="G10" s="854"/>
      <c r="H10" s="854" t="s">
        <v>1089</v>
      </c>
      <c r="I10" s="854"/>
      <c r="J10" s="854" t="s">
        <v>1090</v>
      </c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1091</v>
      </c>
      <c r="E11" s="854"/>
      <c r="F11" s="854" t="s">
        <v>1092</v>
      </c>
      <c r="G11" s="854"/>
      <c r="H11" s="854" t="s">
        <v>1093</v>
      </c>
      <c r="I11" s="854"/>
      <c r="J11" s="854" t="s">
        <v>1094</v>
      </c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1095</v>
      </c>
      <c r="E12" s="854"/>
      <c r="F12" s="854" t="s">
        <v>1096</v>
      </c>
      <c r="G12" s="854"/>
      <c r="H12" s="854" t="s">
        <v>1097</v>
      </c>
      <c r="I12" s="854"/>
      <c r="J12" s="854" t="s">
        <v>1098</v>
      </c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/>
      <c r="E13" s="854"/>
      <c r="F13" s="854" t="s">
        <v>1099</v>
      </c>
      <c r="G13" s="854"/>
      <c r="H13" s="854"/>
      <c r="I13" s="854"/>
      <c r="J13" s="854" t="s">
        <v>1100</v>
      </c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4</v>
      </c>
      <c r="E15" s="82" t="s">
        <v>1025</v>
      </c>
      <c r="F15" s="83"/>
      <c r="G15" s="83"/>
      <c r="H15" s="47">
        <v>4</v>
      </c>
      <c r="I15" s="46" t="s">
        <v>1026</v>
      </c>
      <c r="J15" s="47">
        <v>10</v>
      </c>
      <c r="K15" s="46" t="s">
        <v>1027</v>
      </c>
      <c r="L15" s="47" t="s">
        <v>1101</v>
      </c>
      <c r="M15" s="84" t="s">
        <v>645</v>
      </c>
      <c r="N15" s="47">
        <v>11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99</v>
      </c>
      <c r="F17" s="46" t="s">
        <v>205</v>
      </c>
      <c r="G17" s="47">
        <v>0</v>
      </c>
      <c r="H17" s="46" t="s">
        <v>206</v>
      </c>
      <c r="I17" s="47">
        <v>3</v>
      </c>
      <c r="J17" s="46" t="s">
        <v>230</v>
      </c>
      <c r="K17" s="47">
        <v>102</v>
      </c>
      <c r="L17" s="46" t="s">
        <v>207</v>
      </c>
      <c r="M17" s="47">
        <v>11</v>
      </c>
      <c r="N17" s="46" t="s">
        <v>1028</v>
      </c>
      <c r="O17" s="46"/>
      <c r="P17" s="47">
        <v>36</v>
      </c>
    </row>
    <row r="18" spans="1:16">
      <c r="A18" s="46" t="s">
        <v>1029</v>
      </c>
      <c r="B18" s="46"/>
      <c r="C18" s="46"/>
      <c r="D18" s="46" t="s">
        <v>1030</v>
      </c>
      <c r="E18" s="47">
        <v>270</v>
      </c>
      <c r="F18" s="46" t="s">
        <v>211</v>
      </c>
      <c r="G18" s="47"/>
      <c r="H18" s="46" t="s">
        <v>212</v>
      </c>
      <c r="I18" s="47">
        <v>7</v>
      </c>
      <c r="J18" s="46" t="s">
        <v>411</v>
      </c>
      <c r="K18" s="47">
        <v>277</v>
      </c>
      <c r="L18" s="46"/>
      <c r="M18" s="46"/>
      <c r="N18" s="46"/>
      <c r="O18" s="46"/>
      <c r="P18" s="46"/>
    </row>
    <row r="19" spans="1:16">
      <c r="A19" s="46"/>
      <c r="B19" s="46"/>
      <c r="C19" s="46"/>
      <c r="D19" s="46" t="s">
        <v>213</v>
      </c>
      <c r="E19" s="47">
        <v>281</v>
      </c>
      <c r="F19" s="46" t="s">
        <v>214</v>
      </c>
      <c r="G19" s="47"/>
      <c r="H19" s="46" t="s">
        <v>215</v>
      </c>
      <c r="I19" s="47">
        <v>8</v>
      </c>
      <c r="J19" s="46" t="s">
        <v>410</v>
      </c>
      <c r="K19" s="47">
        <v>289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1016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1017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7093528/100000</f>
        <v>70.935280000000006</v>
      </c>
      <c r="G24" s="87">
        <f>7093528/100000</f>
        <v>70.935280000000006</v>
      </c>
      <c r="H24" s="86">
        <f>85135/100000</f>
        <v>0.85135000000000005</v>
      </c>
      <c r="I24" s="86">
        <f>934675/100000</f>
        <v>9.3467500000000001</v>
      </c>
      <c r="J24" s="86">
        <f>1231939/100000</f>
        <v>12.31939</v>
      </c>
      <c r="K24" s="86">
        <f>1664310/100000</f>
        <v>16.6431</v>
      </c>
      <c r="L24" s="86">
        <f>3114673/100000</f>
        <v>31.146730000000002</v>
      </c>
      <c r="M24" s="86">
        <f>61771/100000</f>
        <v>0.61770999999999998</v>
      </c>
      <c r="N24" s="88">
        <f>SUM(H24:M24)</f>
        <v>70.925030000000007</v>
      </c>
      <c r="O24" s="86">
        <f>N24*100/G24</f>
        <v>99.985550208584499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6">
        <v>0</v>
      </c>
      <c r="G25" s="87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7">
        <f t="shared" ref="N25:N31" si="0">SUM(H25:M25)</f>
        <v>0</v>
      </c>
      <c r="O25" s="86">
        <v>0</v>
      </c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f>143000/100000</f>
        <v>1.43</v>
      </c>
      <c r="G26" s="87">
        <f>63000/100000</f>
        <v>0.63</v>
      </c>
      <c r="H26" s="86">
        <v>0</v>
      </c>
      <c r="I26" s="86">
        <v>0</v>
      </c>
      <c r="J26" s="86">
        <f>11672/100000</f>
        <v>0.11672</v>
      </c>
      <c r="K26" s="86">
        <f>6000/100000</f>
        <v>0.06</v>
      </c>
      <c r="L26" s="86">
        <f>25328/100000</f>
        <v>0.25328000000000001</v>
      </c>
      <c r="M26" s="86">
        <f>20000/100000</f>
        <v>0.2</v>
      </c>
      <c r="N26" s="88">
        <f t="shared" si="0"/>
        <v>0.63</v>
      </c>
      <c r="O26" s="86">
        <f t="shared" ref="O26:O32" si="1">N26*100/G26</f>
        <v>100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7">
        <f>34000/100000</f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2996/100000</f>
        <v>2.9960000000000001E-2</v>
      </c>
      <c r="L27" s="86">
        <f>12254/100000</f>
        <v>0.12254</v>
      </c>
      <c r="M27" s="86">
        <f>2550/100000</f>
        <v>2.5499999999999998E-2</v>
      </c>
      <c r="N27" s="88">
        <f t="shared" si="0"/>
        <v>0.34</v>
      </c>
      <c r="O27" s="86">
        <f t="shared" si="1"/>
        <v>99.999999999999986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f>1064029/100000</f>
        <v>10.64029</v>
      </c>
      <c r="G28" s="87">
        <f>1064029/100000</f>
        <v>10.64029</v>
      </c>
      <c r="H28" s="86">
        <v>0</v>
      </c>
      <c r="I28" s="86">
        <v>0</v>
      </c>
      <c r="J28" s="86">
        <v>0</v>
      </c>
      <c r="K28" s="86">
        <f>625500/100000</f>
        <v>6.2549999999999999</v>
      </c>
      <c r="L28" s="86">
        <f>443558/100000</f>
        <v>4.4355799999999999</v>
      </c>
      <c r="M28" s="86">
        <v>0</v>
      </c>
      <c r="N28" s="88">
        <f t="shared" si="0"/>
        <v>10.690580000000001</v>
      </c>
      <c r="O28" s="86">
        <f t="shared" si="1"/>
        <v>100.47263749390289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+D29*N3/100000</f>
        <v>5.0098041500000008</v>
      </c>
      <c r="G29" s="87">
        <f>500980/100000</f>
        <v>5.0098000000000003</v>
      </c>
      <c r="H29" s="86">
        <v>0</v>
      </c>
      <c r="I29" s="86">
        <f>45000/100000</f>
        <v>0.45</v>
      </c>
      <c r="J29" s="86">
        <f>455980/100000</f>
        <v>4.5598000000000001</v>
      </c>
      <c r="K29" s="86">
        <v>0</v>
      </c>
      <c r="L29" s="86">
        <v>0</v>
      </c>
      <c r="M29" s="86">
        <v>0</v>
      </c>
      <c r="N29" s="87">
        <f t="shared" si="0"/>
        <v>5.0098000000000003</v>
      </c>
      <c r="O29" s="86">
        <f t="shared" si="1"/>
        <v>100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f>D30*N3/100000</f>
        <v>8.8669100000000007</v>
      </c>
      <c r="G30" s="87">
        <f>886691/100000</f>
        <v>8.8669100000000007</v>
      </c>
      <c r="H30" s="86">
        <f>50000/100000</f>
        <v>0.5</v>
      </c>
      <c r="I30" s="86">
        <f>50000/100000</f>
        <v>0.5</v>
      </c>
      <c r="J30" s="86">
        <v>0</v>
      </c>
      <c r="K30" s="86">
        <v>0</v>
      </c>
      <c r="L30" s="86">
        <f>213000/100000</f>
        <v>2.13</v>
      </c>
      <c r="M30" s="86">
        <f>36492/100000</f>
        <v>0.36492000000000002</v>
      </c>
      <c r="N30" s="88">
        <f t="shared" si="0"/>
        <v>3.49492</v>
      </c>
      <c r="O30" s="86">
        <f t="shared" si="1"/>
        <v>39.415309279106246</v>
      </c>
    </row>
    <row r="31" spans="1:16">
      <c r="A31" s="991" t="s">
        <v>1040</v>
      </c>
      <c r="B31" s="991"/>
      <c r="C31" s="991"/>
      <c r="D31" s="80">
        <v>2700</v>
      </c>
      <c r="E31" s="80" t="s">
        <v>242</v>
      </c>
      <c r="F31" s="87">
        <f>192000/100000</f>
        <v>1.92</v>
      </c>
      <c r="G31" s="87">
        <f>192000/100000</f>
        <v>1.92</v>
      </c>
      <c r="H31" s="86">
        <f>13323/100000</f>
        <v>0.13322999999999999</v>
      </c>
      <c r="I31" s="86">
        <f>20305/100000</f>
        <v>0.20305000000000001</v>
      </c>
      <c r="J31" s="86">
        <f>47632/100000</f>
        <v>0.47632000000000002</v>
      </c>
      <c r="K31" s="86">
        <f>26450/100000</f>
        <v>0.26450000000000001</v>
      </c>
      <c r="L31" s="86">
        <f>38423/100000</f>
        <v>0.38423000000000002</v>
      </c>
      <c r="M31" s="86">
        <f>24750/100000</f>
        <v>0.2475</v>
      </c>
      <c r="N31" s="88">
        <f t="shared" si="0"/>
        <v>1.7088300000000001</v>
      </c>
      <c r="O31" s="86">
        <f t="shared" si="1"/>
        <v>89.001562500000006</v>
      </c>
    </row>
    <row r="32" spans="1:16">
      <c r="A32" s="1006" t="s">
        <v>230</v>
      </c>
      <c r="B32" s="1007"/>
      <c r="C32" s="1008"/>
      <c r="D32" s="80"/>
      <c r="E32" s="80"/>
      <c r="F32" s="88">
        <f t="shared" ref="F32:N32" si="2">SUM(F24:F31)</f>
        <v>99.142284150000023</v>
      </c>
      <c r="G32" s="88">
        <f t="shared" si="2"/>
        <v>98.342280000000002</v>
      </c>
      <c r="H32" s="88">
        <f t="shared" si="2"/>
        <v>1.48458</v>
      </c>
      <c r="I32" s="88">
        <f t="shared" si="2"/>
        <v>10.499799999999999</v>
      </c>
      <c r="J32" s="88">
        <f t="shared" si="2"/>
        <v>17.634230000000002</v>
      </c>
      <c r="K32" s="88">
        <f t="shared" si="2"/>
        <v>23.252559999999999</v>
      </c>
      <c r="L32" s="88">
        <f t="shared" si="2"/>
        <v>38.472360000000009</v>
      </c>
      <c r="M32" s="88">
        <f t="shared" si="2"/>
        <v>1.45563</v>
      </c>
      <c r="N32" s="88">
        <f t="shared" si="2"/>
        <v>92.799160000000001</v>
      </c>
      <c r="O32" s="88">
        <f t="shared" si="1"/>
        <v>94.363441644834751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L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4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2"/>
  <sheetViews>
    <sheetView workbookViewId="0">
      <selection activeCell="A4" sqref="A4:C4"/>
    </sheetView>
  </sheetViews>
  <sheetFormatPr defaultRowHeight="15"/>
  <cols>
    <col min="6" max="6" width="15.7109375" bestFit="1" customWidth="1"/>
    <col min="14" max="14" width="10.5703125" bestFit="1" customWidth="1"/>
    <col min="15" max="15" width="9.85546875" bestFit="1" customWidth="1"/>
    <col min="262" max="262" width="15.7109375" bestFit="1" customWidth="1"/>
    <col min="270" max="270" width="10.5703125" bestFit="1" customWidth="1"/>
    <col min="271" max="271" width="9.85546875" bestFit="1" customWidth="1"/>
    <col min="518" max="518" width="15.7109375" bestFit="1" customWidth="1"/>
    <col min="526" max="526" width="10.5703125" bestFit="1" customWidth="1"/>
    <col min="527" max="527" width="9.85546875" bestFit="1" customWidth="1"/>
    <col min="774" max="774" width="15.7109375" bestFit="1" customWidth="1"/>
    <col min="782" max="782" width="10.5703125" bestFit="1" customWidth="1"/>
    <col min="783" max="783" width="9.85546875" bestFit="1" customWidth="1"/>
    <col min="1030" max="1030" width="15.7109375" bestFit="1" customWidth="1"/>
    <col min="1038" max="1038" width="10.5703125" bestFit="1" customWidth="1"/>
    <col min="1039" max="1039" width="9.85546875" bestFit="1" customWidth="1"/>
    <col min="1286" max="1286" width="15.7109375" bestFit="1" customWidth="1"/>
    <col min="1294" max="1294" width="10.5703125" bestFit="1" customWidth="1"/>
    <col min="1295" max="1295" width="9.85546875" bestFit="1" customWidth="1"/>
    <col min="1542" max="1542" width="15.7109375" bestFit="1" customWidth="1"/>
    <col min="1550" max="1550" width="10.5703125" bestFit="1" customWidth="1"/>
    <col min="1551" max="1551" width="9.85546875" bestFit="1" customWidth="1"/>
    <col min="1798" max="1798" width="15.7109375" bestFit="1" customWidth="1"/>
    <col min="1806" max="1806" width="10.5703125" bestFit="1" customWidth="1"/>
    <col min="1807" max="1807" width="9.85546875" bestFit="1" customWidth="1"/>
    <col min="2054" max="2054" width="15.7109375" bestFit="1" customWidth="1"/>
    <col min="2062" max="2062" width="10.5703125" bestFit="1" customWidth="1"/>
    <col min="2063" max="2063" width="9.85546875" bestFit="1" customWidth="1"/>
    <col min="2310" max="2310" width="15.7109375" bestFit="1" customWidth="1"/>
    <col min="2318" max="2318" width="10.5703125" bestFit="1" customWidth="1"/>
    <col min="2319" max="2319" width="9.85546875" bestFit="1" customWidth="1"/>
    <col min="2566" max="2566" width="15.7109375" bestFit="1" customWidth="1"/>
    <col min="2574" max="2574" width="10.5703125" bestFit="1" customWidth="1"/>
    <col min="2575" max="2575" width="9.85546875" bestFit="1" customWidth="1"/>
    <col min="2822" max="2822" width="15.7109375" bestFit="1" customWidth="1"/>
    <col min="2830" max="2830" width="10.5703125" bestFit="1" customWidth="1"/>
    <col min="2831" max="2831" width="9.85546875" bestFit="1" customWidth="1"/>
    <col min="3078" max="3078" width="15.7109375" bestFit="1" customWidth="1"/>
    <col min="3086" max="3086" width="10.5703125" bestFit="1" customWidth="1"/>
    <col min="3087" max="3087" width="9.85546875" bestFit="1" customWidth="1"/>
    <col min="3334" max="3334" width="15.7109375" bestFit="1" customWidth="1"/>
    <col min="3342" max="3342" width="10.5703125" bestFit="1" customWidth="1"/>
    <col min="3343" max="3343" width="9.85546875" bestFit="1" customWidth="1"/>
    <col min="3590" max="3590" width="15.7109375" bestFit="1" customWidth="1"/>
    <col min="3598" max="3598" width="10.5703125" bestFit="1" customWidth="1"/>
    <col min="3599" max="3599" width="9.85546875" bestFit="1" customWidth="1"/>
    <col min="3846" max="3846" width="15.7109375" bestFit="1" customWidth="1"/>
    <col min="3854" max="3854" width="10.5703125" bestFit="1" customWidth="1"/>
    <col min="3855" max="3855" width="9.85546875" bestFit="1" customWidth="1"/>
    <col min="4102" max="4102" width="15.7109375" bestFit="1" customWidth="1"/>
    <col min="4110" max="4110" width="10.5703125" bestFit="1" customWidth="1"/>
    <col min="4111" max="4111" width="9.85546875" bestFit="1" customWidth="1"/>
    <col min="4358" max="4358" width="15.7109375" bestFit="1" customWidth="1"/>
    <col min="4366" max="4366" width="10.5703125" bestFit="1" customWidth="1"/>
    <col min="4367" max="4367" width="9.85546875" bestFit="1" customWidth="1"/>
    <col min="4614" max="4614" width="15.7109375" bestFit="1" customWidth="1"/>
    <col min="4622" max="4622" width="10.5703125" bestFit="1" customWidth="1"/>
    <col min="4623" max="4623" width="9.85546875" bestFit="1" customWidth="1"/>
    <col min="4870" max="4870" width="15.7109375" bestFit="1" customWidth="1"/>
    <col min="4878" max="4878" width="10.5703125" bestFit="1" customWidth="1"/>
    <col min="4879" max="4879" width="9.85546875" bestFit="1" customWidth="1"/>
    <col min="5126" max="5126" width="15.7109375" bestFit="1" customWidth="1"/>
    <col min="5134" max="5134" width="10.5703125" bestFit="1" customWidth="1"/>
    <col min="5135" max="5135" width="9.85546875" bestFit="1" customWidth="1"/>
    <col min="5382" max="5382" width="15.7109375" bestFit="1" customWidth="1"/>
    <col min="5390" max="5390" width="10.5703125" bestFit="1" customWidth="1"/>
    <col min="5391" max="5391" width="9.85546875" bestFit="1" customWidth="1"/>
    <col min="5638" max="5638" width="15.7109375" bestFit="1" customWidth="1"/>
    <col min="5646" max="5646" width="10.5703125" bestFit="1" customWidth="1"/>
    <col min="5647" max="5647" width="9.85546875" bestFit="1" customWidth="1"/>
    <col min="5894" max="5894" width="15.7109375" bestFit="1" customWidth="1"/>
    <col min="5902" max="5902" width="10.5703125" bestFit="1" customWidth="1"/>
    <col min="5903" max="5903" width="9.85546875" bestFit="1" customWidth="1"/>
    <col min="6150" max="6150" width="15.7109375" bestFit="1" customWidth="1"/>
    <col min="6158" max="6158" width="10.5703125" bestFit="1" customWidth="1"/>
    <col min="6159" max="6159" width="9.85546875" bestFit="1" customWidth="1"/>
    <col min="6406" max="6406" width="15.7109375" bestFit="1" customWidth="1"/>
    <col min="6414" max="6414" width="10.5703125" bestFit="1" customWidth="1"/>
    <col min="6415" max="6415" width="9.85546875" bestFit="1" customWidth="1"/>
    <col min="6662" max="6662" width="15.7109375" bestFit="1" customWidth="1"/>
    <col min="6670" max="6670" width="10.5703125" bestFit="1" customWidth="1"/>
    <col min="6671" max="6671" width="9.85546875" bestFit="1" customWidth="1"/>
    <col min="6918" max="6918" width="15.7109375" bestFit="1" customWidth="1"/>
    <col min="6926" max="6926" width="10.5703125" bestFit="1" customWidth="1"/>
    <col min="6927" max="6927" width="9.85546875" bestFit="1" customWidth="1"/>
    <col min="7174" max="7174" width="15.7109375" bestFit="1" customWidth="1"/>
    <col min="7182" max="7182" width="10.5703125" bestFit="1" customWidth="1"/>
    <col min="7183" max="7183" width="9.85546875" bestFit="1" customWidth="1"/>
    <col min="7430" max="7430" width="15.7109375" bestFit="1" customWidth="1"/>
    <col min="7438" max="7438" width="10.5703125" bestFit="1" customWidth="1"/>
    <col min="7439" max="7439" width="9.85546875" bestFit="1" customWidth="1"/>
    <col min="7686" max="7686" width="15.7109375" bestFit="1" customWidth="1"/>
    <col min="7694" max="7694" width="10.5703125" bestFit="1" customWidth="1"/>
    <col min="7695" max="7695" width="9.85546875" bestFit="1" customWidth="1"/>
    <col min="7942" max="7942" width="15.7109375" bestFit="1" customWidth="1"/>
    <col min="7950" max="7950" width="10.5703125" bestFit="1" customWidth="1"/>
    <col min="7951" max="7951" width="9.85546875" bestFit="1" customWidth="1"/>
    <col min="8198" max="8198" width="15.7109375" bestFit="1" customWidth="1"/>
    <col min="8206" max="8206" width="10.5703125" bestFit="1" customWidth="1"/>
    <col min="8207" max="8207" width="9.85546875" bestFit="1" customWidth="1"/>
    <col min="8454" max="8454" width="15.7109375" bestFit="1" customWidth="1"/>
    <col min="8462" max="8462" width="10.5703125" bestFit="1" customWidth="1"/>
    <col min="8463" max="8463" width="9.85546875" bestFit="1" customWidth="1"/>
    <col min="8710" max="8710" width="15.7109375" bestFit="1" customWidth="1"/>
    <col min="8718" max="8718" width="10.5703125" bestFit="1" customWidth="1"/>
    <col min="8719" max="8719" width="9.85546875" bestFit="1" customWidth="1"/>
    <col min="8966" max="8966" width="15.7109375" bestFit="1" customWidth="1"/>
    <col min="8974" max="8974" width="10.5703125" bestFit="1" customWidth="1"/>
    <col min="8975" max="8975" width="9.85546875" bestFit="1" customWidth="1"/>
    <col min="9222" max="9222" width="15.7109375" bestFit="1" customWidth="1"/>
    <col min="9230" max="9230" width="10.5703125" bestFit="1" customWidth="1"/>
    <col min="9231" max="9231" width="9.85546875" bestFit="1" customWidth="1"/>
    <col min="9478" max="9478" width="15.7109375" bestFit="1" customWidth="1"/>
    <col min="9486" max="9486" width="10.5703125" bestFit="1" customWidth="1"/>
    <col min="9487" max="9487" width="9.85546875" bestFit="1" customWidth="1"/>
    <col min="9734" max="9734" width="15.7109375" bestFit="1" customWidth="1"/>
    <col min="9742" max="9742" width="10.5703125" bestFit="1" customWidth="1"/>
    <col min="9743" max="9743" width="9.85546875" bestFit="1" customWidth="1"/>
    <col min="9990" max="9990" width="15.7109375" bestFit="1" customWidth="1"/>
    <col min="9998" max="9998" width="10.5703125" bestFit="1" customWidth="1"/>
    <col min="9999" max="9999" width="9.85546875" bestFit="1" customWidth="1"/>
    <col min="10246" max="10246" width="15.7109375" bestFit="1" customWidth="1"/>
    <col min="10254" max="10254" width="10.5703125" bestFit="1" customWidth="1"/>
    <col min="10255" max="10255" width="9.85546875" bestFit="1" customWidth="1"/>
    <col min="10502" max="10502" width="15.7109375" bestFit="1" customWidth="1"/>
    <col min="10510" max="10510" width="10.5703125" bestFit="1" customWidth="1"/>
    <col min="10511" max="10511" width="9.85546875" bestFit="1" customWidth="1"/>
    <col min="10758" max="10758" width="15.7109375" bestFit="1" customWidth="1"/>
    <col min="10766" max="10766" width="10.5703125" bestFit="1" customWidth="1"/>
    <col min="10767" max="10767" width="9.85546875" bestFit="1" customWidth="1"/>
    <col min="11014" max="11014" width="15.7109375" bestFit="1" customWidth="1"/>
    <col min="11022" max="11022" width="10.5703125" bestFit="1" customWidth="1"/>
    <col min="11023" max="11023" width="9.85546875" bestFit="1" customWidth="1"/>
    <col min="11270" max="11270" width="15.7109375" bestFit="1" customWidth="1"/>
    <col min="11278" max="11278" width="10.5703125" bestFit="1" customWidth="1"/>
    <col min="11279" max="11279" width="9.85546875" bestFit="1" customWidth="1"/>
    <col min="11526" max="11526" width="15.7109375" bestFit="1" customWidth="1"/>
    <col min="11534" max="11534" width="10.5703125" bestFit="1" customWidth="1"/>
    <col min="11535" max="11535" width="9.85546875" bestFit="1" customWidth="1"/>
    <col min="11782" max="11782" width="15.7109375" bestFit="1" customWidth="1"/>
    <col min="11790" max="11790" width="10.5703125" bestFit="1" customWidth="1"/>
    <col min="11791" max="11791" width="9.85546875" bestFit="1" customWidth="1"/>
    <col min="12038" max="12038" width="15.7109375" bestFit="1" customWidth="1"/>
    <col min="12046" max="12046" width="10.5703125" bestFit="1" customWidth="1"/>
    <col min="12047" max="12047" width="9.85546875" bestFit="1" customWidth="1"/>
    <col min="12294" max="12294" width="15.7109375" bestFit="1" customWidth="1"/>
    <col min="12302" max="12302" width="10.5703125" bestFit="1" customWidth="1"/>
    <col min="12303" max="12303" width="9.85546875" bestFit="1" customWidth="1"/>
    <col min="12550" max="12550" width="15.7109375" bestFit="1" customWidth="1"/>
    <col min="12558" max="12558" width="10.5703125" bestFit="1" customWidth="1"/>
    <col min="12559" max="12559" width="9.85546875" bestFit="1" customWidth="1"/>
    <col min="12806" max="12806" width="15.7109375" bestFit="1" customWidth="1"/>
    <col min="12814" max="12814" width="10.5703125" bestFit="1" customWidth="1"/>
    <col min="12815" max="12815" width="9.85546875" bestFit="1" customWidth="1"/>
    <col min="13062" max="13062" width="15.7109375" bestFit="1" customWidth="1"/>
    <col min="13070" max="13070" width="10.5703125" bestFit="1" customWidth="1"/>
    <col min="13071" max="13071" width="9.85546875" bestFit="1" customWidth="1"/>
    <col min="13318" max="13318" width="15.7109375" bestFit="1" customWidth="1"/>
    <col min="13326" max="13326" width="10.5703125" bestFit="1" customWidth="1"/>
    <col min="13327" max="13327" width="9.85546875" bestFit="1" customWidth="1"/>
    <col min="13574" max="13574" width="15.7109375" bestFit="1" customWidth="1"/>
    <col min="13582" max="13582" width="10.5703125" bestFit="1" customWidth="1"/>
    <col min="13583" max="13583" width="9.85546875" bestFit="1" customWidth="1"/>
    <col min="13830" max="13830" width="15.7109375" bestFit="1" customWidth="1"/>
    <col min="13838" max="13838" width="10.5703125" bestFit="1" customWidth="1"/>
    <col min="13839" max="13839" width="9.85546875" bestFit="1" customWidth="1"/>
    <col min="14086" max="14086" width="15.7109375" bestFit="1" customWidth="1"/>
    <col min="14094" max="14094" width="10.5703125" bestFit="1" customWidth="1"/>
    <col min="14095" max="14095" width="9.85546875" bestFit="1" customWidth="1"/>
    <col min="14342" max="14342" width="15.7109375" bestFit="1" customWidth="1"/>
    <col min="14350" max="14350" width="10.5703125" bestFit="1" customWidth="1"/>
    <col min="14351" max="14351" width="9.85546875" bestFit="1" customWidth="1"/>
    <col min="14598" max="14598" width="15.7109375" bestFit="1" customWidth="1"/>
    <col min="14606" max="14606" width="10.5703125" bestFit="1" customWidth="1"/>
    <col min="14607" max="14607" width="9.85546875" bestFit="1" customWidth="1"/>
    <col min="14854" max="14854" width="15.7109375" bestFit="1" customWidth="1"/>
    <col min="14862" max="14862" width="10.5703125" bestFit="1" customWidth="1"/>
    <col min="14863" max="14863" width="9.85546875" bestFit="1" customWidth="1"/>
    <col min="15110" max="15110" width="15.7109375" bestFit="1" customWidth="1"/>
    <col min="15118" max="15118" width="10.5703125" bestFit="1" customWidth="1"/>
    <col min="15119" max="15119" width="9.85546875" bestFit="1" customWidth="1"/>
    <col min="15366" max="15366" width="15.7109375" bestFit="1" customWidth="1"/>
    <col min="15374" max="15374" width="10.5703125" bestFit="1" customWidth="1"/>
    <col min="15375" max="15375" width="9.85546875" bestFit="1" customWidth="1"/>
    <col min="15622" max="15622" width="15.7109375" bestFit="1" customWidth="1"/>
    <col min="15630" max="15630" width="10.5703125" bestFit="1" customWidth="1"/>
    <col min="15631" max="15631" width="9.85546875" bestFit="1" customWidth="1"/>
    <col min="15878" max="15878" width="15.7109375" bestFit="1" customWidth="1"/>
    <col min="15886" max="15886" width="10.5703125" bestFit="1" customWidth="1"/>
    <col min="15887" max="15887" width="9.85546875" bestFit="1" customWidth="1"/>
    <col min="16134" max="16134" width="15.7109375" bestFit="1" customWidth="1"/>
    <col min="16142" max="16142" width="10.5703125" bestFit="1" customWidth="1"/>
    <col min="16143" max="16143" width="9.85546875" bestFit="1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1102</v>
      </c>
      <c r="E3" s="854"/>
      <c r="F3" s="854"/>
      <c r="G3" s="1002" t="s">
        <v>1004</v>
      </c>
      <c r="H3" s="998"/>
      <c r="I3" s="998"/>
      <c r="J3" s="854">
        <v>902070202</v>
      </c>
      <c r="K3" s="854"/>
      <c r="L3" s="1004" t="s">
        <v>1005</v>
      </c>
      <c r="M3" s="1005"/>
      <c r="N3" s="47">
        <v>455.52499999999998</v>
      </c>
      <c r="O3" s="851" t="s">
        <v>831</v>
      </c>
      <c r="P3" s="997"/>
      <c r="Q3" s="80">
        <v>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1103</v>
      </c>
      <c r="E5" s="854"/>
      <c r="F5" s="854"/>
      <c r="G5" s="1002" t="s">
        <v>1008</v>
      </c>
      <c r="H5" s="998"/>
      <c r="I5" s="1001"/>
      <c r="J5" s="854" t="s">
        <v>1104</v>
      </c>
      <c r="K5" s="854"/>
      <c r="L5" s="854"/>
      <c r="M5" s="46"/>
      <c r="N5" s="46"/>
      <c r="O5" s="46"/>
      <c r="P5" s="46"/>
    </row>
    <row r="6" spans="1:17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 t="s">
        <v>1105</v>
      </c>
      <c r="E7" s="854"/>
      <c r="F7" s="854"/>
      <c r="G7" s="1002" t="s">
        <v>1011</v>
      </c>
      <c r="H7" s="998"/>
      <c r="I7" s="1001"/>
      <c r="J7" s="858" t="s">
        <v>1106</v>
      </c>
      <c r="K7" s="859"/>
      <c r="L7" s="860"/>
      <c r="M7" s="46"/>
      <c r="N7" s="46"/>
      <c r="O7" s="46"/>
      <c r="P7" s="46"/>
    </row>
    <row r="8" spans="1:17">
      <c r="A8" s="46"/>
      <c r="B8" s="46"/>
      <c r="C8" s="46"/>
      <c r="D8" s="46"/>
      <c r="E8" s="46"/>
      <c r="F8" s="46"/>
      <c r="G8" s="46"/>
      <c r="H8" s="46"/>
      <c r="I8" s="46"/>
      <c r="J8" s="861"/>
      <c r="K8" s="862"/>
      <c r="L8" s="863"/>
      <c r="M8" s="46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1107</v>
      </c>
      <c r="E10" s="854"/>
      <c r="F10" s="854" t="s">
        <v>1108</v>
      </c>
      <c r="G10" s="854"/>
      <c r="H10" s="854" t="s">
        <v>1109</v>
      </c>
      <c r="I10" s="854"/>
      <c r="J10" s="854"/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1110</v>
      </c>
      <c r="E11" s="854"/>
      <c r="F11" s="854" t="s">
        <v>1105</v>
      </c>
      <c r="G11" s="854"/>
      <c r="H11" s="854" t="s">
        <v>1066</v>
      </c>
      <c r="I11" s="854"/>
      <c r="J11" s="854"/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1111</v>
      </c>
      <c r="E12" s="854"/>
      <c r="F12" s="854" t="s">
        <v>1112</v>
      </c>
      <c r="G12" s="854"/>
      <c r="H12" s="854" t="s">
        <v>1113</v>
      </c>
      <c r="I12" s="854"/>
      <c r="J12" s="854"/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/>
      <c r="E13" s="854"/>
      <c r="F13" s="854" t="s">
        <v>1114</v>
      </c>
      <c r="G13" s="854"/>
      <c r="H13" s="854" t="s">
        <v>1115</v>
      </c>
      <c r="I13" s="854"/>
      <c r="J13" s="854"/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3</v>
      </c>
      <c r="E15" s="82" t="s">
        <v>1025</v>
      </c>
      <c r="F15" s="83"/>
      <c r="G15" s="83"/>
      <c r="H15" s="47">
        <v>3</v>
      </c>
      <c r="I15" s="46" t="s">
        <v>1026</v>
      </c>
      <c r="J15" s="47">
        <v>16</v>
      </c>
      <c r="K15" s="46" t="s">
        <v>1027</v>
      </c>
      <c r="L15" s="47" t="s">
        <v>1101</v>
      </c>
      <c r="M15" s="84" t="s">
        <v>645</v>
      </c>
      <c r="N15" s="47">
        <v>10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130</v>
      </c>
      <c r="F17" s="46" t="s">
        <v>205</v>
      </c>
      <c r="G17" s="47"/>
      <c r="H17" s="46" t="s">
        <v>206</v>
      </c>
      <c r="I17" s="47"/>
      <c r="J17" s="46" t="s">
        <v>230</v>
      </c>
      <c r="K17" s="47">
        <v>130</v>
      </c>
      <c r="L17" s="46" t="s">
        <v>207</v>
      </c>
      <c r="M17" s="47">
        <v>12</v>
      </c>
      <c r="N17" s="46" t="s">
        <v>1028</v>
      </c>
      <c r="O17" s="46"/>
      <c r="P17" s="47">
        <v>42</v>
      </c>
    </row>
    <row r="18" spans="1:16">
      <c r="A18" s="46" t="s">
        <v>1029</v>
      </c>
      <c r="B18" s="46"/>
      <c r="C18" s="46"/>
      <c r="D18" s="46" t="s">
        <v>1030</v>
      </c>
      <c r="E18" s="47">
        <v>335</v>
      </c>
      <c r="F18" s="46" t="s">
        <v>211</v>
      </c>
      <c r="G18" s="47"/>
      <c r="H18" s="46" t="s">
        <v>212</v>
      </c>
      <c r="I18" s="47"/>
      <c r="J18" s="46" t="s">
        <v>411</v>
      </c>
      <c r="K18" s="47">
        <v>335</v>
      </c>
      <c r="L18" s="46"/>
      <c r="M18" s="46"/>
      <c r="N18" s="46"/>
      <c r="O18" s="46"/>
      <c r="P18" s="46"/>
    </row>
    <row r="19" spans="1:16">
      <c r="A19" s="46"/>
      <c r="B19" s="46"/>
      <c r="C19" s="46"/>
      <c r="D19" s="46" t="s">
        <v>213</v>
      </c>
      <c r="E19" s="47">
        <v>330</v>
      </c>
      <c r="F19" s="46" t="s">
        <v>214</v>
      </c>
      <c r="G19" s="47"/>
      <c r="H19" s="46" t="s">
        <v>215</v>
      </c>
      <c r="I19" s="47"/>
      <c r="J19" s="46" t="s">
        <v>410</v>
      </c>
      <c r="K19" s="47">
        <v>330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854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854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3644200/100000</f>
        <v>36.442</v>
      </c>
      <c r="G24" s="87">
        <f>3644200/100000</f>
        <v>36.442</v>
      </c>
      <c r="H24" s="86">
        <f>29534/100000</f>
        <v>0.29533999999999999</v>
      </c>
      <c r="I24" s="86">
        <f>712449/100000</f>
        <v>7.1244899999999998</v>
      </c>
      <c r="J24" s="86">
        <f>1071453/100000</f>
        <v>10.71453</v>
      </c>
      <c r="K24" s="86">
        <f>1657010/100000</f>
        <v>16.5701</v>
      </c>
      <c r="L24" s="86">
        <f>124337/100000</f>
        <v>1.2433700000000001</v>
      </c>
      <c r="M24" s="87">
        <v>0</v>
      </c>
      <c r="N24" s="88">
        <f>SUM(H24:M24)</f>
        <v>35.947829999999996</v>
      </c>
      <c r="O24" s="86">
        <f>N24*100/G24</f>
        <v>98.643954777454567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6"/>
      <c r="G25" s="87"/>
      <c r="H25" s="86">
        <v>0</v>
      </c>
      <c r="I25" s="86">
        <v>0</v>
      </c>
      <c r="J25" s="86">
        <v>0</v>
      </c>
      <c r="K25" s="86"/>
      <c r="L25" s="86"/>
      <c r="M25" s="86">
        <v>0</v>
      </c>
      <c r="N25" s="87">
        <f t="shared" ref="N25:N31" si="0">SUM(H25:M25)</f>
        <v>0</v>
      </c>
      <c r="O25" s="86"/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f>143000/100000</f>
        <v>1.43</v>
      </c>
      <c r="G26" s="87">
        <f>63000/100000</f>
        <v>0.63</v>
      </c>
      <c r="H26" s="86">
        <v>0</v>
      </c>
      <c r="I26" s="86">
        <v>0</v>
      </c>
      <c r="J26" s="86">
        <f>8754/100000</f>
        <v>8.7540000000000007E-2</v>
      </c>
      <c r="K26" s="86">
        <f>11927/100000</f>
        <v>0.11927</v>
      </c>
      <c r="L26" s="86">
        <f>22319/100000</f>
        <v>0.22319</v>
      </c>
      <c r="M26" s="86">
        <f>20000/100000</f>
        <v>0.2</v>
      </c>
      <c r="N26" s="88">
        <f t="shared" si="0"/>
        <v>0.63</v>
      </c>
      <c r="O26" s="86">
        <f t="shared" ref="O26:O32" si="1">N26*100/G26</f>
        <v>100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7">
        <f>34000/100000</f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11161/100000</f>
        <v>0.11161</v>
      </c>
      <c r="L27" s="86">
        <f>-673/100000</f>
        <v>-6.7299999999999999E-3</v>
      </c>
      <c r="M27" s="86">
        <f>7312/100000</f>
        <v>7.3120000000000004E-2</v>
      </c>
      <c r="N27" s="88">
        <f t="shared" si="0"/>
        <v>0.34</v>
      </c>
      <c r="O27" s="86">
        <f t="shared" si="1"/>
        <v>99.999999999999986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f>546630/100000</f>
        <v>5.4663000000000004</v>
      </c>
      <c r="G28" s="87">
        <f>546630/100000</f>
        <v>5.4663000000000004</v>
      </c>
      <c r="H28" s="86">
        <v>0</v>
      </c>
      <c r="I28" s="86">
        <v>0</v>
      </c>
      <c r="J28" s="86">
        <v>0</v>
      </c>
      <c r="K28" s="86">
        <v>0</v>
      </c>
      <c r="L28" s="86">
        <f>396000/100000</f>
        <v>3.96</v>
      </c>
      <c r="M28" s="86">
        <v>0</v>
      </c>
      <c r="N28" s="88">
        <f t="shared" si="0"/>
        <v>3.96</v>
      </c>
      <c r="O28" s="86">
        <f t="shared" si="1"/>
        <v>72.443883431205748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ROUND((+D29*N3),0)/100000</f>
        <v>2.5737199999999998</v>
      </c>
      <c r="G29" s="87">
        <f>257372/100000</f>
        <v>2.5737199999999998</v>
      </c>
      <c r="H29" s="86">
        <v>0</v>
      </c>
      <c r="I29" s="86">
        <f>50000/100000</f>
        <v>0.5</v>
      </c>
      <c r="J29" s="86">
        <f>207372/100000</f>
        <v>2.0737199999999998</v>
      </c>
      <c r="K29" s="86">
        <v>0</v>
      </c>
      <c r="L29" s="86"/>
      <c r="M29" s="86">
        <v>0</v>
      </c>
      <c r="N29" s="87">
        <f t="shared" si="0"/>
        <v>2.5737199999999998</v>
      </c>
      <c r="O29" s="86">
        <f t="shared" si="1"/>
        <v>99.999999999999986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f>+D30*N3/100000</f>
        <v>4.55525</v>
      </c>
      <c r="G30" s="87">
        <f>455525/100000</f>
        <v>4.55525</v>
      </c>
      <c r="H30" s="86">
        <f>100000/100000</f>
        <v>1</v>
      </c>
      <c r="I30" s="86">
        <v>0</v>
      </c>
      <c r="J30" s="86">
        <v>0</v>
      </c>
      <c r="K30" s="86">
        <v>0</v>
      </c>
      <c r="L30" s="86">
        <f>150000/100000</f>
        <v>1.5</v>
      </c>
      <c r="M30" s="86">
        <f>32290/100000</f>
        <v>0.32290000000000002</v>
      </c>
      <c r="N30" s="88">
        <f>SUM(H30:M30)</f>
        <v>2.8229000000000002</v>
      </c>
      <c r="O30" s="86">
        <f t="shared" si="1"/>
        <v>61.970254102409314</v>
      </c>
    </row>
    <row r="31" spans="1:16">
      <c r="A31" s="991" t="s">
        <v>1040</v>
      </c>
      <c r="B31" s="991"/>
      <c r="C31" s="991"/>
      <c r="D31" s="80">
        <v>2700</v>
      </c>
      <c r="E31" s="80" t="s">
        <v>242</v>
      </c>
      <c r="F31" s="87">
        <f>192000/100000</f>
        <v>1.92</v>
      </c>
      <c r="G31" s="87">
        <f>192000/100000</f>
        <v>1.92</v>
      </c>
      <c r="H31" s="86">
        <f>14548/100000</f>
        <v>0.14548</v>
      </c>
      <c r="I31" s="86">
        <f>22748/100000</f>
        <v>0.22747999999999999</v>
      </c>
      <c r="J31" s="86">
        <f>34653/100000</f>
        <v>0.34653</v>
      </c>
      <c r="K31" s="86">
        <f>37237/100000</f>
        <v>0.37236999999999998</v>
      </c>
      <c r="L31" s="86">
        <f>48385/100000</f>
        <v>0.48385</v>
      </c>
      <c r="M31" s="86">
        <f>8000/100000</f>
        <v>0.08</v>
      </c>
      <c r="N31" s="87">
        <f t="shared" si="0"/>
        <v>1.65571</v>
      </c>
      <c r="O31" s="86">
        <f t="shared" si="1"/>
        <v>86.23489583333334</v>
      </c>
    </row>
    <row r="32" spans="1:16">
      <c r="A32" s="1006" t="s">
        <v>230</v>
      </c>
      <c r="B32" s="1007"/>
      <c r="C32" s="1008"/>
      <c r="D32" s="70"/>
      <c r="E32" s="70"/>
      <c r="F32" s="88">
        <f t="shared" ref="F32:N32" si="2">SUM(F24:F31)</f>
        <v>52.727270000000011</v>
      </c>
      <c r="G32" s="88">
        <f t="shared" si="2"/>
        <v>51.927270000000014</v>
      </c>
      <c r="H32" s="88">
        <f t="shared" si="2"/>
        <v>1.44082</v>
      </c>
      <c r="I32" s="88">
        <f t="shared" si="2"/>
        <v>7.8519699999999997</v>
      </c>
      <c r="J32" s="88">
        <f t="shared" si="2"/>
        <v>13.384320000000001</v>
      </c>
      <c r="K32" s="88">
        <f t="shared" si="2"/>
        <v>17.173349999999999</v>
      </c>
      <c r="L32" s="88">
        <f t="shared" si="2"/>
        <v>7.4036800000000005</v>
      </c>
      <c r="M32" s="88">
        <f t="shared" si="2"/>
        <v>0.67601999999999995</v>
      </c>
      <c r="N32" s="88">
        <f t="shared" si="2"/>
        <v>47.930160000000001</v>
      </c>
      <c r="O32" s="88">
        <f t="shared" si="1"/>
        <v>92.302483839416141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L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6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2"/>
  <sheetViews>
    <sheetView workbookViewId="0">
      <selection activeCell="A4" sqref="A4:C4"/>
    </sheetView>
  </sheetViews>
  <sheetFormatPr defaultRowHeight="15"/>
  <cols>
    <col min="6" max="7" width="10.5703125" bestFit="1" customWidth="1"/>
    <col min="8" max="8" width="9.5703125" bestFit="1" customWidth="1"/>
    <col min="9" max="9" width="10.5703125" bestFit="1" customWidth="1"/>
    <col min="10" max="10" width="12.85546875" customWidth="1"/>
    <col min="11" max="11" width="11.28515625" customWidth="1"/>
    <col min="12" max="12" width="10.28515625" bestFit="1" customWidth="1"/>
    <col min="13" max="13" width="9.5703125" bestFit="1" customWidth="1"/>
    <col min="14" max="14" width="10.5703125" bestFit="1" customWidth="1"/>
    <col min="15" max="15" width="11.5703125" bestFit="1" customWidth="1"/>
    <col min="262" max="263" width="10.5703125" bestFit="1" customWidth="1"/>
    <col min="264" max="264" width="9.5703125" bestFit="1" customWidth="1"/>
    <col min="265" max="265" width="10.5703125" bestFit="1" customWidth="1"/>
    <col min="266" max="266" width="12.85546875" customWidth="1"/>
    <col min="267" max="267" width="11.28515625" customWidth="1"/>
    <col min="268" max="268" width="10.28515625" bestFit="1" customWidth="1"/>
    <col min="269" max="269" width="9.5703125" bestFit="1" customWidth="1"/>
    <col min="270" max="270" width="10.5703125" bestFit="1" customWidth="1"/>
    <col min="271" max="271" width="11.5703125" bestFit="1" customWidth="1"/>
    <col min="518" max="519" width="10.5703125" bestFit="1" customWidth="1"/>
    <col min="520" max="520" width="9.5703125" bestFit="1" customWidth="1"/>
    <col min="521" max="521" width="10.5703125" bestFit="1" customWidth="1"/>
    <col min="522" max="522" width="12.85546875" customWidth="1"/>
    <col min="523" max="523" width="11.28515625" customWidth="1"/>
    <col min="524" max="524" width="10.28515625" bestFit="1" customWidth="1"/>
    <col min="525" max="525" width="9.5703125" bestFit="1" customWidth="1"/>
    <col min="526" max="526" width="10.5703125" bestFit="1" customWidth="1"/>
    <col min="527" max="527" width="11.5703125" bestFit="1" customWidth="1"/>
    <col min="774" max="775" width="10.5703125" bestFit="1" customWidth="1"/>
    <col min="776" max="776" width="9.5703125" bestFit="1" customWidth="1"/>
    <col min="777" max="777" width="10.5703125" bestFit="1" customWidth="1"/>
    <col min="778" max="778" width="12.85546875" customWidth="1"/>
    <col min="779" max="779" width="11.28515625" customWidth="1"/>
    <col min="780" max="780" width="10.28515625" bestFit="1" customWidth="1"/>
    <col min="781" max="781" width="9.5703125" bestFit="1" customWidth="1"/>
    <col min="782" max="782" width="10.5703125" bestFit="1" customWidth="1"/>
    <col min="783" max="783" width="11.5703125" bestFit="1" customWidth="1"/>
    <col min="1030" max="1031" width="10.5703125" bestFit="1" customWidth="1"/>
    <col min="1032" max="1032" width="9.5703125" bestFit="1" customWidth="1"/>
    <col min="1033" max="1033" width="10.5703125" bestFit="1" customWidth="1"/>
    <col min="1034" max="1034" width="12.85546875" customWidth="1"/>
    <col min="1035" max="1035" width="11.28515625" customWidth="1"/>
    <col min="1036" max="1036" width="10.28515625" bestFit="1" customWidth="1"/>
    <col min="1037" max="1037" width="9.5703125" bestFit="1" customWidth="1"/>
    <col min="1038" max="1038" width="10.5703125" bestFit="1" customWidth="1"/>
    <col min="1039" max="1039" width="11.5703125" bestFit="1" customWidth="1"/>
    <col min="1286" max="1287" width="10.5703125" bestFit="1" customWidth="1"/>
    <col min="1288" max="1288" width="9.5703125" bestFit="1" customWidth="1"/>
    <col min="1289" max="1289" width="10.5703125" bestFit="1" customWidth="1"/>
    <col min="1290" max="1290" width="12.85546875" customWidth="1"/>
    <col min="1291" max="1291" width="11.28515625" customWidth="1"/>
    <col min="1292" max="1292" width="10.28515625" bestFit="1" customWidth="1"/>
    <col min="1293" max="1293" width="9.5703125" bestFit="1" customWidth="1"/>
    <col min="1294" max="1294" width="10.5703125" bestFit="1" customWidth="1"/>
    <col min="1295" max="1295" width="11.5703125" bestFit="1" customWidth="1"/>
    <col min="1542" max="1543" width="10.5703125" bestFit="1" customWidth="1"/>
    <col min="1544" max="1544" width="9.5703125" bestFit="1" customWidth="1"/>
    <col min="1545" max="1545" width="10.5703125" bestFit="1" customWidth="1"/>
    <col min="1546" max="1546" width="12.85546875" customWidth="1"/>
    <col min="1547" max="1547" width="11.28515625" customWidth="1"/>
    <col min="1548" max="1548" width="10.28515625" bestFit="1" customWidth="1"/>
    <col min="1549" max="1549" width="9.5703125" bestFit="1" customWidth="1"/>
    <col min="1550" max="1550" width="10.5703125" bestFit="1" customWidth="1"/>
    <col min="1551" max="1551" width="11.5703125" bestFit="1" customWidth="1"/>
    <col min="1798" max="1799" width="10.5703125" bestFit="1" customWidth="1"/>
    <col min="1800" max="1800" width="9.5703125" bestFit="1" customWidth="1"/>
    <col min="1801" max="1801" width="10.5703125" bestFit="1" customWidth="1"/>
    <col min="1802" max="1802" width="12.85546875" customWidth="1"/>
    <col min="1803" max="1803" width="11.28515625" customWidth="1"/>
    <col min="1804" max="1804" width="10.28515625" bestFit="1" customWidth="1"/>
    <col min="1805" max="1805" width="9.5703125" bestFit="1" customWidth="1"/>
    <col min="1806" max="1806" width="10.5703125" bestFit="1" customWidth="1"/>
    <col min="1807" max="1807" width="11.5703125" bestFit="1" customWidth="1"/>
    <col min="2054" max="2055" width="10.5703125" bestFit="1" customWidth="1"/>
    <col min="2056" max="2056" width="9.5703125" bestFit="1" customWidth="1"/>
    <col min="2057" max="2057" width="10.5703125" bestFit="1" customWidth="1"/>
    <col min="2058" max="2058" width="12.85546875" customWidth="1"/>
    <col min="2059" max="2059" width="11.28515625" customWidth="1"/>
    <col min="2060" max="2060" width="10.28515625" bestFit="1" customWidth="1"/>
    <col min="2061" max="2061" width="9.5703125" bestFit="1" customWidth="1"/>
    <col min="2062" max="2062" width="10.5703125" bestFit="1" customWidth="1"/>
    <col min="2063" max="2063" width="11.5703125" bestFit="1" customWidth="1"/>
    <col min="2310" max="2311" width="10.5703125" bestFit="1" customWidth="1"/>
    <col min="2312" max="2312" width="9.5703125" bestFit="1" customWidth="1"/>
    <col min="2313" max="2313" width="10.5703125" bestFit="1" customWidth="1"/>
    <col min="2314" max="2314" width="12.85546875" customWidth="1"/>
    <col min="2315" max="2315" width="11.28515625" customWidth="1"/>
    <col min="2316" max="2316" width="10.28515625" bestFit="1" customWidth="1"/>
    <col min="2317" max="2317" width="9.5703125" bestFit="1" customWidth="1"/>
    <col min="2318" max="2318" width="10.5703125" bestFit="1" customWidth="1"/>
    <col min="2319" max="2319" width="11.5703125" bestFit="1" customWidth="1"/>
    <col min="2566" max="2567" width="10.5703125" bestFit="1" customWidth="1"/>
    <col min="2568" max="2568" width="9.5703125" bestFit="1" customWidth="1"/>
    <col min="2569" max="2569" width="10.5703125" bestFit="1" customWidth="1"/>
    <col min="2570" max="2570" width="12.85546875" customWidth="1"/>
    <col min="2571" max="2571" width="11.28515625" customWidth="1"/>
    <col min="2572" max="2572" width="10.28515625" bestFit="1" customWidth="1"/>
    <col min="2573" max="2573" width="9.5703125" bestFit="1" customWidth="1"/>
    <col min="2574" max="2574" width="10.5703125" bestFit="1" customWidth="1"/>
    <col min="2575" max="2575" width="11.5703125" bestFit="1" customWidth="1"/>
    <col min="2822" max="2823" width="10.5703125" bestFit="1" customWidth="1"/>
    <col min="2824" max="2824" width="9.5703125" bestFit="1" customWidth="1"/>
    <col min="2825" max="2825" width="10.5703125" bestFit="1" customWidth="1"/>
    <col min="2826" max="2826" width="12.85546875" customWidth="1"/>
    <col min="2827" max="2827" width="11.28515625" customWidth="1"/>
    <col min="2828" max="2828" width="10.28515625" bestFit="1" customWidth="1"/>
    <col min="2829" max="2829" width="9.5703125" bestFit="1" customWidth="1"/>
    <col min="2830" max="2830" width="10.5703125" bestFit="1" customWidth="1"/>
    <col min="2831" max="2831" width="11.5703125" bestFit="1" customWidth="1"/>
    <col min="3078" max="3079" width="10.5703125" bestFit="1" customWidth="1"/>
    <col min="3080" max="3080" width="9.5703125" bestFit="1" customWidth="1"/>
    <col min="3081" max="3081" width="10.5703125" bestFit="1" customWidth="1"/>
    <col min="3082" max="3082" width="12.85546875" customWidth="1"/>
    <col min="3083" max="3083" width="11.28515625" customWidth="1"/>
    <col min="3084" max="3084" width="10.28515625" bestFit="1" customWidth="1"/>
    <col min="3085" max="3085" width="9.5703125" bestFit="1" customWidth="1"/>
    <col min="3086" max="3086" width="10.5703125" bestFit="1" customWidth="1"/>
    <col min="3087" max="3087" width="11.5703125" bestFit="1" customWidth="1"/>
    <col min="3334" max="3335" width="10.5703125" bestFit="1" customWidth="1"/>
    <col min="3336" max="3336" width="9.5703125" bestFit="1" customWidth="1"/>
    <col min="3337" max="3337" width="10.5703125" bestFit="1" customWidth="1"/>
    <col min="3338" max="3338" width="12.85546875" customWidth="1"/>
    <col min="3339" max="3339" width="11.28515625" customWidth="1"/>
    <col min="3340" max="3340" width="10.28515625" bestFit="1" customWidth="1"/>
    <col min="3341" max="3341" width="9.5703125" bestFit="1" customWidth="1"/>
    <col min="3342" max="3342" width="10.5703125" bestFit="1" customWidth="1"/>
    <col min="3343" max="3343" width="11.5703125" bestFit="1" customWidth="1"/>
    <col min="3590" max="3591" width="10.5703125" bestFit="1" customWidth="1"/>
    <col min="3592" max="3592" width="9.5703125" bestFit="1" customWidth="1"/>
    <col min="3593" max="3593" width="10.5703125" bestFit="1" customWidth="1"/>
    <col min="3594" max="3594" width="12.85546875" customWidth="1"/>
    <col min="3595" max="3595" width="11.28515625" customWidth="1"/>
    <col min="3596" max="3596" width="10.28515625" bestFit="1" customWidth="1"/>
    <col min="3597" max="3597" width="9.5703125" bestFit="1" customWidth="1"/>
    <col min="3598" max="3598" width="10.5703125" bestFit="1" customWidth="1"/>
    <col min="3599" max="3599" width="11.5703125" bestFit="1" customWidth="1"/>
    <col min="3846" max="3847" width="10.5703125" bestFit="1" customWidth="1"/>
    <col min="3848" max="3848" width="9.5703125" bestFit="1" customWidth="1"/>
    <col min="3849" max="3849" width="10.5703125" bestFit="1" customWidth="1"/>
    <col min="3850" max="3850" width="12.85546875" customWidth="1"/>
    <col min="3851" max="3851" width="11.28515625" customWidth="1"/>
    <col min="3852" max="3852" width="10.28515625" bestFit="1" customWidth="1"/>
    <col min="3853" max="3853" width="9.5703125" bestFit="1" customWidth="1"/>
    <col min="3854" max="3854" width="10.5703125" bestFit="1" customWidth="1"/>
    <col min="3855" max="3855" width="11.5703125" bestFit="1" customWidth="1"/>
    <col min="4102" max="4103" width="10.5703125" bestFit="1" customWidth="1"/>
    <col min="4104" max="4104" width="9.5703125" bestFit="1" customWidth="1"/>
    <col min="4105" max="4105" width="10.5703125" bestFit="1" customWidth="1"/>
    <col min="4106" max="4106" width="12.85546875" customWidth="1"/>
    <col min="4107" max="4107" width="11.28515625" customWidth="1"/>
    <col min="4108" max="4108" width="10.28515625" bestFit="1" customWidth="1"/>
    <col min="4109" max="4109" width="9.5703125" bestFit="1" customWidth="1"/>
    <col min="4110" max="4110" width="10.5703125" bestFit="1" customWidth="1"/>
    <col min="4111" max="4111" width="11.5703125" bestFit="1" customWidth="1"/>
    <col min="4358" max="4359" width="10.5703125" bestFit="1" customWidth="1"/>
    <col min="4360" max="4360" width="9.5703125" bestFit="1" customWidth="1"/>
    <col min="4361" max="4361" width="10.5703125" bestFit="1" customWidth="1"/>
    <col min="4362" max="4362" width="12.85546875" customWidth="1"/>
    <col min="4363" max="4363" width="11.28515625" customWidth="1"/>
    <col min="4364" max="4364" width="10.28515625" bestFit="1" customWidth="1"/>
    <col min="4365" max="4365" width="9.5703125" bestFit="1" customWidth="1"/>
    <col min="4366" max="4366" width="10.5703125" bestFit="1" customWidth="1"/>
    <col min="4367" max="4367" width="11.5703125" bestFit="1" customWidth="1"/>
    <col min="4614" max="4615" width="10.5703125" bestFit="1" customWidth="1"/>
    <col min="4616" max="4616" width="9.5703125" bestFit="1" customWidth="1"/>
    <col min="4617" max="4617" width="10.5703125" bestFit="1" customWidth="1"/>
    <col min="4618" max="4618" width="12.85546875" customWidth="1"/>
    <col min="4619" max="4619" width="11.28515625" customWidth="1"/>
    <col min="4620" max="4620" width="10.28515625" bestFit="1" customWidth="1"/>
    <col min="4621" max="4621" width="9.5703125" bestFit="1" customWidth="1"/>
    <col min="4622" max="4622" width="10.5703125" bestFit="1" customWidth="1"/>
    <col min="4623" max="4623" width="11.5703125" bestFit="1" customWidth="1"/>
    <col min="4870" max="4871" width="10.5703125" bestFit="1" customWidth="1"/>
    <col min="4872" max="4872" width="9.5703125" bestFit="1" customWidth="1"/>
    <col min="4873" max="4873" width="10.5703125" bestFit="1" customWidth="1"/>
    <col min="4874" max="4874" width="12.85546875" customWidth="1"/>
    <col min="4875" max="4875" width="11.28515625" customWidth="1"/>
    <col min="4876" max="4876" width="10.28515625" bestFit="1" customWidth="1"/>
    <col min="4877" max="4877" width="9.5703125" bestFit="1" customWidth="1"/>
    <col min="4878" max="4878" width="10.5703125" bestFit="1" customWidth="1"/>
    <col min="4879" max="4879" width="11.5703125" bestFit="1" customWidth="1"/>
    <col min="5126" max="5127" width="10.5703125" bestFit="1" customWidth="1"/>
    <col min="5128" max="5128" width="9.5703125" bestFit="1" customWidth="1"/>
    <col min="5129" max="5129" width="10.5703125" bestFit="1" customWidth="1"/>
    <col min="5130" max="5130" width="12.85546875" customWidth="1"/>
    <col min="5131" max="5131" width="11.28515625" customWidth="1"/>
    <col min="5132" max="5132" width="10.28515625" bestFit="1" customWidth="1"/>
    <col min="5133" max="5133" width="9.5703125" bestFit="1" customWidth="1"/>
    <col min="5134" max="5134" width="10.5703125" bestFit="1" customWidth="1"/>
    <col min="5135" max="5135" width="11.5703125" bestFit="1" customWidth="1"/>
    <col min="5382" max="5383" width="10.5703125" bestFit="1" customWidth="1"/>
    <col min="5384" max="5384" width="9.5703125" bestFit="1" customWidth="1"/>
    <col min="5385" max="5385" width="10.5703125" bestFit="1" customWidth="1"/>
    <col min="5386" max="5386" width="12.85546875" customWidth="1"/>
    <col min="5387" max="5387" width="11.28515625" customWidth="1"/>
    <col min="5388" max="5388" width="10.28515625" bestFit="1" customWidth="1"/>
    <col min="5389" max="5389" width="9.5703125" bestFit="1" customWidth="1"/>
    <col min="5390" max="5390" width="10.5703125" bestFit="1" customWidth="1"/>
    <col min="5391" max="5391" width="11.5703125" bestFit="1" customWidth="1"/>
    <col min="5638" max="5639" width="10.5703125" bestFit="1" customWidth="1"/>
    <col min="5640" max="5640" width="9.5703125" bestFit="1" customWidth="1"/>
    <col min="5641" max="5641" width="10.5703125" bestFit="1" customWidth="1"/>
    <col min="5642" max="5642" width="12.85546875" customWidth="1"/>
    <col min="5643" max="5643" width="11.28515625" customWidth="1"/>
    <col min="5644" max="5644" width="10.28515625" bestFit="1" customWidth="1"/>
    <col min="5645" max="5645" width="9.5703125" bestFit="1" customWidth="1"/>
    <col min="5646" max="5646" width="10.5703125" bestFit="1" customWidth="1"/>
    <col min="5647" max="5647" width="11.5703125" bestFit="1" customWidth="1"/>
    <col min="5894" max="5895" width="10.5703125" bestFit="1" customWidth="1"/>
    <col min="5896" max="5896" width="9.5703125" bestFit="1" customWidth="1"/>
    <col min="5897" max="5897" width="10.5703125" bestFit="1" customWidth="1"/>
    <col min="5898" max="5898" width="12.85546875" customWidth="1"/>
    <col min="5899" max="5899" width="11.28515625" customWidth="1"/>
    <col min="5900" max="5900" width="10.28515625" bestFit="1" customWidth="1"/>
    <col min="5901" max="5901" width="9.5703125" bestFit="1" customWidth="1"/>
    <col min="5902" max="5902" width="10.5703125" bestFit="1" customWidth="1"/>
    <col min="5903" max="5903" width="11.5703125" bestFit="1" customWidth="1"/>
    <col min="6150" max="6151" width="10.5703125" bestFit="1" customWidth="1"/>
    <col min="6152" max="6152" width="9.5703125" bestFit="1" customWidth="1"/>
    <col min="6153" max="6153" width="10.5703125" bestFit="1" customWidth="1"/>
    <col min="6154" max="6154" width="12.85546875" customWidth="1"/>
    <col min="6155" max="6155" width="11.28515625" customWidth="1"/>
    <col min="6156" max="6156" width="10.28515625" bestFit="1" customWidth="1"/>
    <col min="6157" max="6157" width="9.5703125" bestFit="1" customWidth="1"/>
    <col min="6158" max="6158" width="10.5703125" bestFit="1" customWidth="1"/>
    <col min="6159" max="6159" width="11.5703125" bestFit="1" customWidth="1"/>
    <col min="6406" max="6407" width="10.5703125" bestFit="1" customWidth="1"/>
    <col min="6408" max="6408" width="9.5703125" bestFit="1" customWidth="1"/>
    <col min="6409" max="6409" width="10.5703125" bestFit="1" customWidth="1"/>
    <col min="6410" max="6410" width="12.85546875" customWidth="1"/>
    <col min="6411" max="6411" width="11.28515625" customWidth="1"/>
    <col min="6412" max="6412" width="10.28515625" bestFit="1" customWidth="1"/>
    <col min="6413" max="6413" width="9.5703125" bestFit="1" customWidth="1"/>
    <col min="6414" max="6414" width="10.5703125" bestFit="1" customWidth="1"/>
    <col min="6415" max="6415" width="11.5703125" bestFit="1" customWidth="1"/>
    <col min="6662" max="6663" width="10.5703125" bestFit="1" customWidth="1"/>
    <col min="6664" max="6664" width="9.5703125" bestFit="1" customWidth="1"/>
    <col min="6665" max="6665" width="10.5703125" bestFit="1" customWidth="1"/>
    <col min="6666" max="6666" width="12.85546875" customWidth="1"/>
    <col min="6667" max="6667" width="11.28515625" customWidth="1"/>
    <col min="6668" max="6668" width="10.28515625" bestFit="1" customWidth="1"/>
    <col min="6669" max="6669" width="9.5703125" bestFit="1" customWidth="1"/>
    <col min="6670" max="6670" width="10.5703125" bestFit="1" customWidth="1"/>
    <col min="6671" max="6671" width="11.5703125" bestFit="1" customWidth="1"/>
    <col min="6918" max="6919" width="10.5703125" bestFit="1" customWidth="1"/>
    <col min="6920" max="6920" width="9.5703125" bestFit="1" customWidth="1"/>
    <col min="6921" max="6921" width="10.5703125" bestFit="1" customWidth="1"/>
    <col min="6922" max="6922" width="12.85546875" customWidth="1"/>
    <col min="6923" max="6923" width="11.28515625" customWidth="1"/>
    <col min="6924" max="6924" width="10.28515625" bestFit="1" customWidth="1"/>
    <col min="6925" max="6925" width="9.5703125" bestFit="1" customWidth="1"/>
    <col min="6926" max="6926" width="10.5703125" bestFit="1" customWidth="1"/>
    <col min="6927" max="6927" width="11.5703125" bestFit="1" customWidth="1"/>
    <col min="7174" max="7175" width="10.5703125" bestFit="1" customWidth="1"/>
    <col min="7176" max="7176" width="9.5703125" bestFit="1" customWidth="1"/>
    <col min="7177" max="7177" width="10.5703125" bestFit="1" customWidth="1"/>
    <col min="7178" max="7178" width="12.85546875" customWidth="1"/>
    <col min="7179" max="7179" width="11.28515625" customWidth="1"/>
    <col min="7180" max="7180" width="10.28515625" bestFit="1" customWidth="1"/>
    <col min="7181" max="7181" width="9.5703125" bestFit="1" customWidth="1"/>
    <col min="7182" max="7182" width="10.5703125" bestFit="1" customWidth="1"/>
    <col min="7183" max="7183" width="11.5703125" bestFit="1" customWidth="1"/>
    <col min="7430" max="7431" width="10.5703125" bestFit="1" customWidth="1"/>
    <col min="7432" max="7432" width="9.5703125" bestFit="1" customWidth="1"/>
    <col min="7433" max="7433" width="10.5703125" bestFit="1" customWidth="1"/>
    <col min="7434" max="7434" width="12.85546875" customWidth="1"/>
    <col min="7435" max="7435" width="11.28515625" customWidth="1"/>
    <col min="7436" max="7436" width="10.28515625" bestFit="1" customWidth="1"/>
    <col min="7437" max="7437" width="9.5703125" bestFit="1" customWidth="1"/>
    <col min="7438" max="7438" width="10.5703125" bestFit="1" customWidth="1"/>
    <col min="7439" max="7439" width="11.5703125" bestFit="1" customWidth="1"/>
    <col min="7686" max="7687" width="10.5703125" bestFit="1" customWidth="1"/>
    <col min="7688" max="7688" width="9.5703125" bestFit="1" customWidth="1"/>
    <col min="7689" max="7689" width="10.5703125" bestFit="1" customWidth="1"/>
    <col min="7690" max="7690" width="12.85546875" customWidth="1"/>
    <col min="7691" max="7691" width="11.28515625" customWidth="1"/>
    <col min="7692" max="7692" width="10.28515625" bestFit="1" customWidth="1"/>
    <col min="7693" max="7693" width="9.5703125" bestFit="1" customWidth="1"/>
    <col min="7694" max="7694" width="10.5703125" bestFit="1" customWidth="1"/>
    <col min="7695" max="7695" width="11.5703125" bestFit="1" customWidth="1"/>
    <col min="7942" max="7943" width="10.5703125" bestFit="1" customWidth="1"/>
    <col min="7944" max="7944" width="9.5703125" bestFit="1" customWidth="1"/>
    <col min="7945" max="7945" width="10.5703125" bestFit="1" customWidth="1"/>
    <col min="7946" max="7946" width="12.85546875" customWidth="1"/>
    <col min="7947" max="7947" width="11.28515625" customWidth="1"/>
    <col min="7948" max="7948" width="10.28515625" bestFit="1" customWidth="1"/>
    <col min="7949" max="7949" width="9.5703125" bestFit="1" customWidth="1"/>
    <col min="7950" max="7950" width="10.5703125" bestFit="1" customWidth="1"/>
    <col min="7951" max="7951" width="11.5703125" bestFit="1" customWidth="1"/>
    <col min="8198" max="8199" width="10.5703125" bestFit="1" customWidth="1"/>
    <col min="8200" max="8200" width="9.5703125" bestFit="1" customWidth="1"/>
    <col min="8201" max="8201" width="10.5703125" bestFit="1" customWidth="1"/>
    <col min="8202" max="8202" width="12.85546875" customWidth="1"/>
    <col min="8203" max="8203" width="11.28515625" customWidth="1"/>
    <col min="8204" max="8204" width="10.28515625" bestFit="1" customWidth="1"/>
    <col min="8205" max="8205" width="9.5703125" bestFit="1" customWidth="1"/>
    <col min="8206" max="8206" width="10.5703125" bestFit="1" customWidth="1"/>
    <col min="8207" max="8207" width="11.5703125" bestFit="1" customWidth="1"/>
    <col min="8454" max="8455" width="10.5703125" bestFit="1" customWidth="1"/>
    <col min="8456" max="8456" width="9.5703125" bestFit="1" customWidth="1"/>
    <col min="8457" max="8457" width="10.5703125" bestFit="1" customWidth="1"/>
    <col min="8458" max="8458" width="12.85546875" customWidth="1"/>
    <col min="8459" max="8459" width="11.28515625" customWidth="1"/>
    <col min="8460" max="8460" width="10.28515625" bestFit="1" customWidth="1"/>
    <col min="8461" max="8461" width="9.5703125" bestFit="1" customWidth="1"/>
    <col min="8462" max="8462" width="10.5703125" bestFit="1" customWidth="1"/>
    <col min="8463" max="8463" width="11.5703125" bestFit="1" customWidth="1"/>
    <col min="8710" max="8711" width="10.5703125" bestFit="1" customWidth="1"/>
    <col min="8712" max="8712" width="9.5703125" bestFit="1" customWidth="1"/>
    <col min="8713" max="8713" width="10.5703125" bestFit="1" customWidth="1"/>
    <col min="8714" max="8714" width="12.85546875" customWidth="1"/>
    <col min="8715" max="8715" width="11.28515625" customWidth="1"/>
    <col min="8716" max="8716" width="10.28515625" bestFit="1" customWidth="1"/>
    <col min="8717" max="8717" width="9.5703125" bestFit="1" customWidth="1"/>
    <col min="8718" max="8718" width="10.5703125" bestFit="1" customWidth="1"/>
    <col min="8719" max="8719" width="11.5703125" bestFit="1" customWidth="1"/>
    <col min="8966" max="8967" width="10.5703125" bestFit="1" customWidth="1"/>
    <col min="8968" max="8968" width="9.5703125" bestFit="1" customWidth="1"/>
    <col min="8969" max="8969" width="10.5703125" bestFit="1" customWidth="1"/>
    <col min="8970" max="8970" width="12.85546875" customWidth="1"/>
    <col min="8971" max="8971" width="11.28515625" customWidth="1"/>
    <col min="8972" max="8972" width="10.28515625" bestFit="1" customWidth="1"/>
    <col min="8973" max="8973" width="9.5703125" bestFit="1" customWidth="1"/>
    <col min="8974" max="8974" width="10.5703125" bestFit="1" customWidth="1"/>
    <col min="8975" max="8975" width="11.5703125" bestFit="1" customWidth="1"/>
    <col min="9222" max="9223" width="10.5703125" bestFit="1" customWidth="1"/>
    <col min="9224" max="9224" width="9.5703125" bestFit="1" customWidth="1"/>
    <col min="9225" max="9225" width="10.5703125" bestFit="1" customWidth="1"/>
    <col min="9226" max="9226" width="12.85546875" customWidth="1"/>
    <col min="9227" max="9227" width="11.28515625" customWidth="1"/>
    <col min="9228" max="9228" width="10.28515625" bestFit="1" customWidth="1"/>
    <col min="9229" max="9229" width="9.5703125" bestFit="1" customWidth="1"/>
    <col min="9230" max="9230" width="10.5703125" bestFit="1" customWidth="1"/>
    <col min="9231" max="9231" width="11.5703125" bestFit="1" customWidth="1"/>
    <col min="9478" max="9479" width="10.5703125" bestFit="1" customWidth="1"/>
    <col min="9480" max="9480" width="9.5703125" bestFit="1" customWidth="1"/>
    <col min="9481" max="9481" width="10.5703125" bestFit="1" customWidth="1"/>
    <col min="9482" max="9482" width="12.85546875" customWidth="1"/>
    <col min="9483" max="9483" width="11.28515625" customWidth="1"/>
    <col min="9484" max="9484" width="10.28515625" bestFit="1" customWidth="1"/>
    <col min="9485" max="9485" width="9.5703125" bestFit="1" customWidth="1"/>
    <col min="9486" max="9486" width="10.5703125" bestFit="1" customWidth="1"/>
    <col min="9487" max="9487" width="11.5703125" bestFit="1" customWidth="1"/>
    <col min="9734" max="9735" width="10.5703125" bestFit="1" customWidth="1"/>
    <col min="9736" max="9736" width="9.5703125" bestFit="1" customWidth="1"/>
    <col min="9737" max="9737" width="10.5703125" bestFit="1" customWidth="1"/>
    <col min="9738" max="9738" width="12.85546875" customWidth="1"/>
    <col min="9739" max="9739" width="11.28515625" customWidth="1"/>
    <col min="9740" max="9740" width="10.28515625" bestFit="1" customWidth="1"/>
    <col min="9741" max="9741" width="9.5703125" bestFit="1" customWidth="1"/>
    <col min="9742" max="9742" width="10.5703125" bestFit="1" customWidth="1"/>
    <col min="9743" max="9743" width="11.5703125" bestFit="1" customWidth="1"/>
    <col min="9990" max="9991" width="10.5703125" bestFit="1" customWidth="1"/>
    <col min="9992" max="9992" width="9.5703125" bestFit="1" customWidth="1"/>
    <col min="9993" max="9993" width="10.5703125" bestFit="1" customWidth="1"/>
    <col min="9994" max="9994" width="12.85546875" customWidth="1"/>
    <col min="9995" max="9995" width="11.28515625" customWidth="1"/>
    <col min="9996" max="9996" width="10.28515625" bestFit="1" customWidth="1"/>
    <col min="9997" max="9997" width="9.5703125" bestFit="1" customWidth="1"/>
    <col min="9998" max="9998" width="10.5703125" bestFit="1" customWidth="1"/>
    <col min="9999" max="9999" width="11.5703125" bestFit="1" customWidth="1"/>
    <col min="10246" max="10247" width="10.5703125" bestFit="1" customWidth="1"/>
    <col min="10248" max="10248" width="9.5703125" bestFit="1" customWidth="1"/>
    <col min="10249" max="10249" width="10.5703125" bestFit="1" customWidth="1"/>
    <col min="10250" max="10250" width="12.85546875" customWidth="1"/>
    <col min="10251" max="10251" width="11.28515625" customWidth="1"/>
    <col min="10252" max="10252" width="10.28515625" bestFit="1" customWidth="1"/>
    <col min="10253" max="10253" width="9.5703125" bestFit="1" customWidth="1"/>
    <col min="10254" max="10254" width="10.5703125" bestFit="1" customWidth="1"/>
    <col min="10255" max="10255" width="11.5703125" bestFit="1" customWidth="1"/>
    <col min="10502" max="10503" width="10.5703125" bestFit="1" customWidth="1"/>
    <col min="10504" max="10504" width="9.5703125" bestFit="1" customWidth="1"/>
    <col min="10505" max="10505" width="10.5703125" bestFit="1" customWidth="1"/>
    <col min="10506" max="10506" width="12.85546875" customWidth="1"/>
    <col min="10507" max="10507" width="11.28515625" customWidth="1"/>
    <col min="10508" max="10508" width="10.28515625" bestFit="1" customWidth="1"/>
    <col min="10509" max="10509" width="9.5703125" bestFit="1" customWidth="1"/>
    <col min="10510" max="10510" width="10.5703125" bestFit="1" customWidth="1"/>
    <col min="10511" max="10511" width="11.5703125" bestFit="1" customWidth="1"/>
    <col min="10758" max="10759" width="10.5703125" bestFit="1" customWidth="1"/>
    <col min="10760" max="10760" width="9.5703125" bestFit="1" customWidth="1"/>
    <col min="10761" max="10761" width="10.5703125" bestFit="1" customWidth="1"/>
    <col min="10762" max="10762" width="12.85546875" customWidth="1"/>
    <col min="10763" max="10763" width="11.28515625" customWidth="1"/>
    <col min="10764" max="10764" width="10.28515625" bestFit="1" customWidth="1"/>
    <col min="10765" max="10765" width="9.5703125" bestFit="1" customWidth="1"/>
    <col min="10766" max="10766" width="10.5703125" bestFit="1" customWidth="1"/>
    <col min="10767" max="10767" width="11.5703125" bestFit="1" customWidth="1"/>
    <col min="11014" max="11015" width="10.5703125" bestFit="1" customWidth="1"/>
    <col min="11016" max="11016" width="9.5703125" bestFit="1" customWidth="1"/>
    <col min="11017" max="11017" width="10.5703125" bestFit="1" customWidth="1"/>
    <col min="11018" max="11018" width="12.85546875" customWidth="1"/>
    <col min="11019" max="11019" width="11.28515625" customWidth="1"/>
    <col min="11020" max="11020" width="10.28515625" bestFit="1" customWidth="1"/>
    <col min="11021" max="11021" width="9.5703125" bestFit="1" customWidth="1"/>
    <col min="11022" max="11022" width="10.5703125" bestFit="1" customWidth="1"/>
    <col min="11023" max="11023" width="11.5703125" bestFit="1" customWidth="1"/>
    <col min="11270" max="11271" width="10.5703125" bestFit="1" customWidth="1"/>
    <col min="11272" max="11272" width="9.5703125" bestFit="1" customWidth="1"/>
    <col min="11273" max="11273" width="10.5703125" bestFit="1" customWidth="1"/>
    <col min="11274" max="11274" width="12.85546875" customWidth="1"/>
    <col min="11275" max="11275" width="11.28515625" customWidth="1"/>
    <col min="11276" max="11276" width="10.28515625" bestFit="1" customWidth="1"/>
    <col min="11277" max="11277" width="9.5703125" bestFit="1" customWidth="1"/>
    <col min="11278" max="11278" width="10.5703125" bestFit="1" customWidth="1"/>
    <col min="11279" max="11279" width="11.5703125" bestFit="1" customWidth="1"/>
    <col min="11526" max="11527" width="10.5703125" bestFit="1" customWidth="1"/>
    <col min="11528" max="11528" width="9.5703125" bestFit="1" customWidth="1"/>
    <col min="11529" max="11529" width="10.5703125" bestFit="1" customWidth="1"/>
    <col min="11530" max="11530" width="12.85546875" customWidth="1"/>
    <col min="11531" max="11531" width="11.28515625" customWidth="1"/>
    <col min="11532" max="11532" width="10.28515625" bestFit="1" customWidth="1"/>
    <col min="11533" max="11533" width="9.5703125" bestFit="1" customWidth="1"/>
    <col min="11534" max="11534" width="10.5703125" bestFit="1" customWidth="1"/>
    <col min="11535" max="11535" width="11.5703125" bestFit="1" customWidth="1"/>
    <col min="11782" max="11783" width="10.5703125" bestFit="1" customWidth="1"/>
    <col min="11784" max="11784" width="9.5703125" bestFit="1" customWidth="1"/>
    <col min="11785" max="11785" width="10.5703125" bestFit="1" customWidth="1"/>
    <col min="11786" max="11786" width="12.85546875" customWidth="1"/>
    <col min="11787" max="11787" width="11.28515625" customWidth="1"/>
    <col min="11788" max="11788" width="10.28515625" bestFit="1" customWidth="1"/>
    <col min="11789" max="11789" width="9.5703125" bestFit="1" customWidth="1"/>
    <col min="11790" max="11790" width="10.5703125" bestFit="1" customWidth="1"/>
    <col min="11791" max="11791" width="11.5703125" bestFit="1" customWidth="1"/>
    <col min="12038" max="12039" width="10.5703125" bestFit="1" customWidth="1"/>
    <col min="12040" max="12040" width="9.5703125" bestFit="1" customWidth="1"/>
    <col min="12041" max="12041" width="10.5703125" bestFit="1" customWidth="1"/>
    <col min="12042" max="12042" width="12.85546875" customWidth="1"/>
    <col min="12043" max="12043" width="11.28515625" customWidth="1"/>
    <col min="12044" max="12044" width="10.28515625" bestFit="1" customWidth="1"/>
    <col min="12045" max="12045" width="9.5703125" bestFit="1" customWidth="1"/>
    <col min="12046" max="12046" width="10.5703125" bestFit="1" customWidth="1"/>
    <col min="12047" max="12047" width="11.5703125" bestFit="1" customWidth="1"/>
    <col min="12294" max="12295" width="10.5703125" bestFit="1" customWidth="1"/>
    <col min="12296" max="12296" width="9.5703125" bestFit="1" customWidth="1"/>
    <col min="12297" max="12297" width="10.5703125" bestFit="1" customWidth="1"/>
    <col min="12298" max="12298" width="12.85546875" customWidth="1"/>
    <col min="12299" max="12299" width="11.28515625" customWidth="1"/>
    <col min="12300" max="12300" width="10.28515625" bestFit="1" customWidth="1"/>
    <col min="12301" max="12301" width="9.5703125" bestFit="1" customWidth="1"/>
    <col min="12302" max="12302" width="10.5703125" bestFit="1" customWidth="1"/>
    <col min="12303" max="12303" width="11.5703125" bestFit="1" customWidth="1"/>
    <col min="12550" max="12551" width="10.5703125" bestFit="1" customWidth="1"/>
    <col min="12552" max="12552" width="9.5703125" bestFit="1" customWidth="1"/>
    <col min="12553" max="12553" width="10.5703125" bestFit="1" customWidth="1"/>
    <col min="12554" max="12554" width="12.85546875" customWidth="1"/>
    <col min="12555" max="12555" width="11.28515625" customWidth="1"/>
    <col min="12556" max="12556" width="10.28515625" bestFit="1" customWidth="1"/>
    <col min="12557" max="12557" width="9.5703125" bestFit="1" customWidth="1"/>
    <col min="12558" max="12558" width="10.5703125" bestFit="1" customWidth="1"/>
    <col min="12559" max="12559" width="11.5703125" bestFit="1" customWidth="1"/>
    <col min="12806" max="12807" width="10.5703125" bestFit="1" customWidth="1"/>
    <col min="12808" max="12808" width="9.5703125" bestFit="1" customWidth="1"/>
    <col min="12809" max="12809" width="10.5703125" bestFit="1" customWidth="1"/>
    <col min="12810" max="12810" width="12.85546875" customWidth="1"/>
    <col min="12811" max="12811" width="11.28515625" customWidth="1"/>
    <col min="12812" max="12812" width="10.28515625" bestFit="1" customWidth="1"/>
    <col min="12813" max="12813" width="9.5703125" bestFit="1" customWidth="1"/>
    <col min="12814" max="12814" width="10.5703125" bestFit="1" customWidth="1"/>
    <col min="12815" max="12815" width="11.5703125" bestFit="1" customWidth="1"/>
    <col min="13062" max="13063" width="10.5703125" bestFit="1" customWidth="1"/>
    <col min="13064" max="13064" width="9.5703125" bestFit="1" customWidth="1"/>
    <col min="13065" max="13065" width="10.5703125" bestFit="1" customWidth="1"/>
    <col min="13066" max="13066" width="12.85546875" customWidth="1"/>
    <col min="13067" max="13067" width="11.28515625" customWidth="1"/>
    <col min="13068" max="13068" width="10.28515625" bestFit="1" customWidth="1"/>
    <col min="13069" max="13069" width="9.5703125" bestFit="1" customWidth="1"/>
    <col min="13070" max="13070" width="10.5703125" bestFit="1" customWidth="1"/>
    <col min="13071" max="13071" width="11.5703125" bestFit="1" customWidth="1"/>
    <col min="13318" max="13319" width="10.5703125" bestFit="1" customWidth="1"/>
    <col min="13320" max="13320" width="9.5703125" bestFit="1" customWidth="1"/>
    <col min="13321" max="13321" width="10.5703125" bestFit="1" customWidth="1"/>
    <col min="13322" max="13322" width="12.85546875" customWidth="1"/>
    <col min="13323" max="13323" width="11.28515625" customWidth="1"/>
    <col min="13324" max="13324" width="10.28515625" bestFit="1" customWidth="1"/>
    <col min="13325" max="13325" width="9.5703125" bestFit="1" customWidth="1"/>
    <col min="13326" max="13326" width="10.5703125" bestFit="1" customWidth="1"/>
    <col min="13327" max="13327" width="11.5703125" bestFit="1" customWidth="1"/>
    <col min="13574" max="13575" width="10.5703125" bestFit="1" customWidth="1"/>
    <col min="13576" max="13576" width="9.5703125" bestFit="1" customWidth="1"/>
    <col min="13577" max="13577" width="10.5703125" bestFit="1" customWidth="1"/>
    <col min="13578" max="13578" width="12.85546875" customWidth="1"/>
    <col min="13579" max="13579" width="11.28515625" customWidth="1"/>
    <col min="13580" max="13580" width="10.28515625" bestFit="1" customWidth="1"/>
    <col min="13581" max="13581" width="9.5703125" bestFit="1" customWidth="1"/>
    <col min="13582" max="13582" width="10.5703125" bestFit="1" customWidth="1"/>
    <col min="13583" max="13583" width="11.5703125" bestFit="1" customWidth="1"/>
    <col min="13830" max="13831" width="10.5703125" bestFit="1" customWidth="1"/>
    <col min="13832" max="13832" width="9.5703125" bestFit="1" customWidth="1"/>
    <col min="13833" max="13833" width="10.5703125" bestFit="1" customWidth="1"/>
    <col min="13834" max="13834" width="12.85546875" customWidth="1"/>
    <col min="13835" max="13835" width="11.28515625" customWidth="1"/>
    <col min="13836" max="13836" width="10.28515625" bestFit="1" customWidth="1"/>
    <col min="13837" max="13837" width="9.5703125" bestFit="1" customWidth="1"/>
    <col min="13838" max="13838" width="10.5703125" bestFit="1" customWidth="1"/>
    <col min="13839" max="13839" width="11.5703125" bestFit="1" customWidth="1"/>
    <col min="14086" max="14087" width="10.5703125" bestFit="1" customWidth="1"/>
    <col min="14088" max="14088" width="9.5703125" bestFit="1" customWidth="1"/>
    <col min="14089" max="14089" width="10.5703125" bestFit="1" customWidth="1"/>
    <col min="14090" max="14090" width="12.85546875" customWidth="1"/>
    <col min="14091" max="14091" width="11.28515625" customWidth="1"/>
    <col min="14092" max="14092" width="10.28515625" bestFit="1" customWidth="1"/>
    <col min="14093" max="14093" width="9.5703125" bestFit="1" customWidth="1"/>
    <col min="14094" max="14094" width="10.5703125" bestFit="1" customWidth="1"/>
    <col min="14095" max="14095" width="11.5703125" bestFit="1" customWidth="1"/>
    <col min="14342" max="14343" width="10.5703125" bestFit="1" customWidth="1"/>
    <col min="14344" max="14344" width="9.5703125" bestFit="1" customWidth="1"/>
    <col min="14345" max="14345" width="10.5703125" bestFit="1" customWidth="1"/>
    <col min="14346" max="14346" width="12.85546875" customWidth="1"/>
    <col min="14347" max="14347" width="11.28515625" customWidth="1"/>
    <col min="14348" max="14348" width="10.28515625" bestFit="1" customWidth="1"/>
    <col min="14349" max="14349" width="9.5703125" bestFit="1" customWidth="1"/>
    <col min="14350" max="14350" width="10.5703125" bestFit="1" customWidth="1"/>
    <col min="14351" max="14351" width="11.5703125" bestFit="1" customWidth="1"/>
    <col min="14598" max="14599" width="10.5703125" bestFit="1" customWidth="1"/>
    <col min="14600" max="14600" width="9.5703125" bestFit="1" customWidth="1"/>
    <col min="14601" max="14601" width="10.5703125" bestFit="1" customWidth="1"/>
    <col min="14602" max="14602" width="12.85546875" customWidth="1"/>
    <col min="14603" max="14603" width="11.28515625" customWidth="1"/>
    <col min="14604" max="14604" width="10.28515625" bestFit="1" customWidth="1"/>
    <col min="14605" max="14605" width="9.5703125" bestFit="1" customWidth="1"/>
    <col min="14606" max="14606" width="10.5703125" bestFit="1" customWidth="1"/>
    <col min="14607" max="14607" width="11.5703125" bestFit="1" customWidth="1"/>
    <col min="14854" max="14855" width="10.5703125" bestFit="1" customWidth="1"/>
    <col min="14856" max="14856" width="9.5703125" bestFit="1" customWidth="1"/>
    <col min="14857" max="14857" width="10.5703125" bestFit="1" customWidth="1"/>
    <col min="14858" max="14858" width="12.85546875" customWidth="1"/>
    <col min="14859" max="14859" width="11.28515625" customWidth="1"/>
    <col min="14860" max="14860" width="10.28515625" bestFit="1" customWidth="1"/>
    <col min="14861" max="14861" width="9.5703125" bestFit="1" customWidth="1"/>
    <col min="14862" max="14862" width="10.5703125" bestFit="1" customWidth="1"/>
    <col min="14863" max="14863" width="11.5703125" bestFit="1" customWidth="1"/>
    <col min="15110" max="15111" width="10.5703125" bestFit="1" customWidth="1"/>
    <col min="15112" max="15112" width="9.5703125" bestFit="1" customWidth="1"/>
    <col min="15113" max="15113" width="10.5703125" bestFit="1" customWidth="1"/>
    <col min="15114" max="15114" width="12.85546875" customWidth="1"/>
    <col min="15115" max="15115" width="11.28515625" customWidth="1"/>
    <col min="15116" max="15116" width="10.28515625" bestFit="1" customWidth="1"/>
    <col min="15117" max="15117" width="9.5703125" bestFit="1" customWidth="1"/>
    <col min="15118" max="15118" width="10.5703125" bestFit="1" customWidth="1"/>
    <col min="15119" max="15119" width="11.5703125" bestFit="1" customWidth="1"/>
    <col min="15366" max="15367" width="10.5703125" bestFit="1" customWidth="1"/>
    <col min="15368" max="15368" width="9.5703125" bestFit="1" customWidth="1"/>
    <col min="15369" max="15369" width="10.5703125" bestFit="1" customWidth="1"/>
    <col min="15370" max="15370" width="12.85546875" customWidth="1"/>
    <col min="15371" max="15371" width="11.28515625" customWidth="1"/>
    <col min="15372" max="15372" width="10.28515625" bestFit="1" customWidth="1"/>
    <col min="15373" max="15373" width="9.5703125" bestFit="1" customWidth="1"/>
    <col min="15374" max="15374" width="10.5703125" bestFit="1" customWidth="1"/>
    <col min="15375" max="15375" width="11.5703125" bestFit="1" customWidth="1"/>
    <col min="15622" max="15623" width="10.5703125" bestFit="1" customWidth="1"/>
    <col min="15624" max="15624" width="9.5703125" bestFit="1" customWidth="1"/>
    <col min="15625" max="15625" width="10.5703125" bestFit="1" customWidth="1"/>
    <col min="15626" max="15626" width="12.85546875" customWidth="1"/>
    <col min="15627" max="15627" width="11.28515625" customWidth="1"/>
    <col min="15628" max="15628" width="10.28515625" bestFit="1" customWidth="1"/>
    <col min="15629" max="15629" width="9.5703125" bestFit="1" customWidth="1"/>
    <col min="15630" max="15630" width="10.5703125" bestFit="1" customWidth="1"/>
    <col min="15631" max="15631" width="11.5703125" bestFit="1" customWidth="1"/>
    <col min="15878" max="15879" width="10.5703125" bestFit="1" customWidth="1"/>
    <col min="15880" max="15880" width="9.5703125" bestFit="1" customWidth="1"/>
    <col min="15881" max="15881" width="10.5703125" bestFit="1" customWidth="1"/>
    <col min="15882" max="15882" width="12.85546875" customWidth="1"/>
    <col min="15883" max="15883" width="11.28515625" customWidth="1"/>
    <col min="15884" max="15884" width="10.28515625" bestFit="1" customWidth="1"/>
    <col min="15885" max="15885" width="9.5703125" bestFit="1" customWidth="1"/>
    <col min="15886" max="15886" width="10.5703125" bestFit="1" customWidth="1"/>
    <col min="15887" max="15887" width="11.5703125" bestFit="1" customWidth="1"/>
    <col min="16134" max="16135" width="10.5703125" bestFit="1" customWidth="1"/>
    <col min="16136" max="16136" width="9.5703125" bestFit="1" customWidth="1"/>
    <col min="16137" max="16137" width="10.5703125" bestFit="1" customWidth="1"/>
    <col min="16138" max="16138" width="12.85546875" customWidth="1"/>
    <col min="16139" max="16139" width="11.28515625" customWidth="1"/>
    <col min="16140" max="16140" width="10.28515625" bestFit="1" customWidth="1"/>
    <col min="16141" max="16141" width="9.5703125" bestFit="1" customWidth="1"/>
    <col min="16142" max="16142" width="10.5703125" bestFit="1" customWidth="1"/>
    <col min="16143" max="16143" width="11.5703125" bestFit="1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1116</v>
      </c>
      <c r="E3" s="854"/>
      <c r="F3" s="854"/>
      <c r="G3" s="1002" t="s">
        <v>1004</v>
      </c>
      <c r="H3" s="998"/>
      <c r="I3" s="998"/>
      <c r="J3" s="854">
        <v>902170102</v>
      </c>
      <c r="K3" s="854"/>
      <c r="L3" s="1004" t="s">
        <v>1005</v>
      </c>
      <c r="M3" s="1005"/>
      <c r="N3" s="47">
        <v>364.71600000000001</v>
      </c>
      <c r="O3" s="851" t="s">
        <v>831</v>
      </c>
      <c r="P3" s="997"/>
      <c r="Q3" s="80">
        <v>200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1117</v>
      </c>
      <c r="E5" s="854"/>
      <c r="F5" s="854"/>
      <c r="G5" s="1002" t="s">
        <v>1008</v>
      </c>
      <c r="H5" s="998"/>
      <c r="I5" s="1001"/>
      <c r="J5" s="854" t="s">
        <v>1118</v>
      </c>
      <c r="K5" s="854"/>
      <c r="L5" s="854"/>
      <c r="M5" s="46"/>
      <c r="N5" s="46"/>
      <c r="O5" s="46"/>
      <c r="P5" s="46"/>
    </row>
    <row r="6" spans="1:17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/>
      <c r="E7" s="854"/>
      <c r="F7" s="854"/>
      <c r="G7" s="1002" t="s">
        <v>1011</v>
      </c>
      <c r="H7" s="998"/>
      <c r="I7" s="1001"/>
      <c r="J7" s="854" t="s">
        <v>1119</v>
      </c>
      <c r="K7" s="854"/>
      <c r="L7" s="854"/>
      <c r="M7" s="46"/>
      <c r="N7" s="46"/>
      <c r="O7" s="46"/>
      <c r="P7" s="46"/>
    </row>
    <row r="8" spans="1:17">
      <c r="A8" s="46"/>
      <c r="B8" s="46"/>
      <c r="C8" s="46"/>
      <c r="D8" s="46"/>
      <c r="E8" s="46"/>
      <c r="F8" s="46"/>
      <c r="G8" s="46"/>
      <c r="H8" s="46"/>
      <c r="I8" s="46"/>
      <c r="J8" s="854"/>
      <c r="K8" s="854"/>
      <c r="L8" s="854"/>
      <c r="M8" s="46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1120</v>
      </c>
      <c r="E10" s="854"/>
      <c r="F10" s="854" t="s">
        <v>1121</v>
      </c>
      <c r="G10" s="854"/>
      <c r="H10" s="854" t="s">
        <v>1122</v>
      </c>
      <c r="I10" s="854"/>
      <c r="J10" s="854" t="s">
        <v>1123</v>
      </c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1124</v>
      </c>
      <c r="E11" s="854"/>
      <c r="F11" s="854" t="s">
        <v>1125</v>
      </c>
      <c r="G11" s="854"/>
      <c r="H11" s="854" t="s">
        <v>1126</v>
      </c>
      <c r="I11" s="854"/>
      <c r="J11" s="854" t="s">
        <v>1127</v>
      </c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1128</v>
      </c>
      <c r="E12" s="854"/>
      <c r="F12" s="854" t="s">
        <v>1125</v>
      </c>
      <c r="G12" s="854"/>
      <c r="H12" s="854" t="s">
        <v>1129</v>
      </c>
      <c r="I12" s="854"/>
      <c r="J12" s="854" t="s">
        <v>1130</v>
      </c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 t="s">
        <v>1131</v>
      </c>
      <c r="E13" s="854"/>
      <c r="F13" s="854" t="s">
        <v>1132</v>
      </c>
      <c r="G13" s="854"/>
      <c r="H13" s="854" t="s">
        <v>1059</v>
      </c>
      <c r="I13" s="854"/>
      <c r="J13" s="854"/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4</v>
      </c>
      <c r="E15" s="82" t="s">
        <v>1025</v>
      </c>
      <c r="F15" s="83"/>
      <c r="G15" s="83"/>
      <c r="H15" s="47">
        <v>4</v>
      </c>
      <c r="I15" s="46" t="s">
        <v>1026</v>
      </c>
      <c r="J15" s="47">
        <v>14</v>
      </c>
      <c r="K15" s="46" t="s">
        <v>1027</v>
      </c>
      <c r="L15" s="47">
        <v>1</v>
      </c>
      <c r="M15" s="84" t="s">
        <v>645</v>
      </c>
      <c r="N15" s="47">
        <v>10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150</v>
      </c>
      <c r="F17" s="46" t="s">
        <v>205</v>
      </c>
      <c r="G17" s="47"/>
      <c r="H17" s="46" t="s">
        <v>206</v>
      </c>
      <c r="I17" s="47"/>
      <c r="J17" s="46" t="s">
        <v>230</v>
      </c>
      <c r="K17" s="47">
        <v>150</v>
      </c>
      <c r="L17" s="46" t="s">
        <v>207</v>
      </c>
      <c r="M17" s="47"/>
      <c r="N17" s="46" t="s">
        <v>1028</v>
      </c>
      <c r="O17" s="46"/>
      <c r="P17" s="47"/>
    </row>
    <row r="18" spans="1:16">
      <c r="A18" s="46" t="s">
        <v>1029</v>
      </c>
      <c r="B18" s="46"/>
      <c r="C18" s="46"/>
      <c r="D18" s="46" t="s">
        <v>1030</v>
      </c>
      <c r="E18" s="47">
        <v>370</v>
      </c>
      <c r="F18" s="46" t="s">
        <v>211</v>
      </c>
      <c r="G18" s="47"/>
      <c r="H18" s="46" t="s">
        <v>212</v>
      </c>
      <c r="I18" s="47">
        <v>11</v>
      </c>
      <c r="J18" s="46" t="s">
        <v>411</v>
      </c>
      <c r="K18" s="47">
        <v>381</v>
      </c>
      <c r="L18" s="46"/>
      <c r="M18" s="46"/>
      <c r="N18" s="46"/>
      <c r="O18" s="46"/>
      <c r="P18" s="46"/>
    </row>
    <row r="19" spans="1:16">
      <c r="A19" s="46"/>
      <c r="B19" s="46"/>
      <c r="C19" s="46"/>
      <c r="D19" s="46" t="s">
        <v>213</v>
      </c>
      <c r="E19" s="47">
        <v>414</v>
      </c>
      <c r="F19" s="46" t="s">
        <v>214</v>
      </c>
      <c r="G19" s="47"/>
      <c r="H19" s="46" t="s">
        <v>215</v>
      </c>
      <c r="I19" s="47">
        <v>11</v>
      </c>
      <c r="J19" s="46" t="s">
        <v>410</v>
      </c>
      <c r="K19" s="47">
        <v>425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854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854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+D24*N3/100000</f>
        <v>29.17728</v>
      </c>
      <c r="G24" s="87">
        <f>2917728/100000</f>
        <v>29.17728</v>
      </c>
      <c r="H24" s="86">
        <f>45591/100000</f>
        <v>0.45590999999999998</v>
      </c>
      <c r="I24" s="86">
        <f>918476/100000</f>
        <v>9.1847600000000007</v>
      </c>
      <c r="J24" s="86">
        <f>990913/100000</f>
        <v>9.9091299999999993</v>
      </c>
      <c r="K24" s="86">
        <f>952510/100000</f>
        <v>9.5251000000000001</v>
      </c>
      <c r="L24" s="86">
        <f>-9679/100000</f>
        <v>-9.6790000000000001E-2</v>
      </c>
      <c r="M24" s="86">
        <f>19917/100000</f>
        <v>0.19917000000000001</v>
      </c>
      <c r="N24" s="88">
        <f>SUM(H24:M24)</f>
        <v>29.17728</v>
      </c>
      <c r="O24" s="86">
        <f>N24*100/G24</f>
        <v>100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6">
        <f>+D25*80/100000</f>
        <v>5.6</v>
      </c>
      <c r="G25" s="87">
        <f>560000/100000</f>
        <v>5.6</v>
      </c>
      <c r="H25" s="86">
        <v>0</v>
      </c>
      <c r="I25" s="86">
        <v>0</v>
      </c>
      <c r="J25" s="86">
        <f>99990/100000</f>
        <v>0.99990000000000001</v>
      </c>
      <c r="K25" s="86">
        <f>213410/100000</f>
        <v>2.1341000000000001</v>
      </c>
      <c r="L25" s="86">
        <f>145660/100000</f>
        <v>1.4565999999999999</v>
      </c>
      <c r="M25" s="86">
        <f>100130/100000</f>
        <v>1.0013000000000001</v>
      </c>
      <c r="N25" s="88">
        <f t="shared" ref="N25:N31" si="0">SUM(H25:M25)</f>
        <v>5.5919000000000008</v>
      </c>
      <c r="O25" s="86">
        <f t="shared" ref="O25:O32" si="1">N25*100/G25</f>
        <v>99.855357142857159</v>
      </c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v>1.43</v>
      </c>
      <c r="G26" s="87">
        <f>63000/100000</f>
        <v>0.63</v>
      </c>
      <c r="H26" s="86">
        <v>0</v>
      </c>
      <c r="I26" s="86">
        <v>0</v>
      </c>
      <c r="J26" s="86">
        <f>8454/100000</f>
        <v>8.4540000000000004E-2</v>
      </c>
      <c r="K26" s="86">
        <f>23742/100000</f>
        <v>0.23741999999999999</v>
      </c>
      <c r="L26" s="86">
        <f>10804/100000</f>
        <v>0.10804</v>
      </c>
      <c r="M26" s="86">
        <f>20000/100000</f>
        <v>0.2</v>
      </c>
      <c r="N26" s="88">
        <f t="shared" si="0"/>
        <v>0.63000000000000012</v>
      </c>
      <c r="O26" s="86">
        <f t="shared" si="1"/>
        <v>100.00000000000003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6"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2200/100000</f>
        <v>2.1999999999999999E-2</v>
      </c>
      <c r="L27" s="86">
        <f>13523/100000</f>
        <v>0.13522999999999999</v>
      </c>
      <c r="M27" s="86">
        <v>0</v>
      </c>
      <c r="N27" s="88">
        <f t="shared" si="0"/>
        <v>0.31923000000000001</v>
      </c>
      <c r="O27" s="86">
        <f t="shared" si="1"/>
        <v>93.891176470588235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f>ROUND((+D28*N3),0)/100000</f>
        <v>4.3765900000000002</v>
      </c>
      <c r="G28" s="87">
        <f>437659/100000</f>
        <v>4.3765900000000002</v>
      </c>
      <c r="H28" s="86">
        <v>0</v>
      </c>
      <c r="I28" s="86">
        <v>0</v>
      </c>
      <c r="J28" s="86">
        <v>0</v>
      </c>
      <c r="K28" s="86">
        <v>0</v>
      </c>
      <c r="L28" s="86">
        <f>410500/100000</f>
        <v>4.1050000000000004</v>
      </c>
      <c r="M28" s="86">
        <f>27275/100000</f>
        <v>0.27274999999999999</v>
      </c>
      <c r="N28" s="88">
        <f t="shared" si="0"/>
        <v>4.3777500000000007</v>
      </c>
      <c r="O28" s="86">
        <f t="shared" si="1"/>
        <v>100.02650465316607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ROUND((+D29*N3),0)/100000</f>
        <v>2.0606499999999999</v>
      </c>
      <c r="G29" s="87">
        <f>206055/100000</f>
        <v>2.0605500000000001</v>
      </c>
      <c r="H29" s="86">
        <v>0</v>
      </c>
      <c r="I29" s="86">
        <f>60000/100000</f>
        <v>0.6</v>
      </c>
      <c r="J29" s="86">
        <f>146065/100000</f>
        <v>1.46065</v>
      </c>
      <c r="K29" s="86">
        <v>0</v>
      </c>
      <c r="L29" s="86">
        <v>0</v>
      </c>
      <c r="M29" s="86">
        <v>0</v>
      </c>
      <c r="N29" s="87">
        <f t="shared" si="0"/>
        <v>2.0606499999999999</v>
      </c>
      <c r="O29" s="86">
        <f t="shared" si="1"/>
        <v>100.00485307320861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f>+D30*N3/100000</f>
        <v>3.64716</v>
      </c>
      <c r="G30" s="87">
        <f>364716/100000</f>
        <v>3.64716</v>
      </c>
      <c r="H30" s="86">
        <f>28400/100000</f>
        <v>0.28399999999999997</v>
      </c>
      <c r="I30" s="86">
        <f>65700/100000</f>
        <v>0.65700000000000003</v>
      </c>
      <c r="J30" s="86">
        <f>12514/100000</f>
        <v>0.12514</v>
      </c>
      <c r="K30" s="86">
        <v>0</v>
      </c>
      <c r="L30" s="86">
        <f>-6614/100000</f>
        <v>-6.6140000000000004E-2</v>
      </c>
      <c r="M30" s="86">
        <f>263825/100000</f>
        <v>2.6382500000000002</v>
      </c>
      <c r="N30" s="88">
        <f t="shared" si="0"/>
        <v>3.6382500000000002</v>
      </c>
      <c r="O30" s="86">
        <f t="shared" si="1"/>
        <v>99.755700325732917</v>
      </c>
    </row>
    <row r="31" spans="1:16">
      <c r="A31" s="991" t="s">
        <v>1040</v>
      </c>
      <c r="B31" s="991"/>
      <c r="C31" s="991"/>
      <c r="D31" s="80">
        <v>2700</v>
      </c>
      <c r="E31" s="80" t="s">
        <v>242</v>
      </c>
      <c r="F31" s="87">
        <v>1.92</v>
      </c>
      <c r="G31" s="87">
        <f>192000/100000</f>
        <v>1.92</v>
      </c>
      <c r="H31" s="86">
        <f>10585/100000</f>
        <v>0.10585</v>
      </c>
      <c r="I31" s="86">
        <f>48238/100000</f>
        <v>0.48237999999999998</v>
      </c>
      <c r="J31" s="86">
        <f>28723/100000</f>
        <v>0.28722999999999999</v>
      </c>
      <c r="K31" s="86">
        <f>29954/100000</f>
        <v>0.29953999999999997</v>
      </c>
      <c r="L31" s="86">
        <f>38875/100000</f>
        <v>0.38874999999999998</v>
      </c>
      <c r="M31" s="86">
        <f>28310/100000</f>
        <v>0.28310000000000002</v>
      </c>
      <c r="N31" s="88">
        <f t="shared" si="0"/>
        <v>1.8468499999999999</v>
      </c>
      <c r="O31" s="86">
        <f t="shared" si="1"/>
        <v>96.190104166666671</v>
      </c>
    </row>
    <row r="32" spans="1:16">
      <c r="A32" s="1006" t="s">
        <v>230</v>
      </c>
      <c r="B32" s="1007"/>
      <c r="C32" s="1008"/>
      <c r="D32" s="70"/>
      <c r="E32" s="70"/>
      <c r="F32" s="88">
        <f t="shared" ref="F32:N32" si="2">SUM(F24:F31)</f>
        <v>48.551680000000005</v>
      </c>
      <c r="G32" s="88">
        <f t="shared" si="2"/>
        <v>47.751580000000004</v>
      </c>
      <c r="H32" s="88">
        <f t="shared" si="2"/>
        <v>0.84575999999999996</v>
      </c>
      <c r="I32" s="88">
        <f t="shared" si="2"/>
        <v>10.92414</v>
      </c>
      <c r="J32" s="88">
        <f t="shared" si="2"/>
        <v>13.028589999999999</v>
      </c>
      <c r="K32" s="88">
        <f t="shared" si="2"/>
        <v>12.218160000000001</v>
      </c>
      <c r="L32" s="88">
        <f t="shared" si="2"/>
        <v>6.0306900000000008</v>
      </c>
      <c r="M32" s="88">
        <f t="shared" si="2"/>
        <v>4.59457</v>
      </c>
      <c r="N32" s="88">
        <f t="shared" si="2"/>
        <v>47.641909999999996</v>
      </c>
      <c r="O32" s="88">
        <f t="shared" si="1"/>
        <v>99.770332206808646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L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1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2"/>
  <sheetViews>
    <sheetView workbookViewId="0">
      <selection activeCell="A4" sqref="A4:C4"/>
    </sheetView>
  </sheetViews>
  <sheetFormatPr defaultRowHeight="15"/>
  <cols>
    <col min="4" max="5" width="9.28515625" bestFit="1" customWidth="1"/>
    <col min="6" max="6" width="10.7109375" bestFit="1" customWidth="1"/>
    <col min="7" max="7" width="9.85546875" bestFit="1" customWidth="1"/>
    <col min="8" max="9" width="9.42578125" bestFit="1" customWidth="1"/>
    <col min="10" max="10" width="9.7109375" bestFit="1" customWidth="1"/>
    <col min="11" max="11" width="9.85546875" bestFit="1" customWidth="1"/>
    <col min="12" max="13" width="9.42578125" bestFit="1" customWidth="1"/>
    <col min="14" max="14" width="9.7109375" bestFit="1" customWidth="1"/>
    <col min="15" max="15" width="10.7109375" bestFit="1" customWidth="1"/>
    <col min="260" max="261" width="9.28515625" bestFit="1" customWidth="1"/>
    <col min="262" max="262" width="10.7109375" bestFit="1" customWidth="1"/>
    <col min="263" max="263" width="9.85546875" bestFit="1" customWidth="1"/>
    <col min="264" max="265" width="9.42578125" bestFit="1" customWidth="1"/>
    <col min="266" max="266" width="9.7109375" bestFit="1" customWidth="1"/>
    <col min="267" max="267" width="9.85546875" bestFit="1" customWidth="1"/>
    <col min="268" max="269" width="9.42578125" bestFit="1" customWidth="1"/>
    <col min="270" max="270" width="9.7109375" bestFit="1" customWidth="1"/>
    <col min="271" max="271" width="10.7109375" bestFit="1" customWidth="1"/>
    <col min="516" max="517" width="9.28515625" bestFit="1" customWidth="1"/>
    <col min="518" max="518" width="10.7109375" bestFit="1" customWidth="1"/>
    <col min="519" max="519" width="9.85546875" bestFit="1" customWidth="1"/>
    <col min="520" max="521" width="9.42578125" bestFit="1" customWidth="1"/>
    <col min="522" max="522" width="9.7109375" bestFit="1" customWidth="1"/>
    <col min="523" max="523" width="9.85546875" bestFit="1" customWidth="1"/>
    <col min="524" max="525" width="9.42578125" bestFit="1" customWidth="1"/>
    <col min="526" max="526" width="9.7109375" bestFit="1" customWidth="1"/>
    <col min="527" max="527" width="10.7109375" bestFit="1" customWidth="1"/>
    <col min="772" max="773" width="9.28515625" bestFit="1" customWidth="1"/>
    <col min="774" max="774" width="10.7109375" bestFit="1" customWidth="1"/>
    <col min="775" max="775" width="9.85546875" bestFit="1" customWidth="1"/>
    <col min="776" max="777" width="9.42578125" bestFit="1" customWidth="1"/>
    <col min="778" max="778" width="9.7109375" bestFit="1" customWidth="1"/>
    <col min="779" max="779" width="9.85546875" bestFit="1" customWidth="1"/>
    <col min="780" max="781" width="9.42578125" bestFit="1" customWidth="1"/>
    <col min="782" max="782" width="9.7109375" bestFit="1" customWidth="1"/>
    <col min="783" max="783" width="10.7109375" bestFit="1" customWidth="1"/>
    <col min="1028" max="1029" width="9.28515625" bestFit="1" customWidth="1"/>
    <col min="1030" max="1030" width="10.7109375" bestFit="1" customWidth="1"/>
    <col min="1031" max="1031" width="9.85546875" bestFit="1" customWidth="1"/>
    <col min="1032" max="1033" width="9.42578125" bestFit="1" customWidth="1"/>
    <col min="1034" max="1034" width="9.7109375" bestFit="1" customWidth="1"/>
    <col min="1035" max="1035" width="9.85546875" bestFit="1" customWidth="1"/>
    <col min="1036" max="1037" width="9.42578125" bestFit="1" customWidth="1"/>
    <col min="1038" max="1038" width="9.7109375" bestFit="1" customWidth="1"/>
    <col min="1039" max="1039" width="10.7109375" bestFit="1" customWidth="1"/>
    <col min="1284" max="1285" width="9.28515625" bestFit="1" customWidth="1"/>
    <col min="1286" max="1286" width="10.7109375" bestFit="1" customWidth="1"/>
    <col min="1287" max="1287" width="9.85546875" bestFit="1" customWidth="1"/>
    <col min="1288" max="1289" width="9.42578125" bestFit="1" customWidth="1"/>
    <col min="1290" max="1290" width="9.7109375" bestFit="1" customWidth="1"/>
    <col min="1291" max="1291" width="9.85546875" bestFit="1" customWidth="1"/>
    <col min="1292" max="1293" width="9.42578125" bestFit="1" customWidth="1"/>
    <col min="1294" max="1294" width="9.7109375" bestFit="1" customWidth="1"/>
    <col min="1295" max="1295" width="10.7109375" bestFit="1" customWidth="1"/>
    <col min="1540" max="1541" width="9.28515625" bestFit="1" customWidth="1"/>
    <col min="1542" max="1542" width="10.7109375" bestFit="1" customWidth="1"/>
    <col min="1543" max="1543" width="9.85546875" bestFit="1" customWidth="1"/>
    <col min="1544" max="1545" width="9.42578125" bestFit="1" customWidth="1"/>
    <col min="1546" max="1546" width="9.7109375" bestFit="1" customWidth="1"/>
    <col min="1547" max="1547" width="9.85546875" bestFit="1" customWidth="1"/>
    <col min="1548" max="1549" width="9.42578125" bestFit="1" customWidth="1"/>
    <col min="1550" max="1550" width="9.7109375" bestFit="1" customWidth="1"/>
    <col min="1551" max="1551" width="10.7109375" bestFit="1" customWidth="1"/>
    <col min="1796" max="1797" width="9.28515625" bestFit="1" customWidth="1"/>
    <col min="1798" max="1798" width="10.7109375" bestFit="1" customWidth="1"/>
    <col min="1799" max="1799" width="9.85546875" bestFit="1" customWidth="1"/>
    <col min="1800" max="1801" width="9.42578125" bestFit="1" customWidth="1"/>
    <col min="1802" max="1802" width="9.7109375" bestFit="1" customWidth="1"/>
    <col min="1803" max="1803" width="9.85546875" bestFit="1" customWidth="1"/>
    <col min="1804" max="1805" width="9.42578125" bestFit="1" customWidth="1"/>
    <col min="1806" max="1806" width="9.7109375" bestFit="1" customWidth="1"/>
    <col min="1807" max="1807" width="10.7109375" bestFit="1" customWidth="1"/>
    <col min="2052" max="2053" width="9.28515625" bestFit="1" customWidth="1"/>
    <col min="2054" max="2054" width="10.7109375" bestFit="1" customWidth="1"/>
    <col min="2055" max="2055" width="9.85546875" bestFit="1" customWidth="1"/>
    <col min="2056" max="2057" width="9.42578125" bestFit="1" customWidth="1"/>
    <col min="2058" max="2058" width="9.7109375" bestFit="1" customWidth="1"/>
    <col min="2059" max="2059" width="9.85546875" bestFit="1" customWidth="1"/>
    <col min="2060" max="2061" width="9.42578125" bestFit="1" customWidth="1"/>
    <col min="2062" max="2062" width="9.7109375" bestFit="1" customWidth="1"/>
    <col min="2063" max="2063" width="10.7109375" bestFit="1" customWidth="1"/>
    <col min="2308" max="2309" width="9.28515625" bestFit="1" customWidth="1"/>
    <col min="2310" max="2310" width="10.7109375" bestFit="1" customWidth="1"/>
    <col min="2311" max="2311" width="9.85546875" bestFit="1" customWidth="1"/>
    <col min="2312" max="2313" width="9.42578125" bestFit="1" customWidth="1"/>
    <col min="2314" max="2314" width="9.7109375" bestFit="1" customWidth="1"/>
    <col min="2315" max="2315" width="9.85546875" bestFit="1" customWidth="1"/>
    <col min="2316" max="2317" width="9.42578125" bestFit="1" customWidth="1"/>
    <col min="2318" max="2318" width="9.7109375" bestFit="1" customWidth="1"/>
    <col min="2319" max="2319" width="10.7109375" bestFit="1" customWidth="1"/>
    <col min="2564" max="2565" width="9.28515625" bestFit="1" customWidth="1"/>
    <col min="2566" max="2566" width="10.7109375" bestFit="1" customWidth="1"/>
    <col min="2567" max="2567" width="9.85546875" bestFit="1" customWidth="1"/>
    <col min="2568" max="2569" width="9.42578125" bestFit="1" customWidth="1"/>
    <col min="2570" max="2570" width="9.7109375" bestFit="1" customWidth="1"/>
    <col min="2571" max="2571" width="9.85546875" bestFit="1" customWidth="1"/>
    <col min="2572" max="2573" width="9.42578125" bestFit="1" customWidth="1"/>
    <col min="2574" max="2574" width="9.7109375" bestFit="1" customWidth="1"/>
    <col min="2575" max="2575" width="10.7109375" bestFit="1" customWidth="1"/>
    <col min="2820" max="2821" width="9.28515625" bestFit="1" customWidth="1"/>
    <col min="2822" max="2822" width="10.7109375" bestFit="1" customWidth="1"/>
    <col min="2823" max="2823" width="9.85546875" bestFit="1" customWidth="1"/>
    <col min="2824" max="2825" width="9.42578125" bestFit="1" customWidth="1"/>
    <col min="2826" max="2826" width="9.7109375" bestFit="1" customWidth="1"/>
    <col min="2827" max="2827" width="9.85546875" bestFit="1" customWidth="1"/>
    <col min="2828" max="2829" width="9.42578125" bestFit="1" customWidth="1"/>
    <col min="2830" max="2830" width="9.7109375" bestFit="1" customWidth="1"/>
    <col min="2831" max="2831" width="10.7109375" bestFit="1" customWidth="1"/>
    <col min="3076" max="3077" width="9.28515625" bestFit="1" customWidth="1"/>
    <col min="3078" max="3078" width="10.7109375" bestFit="1" customWidth="1"/>
    <col min="3079" max="3079" width="9.85546875" bestFit="1" customWidth="1"/>
    <col min="3080" max="3081" width="9.42578125" bestFit="1" customWidth="1"/>
    <col min="3082" max="3082" width="9.7109375" bestFit="1" customWidth="1"/>
    <col min="3083" max="3083" width="9.85546875" bestFit="1" customWidth="1"/>
    <col min="3084" max="3085" width="9.42578125" bestFit="1" customWidth="1"/>
    <col min="3086" max="3086" width="9.7109375" bestFit="1" customWidth="1"/>
    <col min="3087" max="3087" width="10.7109375" bestFit="1" customWidth="1"/>
    <col min="3332" max="3333" width="9.28515625" bestFit="1" customWidth="1"/>
    <col min="3334" max="3334" width="10.7109375" bestFit="1" customWidth="1"/>
    <col min="3335" max="3335" width="9.85546875" bestFit="1" customWidth="1"/>
    <col min="3336" max="3337" width="9.42578125" bestFit="1" customWidth="1"/>
    <col min="3338" max="3338" width="9.7109375" bestFit="1" customWidth="1"/>
    <col min="3339" max="3339" width="9.85546875" bestFit="1" customWidth="1"/>
    <col min="3340" max="3341" width="9.42578125" bestFit="1" customWidth="1"/>
    <col min="3342" max="3342" width="9.7109375" bestFit="1" customWidth="1"/>
    <col min="3343" max="3343" width="10.7109375" bestFit="1" customWidth="1"/>
    <col min="3588" max="3589" width="9.28515625" bestFit="1" customWidth="1"/>
    <col min="3590" max="3590" width="10.7109375" bestFit="1" customWidth="1"/>
    <col min="3591" max="3591" width="9.85546875" bestFit="1" customWidth="1"/>
    <col min="3592" max="3593" width="9.42578125" bestFit="1" customWidth="1"/>
    <col min="3594" max="3594" width="9.7109375" bestFit="1" customWidth="1"/>
    <col min="3595" max="3595" width="9.85546875" bestFit="1" customWidth="1"/>
    <col min="3596" max="3597" width="9.42578125" bestFit="1" customWidth="1"/>
    <col min="3598" max="3598" width="9.7109375" bestFit="1" customWidth="1"/>
    <col min="3599" max="3599" width="10.7109375" bestFit="1" customWidth="1"/>
    <col min="3844" max="3845" width="9.28515625" bestFit="1" customWidth="1"/>
    <col min="3846" max="3846" width="10.7109375" bestFit="1" customWidth="1"/>
    <col min="3847" max="3847" width="9.85546875" bestFit="1" customWidth="1"/>
    <col min="3848" max="3849" width="9.42578125" bestFit="1" customWidth="1"/>
    <col min="3850" max="3850" width="9.7109375" bestFit="1" customWidth="1"/>
    <col min="3851" max="3851" width="9.85546875" bestFit="1" customWidth="1"/>
    <col min="3852" max="3853" width="9.42578125" bestFit="1" customWidth="1"/>
    <col min="3854" max="3854" width="9.7109375" bestFit="1" customWidth="1"/>
    <col min="3855" max="3855" width="10.7109375" bestFit="1" customWidth="1"/>
    <col min="4100" max="4101" width="9.28515625" bestFit="1" customWidth="1"/>
    <col min="4102" max="4102" width="10.7109375" bestFit="1" customWidth="1"/>
    <col min="4103" max="4103" width="9.85546875" bestFit="1" customWidth="1"/>
    <col min="4104" max="4105" width="9.42578125" bestFit="1" customWidth="1"/>
    <col min="4106" max="4106" width="9.7109375" bestFit="1" customWidth="1"/>
    <col min="4107" max="4107" width="9.85546875" bestFit="1" customWidth="1"/>
    <col min="4108" max="4109" width="9.42578125" bestFit="1" customWidth="1"/>
    <col min="4110" max="4110" width="9.7109375" bestFit="1" customWidth="1"/>
    <col min="4111" max="4111" width="10.7109375" bestFit="1" customWidth="1"/>
    <col min="4356" max="4357" width="9.28515625" bestFit="1" customWidth="1"/>
    <col min="4358" max="4358" width="10.7109375" bestFit="1" customWidth="1"/>
    <col min="4359" max="4359" width="9.85546875" bestFit="1" customWidth="1"/>
    <col min="4360" max="4361" width="9.42578125" bestFit="1" customWidth="1"/>
    <col min="4362" max="4362" width="9.7109375" bestFit="1" customWidth="1"/>
    <col min="4363" max="4363" width="9.85546875" bestFit="1" customWidth="1"/>
    <col min="4364" max="4365" width="9.42578125" bestFit="1" customWidth="1"/>
    <col min="4366" max="4366" width="9.7109375" bestFit="1" customWidth="1"/>
    <col min="4367" max="4367" width="10.7109375" bestFit="1" customWidth="1"/>
    <col min="4612" max="4613" width="9.28515625" bestFit="1" customWidth="1"/>
    <col min="4614" max="4614" width="10.7109375" bestFit="1" customWidth="1"/>
    <col min="4615" max="4615" width="9.85546875" bestFit="1" customWidth="1"/>
    <col min="4616" max="4617" width="9.42578125" bestFit="1" customWidth="1"/>
    <col min="4618" max="4618" width="9.7109375" bestFit="1" customWidth="1"/>
    <col min="4619" max="4619" width="9.85546875" bestFit="1" customWidth="1"/>
    <col min="4620" max="4621" width="9.42578125" bestFit="1" customWidth="1"/>
    <col min="4622" max="4622" width="9.7109375" bestFit="1" customWidth="1"/>
    <col min="4623" max="4623" width="10.7109375" bestFit="1" customWidth="1"/>
    <col min="4868" max="4869" width="9.28515625" bestFit="1" customWidth="1"/>
    <col min="4870" max="4870" width="10.7109375" bestFit="1" customWidth="1"/>
    <col min="4871" max="4871" width="9.85546875" bestFit="1" customWidth="1"/>
    <col min="4872" max="4873" width="9.42578125" bestFit="1" customWidth="1"/>
    <col min="4874" max="4874" width="9.7109375" bestFit="1" customWidth="1"/>
    <col min="4875" max="4875" width="9.85546875" bestFit="1" customWidth="1"/>
    <col min="4876" max="4877" width="9.42578125" bestFit="1" customWidth="1"/>
    <col min="4878" max="4878" width="9.7109375" bestFit="1" customWidth="1"/>
    <col min="4879" max="4879" width="10.7109375" bestFit="1" customWidth="1"/>
    <col min="5124" max="5125" width="9.28515625" bestFit="1" customWidth="1"/>
    <col min="5126" max="5126" width="10.7109375" bestFit="1" customWidth="1"/>
    <col min="5127" max="5127" width="9.85546875" bestFit="1" customWidth="1"/>
    <col min="5128" max="5129" width="9.42578125" bestFit="1" customWidth="1"/>
    <col min="5130" max="5130" width="9.7109375" bestFit="1" customWidth="1"/>
    <col min="5131" max="5131" width="9.85546875" bestFit="1" customWidth="1"/>
    <col min="5132" max="5133" width="9.42578125" bestFit="1" customWidth="1"/>
    <col min="5134" max="5134" width="9.7109375" bestFit="1" customWidth="1"/>
    <col min="5135" max="5135" width="10.7109375" bestFit="1" customWidth="1"/>
    <col min="5380" max="5381" width="9.28515625" bestFit="1" customWidth="1"/>
    <col min="5382" max="5382" width="10.7109375" bestFit="1" customWidth="1"/>
    <col min="5383" max="5383" width="9.85546875" bestFit="1" customWidth="1"/>
    <col min="5384" max="5385" width="9.42578125" bestFit="1" customWidth="1"/>
    <col min="5386" max="5386" width="9.7109375" bestFit="1" customWidth="1"/>
    <col min="5387" max="5387" width="9.85546875" bestFit="1" customWidth="1"/>
    <col min="5388" max="5389" width="9.42578125" bestFit="1" customWidth="1"/>
    <col min="5390" max="5390" width="9.7109375" bestFit="1" customWidth="1"/>
    <col min="5391" max="5391" width="10.7109375" bestFit="1" customWidth="1"/>
    <col min="5636" max="5637" width="9.28515625" bestFit="1" customWidth="1"/>
    <col min="5638" max="5638" width="10.7109375" bestFit="1" customWidth="1"/>
    <col min="5639" max="5639" width="9.85546875" bestFit="1" customWidth="1"/>
    <col min="5640" max="5641" width="9.42578125" bestFit="1" customWidth="1"/>
    <col min="5642" max="5642" width="9.7109375" bestFit="1" customWidth="1"/>
    <col min="5643" max="5643" width="9.85546875" bestFit="1" customWidth="1"/>
    <col min="5644" max="5645" width="9.42578125" bestFit="1" customWidth="1"/>
    <col min="5646" max="5646" width="9.7109375" bestFit="1" customWidth="1"/>
    <col min="5647" max="5647" width="10.7109375" bestFit="1" customWidth="1"/>
    <col min="5892" max="5893" width="9.28515625" bestFit="1" customWidth="1"/>
    <col min="5894" max="5894" width="10.7109375" bestFit="1" customWidth="1"/>
    <col min="5895" max="5895" width="9.85546875" bestFit="1" customWidth="1"/>
    <col min="5896" max="5897" width="9.42578125" bestFit="1" customWidth="1"/>
    <col min="5898" max="5898" width="9.7109375" bestFit="1" customWidth="1"/>
    <col min="5899" max="5899" width="9.85546875" bestFit="1" customWidth="1"/>
    <col min="5900" max="5901" width="9.42578125" bestFit="1" customWidth="1"/>
    <col min="5902" max="5902" width="9.7109375" bestFit="1" customWidth="1"/>
    <col min="5903" max="5903" width="10.7109375" bestFit="1" customWidth="1"/>
    <col min="6148" max="6149" width="9.28515625" bestFit="1" customWidth="1"/>
    <col min="6150" max="6150" width="10.7109375" bestFit="1" customWidth="1"/>
    <col min="6151" max="6151" width="9.85546875" bestFit="1" customWidth="1"/>
    <col min="6152" max="6153" width="9.42578125" bestFit="1" customWidth="1"/>
    <col min="6154" max="6154" width="9.7109375" bestFit="1" customWidth="1"/>
    <col min="6155" max="6155" width="9.85546875" bestFit="1" customWidth="1"/>
    <col min="6156" max="6157" width="9.42578125" bestFit="1" customWidth="1"/>
    <col min="6158" max="6158" width="9.7109375" bestFit="1" customWidth="1"/>
    <col min="6159" max="6159" width="10.7109375" bestFit="1" customWidth="1"/>
    <col min="6404" max="6405" width="9.28515625" bestFit="1" customWidth="1"/>
    <col min="6406" max="6406" width="10.7109375" bestFit="1" customWidth="1"/>
    <col min="6407" max="6407" width="9.85546875" bestFit="1" customWidth="1"/>
    <col min="6408" max="6409" width="9.42578125" bestFit="1" customWidth="1"/>
    <col min="6410" max="6410" width="9.7109375" bestFit="1" customWidth="1"/>
    <col min="6411" max="6411" width="9.85546875" bestFit="1" customWidth="1"/>
    <col min="6412" max="6413" width="9.42578125" bestFit="1" customWidth="1"/>
    <col min="6414" max="6414" width="9.7109375" bestFit="1" customWidth="1"/>
    <col min="6415" max="6415" width="10.7109375" bestFit="1" customWidth="1"/>
    <col min="6660" max="6661" width="9.28515625" bestFit="1" customWidth="1"/>
    <col min="6662" max="6662" width="10.7109375" bestFit="1" customWidth="1"/>
    <col min="6663" max="6663" width="9.85546875" bestFit="1" customWidth="1"/>
    <col min="6664" max="6665" width="9.42578125" bestFit="1" customWidth="1"/>
    <col min="6666" max="6666" width="9.7109375" bestFit="1" customWidth="1"/>
    <col min="6667" max="6667" width="9.85546875" bestFit="1" customWidth="1"/>
    <col min="6668" max="6669" width="9.42578125" bestFit="1" customWidth="1"/>
    <col min="6670" max="6670" width="9.7109375" bestFit="1" customWidth="1"/>
    <col min="6671" max="6671" width="10.7109375" bestFit="1" customWidth="1"/>
    <col min="6916" max="6917" width="9.28515625" bestFit="1" customWidth="1"/>
    <col min="6918" max="6918" width="10.7109375" bestFit="1" customWidth="1"/>
    <col min="6919" max="6919" width="9.85546875" bestFit="1" customWidth="1"/>
    <col min="6920" max="6921" width="9.42578125" bestFit="1" customWidth="1"/>
    <col min="6922" max="6922" width="9.7109375" bestFit="1" customWidth="1"/>
    <col min="6923" max="6923" width="9.85546875" bestFit="1" customWidth="1"/>
    <col min="6924" max="6925" width="9.42578125" bestFit="1" customWidth="1"/>
    <col min="6926" max="6926" width="9.7109375" bestFit="1" customWidth="1"/>
    <col min="6927" max="6927" width="10.7109375" bestFit="1" customWidth="1"/>
    <col min="7172" max="7173" width="9.28515625" bestFit="1" customWidth="1"/>
    <col min="7174" max="7174" width="10.7109375" bestFit="1" customWidth="1"/>
    <col min="7175" max="7175" width="9.85546875" bestFit="1" customWidth="1"/>
    <col min="7176" max="7177" width="9.42578125" bestFit="1" customWidth="1"/>
    <col min="7178" max="7178" width="9.7109375" bestFit="1" customWidth="1"/>
    <col min="7179" max="7179" width="9.85546875" bestFit="1" customWidth="1"/>
    <col min="7180" max="7181" width="9.42578125" bestFit="1" customWidth="1"/>
    <col min="7182" max="7182" width="9.7109375" bestFit="1" customWidth="1"/>
    <col min="7183" max="7183" width="10.7109375" bestFit="1" customWidth="1"/>
    <col min="7428" max="7429" width="9.28515625" bestFit="1" customWidth="1"/>
    <col min="7430" max="7430" width="10.7109375" bestFit="1" customWidth="1"/>
    <col min="7431" max="7431" width="9.85546875" bestFit="1" customWidth="1"/>
    <col min="7432" max="7433" width="9.42578125" bestFit="1" customWidth="1"/>
    <col min="7434" max="7434" width="9.7109375" bestFit="1" customWidth="1"/>
    <col min="7435" max="7435" width="9.85546875" bestFit="1" customWidth="1"/>
    <col min="7436" max="7437" width="9.42578125" bestFit="1" customWidth="1"/>
    <col min="7438" max="7438" width="9.7109375" bestFit="1" customWidth="1"/>
    <col min="7439" max="7439" width="10.7109375" bestFit="1" customWidth="1"/>
    <col min="7684" max="7685" width="9.28515625" bestFit="1" customWidth="1"/>
    <col min="7686" max="7686" width="10.7109375" bestFit="1" customWidth="1"/>
    <col min="7687" max="7687" width="9.85546875" bestFit="1" customWidth="1"/>
    <col min="7688" max="7689" width="9.42578125" bestFit="1" customWidth="1"/>
    <col min="7690" max="7690" width="9.7109375" bestFit="1" customWidth="1"/>
    <col min="7691" max="7691" width="9.85546875" bestFit="1" customWidth="1"/>
    <col min="7692" max="7693" width="9.42578125" bestFit="1" customWidth="1"/>
    <col min="7694" max="7694" width="9.7109375" bestFit="1" customWidth="1"/>
    <col min="7695" max="7695" width="10.7109375" bestFit="1" customWidth="1"/>
    <col min="7940" max="7941" width="9.28515625" bestFit="1" customWidth="1"/>
    <col min="7942" max="7942" width="10.7109375" bestFit="1" customWidth="1"/>
    <col min="7943" max="7943" width="9.85546875" bestFit="1" customWidth="1"/>
    <col min="7944" max="7945" width="9.42578125" bestFit="1" customWidth="1"/>
    <col min="7946" max="7946" width="9.7109375" bestFit="1" customWidth="1"/>
    <col min="7947" max="7947" width="9.85546875" bestFit="1" customWidth="1"/>
    <col min="7948" max="7949" width="9.42578125" bestFit="1" customWidth="1"/>
    <col min="7950" max="7950" width="9.7109375" bestFit="1" customWidth="1"/>
    <col min="7951" max="7951" width="10.7109375" bestFit="1" customWidth="1"/>
    <col min="8196" max="8197" width="9.28515625" bestFit="1" customWidth="1"/>
    <col min="8198" max="8198" width="10.7109375" bestFit="1" customWidth="1"/>
    <col min="8199" max="8199" width="9.85546875" bestFit="1" customWidth="1"/>
    <col min="8200" max="8201" width="9.42578125" bestFit="1" customWidth="1"/>
    <col min="8202" max="8202" width="9.7109375" bestFit="1" customWidth="1"/>
    <col min="8203" max="8203" width="9.85546875" bestFit="1" customWidth="1"/>
    <col min="8204" max="8205" width="9.42578125" bestFit="1" customWidth="1"/>
    <col min="8206" max="8206" width="9.7109375" bestFit="1" customWidth="1"/>
    <col min="8207" max="8207" width="10.7109375" bestFit="1" customWidth="1"/>
    <col min="8452" max="8453" width="9.28515625" bestFit="1" customWidth="1"/>
    <col min="8454" max="8454" width="10.7109375" bestFit="1" customWidth="1"/>
    <col min="8455" max="8455" width="9.85546875" bestFit="1" customWidth="1"/>
    <col min="8456" max="8457" width="9.42578125" bestFit="1" customWidth="1"/>
    <col min="8458" max="8458" width="9.7109375" bestFit="1" customWidth="1"/>
    <col min="8459" max="8459" width="9.85546875" bestFit="1" customWidth="1"/>
    <col min="8460" max="8461" width="9.42578125" bestFit="1" customWidth="1"/>
    <col min="8462" max="8462" width="9.7109375" bestFit="1" customWidth="1"/>
    <col min="8463" max="8463" width="10.7109375" bestFit="1" customWidth="1"/>
    <col min="8708" max="8709" width="9.28515625" bestFit="1" customWidth="1"/>
    <col min="8710" max="8710" width="10.7109375" bestFit="1" customWidth="1"/>
    <col min="8711" max="8711" width="9.85546875" bestFit="1" customWidth="1"/>
    <col min="8712" max="8713" width="9.42578125" bestFit="1" customWidth="1"/>
    <col min="8714" max="8714" width="9.7109375" bestFit="1" customWidth="1"/>
    <col min="8715" max="8715" width="9.85546875" bestFit="1" customWidth="1"/>
    <col min="8716" max="8717" width="9.42578125" bestFit="1" customWidth="1"/>
    <col min="8718" max="8718" width="9.7109375" bestFit="1" customWidth="1"/>
    <col min="8719" max="8719" width="10.7109375" bestFit="1" customWidth="1"/>
    <col min="8964" max="8965" width="9.28515625" bestFit="1" customWidth="1"/>
    <col min="8966" max="8966" width="10.7109375" bestFit="1" customWidth="1"/>
    <col min="8967" max="8967" width="9.85546875" bestFit="1" customWidth="1"/>
    <col min="8968" max="8969" width="9.42578125" bestFit="1" customWidth="1"/>
    <col min="8970" max="8970" width="9.7109375" bestFit="1" customWidth="1"/>
    <col min="8971" max="8971" width="9.85546875" bestFit="1" customWidth="1"/>
    <col min="8972" max="8973" width="9.42578125" bestFit="1" customWidth="1"/>
    <col min="8974" max="8974" width="9.7109375" bestFit="1" customWidth="1"/>
    <col min="8975" max="8975" width="10.7109375" bestFit="1" customWidth="1"/>
    <col min="9220" max="9221" width="9.28515625" bestFit="1" customWidth="1"/>
    <col min="9222" max="9222" width="10.7109375" bestFit="1" customWidth="1"/>
    <col min="9223" max="9223" width="9.85546875" bestFit="1" customWidth="1"/>
    <col min="9224" max="9225" width="9.42578125" bestFit="1" customWidth="1"/>
    <col min="9226" max="9226" width="9.7109375" bestFit="1" customWidth="1"/>
    <col min="9227" max="9227" width="9.85546875" bestFit="1" customWidth="1"/>
    <col min="9228" max="9229" width="9.42578125" bestFit="1" customWidth="1"/>
    <col min="9230" max="9230" width="9.7109375" bestFit="1" customWidth="1"/>
    <col min="9231" max="9231" width="10.7109375" bestFit="1" customWidth="1"/>
    <col min="9476" max="9477" width="9.28515625" bestFit="1" customWidth="1"/>
    <col min="9478" max="9478" width="10.7109375" bestFit="1" customWidth="1"/>
    <col min="9479" max="9479" width="9.85546875" bestFit="1" customWidth="1"/>
    <col min="9480" max="9481" width="9.42578125" bestFit="1" customWidth="1"/>
    <col min="9482" max="9482" width="9.7109375" bestFit="1" customWidth="1"/>
    <col min="9483" max="9483" width="9.85546875" bestFit="1" customWidth="1"/>
    <col min="9484" max="9485" width="9.42578125" bestFit="1" customWidth="1"/>
    <col min="9486" max="9486" width="9.7109375" bestFit="1" customWidth="1"/>
    <col min="9487" max="9487" width="10.7109375" bestFit="1" customWidth="1"/>
    <col min="9732" max="9733" width="9.28515625" bestFit="1" customWidth="1"/>
    <col min="9734" max="9734" width="10.7109375" bestFit="1" customWidth="1"/>
    <col min="9735" max="9735" width="9.85546875" bestFit="1" customWidth="1"/>
    <col min="9736" max="9737" width="9.42578125" bestFit="1" customWidth="1"/>
    <col min="9738" max="9738" width="9.7109375" bestFit="1" customWidth="1"/>
    <col min="9739" max="9739" width="9.85546875" bestFit="1" customWidth="1"/>
    <col min="9740" max="9741" width="9.42578125" bestFit="1" customWidth="1"/>
    <col min="9742" max="9742" width="9.7109375" bestFit="1" customWidth="1"/>
    <col min="9743" max="9743" width="10.7109375" bestFit="1" customWidth="1"/>
    <col min="9988" max="9989" width="9.28515625" bestFit="1" customWidth="1"/>
    <col min="9990" max="9990" width="10.7109375" bestFit="1" customWidth="1"/>
    <col min="9991" max="9991" width="9.85546875" bestFit="1" customWidth="1"/>
    <col min="9992" max="9993" width="9.42578125" bestFit="1" customWidth="1"/>
    <col min="9994" max="9994" width="9.7109375" bestFit="1" customWidth="1"/>
    <col min="9995" max="9995" width="9.85546875" bestFit="1" customWidth="1"/>
    <col min="9996" max="9997" width="9.42578125" bestFit="1" customWidth="1"/>
    <col min="9998" max="9998" width="9.7109375" bestFit="1" customWidth="1"/>
    <col min="9999" max="9999" width="10.7109375" bestFit="1" customWidth="1"/>
    <col min="10244" max="10245" width="9.28515625" bestFit="1" customWidth="1"/>
    <col min="10246" max="10246" width="10.7109375" bestFit="1" customWidth="1"/>
    <col min="10247" max="10247" width="9.85546875" bestFit="1" customWidth="1"/>
    <col min="10248" max="10249" width="9.42578125" bestFit="1" customWidth="1"/>
    <col min="10250" max="10250" width="9.7109375" bestFit="1" customWidth="1"/>
    <col min="10251" max="10251" width="9.85546875" bestFit="1" customWidth="1"/>
    <col min="10252" max="10253" width="9.42578125" bestFit="1" customWidth="1"/>
    <col min="10254" max="10254" width="9.7109375" bestFit="1" customWidth="1"/>
    <col min="10255" max="10255" width="10.7109375" bestFit="1" customWidth="1"/>
    <col min="10500" max="10501" width="9.28515625" bestFit="1" customWidth="1"/>
    <col min="10502" max="10502" width="10.7109375" bestFit="1" customWidth="1"/>
    <col min="10503" max="10503" width="9.85546875" bestFit="1" customWidth="1"/>
    <col min="10504" max="10505" width="9.42578125" bestFit="1" customWidth="1"/>
    <col min="10506" max="10506" width="9.7109375" bestFit="1" customWidth="1"/>
    <col min="10507" max="10507" width="9.85546875" bestFit="1" customWidth="1"/>
    <col min="10508" max="10509" width="9.42578125" bestFit="1" customWidth="1"/>
    <col min="10510" max="10510" width="9.7109375" bestFit="1" customWidth="1"/>
    <col min="10511" max="10511" width="10.7109375" bestFit="1" customWidth="1"/>
    <col min="10756" max="10757" width="9.28515625" bestFit="1" customWidth="1"/>
    <col min="10758" max="10758" width="10.7109375" bestFit="1" customWidth="1"/>
    <col min="10759" max="10759" width="9.85546875" bestFit="1" customWidth="1"/>
    <col min="10760" max="10761" width="9.42578125" bestFit="1" customWidth="1"/>
    <col min="10762" max="10762" width="9.7109375" bestFit="1" customWidth="1"/>
    <col min="10763" max="10763" width="9.85546875" bestFit="1" customWidth="1"/>
    <col min="10764" max="10765" width="9.42578125" bestFit="1" customWidth="1"/>
    <col min="10766" max="10766" width="9.7109375" bestFit="1" customWidth="1"/>
    <col min="10767" max="10767" width="10.7109375" bestFit="1" customWidth="1"/>
    <col min="11012" max="11013" width="9.28515625" bestFit="1" customWidth="1"/>
    <col min="11014" max="11014" width="10.7109375" bestFit="1" customWidth="1"/>
    <col min="11015" max="11015" width="9.85546875" bestFit="1" customWidth="1"/>
    <col min="11016" max="11017" width="9.42578125" bestFit="1" customWidth="1"/>
    <col min="11018" max="11018" width="9.7109375" bestFit="1" customWidth="1"/>
    <col min="11019" max="11019" width="9.85546875" bestFit="1" customWidth="1"/>
    <col min="11020" max="11021" width="9.42578125" bestFit="1" customWidth="1"/>
    <col min="11022" max="11022" width="9.7109375" bestFit="1" customWidth="1"/>
    <col min="11023" max="11023" width="10.7109375" bestFit="1" customWidth="1"/>
    <col min="11268" max="11269" width="9.28515625" bestFit="1" customWidth="1"/>
    <col min="11270" max="11270" width="10.7109375" bestFit="1" customWidth="1"/>
    <col min="11271" max="11271" width="9.85546875" bestFit="1" customWidth="1"/>
    <col min="11272" max="11273" width="9.42578125" bestFit="1" customWidth="1"/>
    <col min="11274" max="11274" width="9.7109375" bestFit="1" customWidth="1"/>
    <col min="11275" max="11275" width="9.85546875" bestFit="1" customWidth="1"/>
    <col min="11276" max="11277" width="9.42578125" bestFit="1" customWidth="1"/>
    <col min="11278" max="11278" width="9.7109375" bestFit="1" customWidth="1"/>
    <col min="11279" max="11279" width="10.7109375" bestFit="1" customWidth="1"/>
    <col min="11524" max="11525" width="9.28515625" bestFit="1" customWidth="1"/>
    <col min="11526" max="11526" width="10.7109375" bestFit="1" customWidth="1"/>
    <col min="11527" max="11527" width="9.85546875" bestFit="1" customWidth="1"/>
    <col min="11528" max="11529" width="9.42578125" bestFit="1" customWidth="1"/>
    <col min="11530" max="11530" width="9.7109375" bestFit="1" customWidth="1"/>
    <col min="11531" max="11531" width="9.85546875" bestFit="1" customWidth="1"/>
    <col min="11532" max="11533" width="9.42578125" bestFit="1" customWidth="1"/>
    <col min="11534" max="11534" width="9.7109375" bestFit="1" customWidth="1"/>
    <col min="11535" max="11535" width="10.7109375" bestFit="1" customWidth="1"/>
    <col min="11780" max="11781" width="9.28515625" bestFit="1" customWidth="1"/>
    <col min="11782" max="11782" width="10.7109375" bestFit="1" customWidth="1"/>
    <col min="11783" max="11783" width="9.85546875" bestFit="1" customWidth="1"/>
    <col min="11784" max="11785" width="9.42578125" bestFit="1" customWidth="1"/>
    <col min="11786" max="11786" width="9.7109375" bestFit="1" customWidth="1"/>
    <col min="11787" max="11787" width="9.85546875" bestFit="1" customWidth="1"/>
    <col min="11788" max="11789" width="9.42578125" bestFit="1" customWidth="1"/>
    <col min="11790" max="11790" width="9.7109375" bestFit="1" customWidth="1"/>
    <col min="11791" max="11791" width="10.7109375" bestFit="1" customWidth="1"/>
    <col min="12036" max="12037" width="9.28515625" bestFit="1" customWidth="1"/>
    <col min="12038" max="12038" width="10.7109375" bestFit="1" customWidth="1"/>
    <col min="12039" max="12039" width="9.85546875" bestFit="1" customWidth="1"/>
    <col min="12040" max="12041" width="9.42578125" bestFit="1" customWidth="1"/>
    <col min="12042" max="12042" width="9.7109375" bestFit="1" customWidth="1"/>
    <col min="12043" max="12043" width="9.85546875" bestFit="1" customWidth="1"/>
    <col min="12044" max="12045" width="9.42578125" bestFit="1" customWidth="1"/>
    <col min="12046" max="12046" width="9.7109375" bestFit="1" customWidth="1"/>
    <col min="12047" max="12047" width="10.7109375" bestFit="1" customWidth="1"/>
    <col min="12292" max="12293" width="9.28515625" bestFit="1" customWidth="1"/>
    <col min="12294" max="12294" width="10.7109375" bestFit="1" customWidth="1"/>
    <col min="12295" max="12295" width="9.85546875" bestFit="1" customWidth="1"/>
    <col min="12296" max="12297" width="9.42578125" bestFit="1" customWidth="1"/>
    <col min="12298" max="12298" width="9.7109375" bestFit="1" customWidth="1"/>
    <col min="12299" max="12299" width="9.85546875" bestFit="1" customWidth="1"/>
    <col min="12300" max="12301" width="9.42578125" bestFit="1" customWidth="1"/>
    <col min="12302" max="12302" width="9.7109375" bestFit="1" customWidth="1"/>
    <col min="12303" max="12303" width="10.7109375" bestFit="1" customWidth="1"/>
    <col min="12548" max="12549" width="9.28515625" bestFit="1" customWidth="1"/>
    <col min="12550" max="12550" width="10.7109375" bestFit="1" customWidth="1"/>
    <col min="12551" max="12551" width="9.85546875" bestFit="1" customWidth="1"/>
    <col min="12552" max="12553" width="9.42578125" bestFit="1" customWidth="1"/>
    <col min="12554" max="12554" width="9.7109375" bestFit="1" customWidth="1"/>
    <col min="12555" max="12555" width="9.85546875" bestFit="1" customWidth="1"/>
    <col min="12556" max="12557" width="9.42578125" bestFit="1" customWidth="1"/>
    <col min="12558" max="12558" width="9.7109375" bestFit="1" customWidth="1"/>
    <col min="12559" max="12559" width="10.7109375" bestFit="1" customWidth="1"/>
    <col min="12804" max="12805" width="9.28515625" bestFit="1" customWidth="1"/>
    <col min="12806" max="12806" width="10.7109375" bestFit="1" customWidth="1"/>
    <col min="12807" max="12807" width="9.85546875" bestFit="1" customWidth="1"/>
    <col min="12808" max="12809" width="9.42578125" bestFit="1" customWidth="1"/>
    <col min="12810" max="12810" width="9.7109375" bestFit="1" customWidth="1"/>
    <col min="12811" max="12811" width="9.85546875" bestFit="1" customWidth="1"/>
    <col min="12812" max="12813" width="9.42578125" bestFit="1" customWidth="1"/>
    <col min="12814" max="12814" width="9.7109375" bestFit="1" customWidth="1"/>
    <col min="12815" max="12815" width="10.7109375" bestFit="1" customWidth="1"/>
    <col min="13060" max="13061" width="9.28515625" bestFit="1" customWidth="1"/>
    <col min="13062" max="13062" width="10.7109375" bestFit="1" customWidth="1"/>
    <col min="13063" max="13063" width="9.85546875" bestFit="1" customWidth="1"/>
    <col min="13064" max="13065" width="9.42578125" bestFit="1" customWidth="1"/>
    <col min="13066" max="13066" width="9.7109375" bestFit="1" customWidth="1"/>
    <col min="13067" max="13067" width="9.85546875" bestFit="1" customWidth="1"/>
    <col min="13068" max="13069" width="9.42578125" bestFit="1" customWidth="1"/>
    <col min="13070" max="13070" width="9.7109375" bestFit="1" customWidth="1"/>
    <col min="13071" max="13071" width="10.7109375" bestFit="1" customWidth="1"/>
    <col min="13316" max="13317" width="9.28515625" bestFit="1" customWidth="1"/>
    <col min="13318" max="13318" width="10.7109375" bestFit="1" customWidth="1"/>
    <col min="13319" max="13319" width="9.85546875" bestFit="1" customWidth="1"/>
    <col min="13320" max="13321" width="9.42578125" bestFit="1" customWidth="1"/>
    <col min="13322" max="13322" width="9.7109375" bestFit="1" customWidth="1"/>
    <col min="13323" max="13323" width="9.85546875" bestFit="1" customWidth="1"/>
    <col min="13324" max="13325" width="9.42578125" bestFit="1" customWidth="1"/>
    <col min="13326" max="13326" width="9.7109375" bestFit="1" customWidth="1"/>
    <col min="13327" max="13327" width="10.7109375" bestFit="1" customWidth="1"/>
    <col min="13572" max="13573" width="9.28515625" bestFit="1" customWidth="1"/>
    <col min="13574" max="13574" width="10.7109375" bestFit="1" customWidth="1"/>
    <col min="13575" max="13575" width="9.85546875" bestFit="1" customWidth="1"/>
    <col min="13576" max="13577" width="9.42578125" bestFit="1" customWidth="1"/>
    <col min="13578" max="13578" width="9.7109375" bestFit="1" customWidth="1"/>
    <col min="13579" max="13579" width="9.85546875" bestFit="1" customWidth="1"/>
    <col min="13580" max="13581" width="9.42578125" bestFit="1" customWidth="1"/>
    <col min="13582" max="13582" width="9.7109375" bestFit="1" customWidth="1"/>
    <col min="13583" max="13583" width="10.7109375" bestFit="1" customWidth="1"/>
    <col min="13828" max="13829" width="9.28515625" bestFit="1" customWidth="1"/>
    <col min="13830" max="13830" width="10.7109375" bestFit="1" customWidth="1"/>
    <col min="13831" max="13831" width="9.85546875" bestFit="1" customWidth="1"/>
    <col min="13832" max="13833" width="9.42578125" bestFit="1" customWidth="1"/>
    <col min="13834" max="13834" width="9.7109375" bestFit="1" customWidth="1"/>
    <col min="13835" max="13835" width="9.85546875" bestFit="1" customWidth="1"/>
    <col min="13836" max="13837" width="9.42578125" bestFit="1" customWidth="1"/>
    <col min="13838" max="13838" width="9.7109375" bestFit="1" customWidth="1"/>
    <col min="13839" max="13839" width="10.7109375" bestFit="1" customWidth="1"/>
    <col min="14084" max="14085" width="9.28515625" bestFit="1" customWidth="1"/>
    <col min="14086" max="14086" width="10.7109375" bestFit="1" customWidth="1"/>
    <col min="14087" max="14087" width="9.85546875" bestFit="1" customWidth="1"/>
    <col min="14088" max="14089" width="9.42578125" bestFit="1" customWidth="1"/>
    <col min="14090" max="14090" width="9.7109375" bestFit="1" customWidth="1"/>
    <col min="14091" max="14091" width="9.85546875" bestFit="1" customWidth="1"/>
    <col min="14092" max="14093" width="9.42578125" bestFit="1" customWidth="1"/>
    <col min="14094" max="14094" width="9.7109375" bestFit="1" customWidth="1"/>
    <col min="14095" max="14095" width="10.7109375" bestFit="1" customWidth="1"/>
    <col min="14340" max="14341" width="9.28515625" bestFit="1" customWidth="1"/>
    <col min="14342" max="14342" width="10.7109375" bestFit="1" customWidth="1"/>
    <col min="14343" max="14343" width="9.85546875" bestFit="1" customWidth="1"/>
    <col min="14344" max="14345" width="9.42578125" bestFit="1" customWidth="1"/>
    <col min="14346" max="14346" width="9.7109375" bestFit="1" customWidth="1"/>
    <col min="14347" max="14347" width="9.85546875" bestFit="1" customWidth="1"/>
    <col min="14348" max="14349" width="9.42578125" bestFit="1" customWidth="1"/>
    <col min="14350" max="14350" width="9.7109375" bestFit="1" customWidth="1"/>
    <col min="14351" max="14351" width="10.7109375" bestFit="1" customWidth="1"/>
    <col min="14596" max="14597" width="9.28515625" bestFit="1" customWidth="1"/>
    <col min="14598" max="14598" width="10.7109375" bestFit="1" customWidth="1"/>
    <col min="14599" max="14599" width="9.85546875" bestFit="1" customWidth="1"/>
    <col min="14600" max="14601" width="9.42578125" bestFit="1" customWidth="1"/>
    <col min="14602" max="14602" width="9.7109375" bestFit="1" customWidth="1"/>
    <col min="14603" max="14603" width="9.85546875" bestFit="1" customWidth="1"/>
    <col min="14604" max="14605" width="9.42578125" bestFit="1" customWidth="1"/>
    <col min="14606" max="14606" width="9.7109375" bestFit="1" customWidth="1"/>
    <col min="14607" max="14607" width="10.7109375" bestFit="1" customWidth="1"/>
    <col min="14852" max="14853" width="9.28515625" bestFit="1" customWidth="1"/>
    <col min="14854" max="14854" width="10.7109375" bestFit="1" customWidth="1"/>
    <col min="14855" max="14855" width="9.85546875" bestFit="1" customWidth="1"/>
    <col min="14856" max="14857" width="9.42578125" bestFit="1" customWidth="1"/>
    <col min="14858" max="14858" width="9.7109375" bestFit="1" customWidth="1"/>
    <col min="14859" max="14859" width="9.85546875" bestFit="1" customWidth="1"/>
    <col min="14860" max="14861" width="9.42578125" bestFit="1" customWidth="1"/>
    <col min="14862" max="14862" width="9.7109375" bestFit="1" customWidth="1"/>
    <col min="14863" max="14863" width="10.7109375" bestFit="1" customWidth="1"/>
    <col min="15108" max="15109" width="9.28515625" bestFit="1" customWidth="1"/>
    <col min="15110" max="15110" width="10.7109375" bestFit="1" customWidth="1"/>
    <col min="15111" max="15111" width="9.85546875" bestFit="1" customWidth="1"/>
    <col min="15112" max="15113" width="9.42578125" bestFit="1" customWidth="1"/>
    <col min="15114" max="15114" width="9.7109375" bestFit="1" customWidth="1"/>
    <col min="15115" max="15115" width="9.85546875" bestFit="1" customWidth="1"/>
    <col min="15116" max="15117" width="9.42578125" bestFit="1" customWidth="1"/>
    <col min="15118" max="15118" width="9.7109375" bestFit="1" customWidth="1"/>
    <col min="15119" max="15119" width="10.7109375" bestFit="1" customWidth="1"/>
    <col min="15364" max="15365" width="9.28515625" bestFit="1" customWidth="1"/>
    <col min="15366" max="15366" width="10.7109375" bestFit="1" customWidth="1"/>
    <col min="15367" max="15367" width="9.85546875" bestFit="1" customWidth="1"/>
    <col min="15368" max="15369" width="9.42578125" bestFit="1" customWidth="1"/>
    <col min="15370" max="15370" width="9.7109375" bestFit="1" customWidth="1"/>
    <col min="15371" max="15371" width="9.85546875" bestFit="1" customWidth="1"/>
    <col min="15372" max="15373" width="9.42578125" bestFit="1" customWidth="1"/>
    <col min="15374" max="15374" width="9.7109375" bestFit="1" customWidth="1"/>
    <col min="15375" max="15375" width="10.7109375" bestFit="1" customWidth="1"/>
    <col min="15620" max="15621" width="9.28515625" bestFit="1" customWidth="1"/>
    <col min="15622" max="15622" width="10.7109375" bestFit="1" customWidth="1"/>
    <col min="15623" max="15623" width="9.85546875" bestFit="1" customWidth="1"/>
    <col min="15624" max="15625" width="9.42578125" bestFit="1" customWidth="1"/>
    <col min="15626" max="15626" width="9.7109375" bestFit="1" customWidth="1"/>
    <col min="15627" max="15627" width="9.85546875" bestFit="1" customWidth="1"/>
    <col min="15628" max="15629" width="9.42578125" bestFit="1" customWidth="1"/>
    <col min="15630" max="15630" width="9.7109375" bestFit="1" customWidth="1"/>
    <col min="15631" max="15631" width="10.7109375" bestFit="1" customWidth="1"/>
    <col min="15876" max="15877" width="9.28515625" bestFit="1" customWidth="1"/>
    <col min="15878" max="15878" width="10.7109375" bestFit="1" customWidth="1"/>
    <col min="15879" max="15879" width="9.85546875" bestFit="1" customWidth="1"/>
    <col min="15880" max="15881" width="9.42578125" bestFit="1" customWidth="1"/>
    <col min="15882" max="15882" width="9.7109375" bestFit="1" customWidth="1"/>
    <col min="15883" max="15883" width="9.85546875" bestFit="1" customWidth="1"/>
    <col min="15884" max="15885" width="9.42578125" bestFit="1" customWidth="1"/>
    <col min="15886" max="15886" width="9.7109375" bestFit="1" customWidth="1"/>
    <col min="15887" max="15887" width="10.7109375" bestFit="1" customWidth="1"/>
    <col min="16132" max="16133" width="9.28515625" bestFit="1" customWidth="1"/>
    <col min="16134" max="16134" width="10.7109375" bestFit="1" customWidth="1"/>
    <col min="16135" max="16135" width="9.85546875" bestFit="1" customWidth="1"/>
    <col min="16136" max="16137" width="9.42578125" bestFit="1" customWidth="1"/>
    <col min="16138" max="16138" width="9.7109375" bestFit="1" customWidth="1"/>
    <col min="16139" max="16139" width="9.85546875" bestFit="1" customWidth="1"/>
    <col min="16140" max="16141" width="9.42578125" bestFit="1" customWidth="1"/>
    <col min="16142" max="16142" width="9.7109375" bestFit="1" customWidth="1"/>
    <col min="16143" max="16143" width="10.7109375" bestFit="1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1133</v>
      </c>
      <c r="E3" s="854"/>
      <c r="F3" s="854"/>
      <c r="G3" s="1002" t="s">
        <v>1004</v>
      </c>
      <c r="H3" s="998"/>
      <c r="I3" s="998"/>
      <c r="J3" s="854">
        <v>902170101</v>
      </c>
      <c r="K3" s="854"/>
      <c r="L3" s="1004" t="s">
        <v>1005</v>
      </c>
      <c r="M3" s="1005"/>
      <c r="N3" s="47">
        <v>518.76300000000003</v>
      </c>
      <c r="O3" s="851" t="s">
        <v>831</v>
      </c>
      <c r="P3" s="997"/>
      <c r="Q3" s="80">
        <v>200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1134</v>
      </c>
      <c r="E5" s="854"/>
      <c r="F5" s="854"/>
      <c r="G5" s="1002" t="s">
        <v>1008</v>
      </c>
      <c r="H5" s="998"/>
      <c r="I5" s="1001"/>
      <c r="J5" s="854" t="s">
        <v>1135</v>
      </c>
      <c r="K5" s="854"/>
      <c r="L5" s="854"/>
      <c r="M5" s="46"/>
      <c r="N5" s="46"/>
      <c r="O5" s="46"/>
      <c r="P5" s="46"/>
    </row>
    <row r="6" spans="1:17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/>
      <c r="E7" s="854"/>
      <c r="F7" s="854"/>
      <c r="G7" s="1002" t="s">
        <v>1011</v>
      </c>
      <c r="H7" s="998"/>
      <c r="I7" s="1001"/>
      <c r="J7" s="854" t="s">
        <v>1136</v>
      </c>
      <c r="K7" s="854"/>
      <c r="L7" s="854"/>
      <c r="M7" s="46"/>
      <c r="N7" s="46"/>
      <c r="O7" s="46"/>
      <c r="P7" s="46"/>
    </row>
    <row r="8" spans="1:17">
      <c r="A8" s="46"/>
      <c r="B8" s="46"/>
      <c r="C8" s="46"/>
      <c r="D8" s="46"/>
      <c r="E8" s="46"/>
      <c r="F8" s="46"/>
      <c r="G8" s="46"/>
      <c r="H8" s="46"/>
      <c r="I8" s="46"/>
      <c r="J8" s="854"/>
      <c r="K8" s="854"/>
      <c r="L8" s="854"/>
      <c r="M8" s="46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1137</v>
      </c>
      <c r="E10" s="854"/>
      <c r="F10" s="854" t="s">
        <v>1138</v>
      </c>
      <c r="G10" s="854"/>
      <c r="H10" s="854" t="s">
        <v>1139</v>
      </c>
      <c r="I10" s="854"/>
      <c r="J10" s="854" t="s">
        <v>1140</v>
      </c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1141</v>
      </c>
      <c r="E11" s="854"/>
      <c r="F11" s="854" t="s">
        <v>1142</v>
      </c>
      <c r="G11" s="854"/>
      <c r="H11" s="854" t="s">
        <v>1143</v>
      </c>
      <c r="I11" s="854"/>
      <c r="J11" s="854" t="s">
        <v>1144</v>
      </c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1145</v>
      </c>
      <c r="E12" s="854"/>
      <c r="F12" s="854" t="s">
        <v>1146</v>
      </c>
      <c r="G12" s="854"/>
      <c r="H12" s="854" t="s">
        <v>1147</v>
      </c>
      <c r="I12" s="854"/>
      <c r="J12" s="854" t="s">
        <v>1148</v>
      </c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/>
      <c r="E13" s="854"/>
      <c r="F13" s="854" t="s">
        <v>1149</v>
      </c>
      <c r="G13" s="854"/>
      <c r="H13" s="854"/>
      <c r="I13" s="854"/>
      <c r="J13" s="854"/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4</v>
      </c>
      <c r="E15" s="82" t="s">
        <v>1025</v>
      </c>
      <c r="F15" s="83"/>
      <c r="G15" s="83"/>
      <c r="H15" s="47">
        <v>4</v>
      </c>
      <c r="I15" s="46" t="s">
        <v>1026</v>
      </c>
      <c r="J15" s="47">
        <v>12</v>
      </c>
      <c r="K15" s="46" t="s">
        <v>1027</v>
      </c>
      <c r="L15" s="47">
        <v>2</v>
      </c>
      <c r="M15" s="84" t="s">
        <v>645</v>
      </c>
      <c r="N15" s="47">
        <v>8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106</v>
      </c>
      <c r="F17" s="46" t="s">
        <v>205</v>
      </c>
      <c r="G17" s="47"/>
      <c r="H17" s="46" t="s">
        <v>206</v>
      </c>
      <c r="I17" s="47"/>
      <c r="J17" s="46" t="s">
        <v>230</v>
      </c>
      <c r="K17" s="47">
        <v>106</v>
      </c>
      <c r="L17" s="46" t="s">
        <v>207</v>
      </c>
      <c r="M17" s="47">
        <v>16</v>
      </c>
      <c r="N17" s="46" t="s">
        <v>1028</v>
      </c>
      <c r="O17" s="46"/>
      <c r="P17" s="47">
        <v>38</v>
      </c>
    </row>
    <row r="18" spans="1:16">
      <c r="A18" s="46" t="s">
        <v>1029</v>
      </c>
      <c r="B18" s="46"/>
      <c r="C18" s="46"/>
      <c r="D18" s="46" t="s">
        <v>1030</v>
      </c>
      <c r="E18" s="47">
        <v>264</v>
      </c>
      <c r="F18" s="46" t="s">
        <v>211</v>
      </c>
      <c r="G18" s="47"/>
      <c r="H18" s="46" t="s">
        <v>212</v>
      </c>
      <c r="I18" s="47"/>
      <c r="J18" s="46" t="s">
        <v>411</v>
      </c>
      <c r="K18" s="47">
        <v>264</v>
      </c>
      <c r="L18" s="46"/>
      <c r="M18" s="46"/>
      <c r="N18" s="46"/>
      <c r="O18" s="46"/>
      <c r="P18" s="46"/>
    </row>
    <row r="19" spans="1:16">
      <c r="A19" s="46"/>
      <c r="B19" s="46"/>
      <c r="C19" s="46"/>
      <c r="D19" s="46" t="s">
        <v>213</v>
      </c>
      <c r="E19" s="47">
        <v>249</v>
      </c>
      <c r="F19" s="46" t="s">
        <v>214</v>
      </c>
      <c r="G19" s="47"/>
      <c r="H19" s="46" t="s">
        <v>215</v>
      </c>
      <c r="I19" s="47"/>
      <c r="J19" s="46" t="s">
        <v>410</v>
      </c>
      <c r="K19" s="47">
        <v>249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854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854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4150103/100000</f>
        <v>41.50103</v>
      </c>
      <c r="G24" s="87">
        <f>4150103/100000</f>
        <v>41.50103</v>
      </c>
      <c r="H24" s="86">
        <f>73644/100000</f>
        <v>0.73643999999999998</v>
      </c>
      <c r="I24" s="86">
        <f>701115/100000</f>
        <v>7.0111499999999998</v>
      </c>
      <c r="J24" s="86">
        <f>886093/100000</f>
        <v>8.8609299999999998</v>
      </c>
      <c r="K24" s="86">
        <f>2419153/100000</f>
        <v>24.19153</v>
      </c>
      <c r="L24" s="86">
        <f>84657/100000</f>
        <v>0.84657000000000004</v>
      </c>
      <c r="M24" s="86">
        <v>0</v>
      </c>
      <c r="N24" s="88">
        <f>SUM(H24:M24)</f>
        <v>41.646619999999999</v>
      </c>
      <c r="O24" s="86">
        <f>N24*100/G24</f>
        <v>100.35081057024368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6">
        <f>560000/100000</f>
        <v>5.6</v>
      </c>
      <c r="G25" s="86">
        <f>560000/100000</f>
        <v>5.6</v>
      </c>
      <c r="H25" s="86">
        <v>0</v>
      </c>
      <c r="I25" s="86">
        <v>0</v>
      </c>
      <c r="J25" s="86">
        <f>19570/100000</f>
        <v>0.19570000000000001</v>
      </c>
      <c r="K25" s="86">
        <f>173260/100000</f>
        <v>1.7325999999999999</v>
      </c>
      <c r="L25" s="86">
        <f>256630/100000</f>
        <v>2.5663</v>
      </c>
      <c r="M25" s="86">
        <f>83152/100000</f>
        <v>0.83152000000000004</v>
      </c>
      <c r="N25" s="88">
        <f t="shared" ref="N25:N31" si="0">SUM(H25:M25)</f>
        <v>5.3261200000000004</v>
      </c>
      <c r="O25" s="86">
        <f t="shared" ref="O25:O32" si="1">N25*100/G25</f>
        <v>95.109285714285733</v>
      </c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v>1.43</v>
      </c>
      <c r="G26" s="87">
        <f>63000/100000</f>
        <v>0.63</v>
      </c>
      <c r="H26" s="86">
        <v>0</v>
      </c>
      <c r="I26" s="86">
        <v>0</v>
      </c>
      <c r="J26" s="86">
        <f>2289/100000</f>
        <v>2.2890000000000001E-2</v>
      </c>
      <c r="K26" s="86">
        <f>24467/100000</f>
        <v>0.24467</v>
      </c>
      <c r="L26" s="86">
        <f>16243.5/100000</f>
        <v>0.162435</v>
      </c>
      <c r="M26" s="86">
        <f>20000/100000</f>
        <v>0.2</v>
      </c>
      <c r="N26" s="88">
        <f t="shared" si="0"/>
        <v>0.62999500000000008</v>
      </c>
      <c r="O26" s="86">
        <f t="shared" si="1"/>
        <v>99.999206349206361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7">
        <f>34000/100000</f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8641/100000</f>
        <v>8.6410000000000001E-2</v>
      </c>
      <c r="L27" s="86">
        <f>9159/100000</f>
        <v>9.1590000000000005E-2</v>
      </c>
      <c r="M27" s="86">
        <v>0</v>
      </c>
      <c r="N27" s="88">
        <f t="shared" si="0"/>
        <v>0.34</v>
      </c>
      <c r="O27" s="86">
        <f t="shared" si="1"/>
        <v>99.999999999999986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f>D28*N3/100000</f>
        <v>6.225156000000001</v>
      </c>
      <c r="G28" s="87">
        <f>622516/100000</f>
        <v>6.2251599999999998</v>
      </c>
      <c r="H28" s="86">
        <v>0</v>
      </c>
      <c r="I28" s="86">
        <v>0</v>
      </c>
      <c r="J28" s="86">
        <v>0</v>
      </c>
      <c r="K28" s="86">
        <f>604000/100000</f>
        <v>6.04</v>
      </c>
      <c r="L28" s="86">
        <f>31500/100000</f>
        <v>0.315</v>
      </c>
      <c r="M28" s="88">
        <v>0</v>
      </c>
      <c r="N28" s="88">
        <f t="shared" si="0"/>
        <v>6.3550000000000004</v>
      </c>
      <c r="O28" s="86">
        <f t="shared" si="1"/>
        <v>102.08572952341788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ROUND((+D29*N3),0)/100000</f>
        <v>2.9310100000000001</v>
      </c>
      <c r="G29" s="87">
        <f>293100/100000</f>
        <v>2.931</v>
      </c>
      <c r="H29" s="86">
        <v>0</v>
      </c>
      <c r="I29" s="86">
        <v>0</v>
      </c>
      <c r="J29" s="86">
        <f>54080/100000</f>
        <v>0.54079999999999995</v>
      </c>
      <c r="K29" s="86">
        <f>239020/100000</f>
        <v>2.3902000000000001</v>
      </c>
      <c r="L29" s="86">
        <v>0</v>
      </c>
      <c r="M29" s="86">
        <v>0</v>
      </c>
      <c r="N29" s="87">
        <f t="shared" si="0"/>
        <v>2.931</v>
      </c>
      <c r="O29" s="86">
        <f t="shared" si="1"/>
        <v>100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f>+D30*N3/100000</f>
        <v>5.1876300000000004</v>
      </c>
      <c r="G30" s="87">
        <f>518763/100000</f>
        <v>5.1876300000000004</v>
      </c>
      <c r="H30" s="86">
        <v>0</v>
      </c>
      <c r="I30" s="86">
        <f>100000/100000</f>
        <v>1</v>
      </c>
      <c r="J30" s="86">
        <v>0</v>
      </c>
      <c r="K30" s="86">
        <v>0</v>
      </c>
      <c r="L30" s="86">
        <f>33000/100000</f>
        <v>0.33</v>
      </c>
      <c r="M30" s="86">
        <f>215228/100000</f>
        <v>2.1522800000000002</v>
      </c>
      <c r="N30" s="88">
        <f t="shared" si="0"/>
        <v>3.4822800000000003</v>
      </c>
      <c r="O30" s="86">
        <f t="shared" si="1"/>
        <v>67.12660694768131</v>
      </c>
    </row>
    <row r="31" spans="1:16">
      <c r="A31" s="991" t="s">
        <v>1040</v>
      </c>
      <c r="B31" s="991"/>
      <c r="C31" s="991"/>
      <c r="D31" s="80">
        <v>2700</v>
      </c>
      <c r="E31" s="80" t="s">
        <v>242</v>
      </c>
      <c r="F31" s="87">
        <f>192000/100000</f>
        <v>1.92</v>
      </c>
      <c r="G31" s="87">
        <f>192000/100000</f>
        <v>1.92</v>
      </c>
      <c r="H31" s="86">
        <f>10585/100000</f>
        <v>0.10585</v>
      </c>
      <c r="I31" s="86">
        <f>32430/100000</f>
        <v>0.32429999999999998</v>
      </c>
      <c r="J31" s="86">
        <f>29437/100000</f>
        <v>0.29437000000000002</v>
      </c>
      <c r="K31" s="86">
        <f>27160/100000</f>
        <v>0.27160000000000001</v>
      </c>
      <c r="L31" s="86">
        <f>45892/100000</f>
        <v>0.45891999999999999</v>
      </c>
      <c r="M31" s="86">
        <f>21500/100000</f>
        <v>0.215</v>
      </c>
      <c r="N31" s="88">
        <f t="shared" si="0"/>
        <v>1.6700400000000002</v>
      </c>
      <c r="O31" s="86">
        <f t="shared" si="1"/>
        <v>86.981250000000017</v>
      </c>
    </row>
    <row r="32" spans="1:16">
      <c r="A32" s="1006" t="s">
        <v>230</v>
      </c>
      <c r="B32" s="1007"/>
      <c r="C32" s="1008"/>
      <c r="D32" s="70"/>
      <c r="E32" s="70"/>
      <c r="F32" s="88">
        <f t="shared" ref="F32:N32" si="2">SUM(F24:F31)</f>
        <v>65.134826000000004</v>
      </c>
      <c r="G32" s="88">
        <f t="shared" si="2"/>
        <v>64.334820000000008</v>
      </c>
      <c r="H32" s="88">
        <f t="shared" si="2"/>
        <v>0.84228999999999998</v>
      </c>
      <c r="I32" s="88">
        <f t="shared" si="2"/>
        <v>8.3354499999999998</v>
      </c>
      <c r="J32" s="88">
        <f t="shared" si="2"/>
        <v>10.076690000000003</v>
      </c>
      <c r="K32" s="88">
        <f t="shared" si="2"/>
        <v>34.957010000000004</v>
      </c>
      <c r="L32" s="88">
        <f t="shared" si="2"/>
        <v>4.7708149999999998</v>
      </c>
      <c r="M32" s="88">
        <f t="shared" si="2"/>
        <v>3.3988</v>
      </c>
      <c r="N32" s="88">
        <f t="shared" si="2"/>
        <v>62.381055000000003</v>
      </c>
      <c r="O32" s="88">
        <f t="shared" si="1"/>
        <v>96.963129763944309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L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rintOptions horizontalCentered="1" verticalCentered="1"/>
  <pageMargins left="0.15748031496062992" right="0.70866141732283472" top="0.31496062992125984" bottom="0.74803149606299213" header="0.31496062992125984" footer="0.31496062992125984"/>
  <pageSetup scale="79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2"/>
  <sheetViews>
    <sheetView workbookViewId="0">
      <selection activeCell="A4" sqref="A4:C4"/>
    </sheetView>
  </sheetViews>
  <sheetFormatPr defaultRowHeight="15"/>
  <cols>
    <col min="6" max="7" width="9.5703125" bestFit="1" customWidth="1"/>
    <col min="8" max="8" width="10.42578125" customWidth="1"/>
    <col min="9" max="9" width="10.85546875" customWidth="1"/>
    <col min="10" max="12" width="9.5703125" bestFit="1" customWidth="1"/>
    <col min="13" max="13" width="9.28515625" bestFit="1" customWidth="1"/>
    <col min="14" max="14" width="9.5703125" bestFit="1" customWidth="1"/>
    <col min="15" max="15" width="10.5703125" bestFit="1" customWidth="1"/>
    <col min="262" max="263" width="9.5703125" bestFit="1" customWidth="1"/>
    <col min="264" max="264" width="10.42578125" customWidth="1"/>
    <col min="265" max="265" width="10.85546875" customWidth="1"/>
    <col min="266" max="268" width="9.5703125" bestFit="1" customWidth="1"/>
    <col min="269" max="269" width="9.28515625" bestFit="1" customWidth="1"/>
    <col min="270" max="270" width="9.5703125" bestFit="1" customWidth="1"/>
    <col min="271" max="271" width="10.5703125" bestFit="1" customWidth="1"/>
    <col min="518" max="519" width="9.5703125" bestFit="1" customWidth="1"/>
    <col min="520" max="520" width="10.42578125" customWidth="1"/>
    <col min="521" max="521" width="10.85546875" customWidth="1"/>
    <col min="522" max="524" width="9.5703125" bestFit="1" customWidth="1"/>
    <col min="525" max="525" width="9.28515625" bestFit="1" customWidth="1"/>
    <col min="526" max="526" width="9.5703125" bestFit="1" customWidth="1"/>
    <col min="527" max="527" width="10.5703125" bestFit="1" customWidth="1"/>
    <col min="774" max="775" width="9.5703125" bestFit="1" customWidth="1"/>
    <col min="776" max="776" width="10.42578125" customWidth="1"/>
    <col min="777" max="777" width="10.85546875" customWidth="1"/>
    <col min="778" max="780" width="9.5703125" bestFit="1" customWidth="1"/>
    <col min="781" max="781" width="9.28515625" bestFit="1" customWidth="1"/>
    <col min="782" max="782" width="9.5703125" bestFit="1" customWidth="1"/>
    <col min="783" max="783" width="10.5703125" bestFit="1" customWidth="1"/>
    <col min="1030" max="1031" width="9.5703125" bestFit="1" customWidth="1"/>
    <col min="1032" max="1032" width="10.42578125" customWidth="1"/>
    <col min="1033" max="1033" width="10.85546875" customWidth="1"/>
    <col min="1034" max="1036" width="9.5703125" bestFit="1" customWidth="1"/>
    <col min="1037" max="1037" width="9.28515625" bestFit="1" customWidth="1"/>
    <col min="1038" max="1038" width="9.5703125" bestFit="1" customWidth="1"/>
    <col min="1039" max="1039" width="10.5703125" bestFit="1" customWidth="1"/>
    <col min="1286" max="1287" width="9.5703125" bestFit="1" customWidth="1"/>
    <col min="1288" max="1288" width="10.42578125" customWidth="1"/>
    <col min="1289" max="1289" width="10.85546875" customWidth="1"/>
    <col min="1290" max="1292" width="9.5703125" bestFit="1" customWidth="1"/>
    <col min="1293" max="1293" width="9.28515625" bestFit="1" customWidth="1"/>
    <col min="1294" max="1294" width="9.5703125" bestFit="1" customWidth="1"/>
    <col min="1295" max="1295" width="10.5703125" bestFit="1" customWidth="1"/>
    <col min="1542" max="1543" width="9.5703125" bestFit="1" customWidth="1"/>
    <col min="1544" max="1544" width="10.42578125" customWidth="1"/>
    <col min="1545" max="1545" width="10.85546875" customWidth="1"/>
    <col min="1546" max="1548" width="9.5703125" bestFit="1" customWidth="1"/>
    <col min="1549" max="1549" width="9.28515625" bestFit="1" customWidth="1"/>
    <col min="1550" max="1550" width="9.5703125" bestFit="1" customWidth="1"/>
    <col min="1551" max="1551" width="10.5703125" bestFit="1" customWidth="1"/>
    <col min="1798" max="1799" width="9.5703125" bestFit="1" customWidth="1"/>
    <col min="1800" max="1800" width="10.42578125" customWidth="1"/>
    <col min="1801" max="1801" width="10.85546875" customWidth="1"/>
    <col min="1802" max="1804" width="9.5703125" bestFit="1" customWidth="1"/>
    <col min="1805" max="1805" width="9.28515625" bestFit="1" customWidth="1"/>
    <col min="1806" max="1806" width="9.5703125" bestFit="1" customWidth="1"/>
    <col min="1807" max="1807" width="10.5703125" bestFit="1" customWidth="1"/>
    <col min="2054" max="2055" width="9.5703125" bestFit="1" customWidth="1"/>
    <col min="2056" max="2056" width="10.42578125" customWidth="1"/>
    <col min="2057" max="2057" width="10.85546875" customWidth="1"/>
    <col min="2058" max="2060" width="9.5703125" bestFit="1" customWidth="1"/>
    <col min="2061" max="2061" width="9.28515625" bestFit="1" customWidth="1"/>
    <col min="2062" max="2062" width="9.5703125" bestFit="1" customWidth="1"/>
    <col min="2063" max="2063" width="10.5703125" bestFit="1" customWidth="1"/>
    <col min="2310" max="2311" width="9.5703125" bestFit="1" customWidth="1"/>
    <col min="2312" max="2312" width="10.42578125" customWidth="1"/>
    <col min="2313" max="2313" width="10.85546875" customWidth="1"/>
    <col min="2314" max="2316" width="9.5703125" bestFit="1" customWidth="1"/>
    <col min="2317" max="2317" width="9.28515625" bestFit="1" customWidth="1"/>
    <col min="2318" max="2318" width="9.5703125" bestFit="1" customWidth="1"/>
    <col min="2319" max="2319" width="10.5703125" bestFit="1" customWidth="1"/>
    <col min="2566" max="2567" width="9.5703125" bestFit="1" customWidth="1"/>
    <col min="2568" max="2568" width="10.42578125" customWidth="1"/>
    <col min="2569" max="2569" width="10.85546875" customWidth="1"/>
    <col min="2570" max="2572" width="9.5703125" bestFit="1" customWidth="1"/>
    <col min="2573" max="2573" width="9.28515625" bestFit="1" customWidth="1"/>
    <col min="2574" max="2574" width="9.5703125" bestFit="1" customWidth="1"/>
    <col min="2575" max="2575" width="10.5703125" bestFit="1" customWidth="1"/>
    <col min="2822" max="2823" width="9.5703125" bestFit="1" customWidth="1"/>
    <col min="2824" max="2824" width="10.42578125" customWidth="1"/>
    <col min="2825" max="2825" width="10.85546875" customWidth="1"/>
    <col min="2826" max="2828" width="9.5703125" bestFit="1" customWidth="1"/>
    <col min="2829" max="2829" width="9.28515625" bestFit="1" customWidth="1"/>
    <col min="2830" max="2830" width="9.5703125" bestFit="1" customWidth="1"/>
    <col min="2831" max="2831" width="10.5703125" bestFit="1" customWidth="1"/>
    <col min="3078" max="3079" width="9.5703125" bestFit="1" customWidth="1"/>
    <col min="3080" max="3080" width="10.42578125" customWidth="1"/>
    <col min="3081" max="3081" width="10.85546875" customWidth="1"/>
    <col min="3082" max="3084" width="9.5703125" bestFit="1" customWidth="1"/>
    <col min="3085" max="3085" width="9.28515625" bestFit="1" customWidth="1"/>
    <col min="3086" max="3086" width="9.5703125" bestFit="1" customWidth="1"/>
    <col min="3087" max="3087" width="10.5703125" bestFit="1" customWidth="1"/>
    <col min="3334" max="3335" width="9.5703125" bestFit="1" customWidth="1"/>
    <col min="3336" max="3336" width="10.42578125" customWidth="1"/>
    <col min="3337" max="3337" width="10.85546875" customWidth="1"/>
    <col min="3338" max="3340" width="9.5703125" bestFit="1" customWidth="1"/>
    <col min="3341" max="3341" width="9.28515625" bestFit="1" customWidth="1"/>
    <col min="3342" max="3342" width="9.5703125" bestFit="1" customWidth="1"/>
    <col min="3343" max="3343" width="10.5703125" bestFit="1" customWidth="1"/>
    <col min="3590" max="3591" width="9.5703125" bestFit="1" customWidth="1"/>
    <col min="3592" max="3592" width="10.42578125" customWidth="1"/>
    <col min="3593" max="3593" width="10.85546875" customWidth="1"/>
    <col min="3594" max="3596" width="9.5703125" bestFit="1" customWidth="1"/>
    <col min="3597" max="3597" width="9.28515625" bestFit="1" customWidth="1"/>
    <col min="3598" max="3598" width="9.5703125" bestFit="1" customWidth="1"/>
    <col min="3599" max="3599" width="10.5703125" bestFit="1" customWidth="1"/>
    <col min="3846" max="3847" width="9.5703125" bestFit="1" customWidth="1"/>
    <col min="3848" max="3848" width="10.42578125" customWidth="1"/>
    <col min="3849" max="3849" width="10.85546875" customWidth="1"/>
    <col min="3850" max="3852" width="9.5703125" bestFit="1" customWidth="1"/>
    <col min="3853" max="3853" width="9.28515625" bestFit="1" customWidth="1"/>
    <col min="3854" max="3854" width="9.5703125" bestFit="1" customWidth="1"/>
    <col min="3855" max="3855" width="10.5703125" bestFit="1" customWidth="1"/>
    <col min="4102" max="4103" width="9.5703125" bestFit="1" customWidth="1"/>
    <col min="4104" max="4104" width="10.42578125" customWidth="1"/>
    <col min="4105" max="4105" width="10.85546875" customWidth="1"/>
    <col min="4106" max="4108" width="9.5703125" bestFit="1" customWidth="1"/>
    <col min="4109" max="4109" width="9.28515625" bestFit="1" customWidth="1"/>
    <col min="4110" max="4110" width="9.5703125" bestFit="1" customWidth="1"/>
    <col min="4111" max="4111" width="10.5703125" bestFit="1" customWidth="1"/>
    <col min="4358" max="4359" width="9.5703125" bestFit="1" customWidth="1"/>
    <col min="4360" max="4360" width="10.42578125" customWidth="1"/>
    <col min="4361" max="4361" width="10.85546875" customWidth="1"/>
    <col min="4362" max="4364" width="9.5703125" bestFit="1" customWidth="1"/>
    <col min="4365" max="4365" width="9.28515625" bestFit="1" customWidth="1"/>
    <col min="4366" max="4366" width="9.5703125" bestFit="1" customWidth="1"/>
    <col min="4367" max="4367" width="10.5703125" bestFit="1" customWidth="1"/>
    <col min="4614" max="4615" width="9.5703125" bestFit="1" customWidth="1"/>
    <col min="4616" max="4616" width="10.42578125" customWidth="1"/>
    <col min="4617" max="4617" width="10.85546875" customWidth="1"/>
    <col min="4618" max="4620" width="9.5703125" bestFit="1" customWidth="1"/>
    <col min="4621" max="4621" width="9.28515625" bestFit="1" customWidth="1"/>
    <col min="4622" max="4622" width="9.5703125" bestFit="1" customWidth="1"/>
    <col min="4623" max="4623" width="10.5703125" bestFit="1" customWidth="1"/>
    <col min="4870" max="4871" width="9.5703125" bestFit="1" customWidth="1"/>
    <col min="4872" max="4872" width="10.42578125" customWidth="1"/>
    <col min="4873" max="4873" width="10.85546875" customWidth="1"/>
    <col min="4874" max="4876" width="9.5703125" bestFit="1" customWidth="1"/>
    <col min="4877" max="4877" width="9.28515625" bestFit="1" customWidth="1"/>
    <col min="4878" max="4878" width="9.5703125" bestFit="1" customWidth="1"/>
    <col min="4879" max="4879" width="10.5703125" bestFit="1" customWidth="1"/>
    <col min="5126" max="5127" width="9.5703125" bestFit="1" customWidth="1"/>
    <col min="5128" max="5128" width="10.42578125" customWidth="1"/>
    <col min="5129" max="5129" width="10.85546875" customWidth="1"/>
    <col min="5130" max="5132" width="9.5703125" bestFit="1" customWidth="1"/>
    <col min="5133" max="5133" width="9.28515625" bestFit="1" customWidth="1"/>
    <col min="5134" max="5134" width="9.5703125" bestFit="1" customWidth="1"/>
    <col min="5135" max="5135" width="10.5703125" bestFit="1" customWidth="1"/>
    <col min="5382" max="5383" width="9.5703125" bestFit="1" customWidth="1"/>
    <col min="5384" max="5384" width="10.42578125" customWidth="1"/>
    <col min="5385" max="5385" width="10.85546875" customWidth="1"/>
    <col min="5386" max="5388" width="9.5703125" bestFit="1" customWidth="1"/>
    <col min="5389" max="5389" width="9.28515625" bestFit="1" customWidth="1"/>
    <col min="5390" max="5390" width="9.5703125" bestFit="1" customWidth="1"/>
    <col min="5391" max="5391" width="10.5703125" bestFit="1" customWidth="1"/>
    <col min="5638" max="5639" width="9.5703125" bestFit="1" customWidth="1"/>
    <col min="5640" max="5640" width="10.42578125" customWidth="1"/>
    <col min="5641" max="5641" width="10.85546875" customWidth="1"/>
    <col min="5642" max="5644" width="9.5703125" bestFit="1" customWidth="1"/>
    <col min="5645" max="5645" width="9.28515625" bestFit="1" customWidth="1"/>
    <col min="5646" max="5646" width="9.5703125" bestFit="1" customWidth="1"/>
    <col min="5647" max="5647" width="10.5703125" bestFit="1" customWidth="1"/>
    <col min="5894" max="5895" width="9.5703125" bestFit="1" customWidth="1"/>
    <col min="5896" max="5896" width="10.42578125" customWidth="1"/>
    <col min="5897" max="5897" width="10.85546875" customWidth="1"/>
    <col min="5898" max="5900" width="9.5703125" bestFit="1" customWidth="1"/>
    <col min="5901" max="5901" width="9.28515625" bestFit="1" customWidth="1"/>
    <col min="5902" max="5902" width="9.5703125" bestFit="1" customWidth="1"/>
    <col min="5903" max="5903" width="10.5703125" bestFit="1" customWidth="1"/>
    <col min="6150" max="6151" width="9.5703125" bestFit="1" customWidth="1"/>
    <col min="6152" max="6152" width="10.42578125" customWidth="1"/>
    <col min="6153" max="6153" width="10.85546875" customWidth="1"/>
    <col min="6154" max="6156" width="9.5703125" bestFit="1" customWidth="1"/>
    <col min="6157" max="6157" width="9.28515625" bestFit="1" customWidth="1"/>
    <col min="6158" max="6158" width="9.5703125" bestFit="1" customWidth="1"/>
    <col min="6159" max="6159" width="10.5703125" bestFit="1" customWidth="1"/>
    <col min="6406" max="6407" width="9.5703125" bestFit="1" customWidth="1"/>
    <col min="6408" max="6408" width="10.42578125" customWidth="1"/>
    <col min="6409" max="6409" width="10.85546875" customWidth="1"/>
    <col min="6410" max="6412" width="9.5703125" bestFit="1" customWidth="1"/>
    <col min="6413" max="6413" width="9.28515625" bestFit="1" customWidth="1"/>
    <col min="6414" max="6414" width="9.5703125" bestFit="1" customWidth="1"/>
    <col min="6415" max="6415" width="10.5703125" bestFit="1" customWidth="1"/>
    <col min="6662" max="6663" width="9.5703125" bestFit="1" customWidth="1"/>
    <col min="6664" max="6664" width="10.42578125" customWidth="1"/>
    <col min="6665" max="6665" width="10.85546875" customWidth="1"/>
    <col min="6666" max="6668" width="9.5703125" bestFit="1" customWidth="1"/>
    <col min="6669" max="6669" width="9.28515625" bestFit="1" customWidth="1"/>
    <col min="6670" max="6670" width="9.5703125" bestFit="1" customWidth="1"/>
    <col min="6671" max="6671" width="10.5703125" bestFit="1" customWidth="1"/>
    <col min="6918" max="6919" width="9.5703125" bestFit="1" customWidth="1"/>
    <col min="6920" max="6920" width="10.42578125" customWidth="1"/>
    <col min="6921" max="6921" width="10.85546875" customWidth="1"/>
    <col min="6922" max="6924" width="9.5703125" bestFit="1" customWidth="1"/>
    <col min="6925" max="6925" width="9.28515625" bestFit="1" customWidth="1"/>
    <col min="6926" max="6926" width="9.5703125" bestFit="1" customWidth="1"/>
    <col min="6927" max="6927" width="10.5703125" bestFit="1" customWidth="1"/>
    <col min="7174" max="7175" width="9.5703125" bestFit="1" customWidth="1"/>
    <col min="7176" max="7176" width="10.42578125" customWidth="1"/>
    <col min="7177" max="7177" width="10.85546875" customWidth="1"/>
    <col min="7178" max="7180" width="9.5703125" bestFit="1" customWidth="1"/>
    <col min="7181" max="7181" width="9.28515625" bestFit="1" customWidth="1"/>
    <col min="7182" max="7182" width="9.5703125" bestFit="1" customWidth="1"/>
    <col min="7183" max="7183" width="10.5703125" bestFit="1" customWidth="1"/>
    <col min="7430" max="7431" width="9.5703125" bestFit="1" customWidth="1"/>
    <col min="7432" max="7432" width="10.42578125" customWidth="1"/>
    <col min="7433" max="7433" width="10.85546875" customWidth="1"/>
    <col min="7434" max="7436" width="9.5703125" bestFit="1" customWidth="1"/>
    <col min="7437" max="7437" width="9.28515625" bestFit="1" customWidth="1"/>
    <col min="7438" max="7438" width="9.5703125" bestFit="1" customWidth="1"/>
    <col min="7439" max="7439" width="10.5703125" bestFit="1" customWidth="1"/>
    <col min="7686" max="7687" width="9.5703125" bestFit="1" customWidth="1"/>
    <col min="7688" max="7688" width="10.42578125" customWidth="1"/>
    <col min="7689" max="7689" width="10.85546875" customWidth="1"/>
    <col min="7690" max="7692" width="9.5703125" bestFit="1" customWidth="1"/>
    <col min="7693" max="7693" width="9.28515625" bestFit="1" customWidth="1"/>
    <col min="7694" max="7694" width="9.5703125" bestFit="1" customWidth="1"/>
    <col min="7695" max="7695" width="10.5703125" bestFit="1" customWidth="1"/>
    <col min="7942" max="7943" width="9.5703125" bestFit="1" customWidth="1"/>
    <col min="7944" max="7944" width="10.42578125" customWidth="1"/>
    <col min="7945" max="7945" width="10.85546875" customWidth="1"/>
    <col min="7946" max="7948" width="9.5703125" bestFit="1" customWidth="1"/>
    <col min="7949" max="7949" width="9.28515625" bestFit="1" customWidth="1"/>
    <col min="7950" max="7950" width="9.5703125" bestFit="1" customWidth="1"/>
    <col min="7951" max="7951" width="10.5703125" bestFit="1" customWidth="1"/>
    <col min="8198" max="8199" width="9.5703125" bestFit="1" customWidth="1"/>
    <col min="8200" max="8200" width="10.42578125" customWidth="1"/>
    <col min="8201" max="8201" width="10.85546875" customWidth="1"/>
    <col min="8202" max="8204" width="9.5703125" bestFit="1" customWidth="1"/>
    <col min="8205" max="8205" width="9.28515625" bestFit="1" customWidth="1"/>
    <col min="8206" max="8206" width="9.5703125" bestFit="1" customWidth="1"/>
    <col min="8207" max="8207" width="10.5703125" bestFit="1" customWidth="1"/>
    <col min="8454" max="8455" width="9.5703125" bestFit="1" customWidth="1"/>
    <col min="8456" max="8456" width="10.42578125" customWidth="1"/>
    <col min="8457" max="8457" width="10.85546875" customWidth="1"/>
    <col min="8458" max="8460" width="9.5703125" bestFit="1" customWidth="1"/>
    <col min="8461" max="8461" width="9.28515625" bestFit="1" customWidth="1"/>
    <col min="8462" max="8462" width="9.5703125" bestFit="1" customWidth="1"/>
    <col min="8463" max="8463" width="10.5703125" bestFit="1" customWidth="1"/>
    <col min="8710" max="8711" width="9.5703125" bestFit="1" customWidth="1"/>
    <col min="8712" max="8712" width="10.42578125" customWidth="1"/>
    <col min="8713" max="8713" width="10.85546875" customWidth="1"/>
    <col min="8714" max="8716" width="9.5703125" bestFit="1" customWidth="1"/>
    <col min="8717" max="8717" width="9.28515625" bestFit="1" customWidth="1"/>
    <col min="8718" max="8718" width="9.5703125" bestFit="1" customWidth="1"/>
    <col min="8719" max="8719" width="10.5703125" bestFit="1" customWidth="1"/>
    <col min="8966" max="8967" width="9.5703125" bestFit="1" customWidth="1"/>
    <col min="8968" max="8968" width="10.42578125" customWidth="1"/>
    <col min="8969" max="8969" width="10.85546875" customWidth="1"/>
    <col min="8970" max="8972" width="9.5703125" bestFit="1" customWidth="1"/>
    <col min="8973" max="8973" width="9.28515625" bestFit="1" customWidth="1"/>
    <col min="8974" max="8974" width="9.5703125" bestFit="1" customWidth="1"/>
    <col min="8975" max="8975" width="10.5703125" bestFit="1" customWidth="1"/>
    <col min="9222" max="9223" width="9.5703125" bestFit="1" customWidth="1"/>
    <col min="9224" max="9224" width="10.42578125" customWidth="1"/>
    <col min="9225" max="9225" width="10.85546875" customWidth="1"/>
    <col min="9226" max="9228" width="9.5703125" bestFit="1" customWidth="1"/>
    <col min="9229" max="9229" width="9.28515625" bestFit="1" customWidth="1"/>
    <col min="9230" max="9230" width="9.5703125" bestFit="1" customWidth="1"/>
    <col min="9231" max="9231" width="10.5703125" bestFit="1" customWidth="1"/>
    <col min="9478" max="9479" width="9.5703125" bestFit="1" customWidth="1"/>
    <col min="9480" max="9480" width="10.42578125" customWidth="1"/>
    <col min="9481" max="9481" width="10.85546875" customWidth="1"/>
    <col min="9482" max="9484" width="9.5703125" bestFit="1" customWidth="1"/>
    <col min="9485" max="9485" width="9.28515625" bestFit="1" customWidth="1"/>
    <col min="9486" max="9486" width="9.5703125" bestFit="1" customWidth="1"/>
    <col min="9487" max="9487" width="10.5703125" bestFit="1" customWidth="1"/>
    <col min="9734" max="9735" width="9.5703125" bestFit="1" customWidth="1"/>
    <col min="9736" max="9736" width="10.42578125" customWidth="1"/>
    <col min="9737" max="9737" width="10.85546875" customWidth="1"/>
    <col min="9738" max="9740" width="9.5703125" bestFit="1" customWidth="1"/>
    <col min="9741" max="9741" width="9.28515625" bestFit="1" customWidth="1"/>
    <col min="9742" max="9742" width="9.5703125" bestFit="1" customWidth="1"/>
    <col min="9743" max="9743" width="10.5703125" bestFit="1" customWidth="1"/>
    <col min="9990" max="9991" width="9.5703125" bestFit="1" customWidth="1"/>
    <col min="9992" max="9992" width="10.42578125" customWidth="1"/>
    <col min="9993" max="9993" width="10.85546875" customWidth="1"/>
    <col min="9994" max="9996" width="9.5703125" bestFit="1" customWidth="1"/>
    <col min="9997" max="9997" width="9.28515625" bestFit="1" customWidth="1"/>
    <col min="9998" max="9998" width="9.5703125" bestFit="1" customWidth="1"/>
    <col min="9999" max="9999" width="10.5703125" bestFit="1" customWidth="1"/>
    <col min="10246" max="10247" width="9.5703125" bestFit="1" customWidth="1"/>
    <col min="10248" max="10248" width="10.42578125" customWidth="1"/>
    <col min="10249" max="10249" width="10.85546875" customWidth="1"/>
    <col min="10250" max="10252" width="9.5703125" bestFit="1" customWidth="1"/>
    <col min="10253" max="10253" width="9.28515625" bestFit="1" customWidth="1"/>
    <col min="10254" max="10254" width="9.5703125" bestFit="1" customWidth="1"/>
    <col min="10255" max="10255" width="10.5703125" bestFit="1" customWidth="1"/>
    <col min="10502" max="10503" width="9.5703125" bestFit="1" customWidth="1"/>
    <col min="10504" max="10504" width="10.42578125" customWidth="1"/>
    <col min="10505" max="10505" width="10.85546875" customWidth="1"/>
    <col min="10506" max="10508" width="9.5703125" bestFit="1" customWidth="1"/>
    <col min="10509" max="10509" width="9.28515625" bestFit="1" customWidth="1"/>
    <col min="10510" max="10510" width="9.5703125" bestFit="1" customWidth="1"/>
    <col min="10511" max="10511" width="10.5703125" bestFit="1" customWidth="1"/>
    <col min="10758" max="10759" width="9.5703125" bestFit="1" customWidth="1"/>
    <col min="10760" max="10760" width="10.42578125" customWidth="1"/>
    <col min="10761" max="10761" width="10.85546875" customWidth="1"/>
    <col min="10762" max="10764" width="9.5703125" bestFit="1" customWidth="1"/>
    <col min="10765" max="10765" width="9.28515625" bestFit="1" customWidth="1"/>
    <col min="10766" max="10766" width="9.5703125" bestFit="1" customWidth="1"/>
    <col min="10767" max="10767" width="10.5703125" bestFit="1" customWidth="1"/>
    <col min="11014" max="11015" width="9.5703125" bestFit="1" customWidth="1"/>
    <col min="11016" max="11016" width="10.42578125" customWidth="1"/>
    <col min="11017" max="11017" width="10.85546875" customWidth="1"/>
    <col min="11018" max="11020" width="9.5703125" bestFit="1" customWidth="1"/>
    <col min="11021" max="11021" width="9.28515625" bestFit="1" customWidth="1"/>
    <col min="11022" max="11022" width="9.5703125" bestFit="1" customWidth="1"/>
    <col min="11023" max="11023" width="10.5703125" bestFit="1" customWidth="1"/>
    <col min="11270" max="11271" width="9.5703125" bestFit="1" customWidth="1"/>
    <col min="11272" max="11272" width="10.42578125" customWidth="1"/>
    <col min="11273" max="11273" width="10.85546875" customWidth="1"/>
    <col min="11274" max="11276" width="9.5703125" bestFit="1" customWidth="1"/>
    <col min="11277" max="11277" width="9.28515625" bestFit="1" customWidth="1"/>
    <col min="11278" max="11278" width="9.5703125" bestFit="1" customWidth="1"/>
    <col min="11279" max="11279" width="10.5703125" bestFit="1" customWidth="1"/>
    <col min="11526" max="11527" width="9.5703125" bestFit="1" customWidth="1"/>
    <col min="11528" max="11528" width="10.42578125" customWidth="1"/>
    <col min="11529" max="11529" width="10.85546875" customWidth="1"/>
    <col min="11530" max="11532" width="9.5703125" bestFit="1" customWidth="1"/>
    <col min="11533" max="11533" width="9.28515625" bestFit="1" customWidth="1"/>
    <col min="11534" max="11534" width="9.5703125" bestFit="1" customWidth="1"/>
    <col min="11535" max="11535" width="10.5703125" bestFit="1" customWidth="1"/>
    <col min="11782" max="11783" width="9.5703125" bestFit="1" customWidth="1"/>
    <col min="11784" max="11784" width="10.42578125" customWidth="1"/>
    <col min="11785" max="11785" width="10.85546875" customWidth="1"/>
    <col min="11786" max="11788" width="9.5703125" bestFit="1" customWidth="1"/>
    <col min="11789" max="11789" width="9.28515625" bestFit="1" customWidth="1"/>
    <col min="11790" max="11790" width="9.5703125" bestFit="1" customWidth="1"/>
    <col min="11791" max="11791" width="10.5703125" bestFit="1" customWidth="1"/>
    <col min="12038" max="12039" width="9.5703125" bestFit="1" customWidth="1"/>
    <col min="12040" max="12040" width="10.42578125" customWidth="1"/>
    <col min="12041" max="12041" width="10.85546875" customWidth="1"/>
    <col min="12042" max="12044" width="9.5703125" bestFit="1" customWidth="1"/>
    <col min="12045" max="12045" width="9.28515625" bestFit="1" customWidth="1"/>
    <col min="12046" max="12046" width="9.5703125" bestFit="1" customWidth="1"/>
    <col min="12047" max="12047" width="10.5703125" bestFit="1" customWidth="1"/>
    <col min="12294" max="12295" width="9.5703125" bestFit="1" customWidth="1"/>
    <col min="12296" max="12296" width="10.42578125" customWidth="1"/>
    <col min="12297" max="12297" width="10.85546875" customWidth="1"/>
    <col min="12298" max="12300" width="9.5703125" bestFit="1" customWidth="1"/>
    <col min="12301" max="12301" width="9.28515625" bestFit="1" customWidth="1"/>
    <col min="12302" max="12302" width="9.5703125" bestFit="1" customWidth="1"/>
    <col min="12303" max="12303" width="10.5703125" bestFit="1" customWidth="1"/>
    <col min="12550" max="12551" width="9.5703125" bestFit="1" customWidth="1"/>
    <col min="12552" max="12552" width="10.42578125" customWidth="1"/>
    <col min="12553" max="12553" width="10.85546875" customWidth="1"/>
    <col min="12554" max="12556" width="9.5703125" bestFit="1" customWidth="1"/>
    <col min="12557" max="12557" width="9.28515625" bestFit="1" customWidth="1"/>
    <col min="12558" max="12558" width="9.5703125" bestFit="1" customWidth="1"/>
    <col min="12559" max="12559" width="10.5703125" bestFit="1" customWidth="1"/>
    <col min="12806" max="12807" width="9.5703125" bestFit="1" customWidth="1"/>
    <col min="12808" max="12808" width="10.42578125" customWidth="1"/>
    <col min="12809" max="12809" width="10.85546875" customWidth="1"/>
    <col min="12810" max="12812" width="9.5703125" bestFit="1" customWidth="1"/>
    <col min="12813" max="12813" width="9.28515625" bestFit="1" customWidth="1"/>
    <col min="12814" max="12814" width="9.5703125" bestFit="1" customWidth="1"/>
    <col min="12815" max="12815" width="10.5703125" bestFit="1" customWidth="1"/>
    <col min="13062" max="13063" width="9.5703125" bestFit="1" customWidth="1"/>
    <col min="13064" max="13064" width="10.42578125" customWidth="1"/>
    <col min="13065" max="13065" width="10.85546875" customWidth="1"/>
    <col min="13066" max="13068" width="9.5703125" bestFit="1" customWidth="1"/>
    <col min="13069" max="13069" width="9.28515625" bestFit="1" customWidth="1"/>
    <col min="13070" max="13070" width="9.5703125" bestFit="1" customWidth="1"/>
    <col min="13071" max="13071" width="10.5703125" bestFit="1" customWidth="1"/>
    <col min="13318" max="13319" width="9.5703125" bestFit="1" customWidth="1"/>
    <col min="13320" max="13320" width="10.42578125" customWidth="1"/>
    <col min="13321" max="13321" width="10.85546875" customWidth="1"/>
    <col min="13322" max="13324" width="9.5703125" bestFit="1" customWidth="1"/>
    <col min="13325" max="13325" width="9.28515625" bestFit="1" customWidth="1"/>
    <col min="13326" max="13326" width="9.5703125" bestFit="1" customWidth="1"/>
    <col min="13327" max="13327" width="10.5703125" bestFit="1" customWidth="1"/>
    <col min="13574" max="13575" width="9.5703125" bestFit="1" customWidth="1"/>
    <col min="13576" max="13576" width="10.42578125" customWidth="1"/>
    <col min="13577" max="13577" width="10.85546875" customWidth="1"/>
    <col min="13578" max="13580" width="9.5703125" bestFit="1" customWidth="1"/>
    <col min="13581" max="13581" width="9.28515625" bestFit="1" customWidth="1"/>
    <col min="13582" max="13582" width="9.5703125" bestFit="1" customWidth="1"/>
    <col min="13583" max="13583" width="10.5703125" bestFit="1" customWidth="1"/>
    <col min="13830" max="13831" width="9.5703125" bestFit="1" customWidth="1"/>
    <col min="13832" max="13832" width="10.42578125" customWidth="1"/>
    <col min="13833" max="13833" width="10.85546875" customWidth="1"/>
    <col min="13834" max="13836" width="9.5703125" bestFit="1" customWidth="1"/>
    <col min="13837" max="13837" width="9.28515625" bestFit="1" customWidth="1"/>
    <col min="13838" max="13838" width="9.5703125" bestFit="1" customWidth="1"/>
    <col min="13839" max="13839" width="10.5703125" bestFit="1" customWidth="1"/>
    <col min="14086" max="14087" width="9.5703125" bestFit="1" customWidth="1"/>
    <col min="14088" max="14088" width="10.42578125" customWidth="1"/>
    <col min="14089" max="14089" width="10.85546875" customWidth="1"/>
    <col min="14090" max="14092" width="9.5703125" bestFit="1" customWidth="1"/>
    <col min="14093" max="14093" width="9.28515625" bestFit="1" customWidth="1"/>
    <col min="14094" max="14094" width="9.5703125" bestFit="1" customWidth="1"/>
    <col min="14095" max="14095" width="10.5703125" bestFit="1" customWidth="1"/>
    <col min="14342" max="14343" width="9.5703125" bestFit="1" customWidth="1"/>
    <col min="14344" max="14344" width="10.42578125" customWidth="1"/>
    <col min="14345" max="14345" width="10.85546875" customWidth="1"/>
    <col min="14346" max="14348" width="9.5703125" bestFit="1" customWidth="1"/>
    <col min="14349" max="14349" width="9.28515625" bestFit="1" customWidth="1"/>
    <col min="14350" max="14350" width="9.5703125" bestFit="1" customWidth="1"/>
    <col min="14351" max="14351" width="10.5703125" bestFit="1" customWidth="1"/>
    <col min="14598" max="14599" width="9.5703125" bestFit="1" customWidth="1"/>
    <col min="14600" max="14600" width="10.42578125" customWidth="1"/>
    <col min="14601" max="14601" width="10.85546875" customWidth="1"/>
    <col min="14602" max="14604" width="9.5703125" bestFit="1" customWidth="1"/>
    <col min="14605" max="14605" width="9.28515625" bestFit="1" customWidth="1"/>
    <col min="14606" max="14606" width="9.5703125" bestFit="1" customWidth="1"/>
    <col min="14607" max="14607" width="10.5703125" bestFit="1" customWidth="1"/>
    <col min="14854" max="14855" width="9.5703125" bestFit="1" customWidth="1"/>
    <col min="14856" max="14856" width="10.42578125" customWidth="1"/>
    <col min="14857" max="14857" width="10.85546875" customWidth="1"/>
    <col min="14858" max="14860" width="9.5703125" bestFit="1" customWidth="1"/>
    <col min="14861" max="14861" width="9.28515625" bestFit="1" customWidth="1"/>
    <col min="14862" max="14862" width="9.5703125" bestFit="1" customWidth="1"/>
    <col min="14863" max="14863" width="10.5703125" bestFit="1" customWidth="1"/>
    <col min="15110" max="15111" width="9.5703125" bestFit="1" customWidth="1"/>
    <col min="15112" max="15112" width="10.42578125" customWidth="1"/>
    <col min="15113" max="15113" width="10.85546875" customWidth="1"/>
    <col min="15114" max="15116" width="9.5703125" bestFit="1" customWidth="1"/>
    <col min="15117" max="15117" width="9.28515625" bestFit="1" customWidth="1"/>
    <col min="15118" max="15118" width="9.5703125" bestFit="1" customWidth="1"/>
    <col min="15119" max="15119" width="10.5703125" bestFit="1" customWidth="1"/>
    <col min="15366" max="15367" width="9.5703125" bestFit="1" customWidth="1"/>
    <col min="15368" max="15368" width="10.42578125" customWidth="1"/>
    <col min="15369" max="15369" width="10.85546875" customWidth="1"/>
    <col min="15370" max="15372" width="9.5703125" bestFit="1" customWidth="1"/>
    <col min="15373" max="15373" width="9.28515625" bestFit="1" customWidth="1"/>
    <col min="15374" max="15374" width="9.5703125" bestFit="1" customWidth="1"/>
    <col min="15375" max="15375" width="10.5703125" bestFit="1" customWidth="1"/>
    <col min="15622" max="15623" width="9.5703125" bestFit="1" customWidth="1"/>
    <col min="15624" max="15624" width="10.42578125" customWidth="1"/>
    <col min="15625" max="15625" width="10.85546875" customWidth="1"/>
    <col min="15626" max="15628" width="9.5703125" bestFit="1" customWidth="1"/>
    <col min="15629" max="15629" width="9.28515625" bestFit="1" customWidth="1"/>
    <col min="15630" max="15630" width="9.5703125" bestFit="1" customWidth="1"/>
    <col min="15631" max="15631" width="10.5703125" bestFit="1" customWidth="1"/>
    <col min="15878" max="15879" width="9.5703125" bestFit="1" customWidth="1"/>
    <col min="15880" max="15880" width="10.42578125" customWidth="1"/>
    <col min="15881" max="15881" width="10.85546875" customWidth="1"/>
    <col min="15882" max="15884" width="9.5703125" bestFit="1" customWidth="1"/>
    <col min="15885" max="15885" width="9.28515625" bestFit="1" customWidth="1"/>
    <col min="15886" max="15886" width="9.5703125" bestFit="1" customWidth="1"/>
    <col min="15887" max="15887" width="10.5703125" bestFit="1" customWidth="1"/>
    <col min="16134" max="16135" width="9.5703125" bestFit="1" customWidth="1"/>
    <col min="16136" max="16136" width="10.42578125" customWidth="1"/>
    <col min="16137" max="16137" width="10.85546875" customWidth="1"/>
    <col min="16138" max="16140" width="9.5703125" bestFit="1" customWidth="1"/>
    <col min="16141" max="16141" width="9.28515625" bestFit="1" customWidth="1"/>
    <col min="16142" max="16142" width="9.5703125" bestFit="1" customWidth="1"/>
    <col min="16143" max="16143" width="10.5703125" bestFit="1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1150</v>
      </c>
      <c r="E3" s="854"/>
      <c r="F3" s="854"/>
      <c r="G3" s="1002" t="s">
        <v>1004</v>
      </c>
      <c r="H3" s="998"/>
      <c r="I3" s="998"/>
      <c r="J3" s="854">
        <v>902160102</v>
      </c>
      <c r="K3" s="854"/>
      <c r="L3" s="1004" t="s">
        <v>1005</v>
      </c>
      <c r="M3" s="1005"/>
      <c r="N3" s="47">
        <v>685.16800000000001</v>
      </c>
      <c r="O3" s="851" t="s">
        <v>831</v>
      </c>
      <c r="P3" s="997"/>
      <c r="Q3" s="80">
        <v>200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1151</v>
      </c>
      <c r="E5" s="854"/>
      <c r="F5" s="854"/>
      <c r="G5" s="1002" t="s">
        <v>1008</v>
      </c>
      <c r="H5" s="998"/>
      <c r="I5" s="1001"/>
      <c r="J5" s="854" t="s">
        <v>1152</v>
      </c>
      <c r="K5" s="854"/>
      <c r="L5" s="854"/>
      <c r="M5" s="46"/>
      <c r="N5" s="46"/>
      <c r="O5" s="46"/>
      <c r="P5" s="46"/>
    </row>
    <row r="6" spans="1:17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 t="s">
        <v>1153</v>
      </c>
      <c r="E7" s="854"/>
      <c r="F7" s="854"/>
      <c r="G7" s="1002" t="s">
        <v>1011</v>
      </c>
      <c r="H7" s="998"/>
      <c r="I7" s="1001"/>
      <c r="J7" s="854" t="s">
        <v>1154</v>
      </c>
      <c r="K7" s="854"/>
      <c r="L7" s="854"/>
      <c r="M7" s="46"/>
      <c r="N7" s="46"/>
      <c r="O7" s="46"/>
      <c r="P7" s="46"/>
    </row>
    <row r="8" spans="1:17">
      <c r="A8" s="46"/>
      <c r="B8" s="46"/>
      <c r="C8" s="46"/>
      <c r="D8" s="46"/>
      <c r="E8" s="46"/>
      <c r="F8" s="46"/>
      <c r="G8" s="46"/>
      <c r="H8" s="46"/>
      <c r="I8" s="46"/>
      <c r="J8" s="854"/>
      <c r="K8" s="854"/>
      <c r="L8" s="854"/>
      <c r="M8" s="46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1155</v>
      </c>
      <c r="E10" s="854"/>
      <c r="F10" s="854" t="s">
        <v>1156</v>
      </c>
      <c r="G10" s="854"/>
      <c r="H10" s="854"/>
      <c r="I10" s="854"/>
      <c r="J10" s="854"/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1157</v>
      </c>
      <c r="E11" s="854"/>
      <c r="F11" s="854" t="s">
        <v>1144</v>
      </c>
      <c r="G11" s="854"/>
      <c r="H11" s="854"/>
      <c r="I11" s="854"/>
      <c r="J11" s="854"/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1158</v>
      </c>
      <c r="E12" s="854"/>
      <c r="F12" s="854" t="s">
        <v>1159</v>
      </c>
      <c r="G12" s="854"/>
      <c r="H12" s="854"/>
      <c r="I12" s="854"/>
      <c r="J12" s="854"/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/>
      <c r="E13" s="854"/>
      <c r="F13" s="854" t="s">
        <v>1160</v>
      </c>
      <c r="G13" s="854"/>
      <c r="H13" s="854"/>
      <c r="I13" s="854"/>
      <c r="J13" s="854"/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3</v>
      </c>
      <c r="E15" s="82" t="s">
        <v>1025</v>
      </c>
      <c r="F15" s="83"/>
      <c r="G15" s="83"/>
      <c r="H15" s="47">
        <v>2</v>
      </c>
      <c r="I15" s="46" t="s">
        <v>1026</v>
      </c>
      <c r="J15" s="47">
        <v>7</v>
      </c>
      <c r="K15" s="46" t="s">
        <v>1027</v>
      </c>
      <c r="L15" s="47">
        <v>1</v>
      </c>
      <c r="M15" s="84" t="s">
        <v>645</v>
      </c>
      <c r="N15" s="47">
        <v>6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76</v>
      </c>
      <c r="F17" s="46" t="s">
        <v>205</v>
      </c>
      <c r="G17" s="47"/>
      <c r="H17" s="46" t="s">
        <v>206</v>
      </c>
      <c r="I17" s="47"/>
      <c r="J17" s="46" t="s">
        <v>230</v>
      </c>
      <c r="K17" s="47">
        <v>76</v>
      </c>
      <c r="L17" s="46" t="s">
        <v>207</v>
      </c>
      <c r="M17" s="47">
        <v>20</v>
      </c>
      <c r="N17" s="46" t="s">
        <v>1028</v>
      </c>
      <c r="O17" s="46"/>
      <c r="P17" s="47">
        <v>42</v>
      </c>
    </row>
    <row r="18" spans="1:16">
      <c r="A18" s="46" t="s">
        <v>1029</v>
      </c>
      <c r="B18" s="46"/>
      <c r="C18" s="46"/>
      <c r="D18" s="46" t="s">
        <v>1030</v>
      </c>
      <c r="E18" s="47">
        <v>184</v>
      </c>
      <c r="F18" s="46" t="s">
        <v>211</v>
      </c>
      <c r="G18" s="47"/>
      <c r="H18" s="46" t="s">
        <v>212</v>
      </c>
      <c r="I18" s="47"/>
      <c r="J18" s="46" t="s">
        <v>411</v>
      </c>
      <c r="K18" s="47">
        <v>184</v>
      </c>
      <c r="L18" s="46"/>
      <c r="M18" s="46"/>
      <c r="N18" s="46"/>
      <c r="O18" s="46"/>
      <c r="P18" s="46"/>
    </row>
    <row r="19" spans="1:16">
      <c r="A19" s="46"/>
      <c r="B19" s="46"/>
      <c r="C19" s="46"/>
      <c r="D19" s="46" t="s">
        <v>213</v>
      </c>
      <c r="E19" s="47">
        <v>222</v>
      </c>
      <c r="F19" s="46" t="s">
        <v>214</v>
      </c>
      <c r="G19" s="47"/>
      <c r="H19" s="46" t="s">
        <v>215</v>
      </c>
      <c r="I19" s="47"/>
      <c r="J19" s="46" t="s">
        <v>410</v>
      </c>
      <c r="K19" s="47">
        <v>222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854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854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+D24*N3/100000</f>
        <v>54.81344</v>
      </c>
      <c r="G24" s="87">
        <f>5481344/100000</f>
        <v>54.81344</v>
      </c>
      <c r="H24" s="86">
        <f>75317/100000</f>
        <v>0.75317000000000001</v>
      </c>
      <c r="I24" s="86">
        <f>910960/100000</f>
        <v>9.1096000000000004</v>
      </c>
      <c r="J24" s="86">
        <f>936504/100000</f>
        <v>9.3650400000000005</v>
      </c>
      <c r="K24" s="86">
        <f>2216130/100000</f>
        <v>22.161300000000001</v>
      </c>
      <c r="L24" s="86">
        <f>1227059/100000</f>
        <v>12.27059</v>
      </c>
      <c r="M24" s="86">
        <f>115374/100000</f>
        <v>1.15374</v>
      </c>
      <c r="N24" s="88">
        <f>SUM(H24:M24)</f>
        <v>54.81344</v>
      </c>
      <c r="O24" s="86">
        <f>N24*100/G24</f>
        <v>100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7">
        <f>D25*80/100000</f>
        <v>5.6</v>
      </c>
      <c r="G25" s="87">
        <f>560000/100000</f>
        <v>5.6</v>
      </c>
      <c r="H25" s="86">
        <v>0</v>
      </c>
      <c r="I25" s="86">
        <v>0</v>
      </c>
      <c r="J25" s="86">
        <f>7500/100000</f>
        <v>7.4999999999999997E-2</v>
      </c>
      <c r="K25" s="86">
        <f>172200/100000</f>
        <v>1.722</v>
      </c>
      <c r="L25" s="86">
        <f>165780/100000</f>
        <v>1.6577999999999999</v>
      </c>
      <c r="M25" s="86">
        <f>144915/100000</f>
        <v>1.4491499999999999</v>
      </c>
      <c r="N25" s="88">
        <f t="shared" ref="N25:N31" si="0">SUM(H25:M25)</f>
        <v>4.90395</v>
      </c>
      <c r="O25" s="86">
        <f t="shared" ref="O25:O32" si="1">N25*100/G25</f>
        <v>87.570535714285711</v>
      </c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v>1.43</v>
      </c>
      <c r="G26" s="87">
        <f>63000/100000</f>
        <v>0.63</v>
      </c>
      <c r="H26" s="86">
        <v>0</v>
      </c>
      <c r="I26" s="86">
        <v>0</v>
      </c>
      <c r="J26" s="86">
        <f>2289/100000</f>
        <v>2.2890000000000001E-2</v>
      </c>
      <c r="K26" s="86">
        <f>19727/100000</f>
        <v>0.19727</v>
      </c>
      <c r="L26" s="86">
        <f>20984/100000</f>
        <v>0.20984</v>
      </c>
      <c r="M26" s="86">
        <f>20000/100000</f>
        <v>0.2</v>
      </c>
      <c r="N26" s="88">
        <f t="shared" si="0"/>
        <v>0.63</v>
      </c>
      <c r="O26" s="86">
        <f t="shared" si="1"/>
        <v>100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6"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5126/100000</f>
        <v>5.126E-2</v>
      </c>
      <c r="L27" s="86">
        <f>9674/100000</f>
        <v>9.6740000000000007E-2</v>
      </c>
      <c r="M27" s="86">
        <f>3000/100000</f>
        <v>0.03</v>
      </c>
      <c r="N27" s="88">
        <f t="shared" si="0"/>
        <v>0.33999999999999997</v>
      </c>
      <c r="O27" s="86">
        <f t="shared" si="1"/>
        <v>99.999999999999986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f>ROUND((+D28*N3),0)/100000</f>
        <v>8.2220200000000006</v>
      </c>
      <c r="G28" s="87">
        <f>822202/100000</f>
        <v>8.2220200000000006</v>
      </c>
      <c r="H28" s="86">
        <v>0</v>
      </c>
      <c r="I28" s="86">
        <v>0</v>
      </c>
      <c r="J28" s="86">
        <v>0</v>
      </c>
      <c r="K28" s="86">
        <v>0</v>
      </c>
      <c r="L28" s="86">
        <f>670000/100000</f>
        <v>6.7</v>
      </c>
      <c r="M28" s="86">
        <f>152202/100000</f>
        <v>1.5220199999999999</v>
      </c>
      <c r="N28" s="88">
        <f t="shared" si="0"/>
        <v>8.2220200000000006</v>
      </c>
      <c r="O28" s="86">
        <f t="shared" si="1"/>
        <v>100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ROUND((+D29*N3),0)/100000</f>
        <v>3.8712</v>
      </c>
      <c r="G29" s="87">
        <f>387121/100000</f>
        <v>3.87121</v>
      </c>
      <c r="H29" s="86">
        <v>0</v>
      </c>
      <c r="I29" s="86">
        <v>0</v>
      </c>
      <c r="J29" s="86">
        <f>32355/100000</f>
        <v>0.32355</v>
      </c>
      <c r="K29" s="86">
        <f>354766/100000</f>
        <v>3.54766</v>
      </c>
      <c r="L29" s="86">
        <v>0</v>
      </c>
      <c r="M29" s="86">
        <v>0</v>
      </c>
      <c r="N29" s="87">
        <f t="shared" si="0"/>
        <v>3.87121</v>
      </c>
      <c r="O29" s="86">
        <f t="shared" si="1"/>
        <v>100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f>+D30*N3/100000</f>
        <v>6.85168</v>
      </c>
      <c r="G30" s="87">
        <f>685168/100000</f>
        <v>6.85168</v>
      </c>
      <c r="H30" s="86">
        <v>0</v>
      </c>
      <c r="I30" s="86">
        <f>100000/100000</f>
        <v>1</v>
      </c>
      <c r="J30" s="86">
        <f>588/100000</f>
        <v>5.8799999999999998E-3</v>
      </c>
      <c r="K30" s="86">
        <v>0</v>
      </c>
      <c r="L30" s="86">
        <f>177500/100000</f>
        <v>1.7749999999999999</v>
      </c>
      <c r="M30" s="86">
        <f>286910/100000</f>
        <v>2.8691</v>
      </c>
      <c r="N30" s="88">
        <f t="shared" si="0"/>
        <v>5.6499799999999993</v>
      </c>
      <c r="O30" s="86">
        <f t="shared" si="1"/>
        <v>82.461235784508318</v>
      </c>
    </row>
    <row r="31" spans="1:16">
      <c r="A31" s="991" t="s">
        <v>1040</v>
      </c>
      <c r="B31" s="991"/>
      <c r="C31" s="991"/>
      <c r="D31" s="80">
        <v>2700</v>
      </c>
      <c r="E31" s="80" t="s">
        <v>242</v>
      </c>
      <c r="F31" s="87">
        <v>1.92</v>
      </c>
      <c r="G31" s="87">
        <f>192000/100000</f>
        <v>1.92</v>
      </c>
      <c r="H31" s="86">
        <f>10000/100000</f>
        <v>0.1</v>
      </c>
      <c r="I31" s="86">
        <f>17803/100000</f>
        <v>0.17802999999999999</v>
      </c>
      <c r="J31" s="86">
        <f>62219/100000</f>
        <v>0.62219000000000002</v>
      </c>
      <c r="K31" s="86">
        <f>16054/100000</f>
        <v>0.16053999999999999</v>
      </c>
      <c r="L31" s="86">
        <f>65041/100000</f>
        <v>0.65041000000000004</v>
      </c>
      <c r="M31" s="86">
        <f>14950/100000</f>
        <v>0.14949999999999999</v>
      </c>
      <c r="N31" s="88">
        <f t="shared" si="0"/>
        <v>1.86067</v>
      </c>
      <c r="O31" s="86">
        <f t="shared" si="1"/>
        <v>96.909895833333337</v>
      </c>
    </row>
    <row r="32" spans="1:16">
      <c r="A32" s="1006" t="s">
        <v>230</v>
      </c>
      <c r="B32" s="1007"/>
      <c r="C32" s="1008"/>
      <c r="D32" s="70"/>
      <c r="E32" s="70"/>
      <c r="F32" s="88">
        <f t="shared" ref="F32:N32" si="2">SUM(F24:F31)</f>
        <v>83.04834000000001</v>
      </c>
      <c r="G32" s="88">
        <f t="shared" si="2"/>
        <v>82.248350000000016</v>
      </c>
      <c r="H32" s="88">
        <f t="shared" si="2"/>
        <v>0.85316999999999998</v>
      </c>
      <c r="I32" s="88">
        <f t="shared" si="2"/>
        <v>10.28763</v>
      </c>
      <c r="J32" s="88">
        <f t="shared" si="2"/>
        <v>10.576549999999999</v>
      </c>
      <c r="K32" s="88">
        <f t="shared" si="2"/>
        <v>27.840030000000002</v>
      </c>
      <c r="L32" s="88">
        <f t="shared" si="2"/>
        <v>23.360379999999999</v>
      </c>
      <c r="M32" s="88">
        <f t="shared" si="2"/>
        <v>7.3735099999999996</v>
      </c>
      <c r="N32" s="88">
        <f t="shared" si="2"/>
        <v>80.291270000000011</v>
      </c>
      <c r="O32" s="88">
        <f t="shared" si="1"/>
        <v>97.620523694396297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L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Q32"/>
  <sheetViews>
    <sheetView workbookViewId="0">
      <selection activeCell="A4" sqref="A4:C4"/>
    </sheetView>
  </sheetViews>
  <sheetFormatPr defaultRowHeight="15"/>
  <cols>
    <col min="6" max="6" width="13.85546875" customWidth="1"/>
    <col min="7" max="7" width="11.5703125" customWidth="1"/>
    <col min="8" max="8" width="10.28515625" customWidth="1"/>
    <col min="9" max="9" width="11.28515625" customWidth="1"/>
    <col min="10" max="12" width="10.42578125" bestFit="1" customWidth="1"/>
    <col min="13" max="13" width="9.28515625" bestFit="1" customWidth="1"/>
    <col min="14" max="14" width="10.42578125" bestFit="1" customWidth="1"/>
    <col min="15" max="15" width="12.85546875" customWidth="1"/>
    <col min="262" max="262" width="13.85546875" customWidth="1"/>
    <col min="263" max="263" width="11.5703125" customWidth="1"/>
    <col min="264" max="264" width="10.28515625" customWidth="1"/>
    <col min="265" max="265" width="11.28515625" customWidth="1"/>
    <col min="266" max="268" width="10.42578125" bestFit="1" customWidth="1"/>
    <col min="269" max="269" width="9.28515625" bestFit="1" customWidth="1"/>
    <col min="270" max="270" width="10.42578125" bestFit="1" customWidth="1"/>
    <col min="271" max="271" width="12.85546875" customWidth="1"/>
    <col min="518" max="518" width="13.85546875" customWidth="1"/>
    <col min="519" max="519" width="11.5703125" customWidth="1"/>
    <col min="520" max="520" width="10.28515625" customWidth="1"/>
    <col min="521" max="521" width="11.28515625" customWidth="1"/>
    <col min="522" max="524" width="10.42578125" bestFit="1" customWidth="1"/>
    <col min="525" max="525" width="9.28515625" bestFit="1" customWidth="1"/>
    <col min="526" max="526" width="10.42578125" bestFit="1" customWidth="1"/>
    <col min="527" max="527" width="12.85546875" customWidth="1"/>
    <col min="774" max="774" width="13.85546875" customWidth="1"/>
    <col min="775" max="775" width="11.5703125" customWidth="1"/>
    <col min="776" max="776" width="10.28515625" customWidth="1"/>
    <col min="777" max="777" width="11.28515625" customWidth="1"/>
    <col min="778" max="780" width="10.42578125" bestFit="1" customWidth="1"/>
    <col min="781" max="781" width="9.28515625" bestFit="1" customWidth="1"/>
    <col min="782" max="782" width="10.42578125" bestFit="1" customWidth="1"/>
    <col min="783" max="783" width="12.85546875" customWidth="1"/>
    <col min="1030" max="1030" width="13.85546875" customWidth="1"/>
    <col min="1031" max="1031" width="11.5703125" customWidth="1"/>
    <col min="1032" max="1032" width="10.28515625" customWidth="1"/>
    <col min="1033" max="1033" width="11.28515625" customWidth="1"/>
    <col min="1034" max="1036" width="10.42578125" bestFit="1" customWidth="1"/>
    <col min="1037" max="1037" width="9.28515625" bestFit="1" customWidth="1"/>
    <col min="1038" max="1038" width="10.42578125" bestFit="1" customWidth="1"/>
    <col min="1039" max="1039" width="12.85546875" customWidth="1"/>
    <col min="1286" max="1286" width="13.85546875" customWidth="1"/>
    <col min="1287" max="1287" width="11.5703125" customWidth="1"/>
    <col min="1288" max="1288" width="10.28515625" customWidth="1"/>
    <col min="1289" max="1289" width="11.28515625" customWidth="1"/>
    <col min="1290" max="1292" width="10.42578125" bestFit="1" customWidth="1"/>
    <col min="1293" max="1293" width="9.28515625" bestFit="1" customWidth="1"/>
    <col min="1294" max="1294" width="10.42578125" bestFit="1" customWidth="1"/>
    <col min="1295" max="1295" width="12.85546875" customWidth="1"/>
    <col min="1542" max="1542" width="13.85546875" customWidth="1"/>
    <col min="1543" max="1543" width="11.5703125" customWidth="1"/>
    <col min="1544" max="1544" width="10.28515625" customWidth="1"/>
    <col min="1545" max="1545" width="11.28515625" customWidth="1"/>
    <col min="1546" max="1548" width="10.42578125" bestFit="1" customWidth="1"/>
    <col min="1549" max="1549" width="9.28515625" bestFit="1" customWidth="1"/>
    <col min="1550" max="1550" width="10.42578125" bestFit="1" customWidth="1"/>
    <col min="1551" max="1551" width="12.85546875" customWidth="1"/>
    <col min="1798" max="1798" width="13.85546875" customWidth="1"/>
    <col min="1799" max="1799" width="11.5703125" customWidth="1"/>
    <col min="1800" max="1800" width="10.28515625" customWidth="1"/>
    <col min="1801" max="1801" width="11.28515625" customWidth="1"/>
    <col min="1802" max="1804" width="10.42578125" bestFit="1" customWidth="1"/>
    <col min="1805" max="1805" width="9.28515625" bestFit="1" customWidth="1"/>
    <col min="1806" max="1806" width="10.42578125" bestFit="1" customWidth="1"/>
    <col min="1807" max="1807" width="12.85546875" customWidth="1"/>
    <col min="2054" max="2054" width="13.85546875" customWidth="1"/>
    <col min="2055" max="2055" width="11.5703125" customWidth="1"/>
    <col min="2056" max="2056" width="10.28515625" customWidth="1"/>
    <col min="2057" max="2057" width="11.28515625" customWidth="1"/>
    <col min="2058" max="2060" width="10.42578125" bestFit="1" customWidth="1"/>
    <col min="2061" max="2061" width="9.28515625" bestFit="1" customWidth="1"/>
    <col min="2062" max="2062" width="10.42578125" bestFit="1" customWidth="1"/>
    <col min="2063" max="2063" width="12.85546875" customWidth="1"/>
    <col min="2310" max="2310" width="13.85546875" customWidth="1"/>
    <col min="2311" max="2311" width="11.5703125" customWidth="1"/>
    <col min="2312" max="2312" width="10.28515625" customWidth="1"/>
    <col min="2313" max="2313" width="11.28515625" customWidth="1"/>
    <col min="2314" max="2316" width="10.42578125" bestFit="1" customWidth="1"/>
    <col min="2317" max="2317" width="9.28515625" bestFit="1" customWidth="1"/>
    <col min="2318" max="2318" width="10.42578125" bestFit="1" customWidth="1"/>
    <col min="2319" max="2319" width="12.85546875" customWidth="1"/>
    <col min="2566" max="2566" width="13.85546875" customWidth="1"/>
    <col min="2567" max="2567" width="11.5703125" customWidth="1"/>
    <col min="2568" max="2568" width="10.28515625" customWidth="1"/>
    <col min="2569" max="2569" width="11.28515625" customWidth="1"/>
    <col min="2570" max="2572" width="10.42578125" bestFit="1" customWidth="1"/>
    <col min="2573" max="2573" width="9.28515625" bestFit="1" customWidth="1"/>
    <col min="2574" max="2574" width="10.42578125" bestFit="1" customWidth="1"/>
    <col min="2575" max="2575" width="12.85546875" customWidth="1"/>
    <col min="2822" max="2822" width="13.85546875" customWidth="1"/>
    <col min="2823" max="2823" width="11.5703125" customWidth="1"/>
    <col min="2824" max="2824" width="10.28515625" customWidth="1"/>
    <col min="2825" max="2825" width="11.28515625" customWidth="1"/>
    <col min="2826" max="2828" width="10.42578125" bestFit="1" customWidth="1"/>
    <col min="2829" max="2829" width="9.28515625" bestFit="1" customWidth="1"/>
    <col min="2830" max="2830" width="10.42578125" bestFit="1" customWidth="1"/>
    <col min="2831" max="2831" width="12.85546875" customWidth="1"/>
    <col min="3078" max="3078" width="13.85546875" customWidth="1"/>
    <col min="3079" max="3079" width="11.5703125" customWidth="1"/>
    <col min="3080" max="3080" width="10.28515625" customWidth="1"/>
    <col min="3081" max="3081" width="11.28515625" customWidth="1"/>
    <col min="3082" max="3084" width="10.42578125" bestFit="1" customWidth="1"/>
    <col min="3085" max="3085" width="9.28515625" bestFit="1" customWidth="1"/>
    <col min="3086" max="3086" width="10.42578125" bestFit="1" customWidth="1"/>
    <col min="3087" max="3087" width="12.85546875" customWidth="1"/>
    <col min="3334" max="3334" width="13.85546875" customWidth="1"/>
    <col min="3335" max="3335" width="11.5703125" customWidth="1"/>
    <col min="3336" max="3336" width="10.28515625" customWidth="1"/>
    <col min="3337" max="3337" width="11.28515625" customWidth="1"/>
    <col min="3338" max="3340" width="10.42578125" bestFit="1" customWidth="1"/>
    <col min="3341" max="3341" width="9.28515625" bestFit="1" customWidth="1"/>
    <col min="3342" max="3342" width="10.42578125" bestFit="1" customWidth="1"/>
    <col min="3343" max="3343" width="12.85546875" customWidth="1"/>
    <col min="3590" max="3590" width="13.85546875" customWidth="1"/>
    <col min="3591" max="3591" width="11.5703125" customWidth="1"/>
    <col min="3592" max="3592" width="10.28515625" customWidth="1"/>
    <col min="3593" max="3593" width="11.28515625" customWidth="1"/>
    <col min="3594" max="3596" width="10.42578125" bestFit="1" customWidth="1"/>
    <col min="3597" max="3597" width="9.28515625" bestFit="1" customWidth="1"/>
    <col min="3598" max="3598" width="10.42578125" bestFit="1" customWidth="1"/>
    <col min="3599" max="3599" width="12.85546875" customWidth="1"/>
    <col min="3846" max="3846" width="13.85546875" customWidth="1"/>
    <col min="3847" max="3847" width="11.5703125" customWidth="1"/>
    <col min="3848" max="3848" width="10.28515625" customWidth="1"/>
    <col min="3849" max="3849" width="11.28515625" customWidth="1"/>
    <col min="3850" max="3852" width="10.42578125" bestFit="1" customWidth="1"/>
    <col min="3853" max="3853" width="9.28515625" bestFit="1" customWidth="1"/>
    <col min="3854" max="3854" width="10.42578125" bestFit="1" customWidth="1"/>
    <col min="3855" max="3855" width="12.85546875" customWidth="1"/>
    <col min="4102" max="4102" width="13.85546875" customWidth="1"/>
    <col min="4103" max="4103" width="11.5703125" customWidth="1"/>
    <col min="4104" max="4104" width="10.28515625" customWidth="1"/>
    <col min="4105" max="4105" width="11.28515625" customWidth="1"/>
    <col min="4106" max="4108" width="10.42578125" bestFit="1" customWidth="1"/>
    <col min="4109" max="4109" width="9.28515625" bestFit="1" customWidth="1"/>
    <col min="4110" max="4110" width="10.42578125" bestFit="1" customWidth="1"/>
    <col min="4111" max="4111" width="12.85546875" customWidth="1"/>
    <col min="4358" max="4358" width="13.85546875" customWidth="1"/>
    <col min="4359" max="4359" width="11.5703125" customWidth="1"/>
    <col min="4360" max="4360" width="10.28515625" customWidth="1"/>
    <col min="4361" max="4361" width="11.28515625" customWidth="1"/>
    <col min="4362" max="4364" width="10.42578125" bestFit="1" customWidth="1"/>
    <col min="4365" max="4365" width="9.28515625" bestFit="1" customWidth="1"/>
    <col min="4366" max="4366" width="10.42578125" bestFit="1" customWidth="1"/>
    <col min="4367" max="4367" width="12.85546875" customWidth="1"/>
    <col min="4614" max="4614" width="13.85546875" customWidth="1"/>
    <col min="4615" max="4615" width="11.5703125" customWidth="1"/>
    <col min="4616" max="4616" width="10.28515625" customWidth="1"/>
    <col min="4617" max="4617" width="11.28515625" customWidth="1"/>
    <col min="4618" max="4620" width="10.42578125" bestFit="1" customWidth="1"/>
    <col min="4621" max="4621" width="9.28515625" bestFit="1" customWidth="1"/>
    <col min="4622" max="4622" width="10.42578125" bestFit="1" customWidth="1"/>
    <col min="4623" max="4623" width="12.85546875" customWidth="1"/>
    <col min="4870" max="4870" width="13.85546875" customWidth="1"/>
    <col min="4871" max="4871" width="11.5703125" customWidth="1"/>
    <col min="4872" max="4872" width="10.28515625" customWidth="1"/>
    <col min="4873" max="4873" width="11.28515625" customWidth="1"/>
    <col min="4874" max="4876" width="10.42578125" bestFit="1" customWidth="1"/>
    <col min="4877" max="4877" width="9.28515625" bestFit="1" customWidth="1"/>
    <col min="4878" max="4878" width="10.42578125" bestFit="1" customWidth="1"/>
    <col min="4879" max="4879" width="12.85546875" customWidth="1"/>
    <col min="5126" max="5126" width="13.85546875" customWidth="1"/>
    <col min="5127" max="5127" width="11.5703125" customWidth="1"/>
    <col min="5128" max="5128" width="10.28515625" customWidth="1"/>
    <col min="5129" max="5129" width="11.28515625" customWidth="1"/>
    <col min="5130" max="5132" width="10.42578125" bestFit="1" customWidth="1"/>
    <col min="5133" max="5133" width="9.28515625" bestFit="1" customWidth="1"/>
    <col min="5134" max="5134" width="10.42578125" bestFit="1" customWidth="1"/>
    <col min="5135" max="5135" width="12.85546875" customWidth="1"/>
    <col min="5382" max="5382" width="13.85546875" customWidth="1"/>
    <col min="5383" max="5383" width="11.5703125" customWidth="1"/>
    <col min="5384" max="5384" width="10.28515625" customWidth="1"/>
    <col min="5385" max="5385" width="11.28515625" customWidth="1"/>
    <col min="5386" max="5388" width="10.42578125" bestFit="1" customWidth="1"/>
    <col min="5389" max="5389" width="9.28515625" bestFit="1" customWidth="1"/>
    <col min="5390" max="5390" width="10.42578125" bestFit="1" customWidth="1"/>
    <col min="5391" max="5391" width="12.85546875" customWidth="1"/>
    <col min="5638" max="5638" width="13.85546875" customWidth="1"/>
    <col min="5639" max="5639" width="11.5703125" customWidth="1"/>
    <col min="5640" max="5640" width="10.28515625" customWidth="1"/>
    <col min="5641" max="5641" width="11.28515625" customWidth="1"/>
    <col min="5642" max="5644" width="10.42578125" bestFit="1" customWidth="1"/>
    <col min="5645" max="5645" width="9.28515625" bestFit="1" customWidth="1"/>
    <col min="5646" max="5646" width="10.42578125" bestFit="1" customWidth="1"/>
    <col min="5647" max="5647" width="12.85546875" customWidth="1"/>
    <col min="5894" max="5894" width="13.85546875" customWidth="1"/>
    <col min="5895" max="5895" width="11.5703125" customWidth="1"/>
    <col min="5896" max="5896" width="10.28515625" customWidth="1"/>
    <col min="5897" max="5897" width="11.28515625" customWidth="1"/>
    <col min="5898" max="5900" width="10.42578125" bestFit="1" customWidth="1"/>
    <col min="5901" max="5901" width="9.28515625" bestFit="1" customWidth="1"/>
    <col min="5902" max="5902" width="10.42578125" bestFit="1" customWidth="1"/>
    <col min="5903" max="5903" width="12.85546875" customWidth="1"/>
    <col min="6150" max="6150" width="13.85546875" customWidth="1"/>
    <col min="6151" max="6151" width="11.5703125" customWidth="1"/>
    <col min="6152" max="6152" width="10.28515625" customWidth="1"/>
    <col min="6153" max="6153" width="11.28515625" customWidth="1"/>
    <col min="6154" max="6156" width="10.42578125" bestFit="1" customWidth="1"/>
    <col min="6157" max="6157" width="9.28515625" bestFit="1" customWidth="1"/>
    <col min="6158" max="6158" width="10.42578125" bestFit="1" customWidth="1"/>
    <col min="6159" max="6159" width="12.85546875" customWidth="1"/>
    <col min="6406" max="6406" width="13.85546875" customWidth="1"/>
    <col min="6407" max="6407" width="11.5703125" customWidth="1"/>
    <col min="6408" max="6408" width="10.28515625" customWidth="1"/>
    <col min="6409" max="6409" width="11.28515625" customWidth="1"/>
    <col min="6410" max="6412" width="10.42578125" bestFit="1" customWidth="1"/>
    <col min="6413" max="6413" width="9.28515625" bestFit="1" customWidth="1"/>
    <col min="6414" max="6414" width="10.42578125" bestFit="1" customWidth="1"/>
    <col min="6415" max="6415" width="12.85546875" customWidth="1"/>
    <col min="6662" max="6662" width="13.85546875" customWidth="1"/>
    <col min="6663" max="6663" width="11.5703125" customWidth="1"/>
    <col min="6664" max="6664" width="10.28515625" customWidth="1"/>
    <col min="6665" max="6665" width="11.28515625" customWidth="1"/>
    <col min="6666" max="6668" width="10.42578125" bestFit="1" customWidth="1"/>
    <col min="6669" max="6669" width="9.28515625" bestFit="1" customWidth="1"/>
    <col min="6670" max="6670" width="10.42578125" bestFit="1" customWidth="1"/>
    <col min="6671" max="6671" width="12.85546875" customWidth="1"/>
    <col min="6918" max="6918" width="13.85546875" customWidth="1"/>
    <col min="6919" max="6919" width="11.5703125" customWidth="1"/>
    <col min="6920" max="6920" width="10.28515625" customWidth="1"/>
    <col min="6921" max="6921" width="11.28515625" customWidth="1"/>
    <col min="6922" max="6924" width="10.42578125" bestFit="1" customWidth="1"/>
    <col min="6925" max="6925" width="9.28515625" bestFit="1" customWidth="1"/>
    <col min="6926" max="6926" width="10.42578125" bestFit="1" customWidth="1"/>
    <col min="6927" max="6927" width="12.85546875" customWidth="1"/>
    <col min="7174" max="7174" width="13.85546875" customWidth="1"/>
    <col min="7175" max="7175" width="11.5703125" customWidth="1"/>
    <col min="7176" max="7176" width="10.28515625" customWidth="1"/>
    <col min="7177" max="7177" width="11.28515625" customWidth="1"/>
    <col min="7178" max="7180" width="10.42578125" bestFit="1" customWidth="1"/>
    <col min="7181" max="7181" width="9.28515625" bestFit="1" customWidth="1"/>
    <col min="7182" max="7182" width="10.42578125" bestFit="1" customWidth="1"/>
    <col min="7183" max="7183" width="12.85546875" customWidth="1"/>
    <col min="7430" max="7430" width="13.85546875" customWidth="1"/>
    <col min="7431" max="7431" width="11.5703125" customWidth="1"/>
    <col min="7432" max="7432" width="10.28515625" customWidth="1"/>
    <col min="7433" max="7433" width="11.28515625" customWidth="1"/>
    <col min="7434" max="7436" width="10.42578125" bestFit="1" customWidth="1"/>
    <col min="7437" max="7437" width="9.28515625" bestFit="1" customWidth="1"/>
    <col min="7438" max="7438" width="10.42578125" bestFit="1" customWidth="1"/>
    <col min="7439" max="7439" width="12.85546875" customWidth="1"/>
    <col min="7686" max="7686" width="13.85546875" customWidth="1"/>
    <col min="7687" max="7687" width="11.5703125" customWidth="1"/>
    <col min="7688" max="7688" width="10.28515625" customWidth="1"/>
    <col min="7689" max="7689" width="11.28515625" customWidth="1"/>
    <col min="7690" max="7692" width="10.42578125" bestFit="1" customWidth="1"/>
    <col min="7693" max="7693" width="9.28515625" bestFit="1" customWidth="1"/>
    <col min="7694" max="7694" width="10.42578125" bestFit="1" customWidth="1"/>
    <col min="7695" max="7695" width="12.85546875" customWidth="1"/>
    <col min="7942" max="7942" width="13.85546875" customWidth="1"/>
    <col min="7943" max="7943" width="11.5703125" customWidth="1"/>
    <col min="7944" max="7944" width="10.28515625" customWidth="1"/>
    <col min="7945" max="7945" width="11.28515625" customWidth="1"/>
    <col min="7946" max="7948" width="10.42578125" bestFit="1" customWidth="1"/>
    <col min="7949" max="7949" width="9.28515625" bestFit="1" customWidth="1"/>
    <col min="7950" max="7950" width="10.42578125" bestFit="1" customWidth="1"/>
    <col min="7951" max="7951" width="12.85546875" customWidth="1"/>
    <col min="8198" max="8198" width="13.85546875" customWidth="1"/>
    <col min="8199" max="8199" width="11.5703125" customWidth="1"/>
    <col min="8200" max="8200" width="10.28515625" customWidth="1"/>
    <col min="8201" max="8201" width="11.28515625" customWidth="1"/>
    <col min="8202" max="8204" width="10.42578125" bestFit="1" customWidth="1"/>
    <col min="8205" max="8205" width="9.28515625" bestFit="1" customWidth="1"/>
    <col min="8206" max="8206" width="10.42578125" bestFit="1" customWidth="1"/>
    <col min="8207" max="8207" width="12.85546875" customWidth="1"/>
    <col min="8454" max="8454" width="13.85546875" customWidth="1"/>
    <col min="8455" max="8455" width="11.5703125" customWidth="1"/>
    <col min="8456" max="8456" width="10.28515625" customWidth="1"/>
    <col min="8457" max="8457" width="11.28515625" customWidth="1"/>
    <col min="8458" max="8460" width="10.42578125" bestFit="1" customWidth="1"/>
    <col min="8461" max="8461" width="9.28515625" bestFit="1" customWidth="1"/>
    <col min="8462" max="8462" width="10.42578125" bestFit="1" customWidth="1"/>
    <col min="8463" max="8463" width="12.85546875" customWidth="1"/>
    <col min="8710" max="8710" width="13.85546875" customWidth="1"/>
    <col min="8711" max="8711" width="11.5703125" customWidth="1"/>
    <col min="8712" max="8712" width="10.28515625" customWidth="1"/>
    <col min="8713" max="8713" width="11.28515625" customWidth="1"/>
    <col min="8714" max="8716" width="10.42578125" bestFit="1" customWidth="1"/>
    <col min="8717" max="8717" width="9.28515625" bestFit="1" customWidth="1"/>
    <col min="8718" max="8718" width="10.42578125" bestFit="1" customWidth="1"/>
    <col min="8719" max="8719" width="12.85546875" customWidth="1"/>
    <col min="8966" max="8966" width="13.85546875" customWidth="1"/>
    <col min="8967" max="8967" width="11.5703125" customWidth="1"/>
    <col min="8968" max="8968" width="10.28515625" customWidth="1"/>
    <col min="8969" max="8969" width="11.28515625" customWidth="1"/>
    <col min="8970" max="8972" width="10.42578125" bestFit="1" customWidth="1"/>
    <col min="8973" max="8973" width="9.28515625" bestFit="1" customWidth="1"/>
    <col min="8974" max="8974" width="10.42578125" bestFit="1" customWidth="1"/>
    <col min="8975" max="8975" width="12.85546875" customWidth="1"/>
    <col min="9222" max="9222" width="13.85546875" customWidth="1"/>
    <col min="9223" max="9223" width="11.5703125" customWidth="1"/>
    <col min="9224" max="9224" width="10.28515625" customWidth="1"/>
    <col min="9225" max="9225" width="11.28515625" customWidth="1"/>
    <col min="9226" max="9228" width="10.42578125" bestFit="1" customWidth="1"/>
    <col min="9229" max="9229" width="9.28515625" bestFit="1" customWidth="1"/>
    <col min="9230" max="9230" width="10.42578125" bestFit="1" customWidth="1"/>
    <col min="9231" max="9231" width="12.85546875" customWidth="1"/>
    <col min="9478" max="9478" width="13.85546875" customWidth="1"/>
    <col min="9479" max="9479" width="11.5703125" customWidth="1"/>
    <col min="9480" max="9480" width="10.28515625" customWidth="1"/>
    <col min="9481" max="9481" width="11.28515625" customWidth="1"/>
    <col min="9482" max="9484" width="10.42578125" bestFit="1" customWidth="1"/>
    <col min="9485" max="9485" width="9.28515625" bestFit="1" customWidth="1"/>
    <col min="9486" max="9486" width="10.42578125" bestFit="1" customWidth="1"/>
    <col min="9487" max="9487" width="12.85546875" customWidth="1"/>
    <col min="9734" max="9734" width="13.85546875" customWidth="1"/>
    <col min="9735" max="9735" width="11.5703125" customWidth="1"/>
    <col min="9736" max="9736" width="10.28515625" customWidth="1"/>
    <col min="9737" max="9737" width="11.28515625" customWidth="1"/>
    <col min="9738" max="9740" width="10.42578125" bestFit="1" customWidth="1"/>
    <col min="9741" max="9741" width="9.28515625" bestFit="1" customWidth="1"/>
    <col min="9742" max="9742" width="10.42578125" bestFit="1" customWidth="1"/>
    <col min="9743" max="9743" width="12.85546875" customWidth="1"/>
    <col min="9990" max="9990" width="13.85546875" customWidth="1"/>
    <col min="9991" max="9991" width="11.5703125" customWidth="1"/>
    <col min="9992" max="9992" width="10.28515625" customWidth="1"/>
    <col min="9993" max="9993" width="11.28515625" customWidth="1"/>
    <col min="9994" max="9996" width="10.42578125" bestFit="1" customWidth="1"/>
    <col min="9997" max="9997" width="9.28515625" bestFit="1" customWidth="1"/>
    <col min="9998" max="9998" width="10.42578125" bestFit="1" customWidth="1"/>
    <col min="9999" max="9999" width="12.85546875" customWidth="1"/>
    <col min="10246" max="10246" width="13.85546875" customWidth="1"/>
    <col min="10247" max="10247" width="11.5703125" customWidth="1"/>
    <col min="10248" max="10248" width="10.28515625" customWidth="1"/>
    <col min="10249" max="10249" width="11.28515625" customWidth="1"/>
    <col min="10250" max="10252" width="10.42578125" bestFit="1" customWidth="1"/>
    <col min="10253" max="10253" width="9.28515625" bestFit="1" customWidth="1"/>
    <col min="10254" max="10254" width="10.42578125" bestFit="1" customWidth="1"/>
    <col min="10255" max="10255" width="12.85546875" customWidth="1"/>
    <col min="10502" max="10502" width="13.85546875" customWidth="1"/>
    <col min="10503" max="10503" width="11.5703125" customWidth="1"/>
    <col min="10504" max="10504" width="10.28515625" customWidth="1"/>
    <col min="10505" max="10505" width="11.28515625" customWidth="1"/>
    <col min="10506" max="10508" width="10.42578125" bestFit="1" customWidth="1"/>
    <col min="10509" max="10509" width="9.28515625" bestFit="1" customWidth="1"/>
    <col min="10510" max="10510" width="10.42578125" bestFit="1" customWidth="1"/>
    <col min="10511" max="10511" width="12.85546875" customWidth="1"/>
    <col min="10758" max="10758" width="13.85546875" customWidth="1"/>
    <col min="10759" max="10759" width="11.5703125" customWidth="1"/>
    <col min="10760" max="10760" width="10.28515625" customWidth="1"/>
    <col min="10761" max="10761" width="11.28515625" customWidth="1"/>
    <col min="10762" max="10764" width="10.42578125" bestFit="1" customWidth="1"/>
    <col min="10765" max="10765" width="9.28515625" bestFit="1" customWidth="1"/>
    <col min="10766" max="10766" width="10.42578125" bestFit="1" customWidth="1"/>
    <col min="10767" max="10767" width="12.85546875" customWidth="1"/>
    <col min="11014" max="11014" width="13.85546875" customWidth="1"/>
    <col min="11015" max="11015" width="11.5703125" customWidth="1"/>
    <col min="11016" max="11016" width="10.28515625" customWidth="1"/>
    <col min="11017" max="11017" width="11.28515625" customWidth="1"/>
    <col min="11018" max="11020" width="10.42578125" bestFit="1" customWidth="1"/>
    <col min="11021" max="11021" width="9.28515625" bestFit="1" customWidth="1"/>
    <col min="11022" max="11022" width="10.42578125" bestFit="1" customWidth="1"/>
    <col min="11023" max="11023" width="12.85546875" customWidth="1"/>
    <col min="11270" max="11270" width="13.85546875" customWidth="1"/>
    <col min="11271" max="11271" width="11.5703125" customWidth="1"/>
    <col min="11272" max="11272" width="10.28515625" customWidth="1"/>
    <col min="11273" max="11273" width="11.28515625" customWidth="1"/>
    <col min="11274" max="11276" width="10.42578125" bestFit="1" customWidth="1"/>
    <col min="11277" max="11277" width="9.28515625" bestFit="1" customWidth="1"/>
    <col min="11278" max="11278" width="10.42578125" bestFit="1" customWidth="1"/>
    <col min="11279" max="11279" width="12.85546875" customWidth="1"/>
    <col min="11526" max="11526" width="13.85546875" customWidth="1"/>
    <col min="11527" max="11527" width="11.5703125" customWidth="1"/>
    <col min="11528" max="11528" width="10.28515625" customWidth="1"/>
    <col min="11529" max="11529" width="11.28515625" customWidth="1"/>
    <col min="11530" max="11532" width="10.42578125" bestFit="1" customWidth="1"/>
    <col min="11533" max="11533" width="9.28515625" bestFit="1" customWidth="1"/>
    <col min="11534" max="11534" width="10.42578125" bestFit="1" customWidth="1"/>
    <col min="11535" max="11535" width="12.85546875" customWidth="1"/>
    <col min="11782" max="11782" width="13.85546875" customWidth="1"/>
    <col min="11783" max="11783" width="11.5703125" customWidth="1"/>
    <col min="11784" max="11784" width="10.28515625" customWidth="1"/>
    <col min="11785" max="11785" width="11.28515625" customWidth="1"/>
    <col min="11786" max="11788" width="10.42578125" bestFit="1" customWidth="1"/>
    <col min="11789" max="11789" width="9.28515625" bestFit="1" customWidth="1"/>
    <col min="11790" max="11790" width="10.42578125" bestFit="1" customWidth="1"/>
    <col min="11791" max="11791" width="12.85546875" customWidth="1"/>
    <col min="12038" max="12038" width="13.85546875" customWidth="1"/>
    <col min="12039" max="12039" width="11.5703125" customWidth="1"/>
    <col min="12040" max="12040" width="10.28515625" customWidth="1"/>
    <col min="12041" max="12041" width="11.28515625" customWidth="1"/>
    <col min="12042" max="12044" width="10.42578125" bestFit="1" customWidth="1"/>
    <col min="12045" max="12045" width="9.28515625" bestFit="1" customWidth="1"/>
    <col min="12046" max="12046" width="10.42578125" bestFit="1" customWidth="1"/>
    <col min="12047" max="12047" width="12.85546875" customWidth="1"/>
    <col min="12294" max="12294" width="13.85546875" customWidth="1"/>
    <col min="12295" max="12295" width="11.5703125" customWidth="1"/>
    <col min="12296" max="12296" width="10.28515625" customWidth="1"/>
    <col min="12297" max="12297" width="11.28515625" customWidth="1"/>
    <col min="12298" max="12300" width="10.42578125" bestFit="1" customWidth="1"/>
    <col min="12301" max="12301" width="9.28515625" bestFit="1" customWidth="1"/>
    <col min="12302" max="12302" width="10.42578125" bestFit="1" customWidth="1"/>
    <col min="12303" max="12303" width="12.85546875" customWidth="1"/>
    <col min="12550" max="12550" width="13.85546875" customWidth="1"/>
    <col min="12551" max="12551" width="11.5703125" customWidth="1"/>
    <col min="12552" max="12552" width="10.28515625" customWidth="1"/>
    <col min="12553" max="12553" width="11.28515625" customWidth="1"/>
    <col min="12554" max="12556" width="10.42578125" bestFit="1" customWidth="1"/>
    <col min="12557" max="12557" width="9.28515625" bestFit="1" customWidth="1"/>
    <col min="12558" max="12558" width="10.42578125" bestFit="1" customWidth="1"/>
    <col min="12559" max="12559" width="12.85546875" customWidth="1"/>
    <col min="12806" max="12806" width="13.85546875" customWidth="1"/>
    <col min="12807" max="12807" width="11.5703125" customWidth="1"/>
    <col min="12808" max="12808" width="10.28515625" customWidth="1"/>
    <col min="12809" max="12809" width="11.28515625" customWidth="1"/>
    <col min="12810" max="12812" width="10.42578125" bestFit="1" customWidth="1"/>
    <col min="12813" max="12813" width="9.28515625" bestFit="1" customWidth="1"/>
    <col min="12814" max="12814" width="10.42578125" bestFit="1" customWidth="1"/>
    <col min="12815" max="12815" width="12.85546875" customWidth="1"/>
    <col min="13062" max="13062" width="13.85546875" customWidth="1"/>
    <col min="13063" max="13063" width="11.5703125" customWidth="1"/>
    <col min="13064" max="13064" width="10.28515625" customWidth="1"/>
    <col min="13065" max="13065" width="11.28515625" customWidth="1"/>
    <col min="13066" max="13068" width="10.42578125" bestFit="1" customWidth="1"/>
    <col min="13069" max="13069" width="9.28515625" bestFit="1" customWidth="1"/>
    <col min="13070" max="13070" width="10.42578125" bestFit="1" customWidth="1"/>
    <col min="13071" max="13071" width="12.85546875" customWidth="1"/>
    <col min="13318" max="13318" width="13.85546875" customWidth="1"/>
    <col min="13319" max="13319" width="11.5703125" customWidth="1"/>
    <col min="13320" max="13320" width="10.28515625" customWidth="1"/>
    <col min="13321" max="13321" width="11.28515625" customWidth="1"/>
    <col min="13322" max="13324" width="10.42578125" bestFit="1" customWidth="1"/>
    <col min="13325" max="13325" width="9.28515625" bestFit="1" customWidth="1"/>
    <col min="13326" max="13326" width="10.42578125" bestFit="1" customWidth="1"/>
    <col min="13327" max="13327" width="12.85546875" customWidth="1"/>
    <col min="13574" max="13574" width="13.85546875" customWidth="1"/>
    <col min="13575" max="13575" width="11.5703125" customWidth="1"/>
    <col min="13576" max="13576" width="10.28515625" customWidth="1"/>
    <col min="13577" max="13577" width="11.28515625" customWidth="1"/>
    <col min="13578" max="13580" width="10.42578125" bestFit="1" customWidth="1"/>
    <col min="13581" max="13581" width="9.28515625" bestFit="1" customWidth="1"/>
    <col min="13582" max="13582" width="10.42578125" bestFit="1" customWidth="1"/>
    <col min="13583" max="13583" width="12.85546875" customWidth="1"/>
    <col min="13830" max="13830" width="13.85546875" customWidth="1"/>
    <col min="13831" max="13831" width="11.5703125" customWidth="1"/>
    <col min="13832" max="13832" width="10.28515625" customWidth="1"/>
    <col min="13833" max="13833" width="11.28515625" customWidth="1"/>
    <col min="13834" max="13836" width="10.42578125" bestFit="1" customWidth="1"/>
    <col min="13837" max="13837" width="9.28515625" bestFit="1" customWidth="1"/>
    <col min="13838" max="13838" width="10.42578125" bestFit="1" customWidth="1"/>
    <col min="13839" max="13839" width="12.85546875" customWidth="1"/>
    <col min="14086" max="14086" width="13.85546875" customWidth="1"/>
    <col min="14087" max="14087" width="11.5703125" customWidth="1"/>
    <col min="14088" max="14088" width="10.28515625" customWidth="1"/>
    <col min="14089" max="14089" width="11.28515625" customWidth="1"/>
    <col min="14090" max="14092" width="10.42578125" bestFit="1" customWidth="1"/>
    <col min="14093" max="14093" width="9.28515625" bestFit="1" customWidth="1"/>
    <col min="14094" max="14094" width="10.42578125" bestFit="1" customWidth="1"/>
    <col min="14095" max="14095" width="12.85546875" customWidth="1"/>
    <col min="14342" max="14342" width="13.85546875" customWidth="1"/>
    <col min="14343" max="14343" width="11.5703125" customWidth="1"/>
    <col min="14344" max="14344" width="10.28515625" customWidth="1"/>
    <col min="14345" max="14345" width="11.28515625" customWidth="1"/>
    <col min="14346" max="14348" width="10.42578125" bestFit="1" customWidth="1"/>
    <col min="14349" max="14349" width="9.28515625" bestFit="1" customWidth="1"/>
    <col min="14350" max="14350" width="10.42578125" bestFit="1" customWidth="1"/>
    <col min="14351" max="14351" width="12.85546875" customWidth="1"/>
    <col min="14598" max="14598" width="13.85546875" customWidth="1"/>
    <col min="14599" max="14599" width="11.5703125" customWidth="1"/>
    <col min="14600" max="14600" width="10.28515625" customWidth="1"/>
    <col min="14601" max="14601" width="11.28515625" customWidth="1"/>
    <col min="14602" max="14604" width="10.42578125" bestFit="1" customWidth="1"/>
    <col min="14605" max="14605" width="9.28515625" bestFit="1" customWidth="1"/>
    <col min="14606" max="14606" width="10.42578125" bestFit="1" customWidth="1"/>
    <col min="14607" max="14607" width="12.85546875" customWidth="1"/>
    <col min="14854" max="14854" width="13.85546875" customWidth="1"/>
    <col min="14855" max="14855" width="11.5703125" customWidth="1"/>
    <col min="14856" max="14856" width="10.28515625" customWidth="1"/>
    <col min="14857" max="14857" width="11.28515625" customWidth="1"/>
    <col min="14858" max="14860" width="10.42578125" bestFit="1" customWidth="1"/>
    <col min="14861" max="14861" width="9.28515625" bestFit="1" customWidth="1"/>
    <col min="14862" max="14862" width="10.42578125" bestFit="1" customWidth="1"/>
    <col min="14863" max="14863" width="12.85546875" customWidth="1"/>
    <col min="15110" max="15110" width="13.85546875" customWidth="1"/>
    <col min="15111" max="15111" width="11.5703125" customWidth="1"/>
    <col min="15112" max="15112" width="10.28515625" customWidth="1"/>
    <col min="15113" max="15113" width="11.28515625" customWidth="1"/>
    <col min="15114" max="15116" width="10.42578125" bestFit="1" customWidth="1"/>
    <col min="15117" max="15117" width="9.28515625" bestFit="1" customWidth="1"/>
    <col min="15118" max="15118" width="10.42578125" bestFit="1" customWidth="1"/>
    <col min="15119" max="15119" width="12.85546875" customWidth="1"/>
    <col min="15366" max="15366" width="13.85546875" customWidth="1"/>
    <col min="15367" max="15367" width="11.5703125" customWidth="1"/>
    <col min="15368" max="15368" width="10.28515625" customWidth="1"/>
    <col min="15369" max="15369" width="11.28515625" customWidth="1"/>
    <col min="15370" max="15372" width="10.42578125" bestFit="1" customWidth="1"/>
    <col min="15373" max="15373" width="9.28515625" bestFit="1" customWidth="1"/>
    <col min="15374" max="15374" width="10.42578125" bestFit="1" customWidth="1"/>
    <col min="15375" max="15375" width="12.85546875" customWidth="1"/>
    <col min="15622" max="15622" width="13.85546875" customWidth="1"/>
    <col min="15623" max="15623" width="11.5703125" customWidth="1"/>
    <col min="15624" max="15624" width="10.28515625" customWidth="1"/>
    <col min="15625" max="15625" width="11.28515625" customWidth="1"/>
    <col min="15626" max="15628" width="10.42578125" bestFit="1" customWidth="1"/>
    <col min="15629" max="15629" width="9.28515625" bestFit="1" customWidth="1"/>
    <col min="15630" max="15630" width="10.42578125" bestFit="1" customWidth="1"/>
    <col min="15631" max="15631" width="12.85546875" customWidth="1"/>
    <col min="15878" max="15878" width="13.85546875" customWidth="1"/>
    <col min="15879" max="15879" width="11.5703125" customWidth="1"/>
    <col min="15880" max="15880" width="10.28515625" customWidth="1"/>
    <col min="15881" max="15881" width="11.28515625" customWidth="1"/>
    <col min="15882" max="15884" width="10.42578125" bestFit="1" customWidth="1"/>
    <col min="15885" max="15885" width="9.28515625" bestFit="1" customWidth="1"/>
    <col min="15886" max="15886" width="10.42578125" bestFit="1" customWidth="1"/>
    <col min="15887" max="15887" width="12.85546875" customWidth="1"/>
    <col min="16134" max="16134" width="13.85546875" customWidth="1"/>
    <col min="16135" max="16135" width="11.5703125" customWidth="1"/>
    <col min="16136" max="16136" width="10.28515625" customWidth="1"/>
    <col min="16137" max="16137" width="11.28515625" customWidth="1"/>
    <col min="16138" max="16140" width="10.42578125" bestFit="1" customWidth="1"/>
    <col min="16141" max="16141" width="9.28515625" bestFit="1" customWidth="1"/>
    <col min="16142" max="16142" width="10.42578125" bestFit="1" customWidth="1"/>
    <col min="16143" max="16143" width="12.85546875" customWidth="1"/>
  </cols>
  <sheetData>
    <row r="1" spans="1:17">
      <c r="A1" s="1003" t="s">
        <v>1002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</row>
    <row r="2" spans="1:17">
      <c r="A2" s="1003" t="s">
        <v>827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</row>
    <row r="3" spans="1:17">
      <c r="A3" s="998" t="s">
        <v>828</v>
      </c>
      <c r="B3" s="998"/>
      <c r="C3" s="1001"/>
      <c r="D3" s="854" t="s">
        <v>1161</v>
      </c>
      <c r="E3" s="854"/>
      <c r="F3" s="854"/>
      <c r="G3" s="1002" t="s">
        <v>1004</v>
      </c>
      <c r="H3" s="998"/>
      <c r="I3" s="998"/>
      <c r="J3" s="854">
        <v>902140202</v>
      </c>
      <c r="K3" s="854"/>
      <c r="L3" s="1004" t="s">
        <v>1005</v>
      </c>
      <c r="M3" s="1005"/>
      <c r="N3" s="47">
        <v>930.59100000000001</v>
      </c>
      <c r="O3" s="851" t="s">
        <v>831</v>
      </c>
      <c r="P3" s="997"/>
      <c r="Q3" s="80">
        <v>200</v>
      </c>
    </row>
    <row r="4" spans="1:17">
      <c r="A4" s="808" t="s">
        <v>4176</v>
      </c>
      <c r="B4" s="808"/>
      <c r="C4" s="808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7">
      <c r="A5" s="998" t="s">
        <v>1006</v>
      </c>
      <c r="B5" s="998"/>
      <c r="C5" s="1001"/>
      <c r="D5" s="854" t="s">
        <v>1162</v>
      </c>
      <c r="E5" s="854"/>
      <c r="F5" s="854"/>
      <c r="G5" s="1002" t="s">
        <v>1008</v>
      </c>
      <c r="H5" s="998"/>
      <c r="I5" s="1001"/>
      <c r="J5" s="854" t="s">
        <v>1163</v>
      </c>
      <c r="K5" s="854"/>
      <c r="L5" s="854"/>
      <c r="M5" s="46"/>
      <c r="N5" s="46"/>
      <c r="O5" s="46"/>
      <c r="P5" s="46"/>
    </row>
    <row r="6" spans="1:17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81"/>
      <c r="N6" s="46"/>
      <c r="O6" s="46"/>
      <c r="P6" s="46"/>
    </row>
    <row r="7" spans="1:17">
      <c r="A7" s="998" t="s">
        <v>618</v>
      </c>
      <c r="B7" s="998"/>
      <c r="C7" s="1001"/>
      <c r="D7" s="854"/>
      <c r="E7" s="854"/>
      <c r="F7" s="854"/>
      <c r="G7" s="1002" t="s">
        <v>1011</v>
      </c>
      <c r="H7" s="998"/>
      <c r="I7" s="1001"/>
      <c r="J7" s="854" t="s">
        <v>1164</v>
      </c>
      <c r="K7" s="854"/>
      <c r="L7" s="854"/>
      <c r="M7" s="46"/>
      <c r="N7" s="46"/>
      <c r="O7" s="46"/>
      <c r="P7" s="46"/>
    </row>
    <row r="8" spans="1:17">
      <c r="A8" s="46"/>
      <c r="B8" s="46"/>
      <c r="C8" s="46"/>
      <c r="D8" s="46"/>
      <c r="E8" s="46"/>
      <c r="F8" s="46"/>
      <c r="G8" s="46"/>
      <c r="H8" s="46"/>
      <c r="I8" s="46"/>
      <c r="J8" s="854"/>
      <c r="K8" s="854"/>
      <c r="L8" s="854"/>
      <c r="M8" s="46"/>
      <c r="N8" s="46"/>
      <c r="O8" s="46"/>
      <c r="P8" s="46"/>
    </row>
    <row r="9" spans="1:17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7">
      <c r="A10" s="46" t="s">
        <v>1013</v>
      </c>
      <c r="B10" s="46"/>
      <c r="C10" s="46"/>
      <c r="D10" s="854" t="s">
        <v>1165</v>
      </c>
      <c r="E10" s="854"/>
      <c r="F10" s="854" t="s">
        <v>1166</v>
      </c>
      <c r="G10" s="854"/>
      <c r="H10" s="854" t="s">
        <v>1167</v>
      </c>
      <c r="I10" s="854"/>
      <c r="J10" s="854" t="s">
        <v>1168</v>
      </c>
      <c r="K10" s="854"/>
      <c r="L10" s="46"/>
      <c r="M10" s="46"/>
      <c r="N10" s="46"/>
      <c r="O10" s="46"/>
      <c r="P10" s="46"/>
    </row>
    <row r="11" spans="1:17">
      <c r="A11" s="46" t="s">
        <v>1016</v>
      </c>
      <c r="B11" s="46"/>
      <c r="C11" s="46"/>
      <c r="D11" s="854" t="s">
        <v>1169</v>
      </c>
      <c r="E11" s="854"/>
      <c r="F11" s="854" t="s">
        <v>1170</v>
      </c>
      <c r="G11" s="854"/>
      <c r="H11" s="854" t="s">
        <v>1171</v>
      </c>
      <c r="I11" s="854"/>
      <c r="J11" s="854" t="s">
        <v>1172</v>
      </c>
      <c r="K11" s="854"/>
      <c r="L11" s="46"/>
      <c r="M11" s="46"/>
      <c r="N11" s="46"/>
      <c r="O11" s="46"/>
      <c r="P11" s="46"/>
    </row>
    <row r="12" spans="1:17">
      <c r="A12" s="46" t="s">
        <v>1019</v>
      </c>
      <c r="B12" s="46"/>
      <c r="C12" s="46"/>
      <c r="D12" s="854" t="s">
        <v>1074</v>
      </c>
      <c r="E12" s="854"/>
      <c r="F12" s="854" t="s">
        <v>1173</v>
      </c>
      <c r="G12" s="854"/>
      <c r="H12" s="854"/>
      <c r="I12" s="854"/>
      <c r="J12" s="854"/>
      <c r="K12" s="854"/>
      <c r="L12" s="46"/>
      <c r="M12" s="46"/>
      <c r="N12" s="46"/>
      <c r="O12" s="46"/>
      <c r="P12" s="46"/>
    </row>
    <row r="13" spans="1:17">
      <c r="A13" s="46" t="s">
        <v>1022</v>
      </c>
      <c r="B13" s="46"/>
      <c r="C13" s="46"/>
      <c r="D13" s="854"/>
      <c r="E13" s="854"/>
      <c r="F13" s="854"/>
      <c r="G13" s="854"/>
      <c r="H13" s="854" t="s">
        <v>1174</v>
      </c>
      <c r="I13" s="854"/>
      <c r="J13" s="854"/>
      <c r="K13" s="854"/>
      <c r="L13" s="46"/>
      <c r="M13" s="46"/>
      <c r="N13" s="46"/>
      <c r="O13" s="46"/>
      <c r="P13" s="46"/>
    </row>
    <row r="14" spans="1:17">
      <c r="A14" s="46"/>
      <c r="B14" s="46"/>
      <c r="C14" s="46"/>
      <c r="D14" s="996"/>
      <c r="E14" s="996"/>
      <c r="F14" s="996"/>
      <c r="G14" s="997"/>
      <c r="H14" s="46"/>
      <c r="I14" s="46"/>
      <c r="J14" s="46"/>
      <c r="K14" s="46"/>
      <c r="L14" s="46"/>
      <c r="M14" s="46"/>
      <c r="N14" s="46"/>
      <c r="O14" s="46"/>
      <c r="P14" s="46"/>
    </row>
    <row r="15" spans="1:17">
      <c r="A15" s="46" t="s">
        <v>1024</v>
      </c>
      <c r="B15" s="46"/>
      <c r="C15" s="46"/>
      <c r="D15" s="47">
        <v>7</v>
      </c>
      <c r="E15" s="82" t="s">
        <v>1025</v>
      </c>
      <c r="F15" s="83"/>
      <c r="G15" s="83"/>
      <c r="H15" s="47">
        <v>4</v>
      </c>
      <c r="I15" s="46" t="s">
        <v>1026</v>
      </c>
      <c r="J15" s="47">
        <v>7</v>
      </c>
      <c r="K15" s="46" t="s">
        <v>1027</v>
      </c>
      <c r="L15" s="47">
        <v>2</v>
      </c>
      <c r="M15" s="84" t="s">
        <v>645</v>
      </c>
      <c r="N15" s="47">
        <v>10</v>
      </c>
      <c r="O15" s="46"/>
      <c r="P15" s="46"/>
    </row>
    <row r="16" spans="1:17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>
      <c r="A17" s="998" t="s">
        <v>203</v>
      </c>
      <c r="B17" s="998"/>
      <c r="C17" s="46"/>
      <c r="D17" s="46" t="s">
        <v>204</v>
      </c>
      <c r="E17" s="85">
        <v>110</v>
      </c>
      <c r="F17" s="46" t="s">
        <v>205</v>
      </c>
      <c r="G17" s="47"/>
      <c r="H17" s="46" t="s">
        <v>206</v>
      </c>
      <c r="I17" s="47"/>
      <c r="J17" s="46" t="s">
        <v>230</v>
      </c>
      <c r="K17" s="47">
        <v>110</v>
      </c>
      <c r="L17" s="46" t="s">
        <v>207</v>
      </c>
      <c r="M17" s="47"/>
      <c r="N17" s="46" t="s">
        <v>1028</v>
      </c>
      <c r="O17" s="46"/>
      <c r="P17" s="47"/>
    </row>
    <row r="18" spans="1:16">
      <c r="A18" s="46" t="s">
        <v>1029</v>
      </c>
      <c r="B18" s="46"/>
      <c r="C18" s="46"/>
      <c r="D18" s="46" t="s">
        <v>1030</v>
      </c>
      <c r="E18" s="47">
        <v>311</v>
      </c>
      <c r="F18" s="46" t="s">
        <v>211</v>
      </c>
      <c r="G18" s="47"/>
      <c r="H18" s="46" t="s">
        <v>212</v>
      </c>
      <c r="I18" s="47"/>
      <c r="J18" s="46" t="s">
        <v>411</v>
      </c>
      <c r="K18" s="47">
        <v>311</v>
      </c>
      <c r="L18" s="46"/>
      <c r="M18" s="46"/>
      <c r="N18" s="46"/>
      <c r="O18" s="46"/>
      <c r="P18" s="46"/>
    </row>
    <row r="19" spans="1:16">
      <c r="A19" s="46"/>
      <c r="B19" s="46"/>
      <c r="C19" s="46"/>
      <c r="D19" s="46" t="s">
        <v>213</v>
      </c>
      <c r="E19" s="47">
        <v>334</v>
      </c>
      <c r="F19" s="46" t="s">
        <v>214</v>
      </c>
      <c r="G19" s="47"/>
      <c r="H19" s="46" t="s">
        <v>215</v>
      </c>
      <c r="I19" s="47"/>
      <c r="J19" s="46" t="s">
        <v>410</v>
      </c>
      <c r="K19" s="47">
        <v>334</v>
      </c>
      <c r="L19" s="46"/>
      <c r="M19" s="46"/>
      <c r="N19" s="46"/>
      <c r="O19" s="46"/>
      <c r="P19" s="46"/>
    </row>
    <row r="20" spans="1:1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>
      <c r="A21" s="999" t="s">
        <v>216</v>
      </c>
      <c r="B21" s="999"/>
    </row>
    <row r="22" spans="1:16">
      <c r="A22" s="1000" t="s">
        <v>217</v>
      </c>
      <c r="B22" s="1000"/>
      <c r="C22" s="1000"/>
      <c r="D22" s="854" t="s">
        <v>1031</v>
      </c>
      <c r="E22" s="995" t="s">
        <v>219</v>
      </c>
      <c r="F22" s="869" t="s">
        <v>1032</v>
      </c>
      <c r="G22" s="869" t="s">
        <v>1033</v>
      </c>
      <c r="H22" s="995" t="s">
        <v>1034</v>
      </c>
      <c r="I22" s="995"/>
      <c r="J22" s="995"/>
      <c r="K22" s="995"/>
      <c r="L22" s="995"/>
      <c r="M22" s="995"/>
      <c r="N22" s="995"/>
      <c r="O22" s="995"/>
    </row>
    <row r="23" spans="1:16">
      <c r="A23" s="1000"/>
      <c r="B23" s="1000"/>
      <c r="C23" s="1000"/>
      <c r="D23" s="854"/>
      <c r="E23" s="995"/>
      <c r="F23" s="869"/>
      <c r="G23" s="869"/>
      <c r="H23" s="80" t="s">
        <v>224</v>
      </c>
      <c r="I23" s="80" t="s">
        <v>225</v>
      </c>
      <c r="J23" s="80" t="s">
        <v>226</v>
      </c>
      <c r="K23" s="80" t="s">
        <v>227</v>
      </c>
      <c r="L23" s="80" t="s">
        <v>228</v>
      </c>
      <c r="M23" s="80" t="s">
        <v>229</v>
      </c>
      <c r="N23" s="80" t="s">
        <v>230</v>
      </c>
      <c r="O23" s="80" t="s">
        <v>1035</v>
      </c>
    </row>
    <row r="24" spans="1:16">
      <c r="A24" s="991" t="s">
        <v>232</v>
      </c>
      <c r="B24" s="991"/>
      <c r="C24" s="991"/>
      <c r="D24" s="47">
        <v>8000</v>
      </c>
      <c r="E24" s="80" t="s">
        <v>1036</v>
      </c>
      <c r="F24" s="86">
        <f>+D24*N3/100000</f>
        <v>74.447280000000006</v>
      </c>
      <c r="G24" s="87">
        <f>7257606/100000</f>
        <v>72.576059999999998</v>
      </c>
      <c r="H24" s="86">
        <f>15186/100000</f>
        <v>0.15185999999999999</v>
      </c>
      <c r="I24" s="86">
        <f>903650/100000</f>
        <v>9.0365000000000002</v>
      </c>
      <c r="J24" s="86">
        <f>1413238/100000</f>
        <v>14.132379999999999</v>
      </c>
      <c r="K24" s="86">
        <f>2684260/100000</f>
        <v>26.842600000000001</v>
      </c>
      <c r="L24" s="86">
        <f>2104003/100000</f>
        <v>21.040030000000002</v>
      </c>
      <c r="M24" s="86">
        <f>104907/100000</f>
        <v>1.0490699999999999</v>
      </c>
      <c r="N24" s="88">
        <f>SUM(H24:M24)</f>
        <v>72.252440000000007</v>
      </c>
      <c r="O24" s="86">
        <f>N24*100/G24</f>
        <v>99.554095386274767</v>
      </c>
    </row>
    <row r="25" spans="1:16">
      <c r="A25" s="991" t="s">
        <v>234</v>
      </c>
      <c r="B25" s="991"/>
      <c r="C25" s="991"/>
      <c r="D25" s="47">
        <v>7000</v>
      </c>
      <c r="E25" s="80" t="s">
        <v>1036</v>
      </c>
      <c r="F25" s="86">
        <f>+D25*80/100000</f>
        <v>5.6</v>
      </c>
      <c r="G25" s="86">
        <f>560000/100000</f>
        <v>5.6</v>
      </c>
      <c r="H25" s="86">
        <v>0</v>
      </c>
      <c r="I25" s="86">
        <v>0</v>
      </c>
      <c r="J25" s="86">
        <f>10000/100000</f>
        <v>0.1</v>
      </c>
      <c r="K25" s="86">
        <f>123560/100000</f>
        <v>1.2356</v>
      </c>
      <c r="L25" s="86">
        <f>370300/100000</f>
        <v>3.7029999999999998</v>
      </c>
      <c r="M25" s="86">
        <f>35000/100000</f>
        <v>0.35</v>
      </c>
      <c r="N25" s="88">
        <f t="shared" ref="N25:N31" si="0">SUM(H25:M25)</f>
        <v>5.3885999999999994</v>
      </c>
      <c r="O25" s="86">
        <f t="shared" ref="O25:O32" si="1">N25*100/G25</f>
        <v>96.224999999999994</v>
      </c>
    </row>
    <row r="26" spans="1:16">
      <c r="A26" s="991" t="s">
        <v>235</v>
      </c>
      <c r="B26" s="991"/>
      <c r="C26" s="991"/>
      <c r="D26" s="47">
        <v>43000</v>
      </c>
      <c r="E26" s="80" t="s">
        <v>236</v>
      </c>
      <c r="F26" s="89">
        <v>1.43</v>
      </c>
      <c r="G26" s="87">
        <f>63000/100000</f>
        <v>0.63</v>
      </c>
      <c r="H26" s="86">
        <v>0</v>
      </c>
      <c r="I26" s="86">
        <v>0</v>
      </c>
      <c r="J26" s="86">
        <f>2818/100000</f>
        <v>2.818E-2</v>
      </c>
      <c r="K26" s="86">
        <f>20892/100000</f>
        <v>0.20891999999999999</v>
      </c>
      <c r="L26" s="86">
        <f>17995/100000</f>
        <v>0.17995</v>
      </c>
      <c r="M26" s="86">
        <f>21295/100000</f>
        <v>0.21295</v>
      </c>
      <c r="N26" s="88">
        <f t="shared" si="0"/>
        <v>0.63</v>
      </c>
      <c r="O26" s="86">
        <f t="shared" si="1"/>
        <v>100</v>
      </c>
    </row>
    <row r="27" spans="1:16">
      <c r="A27" s="991" t="s">
        <v>1037</v>
      </c>
      <c r="B27" s="991"/>
      <c r="C27" s="991"/>
      <c r="D27" s="47">
        <v>34000</v>
      </c>
      <c r="E27" s="80" t="s">
        <v>236</v>
      </c>
      <c r="F27" s="86">
        <v>0.34</v>
      </c>
      <c r="G27" s="87">
        <f>34000/100000</f>
        <v>0.34</v>
      </c>
      <c r="H27" s="86">
        <v>0</v>
      </c>
      <c r="I27" s="86">
        <v>0</v>
      </c>
      <c r="J27" s="86">
        <f>16200/100000</f>
        <v>0.16200000000000001</v>
      </c>
      <c r="K27" s="86">
        <f>2846/100000</f>
        <v>2.8459999999999999E-2</v>
      </c>
      <c r="L27" s="86">
        <f>14894/100000</f>
        <v>0.14893999999999999</v>
      </c>
      <c r="M27" s="86">
        <f>60/100000</f>
        <v>5.9999999999999995E-4</v>
      </c>
      <c r="N27" s="88">
        <f t="shared" si="0"/>
        <v>0.34</v>
      </c>
      <c r="O27" s="86">
        <f t="shared" si="1"/>
        <v>99.999999999999986</v>
      </c>
    </row>
    <row r="28" spans="1:16">
      <c r="A28" s="991" t="s">
        <v>1038</v>
      </c>
      <c r="B28" s="991"/>
      <c r="C28" s="991"/>
      <c r="D28" s="47">
        <v>1200</v>
      </c>
      <c r="E28" s="80" t="s">
        <v>1036</v>
      </c>
      <c r="F28" s="86">
        <f>ROUND((+D28*N3),0)/100000</f>
        <v>11.16709</v>
      </c>
      <c r="G28" s="87">
        <f>1116709/100000</f>
        <v>11.16709</v>
      </c>
      <c r="H28" s="86">
        <v>0</v>
      </c>
      <c r="I28" s="86">
        <v>0</v>
      </c>
      <c r="J28" s="86">
        <v>0</v>
      </c>
      <c r="K28" s="86">
        <f>672500/100000</f>
        <v>6.7249999999999996</v>
      </c>
      <c r="L28" s="86">
        <f>-285200/100000</f>
        <v>-2.8519999999999999</v>
      </c>
      <c r="M28" s="86">
        <v>0</v>
      </c>
      <c r="N28" s="88">
        <f t="shared" si="0"/>
        <v>3.8729999999999998</v>
      </c>
      <c r="O28" s="86">
        <f t="shared" si="1"/>
        <v>34.682267269270682</v>
      </c>
    </row>
    <row r="29" spans="1:16">
      <c r="A29" s="991" t="s">
        <v>667</v>
      </c>
      <c r="B29" s="991"/>
      <c r="C29" s="991"/>
      <c r="D29" s="80">
        <v>565</v>
      </c>
      <c r="E29" s="80" t="s">
        <v>1036</v>
      </c>
      <c r="F29" s="86">
        <f>ROUND((+D29*N3),0)/100000</f>
        <v>5.2578399999999998</v>
      </c>
      <c r="G29" s="87">
        <f>525784/100000</f>
        <v>5.2578399999999998</v>
      </c>
      <c r="H29" s="86">
        <v>0</v>
      </c>
      <c r="I29" s="86">
        <v>0</v>
      </c>
      <c r="J29" s="86">
        <f>275093/100000</f>
        <v>2.7509299999999999</v>
      </c>
      <c r="K29" s="86">
        <f>250691/100000</f>
        <v>2.50691</v>
      </c>
      <c r="L29" s="86">
        <v>0</v>
      </c>
      <c r="M29" s="86">
        <v>0</v>
      </c>
      <c r="N29" s="87">
        <f t="shared" si="0"/>
        <v>5.2578399999999998</v>
      </c>
      <c r="O29" s="86">
        <f t="shared" si="1"/>
        <v>100</v>
      </c>
    </row>
    <row r="30" spans="1:16">
      <c r="A30" s="991" t="s">
        <v>1039</v>
      </c>
      <c r="B30" s="991"/>
      <c r="C30" s="991"/>
      <c r="D30" s="47">
        <v>1000</v>
      </c>
      <c r="E30" s="80" t="s">
        <v>1036</v>
      </c>
      <c r="F30" s="86">
        <f>+D30*N3/100000</f>
        <v>9.3059100000000008</v>
      </c>
      <c r="G30" s="87">
        <f>930591/100000</f>
        <v>9.3059100000000008</v>
      </c>
      <c r="H30" s="86">
        <f>20000/100000</f>
        <v>0.2</v>
      </c>
      <c r="I30" s="86">
        <f>80000/100000</f>
        <v>0.8</v>
      </c>
      <c r="J30" s="86">
        <v>0</v>
      </c>
      <c r="K30" s="86">
        <v>0</v>
      </c>
      <c r="L30" s="86">
        <f>170000/100000</f>
        <v>1.7</v>
      </c>
      <c r="M30" s="86">
        <f>107523/100000</f>
        <v>1.0752299999999999</v>
      </c>
      <c r="N30" s="88">
        <f t="shared" si="0"/>
        <v>3.7752300000000001</v>
      </c>
      <c r="O30" s="86">
        <f t="shared" si="1"/>
        <v>40.568090600489363</v>
      </c>
    </row>
    <row r="31" spans="1:16">
      <c r="A31" s="991" t="s">
        <v>1040</v>
      </c>
      <c r="B31" s="991"/>
      <c r="C31" s="991"/>
      <c r="D31" s="80">
        <v>2750</v>
      </c>
      <c r="E31" s="80" t="s">
        <v>242</v>
      </c>
      <c r="F31" s="87">
        <v>1.92</v>
      </c>
      <c r="G31" s="87">
        <f>192000/100000</f>
        <v>1.92</v>
      </c>
      <c r="H31" s="86">
        <f>4593/100000</f>
        <v>4.5929999999999999E-2</v>
      </c>
      <c r="I31" s="86">
        <f>31432/100000</f>
        <v>0.31431999999999999</v>
      </c>
      <c r="J31" s="86">
        <f>29268/100000</f>
        <v>0.29268</v>
      </c>
      <c r="K31" s="86">
        <f>24639/100000</f>
        <v>0.24639</v>
      </c>
      <c r="L31" s="86">
        <f>46525/100000</f>
        <v>0.46525</v>
      </c>
      <c r="M31" s="86">
        <f>34508/100000</f>
        <v>0.34508</v>
      </c>
      <c r="N31" s="88">
        <f t="shared" si="0"/>
        <v>1.7096500000000001</v>
      </c>
      <c r="O31" s="86">
        <f t="shared" si="1"/>
        <v>89.044270833333343</v>
      </c>
    </row>
    <row r="32" spans="1:16">
      <c r="A32" s="1006" t="s">
        <v>230</v>
      </c>
      <c r="B32" s="1007"/>
      <c r="C32" s="1008"/>
      <c r="D32" s="69"/>
      <c r="E32" s="69"/>
      <c r="F32" s="90">
        <f>SUM(F24:F31)</f>
        <v>109.46812000000001</v>
      </c>
      <c r="G32" s="90">
        <f>SUM(G24:G31)</f>
        <v>106.79689999999999</v>
      </c>
      <c r="H32" s="90">
        <f t="shared" ref="H32:M32" si="2">SUM(H24:H31)</f>
        <v>0.39778999999999998</v>
      </c>
      <c r="I32" s="90">
        <f t="shared" si="2"/>
        <v>10.150820000000001</v>
      </c>
      <c r="J32" s="90">
        <f t="shared" si="2"/>
        <v>17.466170000000002</v>
      </c>
      <c r="K32" s="90">
        <f t="shared" si="2"/>
        <v>37.793879999999994</v>
      </c>
      <c r="L32" s="90">
        <f t="shared" si="2"/>
        <v>24.385170000000002</v>
      </c>
      <c r="M32" s="90">
        <f t="shared" si="2"/>
        <v>3.0329299999999999</v>
      </c>
      <c r="N32" s="90">
        <f>SUM(N24:N31)</f>
        <v>93.226759999999999</v>
      </c>
      <c r="O32" s="88">
        <f t="shared" si="1"/>
        <v>87.293507583085272</v>
      </c>
    </row>
  </sheetData>
  <mergeCells count="52">
    <mergeCell ref="A4:C4"/>
    <mergeCell ref="A1:Q1"/>
    <mergeCell ref="A2:Q2"/>
    <mergeCell ref="A3:C3"/>
    <mergeCell ref="D3:F3"/>
    <mergeCell ref="G3:I3"/>
    <mergeCell ref="J3:K3"/>
    <mergeCell ref="L3:M3"/>
    <mergeCell ref="O3:P3"/>
    <mergeCell ref="A5:C5"/>
    <mergeCell ref="D5:F5"/>
    <mergeCell ref="G5:I5"/>
    <mergeCell ref="J5:L5"/>
    <mergeCell ref="A7:C7"/>
    <mergeCell ref="D7:F7"/>
    <mergeCell ref="G7:I7"/>
    <mergeCell ref="J7:L8"/>
    <mergeCell ref="D10:E10"/>
    <mergeCell ref="F10:G10"/>
    <mergeCell ref="H10:I10"/>
    <mergeCell ref="J10:K10"/>
    <mergeCell ref="D11:E11"/>
    <mergeCell ref="F11:G11"/>
    <mergeCell ref="H11:I11"/>
    <mergeCell ref="J11:K11"/>
    <mergeCell ref="D12:E12"/>
    <mergeCell ref="F12:G12"/>
    <mergeCell ref="H12:I12"/>
    <mergeCell ref="J12:K12"/>
    <mergeCell ref="D13:E13"/>
    <mergeCell ref="F13:G13"/>
    <mergeCell ref="H13:I13"/>
    <mergeCell ref="J13:K13"/>
    <mergeCell ref="D14:E14"/>
    <mergeCell ref="F14:G14"/>
    <mergeCell ref="A17:B17"/>
    <mergeCell ref="A21:B21"/>
    <mergeCell ref="A22:C23"/>
    <mergeCell ref="D22:D23"/>
    <mergeCell ref="E22:E23"/>
    <mergeCell ref="F22:F23"/>
    <mergeCell ref="G22:G23"/>
    <mergeCell ref="A29:C29"/>
    <mergeCell ref="A30:C30"/>
    <mergeCell ref="A31:C31"/>
    <mergeCell ref="A32:C32"/>
    <mergeCell ref="H22:O22"/>
    <mergeCell ref="A24:C24"/>
    <mergeCell ref="A25:C25"/>
    <mergeCell ref="A26:C26"/>
    <mergeCell ref="A27:C27"/>
    <mergeCell ref="A28:C28"/>
  </mergeCells>
  <hyperlinks>
    <hyperlink ref="A4" location="'Fact Sheet of VDC'!A1" display="&lt;&lt;Back"/>
  </hyperlinks>
  <pageMargins left="0.7" right="0.7" top="0.75" bottom="0.75" header="0.3" footer="0.3"/>
  <pageSetup scale="6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455</v>
      </c>
      <c r="H6" t="s">
        <v>437</v>
      </c>
      <c r="K6" t="s">
        <v>5712</v>
      </c>
      <c r="R6" t="s">
        <v>172</v>
      </c>
      <c r="T6">
        <v>514</v>
      </c>
      <c r="U6" t="s">
        <v>436</v>
      </c>
      <c r="W6">
        <v>40</v>
      </c>
    </row>
    <row r="9" spans="1:23">
      <c r="A9" t="s">
        <v>435</v>
      </c>
      <c r="D9" t="s">
        <v>454</v>
      </c>
      <c r="H9" t="s">
        <v>176</v>
      </c>
      <c r="K9" t="s">
        <v>453</v>
      </c>
    </row>
    <row r="12" spans="1:23">
      <c r="A12" t="s">
        <v>432</v>
      </c>
      <c r="H12" t="s">
        <v>431</v>
      </c>
      <c r="K12" t="s">
        <v>452</v>
      </c>
    </row>
    <row r="13" spans="1:23">
      <c r="H13" t="s">
        <v>429</v>
      </c>
    </row>
    <row r="17" spans="1:24">
      <c r="A17" t="s">
        <v>428</v>
      </c>
      <c r="D17" t="s">
        <v>451</v>
      </c>
      <c r="G17" t="s">
        <v>450</v>
      </c>
      <c r="K17" t="s">
        <v>449</v>
      </c>
    </row>
    <row r="18" spans="1:24">
      <c r="A18" t="s">
        <v>425</v>
      </c>
      <c r="D18" t="s">
        <v>443</v>
      </c>
      <c r="G18" t="s">
        <v>448</v>
      </c>
      <c r="K18" t="s">
        <v>447</v>
      </c>
    </row>
    <row r="19" spans="1:24">
      <c r="A19" t="s">
        <v>192</v>
      </c>
      <c r="D19" t="s">
        <v>446</v>
      </c>
      <c r="G19" t="s">
        <v>445</v>
      </c>
      <c r="K19" t="s">
        <v>444</v>
      </c>
    </row>
    <row r="20" spans="1:24">
      <c r="A20" t="s">
        <v>420</v>
      </c>
      <c r="D20" t="s">
        <v>443</v>
      </c>
      <c r="G20" t="s">
        <v>442</v>
      </c>
      <c r="K20" t="s">
        <v>419</v>
      </c>
      <c r="O20" t="s">
        <v>419</v>
      </c>
    </row>
    <row r="23" spans="1:24">
      <c r="A23" t="s">
        <v>198</v>
      </c>
      <c r="E23">
        <v>3</v>
      </c>
      <c r="G23" t="s">
        <v>418</v>
      </c>
      <c r="J23">
        <v>3</v>
      </c>
      <c r="L23" t="s">
        <v>200</v>
      </c>
      <c r="N23">
        <v>4</v>
      </c>
      <c r="S23" t="s">
        <v>417</v>
      </c>
      <c r="U23">
        <v>3</v>
      </c>
      <c r="W23" t="s">
        <v>202</v>
      </c>
      <c r="X23">
        <v>20</v>
      </c>
    </row>
    <row r="26" spans="1:24">
      <c r="A26" t="s">
        <v>416</v>
      </c>
      <c r="D26" t="s">
        <v>204</v>
      </c>
      <c r="E26">
        <v>53</v>
      </c>
      <c r="G26" t="s">
        <v>205</v>
      </c>
      <c r="H26">
        <v>16</v>
      </c>
      <c r="J26" t="s">
        <v>415</v>
      </c>
      <c r="K26">
        <v>0</v>
      </c>
      <c r="M26" t="s">
        <v>230</v>
      </c>
      <c r="N26">
        <f>E26+H26+K26</f>
        <v>69</v>
      </c>
      <c r="S26" t="s">
        <v>414</v>
      </c>
      <c r="T26">
        <v>12</v>
      </c>
      <c r="V26" t="s">
        <v>441</v>
      </c>
    </row>
    <row r="27" spans="1:24">
      <c r="A27" t="s">
        <v>412</v>
      </c>
      <c r="D27" t="s">
        <v>210</v>
      </c>
      <c r="E27">
        <v>127</v>
      </c>
      <c r="G27" t="s">
        <v>211</v>
      </c>
      <c r="H27">
        <v>29</v>
      </c>
      <c r="J27" t="s">
        <v>212</v>
      </c>
      <c r="K27">
        <v>0</v>
      </c>
      <c r="M27" t="s">
        <v>411</v>
      </c>
      <c r="N27">
        <f>E27+H27+K27</f>
        <v>156</v>
      </c>
    </row>
    <row r="28" spans="1:24">
      <c r="D28" t="s">
        <v>213</v>
      </c>
      <c r="E28">
        <v>148</v>
      </c>
      <c r="G28" t="s">
        <v>214</v>
      </c>
      <c r="H28">
        <v>27</v>
      </c>
      <c r="J28" t="s">
        <v>215</v>
      </c>
      <c r="K28">
        <v>0</v>
      </c>
      <c r="M28" t="s">
        <v>410</v>
      </c>
      <c r="N28">
        <f>E28+H28+K28</f>
        <v>175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41.12</v>
      </c>
      <c r="G37">
        <v>4092000</v>
      </c>
      <c r="J37">
        <v>95117</v>
      </c>
      <c r="L37">
        <f>2232783-161586</f>
        <v>2071197</v>
      </c>
      <c r="N37">
        <v>1109790</v>
      </c>
      <c r="S37">
        <v>625891</v>
      </c>
      <c r="U37">
        <v>209795</v>
      </c>
      <c r="X37">
        <f t="shared" ref="X37:X45" si="0">J37+L37+N37+S37+U37+W37</f>
        <v>4111790</v>
      </c>
      <c r="Y37">
        <f t="shared" ref="Y37:Y44" si="1">X37*100/G37</f>
        <v>100.4836265884653</v>
      </c>
    </row>
    <row r="38" spans="1:25">
      <c r="A38" t="s">
        <v>234</v>
      </c>
      <c r="D38">
        <v>7000</v>
      </c>
      <c r="E38" t="str">
        <f>+E37</f>
        <v>Hectare</v>
      </c>
      <c r="F38">
        <v>2.8</v>
      </c>
      <c r="G38">
        <v>280000</v>
      </c>
      <c r="J38">
        <v>0</v>
      </c>
      <c r="L38">
        <v>25092</v>
      </c>
      <c r="N38">
        <v>83161</v>
      </c>
      <c r="S38">
        <v>161768</v>
      </c>
      <c r="U38">
        <v>29259</v>
      </c>
      <c r="X38">
        <f t="shared" si="0"/>
        <v>299280</v>
      </c>
      <c r="Y38">
        <f t="shared" si="1"/>
        <v>106.88571428571429</v>
      </c>
    </row>
    <row r="39" spans="1:25">
      <c r="A39" t="s">
        <v>397</v>
      </c>
      <c r="D39">
        <v>86</v>
      </c>
      <c r="E39" t="str">
        <f>+E38</f>
        <v>Hectare</v>
      </c>
      <c r="F39">
        <v>0.44</v>
      </c>
      <c r="G39">
        <v>43000</v>
      </c>
      <c r="J39">
        <v>3540</v>
      </c>
      <c r="L39">
        <v>250</v>
      </c>
      <c r="N39">
        <v>34800</v>
      </c>
      <c r="S39">
        <v>4699</v>
      </c>
      <c r="U39">
        <v>1595</v>
      </c>
      <c r="X39">
        <f t="shared" si="0"/>
        <v>44884</v>
      </c>
      <c r="Y39">
        <f t="shared" si="1"/>
        <v>104.38139534883722</v>
      </c>
    </row>
    <row r="40" spans="1:25">
      <c r="A40" t="s">
        <v>396</v>
      </c>
      <c r="D40">
        <v>68</v>
      </c>
      <c r="E40" t="str">
        <f>+E39</f>
        <v>Hectare</v>
      </c>
      <c r="F40">
        <v>0.35</v>
      </c>
      <c r="G40">
        <v>34000</v>
      </c>
      <c r="J40">
        <v>2780</v>
      </c>
      <c r="L40">
        <v>16109</v>
      </c>
      <c r="N40">
        <v>2888</v>
      </c>
      <c r="S40">
        <v>13937</v>
      </c>
      <c r="U40">
        <v>0</v>
      </c>
      <c r="X40">
        <f t="shared" si="0"/>
        <v>35714</v>
      </c>
      <c r="Y40">
        <f t="shared" si="1"/>
        <v>105.04117647058824</v>
      </c>
    </row>
    <row r="41" spans="1:25">
      <c r="A41" t="s">
        <v>238</v>
      </c>
      <c r="D41">
        <v>1200</v>
      </c>
      <c r="E41" t="str">
        <f>+E38</f>
        <v>Hectare</v>
      </c>
      <c r="F41">
        <v>6.17</v>
      </c>
      <c r="G41">
        <v>510000</v>
      </c>
      <c r="J41">
        <v>0</v>
      </c>
      <c r="L41">
        <v>24400</v>
      </c>
      <c r="N41">
        <v>46075</v>
      </c>
      <c r="S41">
        <v>357044</v>
      </c>
      <c r="U41">
        <v>37862</v>
      </c>
      <c r="X41">
        <f t="shared" si="0"/>
        <v>465381</v>
      </c>
      <c r="Y41">
        <f t="shared" si="1"/>
        <v>91.251176470588234</v>
      </c>
    </row>
    <row r="42" spans="1:25">
      <c r="A42" t="s">
        <v>395</v>
      </c>
      <c r="D42">
        <v>565</v>
      </c>
      <c r="E42" t="str">
        <f>+E38</f>
        <v>Hectare</v>
      </c>
      <c r="F42">
        <v>2.83</v>
      </c>
      <c r="G42">
        <v>255000</v>
      </c>
      <c r="J42">
        <v>0</v>
      </c>
      <c r="N42">
        <v>255000</v>
      </c>
      <c r="X42">
        <f t="shared" si="0"/>
        <v>255000</v>
      </c>
      <c r="Y42">
        <f t="shared" si="1"/>
        <v>100</v>
      </c>
    </row>
    <row r="43" spans="1:25">
      <c r="A43" t="s">
        <v>240</v>
      </c>
      <c r="D43">
        <v>1000</v>
      </c>
      <c r="E43" t="str">
        <f>+E41</f>
        <v>Hectare</v>
      </c>
      <c r="F43">
        <v>5.14</v>
      </c>
      <c r="G43">
        <v>514000</v>
      </c>
      <c r="J43">
        <v>159903</v>
      </c>
      <c r="L43">
        <v>21854</v>
      </c>
      <c r="N43">
        <v>15779</v>
      </c>
      <c r="S43">
        <v>16100</v>
      </c>
      <c r="U43">
        <v>398</v>
      </c>
      <c r="X43">
        <f t="shared" si="0"/>
        <v>214034</v>
      </c>
      <c r="Y43">
        <f t="shared" si="1"/>
        <v>41.640856031128408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132000</v>
      </c>
      <c r="J44">
        <v>23025</v>
      </c>
      <c r="L44">
        <v>26380</v>
      </c>
      <c r="N44">
        <v>39887</v>
      </c>
      <c r="S44">
        <v>22175</v>
      </c>
      <c r="U44">
        <v>22266</v>
      </c>
      <c r="X44">
        <f t="shared" si="0"/>
        <v>133733</v>
      </c>
      <c r="Y44">
        <f t="shared" si="1"/>
        <v>101.31287878787879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61.26</v>
      </c>
      <c r="G46">
        <f>SUM(G37:G45)</f>
        <v>5860000</v>
      </c>
      <c r="J46">
        <f>SUM(J37:J45)</f>
        <v>284365</v>
      </c>
      <c r="L46">
        <f>SUM(L37:L45)</f>
        <v>2185282</v>
      </c>
      <c r="N46">
        <f>SUM(N37:N45)</f>
        <v>1587380</v>
      </c>
      <c r="S46">
        <f>SUM(S37:S45)</f>
        <v>1201614</v>
      </c>
      <c r="U46">
        <f>SUM(U37:U45)</f>
        <v>301175</v>
      </c>
      <c r="X46">
        <f>SUM(X37:X45)</f>
        <v>5559816</v>
      </c>
      <c r="Y46">
        <f>SUM(Y37:Y45)</f>
        <v>750.99682398320056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>
  <dimension ref="A2:N33"/>
  <sheetViews>
    <sheetView workbookViewId="0">
      <selection activeCell="A5" sqref="A5:C5"/>
    </sheetView>
  </sheetViews>
  <sheetFormatPr defaultRowHeight="15"/>
  <cols>
    <col min="1" max="1" width="24.28515625" customWidth="1"/>
    <col min="2" max="2" width="12.5703125" bestFit="1" customWidth="1"/>
    <col min="3" max="3" width="13.42578125" customWidth="1"/>
    <col min="4" max="4" width="20.42578125" customWidth="1"/>
    <col min="5" max="5" width="9.42578125" bestFit="1" customWidth="1"/>
    <col min="6" max="6" width="9.5703125" bestFit="1" customWidth="1"/>
    <col min="7" max="7" width="9.42578125" bestFit="1" customWidth="1"/>
    <col min="8" max="8" width="9.5703125" bestFit="1" customWidth="1"/>
    <col min="9" max="9" width="9.42578125" bestFit="1" customWidth="1"/>
    <col min="10" max="10" width="9.5703125" bestFit="1" customWidth="1"/>
    <col min="11" max="12" width="9.42578125" bestFit="1" customWidth="1"/>
    <col min="13" max="13" width="10" bestFit="1" customWidth="1"/>
    <col min="14" max="14" width="10.5703125" bestFit="1" customWidth="1"/>
    <col min="257" max="257" width="24.28515625" customWidth="1"/>
    <col min="258" max="258" width="12.5703125" bestFit="1" customWidth="1"/>
    <col min="259" max="259" width="13.42578125" customWidth="1"/>
    <col min="260" max="260" width="20.42578125" customWidth="1"/>
    <col min="261" max="261" width="9.42578125" bestFit="1" customWidth="1"/>
    <col min="262" max="262" width="9.5703125" bestFit="1" customWidth="1"/>
    <col min="263" max="263" width="9.42578125" bestFit="1" customWidth="1"/>
    <col min="264" max="264" width="9.5703125" bestFit="1" customWidth="1"/>
    <col min="265" max="265" width="9.42578125" bestFit="1" customWidth="1"/>
    <col min="266" max="266" width="9.5703125" bestFit="1" customWidth="1"/>
    <col min="267" max="268" width="9.42578125" bestFit="1" customWidth="1"/>
    <col min="269" max="269" width="10" bestFit="1" customWidth="1"/>
    <col min="270" max="270" width="10.5703125" bestFit="1" customWidth="1"/>
    <col min="513" max="513" width="24.28515625" customWidth="1"/>
    <col min="514" max="514" width="12.5703125" bestFit="1" customWidth="1"/>
    <col min="515" max="515" width="13.42578125" customWidth="1"/>
    <col min="516" max="516" width="20.42578125" customWidth="1"/>
    <col min="517" max="517" width="9.42578125" bestFit="1" customWidth="1"/>
    <col min="518" max="518" width="9.5703125" bestFit="1" customWidth="1"/>
    <col min="519" max="519" width="9.42578125" bestFit="1" customWidth="1"/>
    <col min="520" max="520" width="9.5703125" bestFit="1" customWidth="1"/>
    <col min="521" max="521" width="9.42578125" bestFit="1" customWidth="1"/>
    <col min="522" max="522" width="9.5703125" bestFit="1" customWidth="1"/>
    <col min="523" max="524" width="9.42578125" bestFit="1" customWidth="1"/>
    <col min="525" max="525" width="10" bestFit="1" customWidth="1"/>
    <col min="526" max="526" width="10.5703125" bestFit="1" customWidth="1"/>
    <col min="769" max="769" width="24.28515625" customWidth="1"/>
    <col min="770" max="770" width="12.5703125" bestFit="1" customWidth="1"/>
    <col min="771" max="771" width="13.42578125" customWidth="1"/>
    <col min="772" max="772" width="20.42578125" customWidth="1"/>
    <col min="773" max="773" width="9.42578125" bestFit="1" customWidth="1"/>
    <col min="774" max="774" width="9.5703125" bestFit="1" customWidth="1"/>
    <col min="775" max="775" width="9.42578125" bestFit="1" customWidth="1"/>
    <col min="776" max="776" width="9.5703125" bestFit="1" customWidth="1"/>
    <col min="777" max="777" width="9.42578125" bestFit="1" customWidth="1"/>
    <col min="778" max="778" width="9.5703125" bestFit="1" customWidth="1"/>
    <col min="779" max="780" width="9.42578125" bestFit="1" customWidth="1"/>
    <col min="781" max="781" width="10" bestFit="1" customWidth="1"/>
    <col min="782" max="782" width="10.5703125" bestFit="1" customWidth="1"/>
    <col min="1025" max="1025" width="24.28515625" customWidth="1"/>
    <col min="1026" max="1026" width="12.5703125" bestFit="1" customWidth="1"/>
    <col min="1027" max="1027" width="13.42578125" customWidth="1"/>
    <col min="1028" max="1028" width="20.42578125" customWidth="1"/>
    <col min="1029" max="1029" width="9.42578125" bestFit="1" customWidth="1"/>
    <col min="1030" max="1030" width="9.5703125" bestFit="1" customWidth="1"/>
    <col min="1031" max="1031" width="9.42578125" bestFit="1" customWidth="1"/>
    <col min="1032" max="1032" width="9.5703125" bestFit="1" customWidth="1"/>
    <col min="1033" max="1033" width="9.42578125" bestFit="1" customWidth="1"/>
    <col min="1034" max="1034" width="9.5703125" bestFit="1" customWidth="1"/>
    <col min="1035" max="1036" width="9.42578125" bestFit="1" customWidth="1"/>
    <col min="1037" max="1037" width="10" bestFit="1" customWidth="1"/>
    <col min="1038" max="1038" width="10.5703125" bestFit="1" customWidth="1"/>
    <col min="1281" max="1281" width="24.28515625" customWidth="1"/>
    <col min="1282" max="1282" width="12.5703125" bestFit="1" customWidth="1"/>
    <col min="1283" max="1283" width="13.42578125" customWidth="1"/>
    <col min="1284" max="1284" width="20.42578125" customWidth="1"/>
    <col min="1285" max="1285" width="9.42578125" bestFit="1" customWidth="1"/>
    <col min="1286" max="1286" width="9.5703125" bestFit="1" customWidth="1"/>
    <col min="1287" max="1287" width="9.42578125" bestFit="1" customWidth="1"/>
    <col min="1288" max="1288" width="9.5703125" bestFit="1" customWidth="1"/>
    <col min="1289" max="1289" width="9.42578125" bestFit="1" customWidth="1"/>
    <col min="1290" max="1290" width="9.5703125" bestFit="1" customWidth="1"/>
    <col min="1291" max="1292" width="9.42578125" bestFit="1" customWidth="1"/>
    <col min="1293" max="1293" width="10" bestFit="1" customWidth="1"/>
    <col min="1294" max="1294" width="10.5703125" bestFit="1" customWidth="1"/>
    <col min="1537" max="1537" width="24.28515625" customWidth="1"/>
    <col min="1538" max="1538" width="12.5703125" bestFit="1" customWidth="1"/>
    <col min="1539" max="1539" width="13.42578125" customWidth="1"/>
    <col min="1540" max="1540" width="20.42578125" customWidth="1"/>
    <col min="1541" max="1541" width="9.42578125" bestFit="1" customWidth="1"/>
    <col min="1542" max="1542" width="9.5703125" bestFit="1" customWidth="1"/>
    <col min="1543" max="1543" width="9.42578125" bestFit="1" customWidth="1"/>
    <col min="1544" max="1544" width="9.5703125" bestFit="1" customWidth="1"/>
    <col min="1545" max="1545" width="9.42578125" bestFit="1" customWidth="1"/>
    <col min="1546" max="1546" width="9.5703125" bestFit="1" customWidth="1"/>
    <col min="1547" max="1548" width="9.42578125" bestFit="1" customWidth="1"/>
    <col min="1549" max="1549" width="10" bestFit="1" customWidth="1"/>
    <col min="1550" max="1550" width="10.5703125" bestFit="1" customWidth="1"/>
    <col min="1793" max="1793" width="24.28515625" customWidth="1"/>
    <col min="1794" max="1794" width="12.5703125" bestFit="1" customWidth="1"/>
    <col min="1795" max="1795" width="13.42578125" customWidth="1"/>
    <col min="1796" max="1796" width="20.42578125" customWidth="1"/>
    <col min="1797" max="1797" width="9.42578125" bestFit="1" customWidth="1"/>
    <col min="1798" max="1798" width="9.5703125" bestFit="1" customWidth="1"/>
    <col min="1799" max="1799" width="9.42578125" bestFit="1" customWidth="1"/>
    <col min="1800" max="1800" width="9.5703125" bestFit="1" customWidth="1"/>
    <col min="1801" max="1801" width="9.42578125" bestFit="1" customWidth="1"/>
    <col min="1802" max="1802" width="9.5703125" bestFit="1" customWidth="1"/>
    <col min="1803" max="1804" width="9.42578125" bestFit="1" customWidth="1"/>
    <col min="1805" max="1805" width="10" bestFit="1" customWidth="1"/>
    <col min="1806" max="1806" width="10.5703125" bestFit="1" customWidth="1"/>
    <col min="2049" max="2049" width="24.28515625" customWidth="1"/>
    <col min="2050" max="2050" width="12.5703125" bestFit="1" customWidth="1"/>
    <col min="2051" max="2051" width="13.42578125" customWidth="1"/>
    <col min="2052" max="2052" width="20.42578125" customWidth="1"/>
    <col min="2053" max="2053" width="9.42578125" bestFit="1" customWidth="1"/>
    <col min="2054" max="2054" width="9.5703125" bestFit="1" customWidth="1"/>
    <col min="2055" max="2055" width="9.42578125" bestFit="1" customWidth="1"/>
    <col min="2056" max="2056" width="9.5703125" bestFit="1" customWidth="1"/>
    <col min="2057" max="2057" width="9.42578125" bestFit="1" customWidth="1"/>
    <col min="2058" max="2058" width="9.5703125" bestFit="1" customWidth="1"/>
    <col min="2059" max="2060" width="9.42578125" bestFit="1" customWidth="1"/>
    <col min="2061" max="2061" width="10" bestFit="1" customWidth="1"/>
    <col min="2062" max="2062" width="10.5703125" bestFit="1" customWidth="1"/>
    <col min="2305" max="2305" width="24.28515625" customWidth="1"/>
    <col min="2306" max="2306" width="12.5703125" bestFit="1" customWidth="1"/>
    <col min="2307" max="2307" width="13.42578125" customWidth="1"/>
    <col min="2308" max="2308" width="20.42578125" customWidth="1"/>
    <col min="2309" max="2309" width="9.42578125" bestFit="1" customWidth="1"/>
    <col min="2310" max="2310" width="9.5703125" bestFit="1" customWidth="1"/>
    <col min="2311" max="2311" width="9.42578125" bestFit="1" customWidth="1"/>
    <col min="2312" max="2312" width="9.5703125" bestFit="1" customWidth="1"/>
    <col min="2313" max="2313" width="9.42578125" bestFit="1" customWidth="1"/>
    <col min="2314" max="2314" width="9.5703125" bestFit="1" customWidth="1"/>
    <col min="2315" max="2316" width="9.42578125" bestFit="1" customWidth="1"/>
    <col min="2317" max="2317" width="10" bestFit="1" customWidth="1"/>
    <col min="2318" max="2318" width="10.5703125" bestFit="1" customWidth="1"/>
    <col min="2561" max="2561" width="24.28515625" customWidth="1"/>
    <col min="2562" max="2562" width="12.5703125" bestFit="1" customWidth="1"/>
    <col min="2563" max="2563" width="13.42578125" customWidth="1"/>
    <col min="2564" max="2564" width="20.42578125" customWidth="1"/>
    <col min="2565" max="2565" width="9.42578125" bestFit="1" customWidth="1"/>
    <col min="2566" max="2566" width="9.5703125" bestFit="1" customWidth="1"/>
    <col min="2567" max="2567" width="9.42578125" bestFit="1" customWidth="1"/>
    <col min="2568" max="2568" width="9.5703125" bestFit="1" customWidth="1"/>
    <col min="2569" max="2569" width="9.42578125" bestFit="1" customWidth="1"/>
    <col min="2570" max="2570" width="9.5703125" bestFit="1" customWidth="1"/>
    <col min="2571" max="2572" width="9.42578125" bestFit="1" customWidth="1"/>
    <col min="2573" max="2573" width="10" bestFit="1" customWidth="1"/>
    <col min="2574" max="2574" width="10.5703125" bestFit="1" customWidth="1"/>
    <col min="2817" max="2817" width="24.28515625" customWidth="1"/>
    <col min="2818" max="2818" width="12.5703125" bestFit="1" customWidth="1"/>
    <col min="2819" max="2819" width="13.42578125" customWidth="1"/>
    <col min="2820" max="2820" width="20.42578125" customWidth="1"/>
    <col min="2821" max="2821" width="9.42578125" bestFit="1" customWidth="1"/>
    <col min="2822" max="2822" width="9.5703125" bestFit="1" customWidth="1"/>
    <col min="2823" max="2823" width="9.42578125" bestFit="1" customWidth="1"/>
    <col min="2824" max="2824" width="9.5703125" bestFit="1" customWidth="1"/>
    <col min="2825" max="2825" width="9.42578125" bestFit="1" customWidth="1"/>
    <col min="2826" max="2826" width="9.5703125" bestFit="1" customWidth="1"/>
    <col min="2827" max="2828" width="9.42578125" bestFit="1" customWidth="1"/>
    <col min="2829" max="2829" width="10" bestFit="1" customWidth="1"/>
    <col min="2830" max="2830" width="10.5703125" bestFit="1" customWidth="1"/>
    <col min="3073" max="3073" width="24.28515625" customWidth="1"/>
    <col min="3074" max="3074" width="12.5703125" bestFit="1" customWidth="1"/>
    <col min="3075" max="3075" width="13.42578125" customWidth="1"/>
    <col min="3076" max="3076" width="20.42578125" customWidth="1"/>
    <col min="3077" max="3077" width="9.42578125" bestFit="1" customWidth="1"/>
    <col min="3078" max="3078" width="9.5703125" bestFit="1" customWidth="1"/>
    <col min="3079" max="3079" width="9.42578125" bestFit="1" customWidth="1"/>
    <col min="3080" max="3080" width="9.5703125" bestFit="1" customWidth="1"/>
    <col min="3081" max="3081" width="9.42578125" bestFit="1" customWidth="1"/>
    <col min="3082" max="3082" width="9.5703125" bestFit="1" customWidth="1"/>
    <col min="3083" max="3084" width="9.42578125" bestFit="1" customWidth="1"/>
    <col min="3085" max="3085" width="10" bestFit="1" customWidth="1"/>
    <col min="3086" max="3086" width="10.5703125" bestFit="1" customWidth="1"/>
    <col min="3329" max="3329" width="24.28515625" customWidth="1"/>
    <col min="3330" max="3330" width="12.5703125" bestFit="1" customWidth="1"/>
    <col min="3331" max="3331" width="13.42578125" customWidth="1"/>
    <col min="3332" max="3332" width="20.42578125" customWidth="1"/>
    <col min="3333" max="3333" width="9.42578125" bestFit="1" customWidth="1"/>
    <col min="3334" max="3334" width="9.5703125" bestFit="1" customWidth="1"/>
    <col min="3335" max="3335" width="9.42578125" bestFit="1" customWidth="1"/>
    <col min="3336" max="3336" width="9.5703125" bestFit="1" customWidth="1"/>
    <col min="3337" max="3337" width="9.42578125" bestFit="1" customWidth="1"/>
    <col min="3338" max="3338" width="9.5703125" bestFit="1" customWidth="1"/>
    <col min="3339" max="3340" width="9.42578125" bestFit="1" customWidth="1"/>
    <col min="3341" max="3341" width="10" bestFit="1" customWidth="1"/>
    <col min="3342" max="3342" width="10.5703125" bestFit="1" customWidth="1"/>
    <col min="3585" max="3585" width="24.28515625" customWidth="1"/>
    <col min="3586" max="3586" width="12.5703125" bestFit="1" customWidth="1"/>
    <col min="3587" max="3587" width="13.42578125" customWidth="1"/>
    <col min="3588" max="3588" width="20.42578125" customWidth="1"/>
    <col min="3589" max="3589" width="9.42578125" bestFit="1" customWidth="1"/>
    <col min="3590" max="3590" width="9.5703125" bestFit="1" customWidth="1"/>
    <col min="3591" max="3591" width="9.42578125" bestFit="1" customWidth="1"/>
    <col min="3592" max="3592" width="9.5703125" bestFit="1" customWidth="1"/>
    <col min="3593" max="3593" width="9.42578125" bestFit="1" customWidth="1"/>
    <col min="3594" max="3594" width="9.5703125" bestFit="1" customWidth="1"/>
    <col min="3595" max="3596" width="9.42578125" bestFit="1" customWidth="1"/>
    <col min="3597" max="3597" width="10" bestFit="1" customWidth="1"/>
    <col min="3598" max="3598" width="10.5703125" bestFit="1" customWidth="1"/>
    <col min="3841" max="3841" width="24.28515625" customWidth="1"/>
    <col min="3842" max="3842" width="12.5703125" bestFit="1" customWidth="1"/>
    <col min="3843" max="3843" width="13.42578125" customWidth="1"/>
    <col min="3844" max="3844" width="20.42578125" customWidth="1"/>
    <col min="3845" max="3845" width="9.42578125" bestFit="1" customWidth="1"/>
    <col min="3846" max="3846" width="9.5703125" bestFit="1" customWidth="1"/>
    <col min="3847" max="3847" width="9.42578125" bestFit="1" customWidth="1"/>
    <col min="3848" max="3848" width="9.5703125" bestFit="1" customWidth="1"/>
    <col min="3849" max="3849" width="9.42578125" bestFit="1" customWidth="1"/>
    <col min="3850" max="3850" width="9.5703125" bestFit="1" customWidth="1"/>
    <col min="3851" max="3852" width="9.42578125" bestFit="1" customWidth="1"/>
    <col min="3853" max="3853" width="10" bestFit="1" customWidth="1"/>
    <col min="3854" max="3854" width="10.5703125" bestFit="1" customWidth="1"/>
    <col min="4097" max="4097" width="24.28515625" customWidth="1"/>
    <col min="4098" max="4098" width="12.5703125" bestFit="1" customWidth="1"/>
    <col min="4099" max="4099" width="13.42578125" customWidth="1"/>
    <col min="4100" max="4100" width="20.42578125" customWidth="1"/>
    <col min="4101" max="4101" width="9.42578125" bestFit="1" customWidth="1"/>
    <col min="4102" max="4102" width="9.5703125" bestFit="1" customWidth="1"/>
    <col min="4103" max="4103" width="9.42578125" bestFit="1" customWidth="1"/>
    <col min="4104" max="4104" width="9.5703125" bestFit="1" customWidth="1"/>
    <col min="4105" max="4105" width="9.42578125" bestFit="1" customWidth="1"/>
    <col min="4106" max="4106" width="9.5703125" bestFit="1" customWidth="1"/>
    <col min="4107" max="4108" width="9.42578125" bestFit="1" customWidth="1"/>
    <col min="4109" max="4109" width="10" bestFit="1" customWidth="1"/>
    <col min="4110" max="4110" width="10.5703125" bestFit="1" customWidth="1"/>
    <col min="4353" max="4353" width="24.28515625" customWidth="1"/>
    <col min="4354" max="4354" width="12.5703125" bestFit="1" customWidth="1"/>
    <col min="4355" max="4355" width="13.42578125" customWidth="1"/>
    <col min="4356" max="4356" width="20.42578125" customWidth="1"/>
    <col min="4357" max="4357" width="9.42578125" bestFit="1" customWidth="1"/>
    <col min="4358" max="4358" width="9.5703125" bestFit="1" customWidth="1"/>
    <col min="4359" max="4359" width="9.42578125" bestFit="1" customWidth="1"/>
    <col min="4360" max="4360" width="9.5703125" bestFit="1" customWidth="1"/>
    <col min="4361" max="4361" width="9.42578125" bestFit="1" customWidth="1"/>
    <col min="4362" max="4362" width="9.5703125" bestFit="1" customWidth="1"/>
    <col min="4363" max="4364" width="9.42578125" bestFit="1" customWidth="1"/>
    <col min="4365" max="4365" width="10" bestFit="1" customWidth="1"/>
    <col min="4366" max="4366" width="10.5703125" bestFit="1" customWidth="1"/>
    <col min="4609" max="4609" width="24.28515625" customWidth="1"/>
    <col min="4610" max="4610" width="12.5703125" bestFit="1" customWidth="1"/>
    <col min="4611" max="4611" width="13.42578125" customWidth="1"/>
    <col min="4612" max="4612" width="20.42578125" customWidth="1"/>
    <col min="4613" max="4613" width="9.42578125" bestFit="1" customWidth="1"/>
    <col min="4614" max="4614" width="9.5703125" bestFit="1" customWidth="1"/>
    <col min="4615" max="4615" width="9.42578125" bestFit="1" customWidth="1"/>
    <col min="4616" max="4616" width="9.5703125" bestFit="1" customWidth="1"/>
    <col min="4617" max="4617" width="9.42578125" bestFit="1" customWidth="1"/>
    <col min="4618" max="4618" width="9.5703125" bestFit="1" customWidth="1"/>
    <col min="4619" max="4620" width="9.42578125" bestFit="1" customWidth="1"/>
    <col min="4621" max="4621" width="10" bestFit="1" customWidth="1"/>
    <col min="4622" max="4622" width="10.5703125" bestFit="1" customWidth="1"/>
    <col min="4865" max="4865" width="24.28515625" customWidth="1"/>
    <col min="4866" max="4866" width="12.5703125" bestFit="1" customWidth="1"/>
    <col min="4867" max="4867" width="13.42578125" customWidth="1"/>
    <col min="4868" max="4868" width="20.42578125" customWidth="1"/>
    <col min="4869" max="4869" width="9.42578125" bestFit="1" customWidth="1"/>
    <col min="4870" max="4870" width="9.5703125" bestFit="1" customWidth="1"/>
    <col min="4871" max="4871" width="9.42578125" bestFit="1" customWidth="1"/>
    <col min="4872" max="4872" width="9.5703125" bestFit="1" customWidth="1"/>
    <col min="4873" max="4873" width="9.42578125" bestFit="1" customWidth="1"/>
    <col min="4874" max="4874" width="9.5703125" bestFit="1" customWidth="1"/>
    <col min="4875" max="4876" width="9.42578125" bestFit="1" customWidth="1"/>
    <col min="4877" max="4877" width="10" bestFit="1" customWidth="1"/>
    <col min="4878" max="4878" width="10.5703125" bestFit="1" customWidth="1"/>
    <col min="5121" max="5121" width="24.28515625" customWidth="1"/>
    <col min="5122" max="5122" width="12.5703125" bestFit="1" customWidth="1"/>
    <col min="5123" max="5123" width="13.42578125" customWidth="1"/>
    <col min="5124" max="5124" width="20.42578125" customWidth="1"/>
    <col min="5125" max="5125" width="9.42578125" bestFit="1" customWidth="1"/>
    <col min="5126" max="5126" width="9.5703125" bestFit="1" customWidth="1"/>
    <col min="5127" max="5127" width="9.42578125" bestFit="1" customWidth="1"/>
    <col min="5128" max="5128" width="9.5703125" bestFit="1" customWidth="1"/>
    <col min="5129" max="5129" width="9.42578125" bestFit="1" customWidth="1"/>
    <col min="5130" max="5130" width="9.5703125" bestFit="1" customWidth="1"/>
    <col min="5131" max="5132" width="9.42578125" bestFit="1" customWidth="1"/>
    <col min="5133" max="5133" width="10" bestFit="1" customWidth="1"/>
    <col min="5134" max="5134" width="10.5703125" bestFit="1" customWidth="1"/>
    <col min="5377" max="5377" width="24.28515625" customWidth="1"/>
    <col min="5378" max="5378" width="12.5703125" bestFit="1" customWidth="1"/>
    <col min="5379" max="5379" width="13.42578125" customWidth="1"/>
    <col min="5380" max="5380" width="20.42578125" customWidth="1"/>
    <col min="5381" max="5381" width="9.42578125" bestFit="1" customWidth="1"/>
    <col min="5382" max="5382" width="9.5703125" bestFit="1" customWidth="1"/>
    <col min="5383" max="5383" width="9.42578125" bestFit="1" customWidth="1"/>
    <col min="5384" max="5384" width="9.5703125" bestFit="1" customWidth="1"/>
    <col min="5385" max="5385" width="9.42578125" bestFit="1" customWidth="1"/>
    <col min="5386" max="5386" width="9.5703125" bestFit="1" customWidth="1"/>
    <col min="5387" max="5388" width="9.42578125" bestFit="1" customWidth="1"/>
    <col min="5389" max="5389" width="10" bestFit="1" customWidth="1"/>
    <col min="5390" max="5390" width="10.5703125" bestFit="1" customWidth="1"/>
    <col min="5633" max="5633" width="24.28515625" customWidth="1"/>
    <col min="5634" max="5634" width="12.5703125" bestFit="1" customWidth="1"/>
    <col min="5635" max="5635" width="13.42578125" customWidth="1"/>
    <col min="5636" max="5636" width="20.42578125" customWidth="1"/>
    <col min="5637" max="5637" width="9.42578125" bestFit="1" customWidth="1"/>
    <col min="5638" max="5638" width="9.5703125" bestFit="1" customWidth="1"/>
    <col min="5639" max="5639" width="9.42578125" bestFit="1" customWidth="1"/>
    <col min="5640" max="5640" width="9.5703125" bestFit="1" customWidth="1"/>
    <col min="5641" max="5641" width="9.42578125" bestFit="1" customWidth="1"/>
    <col min="5642" max="5642" width="9.5703125" bestFit="1" customWidth="1"/>
    <col min="5643" max="5644" width="9.42578125" bestFit="1" customWidth="1"/>
    <col min="5645" max="5645" width="10" bestFit="1" customWidth="1"/>
    <col min="5646" max="5646" width="10.5703125" bestFit="1" customWidth="1"/>
    <col min="5889" max="5889" width="24.28515625" customWidth="1"/>
    <col min="5890" max="5890" width="12.5703125" bestFit="1" customWidth="1"/>
    <col min="5891" max="5891" width="13.42578125" customWidth="1"/>
    <col min="5892" max="5892" width="20.42578125" customWidth="1"/>
    <col min="5893" max="5893" width="9.42578125" bestFit="1" customWidth="1"/>
    <col min="5894" max="5894" width="9.5703125" bestFit="1" customWidth="1"/>
    <col min="5895" max="5895" width="9.42578125" bestFit="1" customWidth="1"/>
    <col min="5896" max="5896" width="9.5703125" bestFit="1" customWidth="1"/>
    <col min="5897" max="5897" width="9.42578125" bestFit="1" customWidth="1"/>
    <col min="5898" max="5898" width="9.5703125" bestFit="1" customWidth="1"/>
    <col min="5899" max="5900" width="9.42578125" bestFit="1" customWidth="1"/>
    <col min="5901" max="5901" width="10" bestFit="1" customWidth="1"/>
    <col min="5902" max="5902" width="10.5703125" bestFit="1" customWidth="1"/>
    <col min="6145" max="6145" width="24.28515625" customWidth="1"/>
    <col min="6146" max="6146" width="12.5703125" bestFit="1" customWidth="1"/>
    <col min="6147" max="6147" width="13.42578125" customWidth="1"/>
    <col min="6148" max="6148" width="20.42578125" customWidth="1"/>
    <col min="6149" max="6149" width="9.42578125" bestFit="1" customWidth="1"/>
    <col min="6150" max="6150" width="9.5703125" bestFit="1" customWidth="1"/>
    <col min="6151" max="6151" width="9.42578125" bestFit="1" customWidth="1"/>
    <col min="6152" max="6152" width="9.5703125" bestFit="1" customWidth="1"/>
    <col min="6153" max="6153" width="9.42578125" bestFit="1" customWidth="1"/>
    <col min="6154" max="6154" width="9.5703125" bestFit="1" customWidth="1"/>
    <col min="6155" max="6156" width="9.42578125" bestFit="1" customWidth="1"/>
    <col min="6157" max="6157" width="10" bestFit="1" customWidth="1"/>
    <col min="6158" max="6158" width="10.5703125" bestFit="1" customWidth="1"/>
    <col min="6401" max="6401" width="24.28515625" customWidth="1"/>
    <col min="6402" max="6402" width="12.5703125" bestFit="1" customWidth="1"/>
    <col min="6403" max="6403" width="13.42578125" customWidth="1"/>
    <col min="6404" max="6404" width="20.42578125" customWidth="1"/>
    <col min="6405" max="6405" width="9.42578125" bestFit="1" customWidth="1"/>
    <col min="6406" max="6406" width="9.5703125" bestFit="1" customWidth="1"/>
    <col min="6407" max="6407" width="9.42578125" bestFit="1" customWidth="1"/>
    <col min="6408" max="6408" width="9.5703125" bestFit="1" customWidth="1"/>
    <col min="6409" max="6409" width="9.42578125" bestFit="1" customWidth="1"/>
    <col min="6410" max="6410" width="9.5703125" bestFit="1" customWidth="1"/>
    <col min="6411" max="6412" width="9.42578125" bestFit="1" customWidth="1"/>
    <col min="6413" max="6413" width="10" bestFit="1" customWidth="1"/>
    <col min="6414" max="6414" width="10.5703125" bestFit="1" customWidth="1"/>
    <col min="6657" max="6657" width="24.28515625" customWidth="1"/>
    <col min="6658" max="6658" width="12.5703125" bestFit="1" customWidth="1"/>
    <col min="6659" max="6659" width="13.42578125" customWidth="1"/>
    <col min="6660" max="6660" width="20.42578125" customWidth="1"/>
    <col min="6661" max="6661" width="9.42578125" bestFit="1" customWidth="1"/>
    <col min="6662" max="6662" width="9.5703125" bestFit="1" customWidth="1"/>
    <col min="6663" max="6663" width="9.42578125" bestFit="1" customWidth="1"/>
    <col min="6664" max="6664" width="9.5703125" bestFit="1" customWidth="1"/>
    <col min="6665" max="6665" width="9.42578125" bestFit="1" customWidth="1"/>
    <col min="6666" max="6666" width="9.5703125" bestFit="1" customWidth="1"/>
    <col min="6667" max="6668" width="9.42578125" bestFit="1" customWidth="1"/>
    <col min="6669" max="6669" width="10" bestFit="1" customWidth="1"/>
    <col min="6670" max="6670" width="10.5703125" bestFit="1" customWidth="1"/>
    <col min="6913" max="6913" width="24.28515625" customWidth="1"/>
    <col min="6914" max="6914" width="12.5703125" bestFit="1" customWidth="1"/>
    <col min="6915" max="6915" width="13.42578125" customWidth="1"/>
    <col min="6916" max="6916" width="20.42578125" customWidth="1"/>
    <col min="6917" max="6917" width="9.42578125" bestFit="1" customWidth="1"/>
    <col min="6918" max="6918" width="9.5703125" bestFit="1" customWidth="1"/>
    <col min="6919" max="6919" width="9.42578125" bestFit="1" customWidth="1"/>
    <col min="6920" max="6920" width="9.5703125" bestFit="1" customWidth="1"/>
    <col min="6921" max="6921" width="9.42578125" bestFit="1" customWidth="1"/>
    <col min="6922" max="6922" width="9.5703125" bestFit="1" customWidth="1"/>
    <col min="6923" max="6924" width="9.42578125" bestFit="1" customWidth="1"/>
    <col min="6925" max="6925" width="10" bestFit="1" customWidth="1"/>
    <col min="6926" max="6926" width="10.5703125" bestFit="1" customWidth="1"/>
    <col min="7169" max="7169" width="24.28515625" customWidth="1"/>
    <col min="7170" max="7170" width="12.5703125" bestFit="1" customWidth="1"/>
    <col min="7171" max="7171" width="13.42578125" customWidth="1"/>
    <col min="7172" max="7172" width="20.42578125" customWidth="1"/>
    <col min="7173" max="7173" width="9.42578125" bestFit="1" customWidth="1"/>
    <col min="7174" max="7174" width="9.5703125" bestFit="1" customWidth="1"/>
    <col min="7175" max="7175" width="9.42578125" bestFit="1" customWidth="1"/>
    <col min="7176" max="7176" width="9.5703125" bestFit="1" customWidth="1"/>
    <col min="7177" max="7177" width="9.42578125" bestFit="1" customWidth="1"/>
    <col min="7178" max="7178" width="9.5703125" bestFit="1" customWidth="1"/>
    <col min="7179" max="7180" width="9.42578125" bestFit="1" customWidth="1"/>
    <col min="7181" max="7181" width="10" bestFit="1" customWidth="1"/>
    <col min="7182" max="7182" width="10.5703125" bestFit="1" customWidth="1"/>
    <col min="7425" max="7425" width="24.28515625" customWidth="1"/>
    <col min="7426" max="7426" width="12.5703125" bestFit="1" customWidth="1"/>
    <col min="7427" max="7427" width="13.42578125" customWidth="1"/>
    <col min="7428" max="7428" width="20.42578125" customWidth="1"/>
    <col min="7429" max="7429" width="9.42578125" bestFit="1" customWidth="1"/>
    <col min="7430" max="7430" width="9.5703125" bestFit="1" customWidth="1"/>
    <col min="7431" max="7431" width="9.42578125" bestFit="1" customWidth="1"/>
    <col min="7432" max="7432" width="9.5703125" bestFit="1" customWidth="1"/>
    <col min="7433" max="7433" width="9.42578125" bestFit="1" customWidth="1"/>
    <col min="7434" max="7434" width="9.5703125" bestFit="1" customWidth="1"/>
    <col min="7435" max="7436" width="9.42578125" bestFit="1" customWidth="1"/>
    <col min="7437" max="7437" width="10" bestFit="1" customWidth="1"/>
    <col min="7438" max="7438" width="10.5703125" bestFit="1" customWidth="1"/>
    <col min="7681" max="7681" width="24.28515625" customWidth="1"/>
    <col min="7682" max="7682" width="12.5703125" bestFit="1" customWidth="1"/>
    <col min="7683" max="7683" width="13.42578125" customWidth="1"/>
    <col min="7684" max="7684" width="20.42578125" customWidth="1"/>
    <col min="7685" max="7685" width="9.42578125" bestFit="1" customWidth="1"/>
    <col min="7686" max="7686" width="9.5703125" bestFit="1" customWidth="1"/>
    <col min="7687" max="7687" width="9.42578125" bestFit="1" customWidth="1"/>
    <col min="7688" max="7688" width="9.5703125" bestFit="1" customWidth="1"/>
    <col min="7689" max="7689" width="9.42578125" bestFit="1" customWidth="1"/>
    <col min="7690" max="7690" width="9.5703125" bestFit="1" customWidth="1"/>
    <col min="7691" max="7692" width="9.42578125" bestFit="1" customWidth="1"/>
    <col min="7693" max="7693" width="10" bestFit="1" customWidth="1"/>
    <col min="7694" max="7694" width="10.5703125" bestFit="1" customWidth="1"/>
    <col min="7937" max="7937" width="24.28515625" customWidth="1"/>
    <col min="7938" max="7938" width="12.5703125" bestFit="1" customWidth="1"/>
    <col min="7939" max="7939" width="13.42578125" customWidth="1"/>
    <col min="7940" max="7940" width="20.42578125" customWidth="1"/>
    <col min="7941" max="7941" width="9.42578125" bestFit="1" customWidth="1"/>
    <col min="7942" max="7942" width="9.5703125" bestFit="1" customWidth="1"/>
    <col min="7943" max="7943" width="9.42578125" bestFit="1" customWidth="1"/>
    <col min="7944" max="7944" width="9.5703125" bestFit="1" customWidth="1"/>
    <col min="7945" max="7945" width="9.42578125" bestFit="1" customWidth="1"/>
    <col min="7946" max="7946" width="9.5703125" bestFit="1" customWidth="1"/>
    <col min="7947" max="7948" width="9.42578125" bestFit="1" customWidth="1"/>
    <col min="7949" max="7949" width="10" bestFit="1" customWidth="1"/>
    <col min="7950" max="7950" width="10.5703125" bestFit="1" customWidth="1"/>
    <col min="8193" max="8193" width="24.28515625" customWidth="1"/>
    <col min="8194" max="8194" width="12.5703125" bestFit="1" customWidth="1"/>
    <col min="8195" max="8195" width="13.42578125" customWidth="1"/>
    <col min="8196" max="8196" width="20.42578125" customWidth="1"/>
    <col min="8197" max="8197" width="9.42578125" bestFit="1" customWidth="1"/>
    <col min="8198" max="8198" width="9.5703125" bestFit="1" customWidth="1"/>
    <col min="8199" max="8199" width="9.42578125" bestFit="1" customWidth="1"/>
    <col min="8200" max="8200" width="9.5703125" bestFit="1" customWidth="1"/>
    <col min="8201" max="8201" width="9.42578125" bestFit="1" customWidth="1"/>
    <col min="8202" max="8202" width="9.5703125" bestFit="1" customWidth="1"/>
    <col min="8203" max="8204" width="9.42578125" bestFit="1" customWidth="1"/>
    <col min="8205" max="8205" width="10" bestFit="1" customWidth="1"/>
    <col min="8206" max="8206" width="10.5703125" bestFit="1" customWidth="1"/>
    <col min="8449" max="8449" width="24.28515625" customWidth="1"/>
    <col min="8450" max="8450" width="12.5703125" bestFit="1" customWidth="1"/>
    <col min="8451" max="8451" width="13.42578125" customWidth="1"/>
    <col min="8452" max="8452" width="20.42578125" customWidth="1"/>
    <col min="8453" max="8453" width="9.42578125" bestFit="1" customWidth="1"/>
    <col min="8454" max="8454" width="9.5703125" bestFit="1" customWidth="1"/>
    <col min="8455" max="8455" width="9.42578125" bestFit="1" customWidth="1"/>
    <col min="8456" max="8456" width="9.5703125" bestFit="1" customWidth="1"/>
    <col min="8457" max="8457" width="9.42578125" bestFit="1" customWidth="1"/>
    <col min="8458" max="8458" width="9.5703125" bestFit="1" customWidth="1"/>
    <col min="8459" max="8460" width="9.42578125" bestFit="1" customWidth="1"/>
    <col min="8461" max="8461" width="10" bestFit="1" customWidth="1"/>
    <col min="8462" max="8462" width="10.5703125" bestFit="1" customWidth="1"/>
    <col min="8705" max="8705" width="24.28515625" customWidth="1"/>
    <col min="8706" max="8706" width="12.5703125" bestFit="1" customWidth="1"/>
    <col min="8707" max="8707" width="13.42578125" customWidth="1"/>
    <col min="8708" max="8708" width="20.42578125" customWidth="1"/>
    <col min="8709" max="8709" width="9.42578125" bestFit="1" customWidth="1"/>
    <col min="8710" max="8710" width="9.5703125" bestFit="1" customWidth="1"/>
    <col min="8711" max="8711" width="9.42578125" bestFit="1" customWidth="1"/>
    <col min="8712" max="8712" width="9.5703125" bestFit="1" customWidth="1"/>
    <col min="8713" max="8713" width="9.42578125" bestFit="1" customWidth="1"/>
    <col min="8714" max="8714" width="9.5703125" bestFit="1" customWidth="1"/>
    <col min="8715" max="8716" width="9.42578125" bestFit="1" customWidth="1"/>
    <col min="8717" max="8717" width="10" bestFit="1" customWidth="1"/>
    <col min="8718" max="8718" width="10.5703125" bestFit="1" customWidth="1"/>
    <col min="8961" max="8961" width="24.28515625" customWidth="1"/>
    <col min="8962" max="8962" width="12.5703125" bestFit="1" customWidth="1"/>
    <col min="8963" max="8963" width="13.42578125" customWidth="1"/>
    <col min="8964" max="8964" width="20.42578125" customWidth="1"/>
    <col min="8965" max="8965" width="9.42578125" bestFit="1" customWidth="1"/>
    <col min="8966" max="8966" width="9.5703125" bestFit="1" customWidth="1"/>
    <col min="8967" max="8967" width="9.42578125" bestFit="1" customWidth="1"/>
    <col min="8968" max="8968" width="9.5703125" bestFit="1" customWidth="1"/>
    <col min="8969" max="8969" width="9.42578125" bestFit="1" customWidth="1"/>
    <col min="8970" max="8970" width="9.5703125" bestFit="1" customWidth="1"/>
    <col min="8971" max="8972" width="9.42578125" bestFit="1" customWidth="1"/>
    <col min="8973" max="8973" width="10" bestFit="1" customWidth="1"/>
    <col min="8974" max="8974" width="10.5703125" bestFit="1" customWidth="1"/>
    <col min="9217" max="9217" width="24.28515625" customWidth="1"/>
    <col min="9218" max="9218" width="12.5703125" bestFit="1" customWidth="1"/>
    <col min="9219" max="9219" width="13.42578125" customWidth="1"/>
    <col min="9220" max="9220" width="20.42578125" customWidth="1"/>
    <col min="9221" max="9221" width="9.42578125" bestFit="1" customWidth="1"/>
    <col min="9222" max="9222" width="9.5703125" bestFit="1" customWidth="1"/>
    <col min="9223" max="9223" width="9.42578125" bestFit="1" customWidth="1"/>
    <col min="9224" max="9224" width="9.5703125" bestFit="1" customWidth="1"/>
    <col min="9225" max="9225" width="9.42578125" bestFit="1" customWidth="1"/>
    <col min="9226" max="9226" width="9.5703125" bestFit="1" customWidth="1"/>
    <col min="9227" max="9228" width="9.42578125" bestFit="1" customWidth="1"/>
    <col min="9229" max="9229" width="10" bestFit="1" customWidth="1"/>
    <col min="9230" max="9230" width="10.5703125" bestFit="1" customWidth="1"/>
    <col min="9473" max="9473" width="24.28515625" customWidth="1"/>
    <col min="9474" max="9474" width="12.5703125" bestFit="1" customWidth="1"/>
    <col min="9475" max="9475" width="13.42578125" customWidth="1"/>
    <col min="9476" max="9476" width="20.42578125" customWidth="1"/>
    <col min="9477" max="9477" width="9.42578125" bestFit="1" customWidth="1"/>
    <col min="9478" max="9478" width="9.5703125" bestFit="1" customWidth="1"/>
    <col min="9479" max="9479" width="9.42578125" bestFit="1" customWidth="1"/>
    <col min="9480" max="9480" width="9.5703125" bestFit="1" customWidth="1"/>
    <col min="9481" max="9481" width="9.42578125" bestFit="1" customWidth="1"/>
    <col min="9482" max="9482" width="9.5703125" bestFit="1" customWidth="1"/>
    <col min="9483" max="9484" width="9.42578125" bestFit="1" customWidth="1"/>
    <col min="9485" max="9485" width="10" bestFit="1" customWidth="1"/>
    <col min="9486" max="9486" width="10.5703125" bestFit="1" customWidth="1"/>
    <col min="9729" max="9729" width="24.28515625" customWidth="1"/>
    <col min="9730" max="9730" width="12.5703125" bestFit="1" customWidth="1"/>
    <col min="9731" max="9731" width="13.42578125" customWidth="1"/>
    <col min="9732" max="9732" width="20.42578125" customWidth="1"/>
    <col min="9733" max="9733" width="9.42578125" bestFit="1" customWidth="1"/>
    <col min="9734" max="9734" width="9.5703125" bestFit="1" customWidth="1"/>
    <col min="9735" max="9735" width="9.42578125" bestFit="1" customWidth="1"/>
    <col min="9736" max="9736" width="9.5703125" bestFit="1" customWidth="1"/>
    <col min="9737" max="9737" width="9.42578125" bestFit="1" customWidth="1"/>
    <col min="9738" max="9738" width="9.5703125" bestFit="1" customWidth="1"/>
    <col min="9739" max="9740" width="9.42578125" bestFit="1" customWidth="1"/>
    <col min="9741" max="9741" width="10" bestFit="1" customWidth="1"/>
    <col min="9742" max="9742" width="10.5703125" bestFit="1" customWidth="1"/>
    <col min="9985" max="9985" width="24.28515625" customWidth="1"/>
    <col min="9986" max="9986" width="12.5703125" bestFit="1" customWidth="1"/>
    <col min="9987" max="9987" width="13.42578125" customWidth="1"/>
    <col min="9988" max="9988" width="20.42578125" customWidth="1"/>
    <col min="9989" max="9989" width="9.42578125" bestFit="1" customWidth="1"/>
    <col min="9990" max="9990" width="9.5703125" bestFit="1" customWidth="1"/>
    <col min="9991" max="9991" width="9.42578125" bestFit="1" customWidth="1"/>
    <col min="9992" max="9992" width="9.5703125" bestFit="1" customWidth="1"/>
    <col min="9993" max="9993" width="9.42578125" bestFit="1" customWidth="1"/>
    <col min="9994" max="9994" width="9.5703125" bestFit="1" customWidth="1"/>
    <col min="9995" max="9996" width="9.42578125" bestFit="1" customWidth="1"/>
    <col min="9997" max="9997" width="10" bestFit="1" customWidth="1"/>
    <col min="9998" max="9998" width="10.5703125" bestFit="1" customWidth="1"/>
    <col min="10241" max="10241" width="24.28515625" customWidth="1"/>
    <col min="10242" max="10242" width="12.5703125" bestFit="1" customWidth="1"/>
    <col min="10243" max="10243" width="13.42578125" customWidth="1"/>
    <col min="10244" max="10244" width="20.42578125" customWidth="1"/>
    <col min="10245" max="10245" width="9.42578125" bestFit="1" customWidth="1"/>
    <col min="10246" max="10246" width="9.5703125" bestFit="1" customWidth="1"/>
    <col min="10247" max="10247" width="9.42578125" bestFit="1" customWidth="1"/>
    <col min="10248" max="10248" width="9.5703125" bestFit="1" customWidth="1"/>
    <col min="10249" max="10249" width="9.42578125" bestFit="1" customWidth="1"/>
    <col min="10250" max="10250" width="9.5703125" bestFit="1" customWidth="1"/>
    <col min="10251" max="10252" width="9.42578125" bestFit="1" customWidth="1"/>
    <col min="10253" max="10253" width="10" bestFit="1" customWidth="1"/>
    <col min="10254" max="10254" width="10.5703125" bestFit="1" customWidth="1"/>
    <col min="10497" max="10497" width="24.28515625" customWidth="1"/>
    <col min="10498" max="10498" width="12.5703125" bestFit="1" customWidth="1"/>
    <col min="10499" max="10499" width="13.42578125" customWidth="1"/>
    <col min="10500" max="10500" width="20.42578125" customWidth="1"/>
    <col min="10501" max="10501" width="9.42578125" bestFit="1" customWidth="1"/>
    <col min="10502" max="10502" width="9.5703125" bestFit="1" customWidth="1"/>
    <col min="10503" max="10503" width="9.42578125" bestFit="1" customWidth="1"/>
    <col min="10504" max="10504" width="9.5703125" bestFit="1" customWidth="1"/>
    <col min="10505" max="10505" width="9.42578125" bestFit="1" customWidth="1"/>
    <col min="10506" max="10506" width="9.5703125" bestFit="1" customWidth="1"/>
    <col min="10507" max="10508" width="9.42578125" bestFit="1" customWidth="1"/>
    <col min="10509" max="10509" width="10" bestFit="1" customWidth="1"/>
    <col min="10510" max="10510" width="10.5703125" bestFit="1" customWidth="1"/>
    <col min="10753" max="10753" width="24.28515625" customWidth="1"/>
    <col min="10754" max="10754" width="12.5703125" bestFit="1" customWidth="1"/>
    <col min="10755" max="10755" width="13.42578125" customWidth="1"/>
    <col min="10756" max="10756" width="20.42578125" customWidth="1"/>
    <col min="10757" max="10757" width="9.42578125" bestFit="1" customWidth="1"/>
    <col min="10758" max="10758" width="9.5703125" bestFit="1" customWidth="1"/>
    <col min="10759" max="10759" width="9.42578125" bestFit="1" customWidth="1"/>
    <col min="10760" max="10760" width="9.5703125" bestFit="1" customWidth="1"/>
    <col min="10761" max="10761" width="9.42578125" bestFit="1" customWidth="1"/>
    <col min="10762" max="10762" width="9.5703125" bestFit="1" customWidth="1"/>
    <col min="10763" max="10764" width="9.42578125" bestFit="1" customWidth="1"/>
    <col min="10765" max="10765" width="10" bestFit="1" customWidth="1"/>
    <col min="10766" max="10766" width="10.5703125" bestFit="1" customWidth="1"/>
    <col min="11009" max="11009" width="24.28515625" customWidth="1"/>
    <col min="11010" max="11010" width="12.5703125" bestFit="1" customWidth="1"/>
    <col min="11011" max="11011" width="13.42578125" customWidth="1"/>
    <col min="11012" max="11012" width="20.42578125" customWidth="1"/>
    <col min="11013" max="11013" width="9.42578125" bestFit="1" customWidth="1"/>
    <col min="11014" max="11014" width="9.5703125" bestFit="1" customWidth="1"/>
    <col min="11015" max="11015" width="9.42578125" bestFit="1" customWidth="1"/>
    <col min="11016" max="11016" width="9.5703125" bestFit="1" customWidth="1"/>
    <col min="11017" max="11017" width="9.42578125" bestFit="1" customWidth="1"/>
    <col min="11018" max="11018" width="9.5703125" bestFit="1" customWidth="1"/>
    <col min="11019" max="11020" width="9.42578125" bestFit="1" customWidth="1"/>
    <col min="11021" max="11021" width="10" bestFit="1" customWidth="1"/>
    <col min="11022" max="11022" width="10.5703125" bestFit="1" customWidth="1"/>
    <col min="11265" max="11265" width="24.28515625" customWidth="1"/>
    <col min="11266" max="11266" width="12.5703125" bestFit="1" customWidth="1"/>
    <col min="11267" max="11267" width="13.42578125" customWidth="1"/>
    <col min="11268" max="11268" width="20.42578125" customWidth="1"/>
    <col min="11269" max="11269" width="9.42578125" bestFit="1" customWidth="1"/>
    <col min="11270" max="11270" width="9.5703125" bestFit="1" customWidth="1"/>
    <col min="11271" max="11271" width="9.42578125" bestFit="1" customWidth="1"/>
    <col min="11272" max="11272" width="9.5703125" bestFit="1" customWidth="1"/>
    <col min="11273" max="11273" width="9.42578125" bestFit="1" customWidth="1"/>
    <col min="11274" max="11274" width="9.5703125" bestFit="1" customWidth="1"/>
    <col min="11275" max="11276" width="9.42578125" bestFit="1" customWidth="1"/>
    <col min="11277" max="11277" width="10" bestFit="1" customWidth="1"/>
    <col min="11278" max="11278" width="10.5703125" bestFit="1" customWidth="1"/>
    <col min="11521" max="11521" width="24.28515625" customWidth="1"/>
    <col min="11522" max="11522" width="12.5703125" bestFit="1" customWidth="1"/>
    <col min="11523" max="11523" width="13.42578125" customWidth="1"/>
    <col min="11524" max="11524" width="20.42578125" customWidth="1"/>
    <col min="11525" max="11525" width="9.42578125" bestFit="1" customWidth="1"/>
    <col min="11526" max="11526" width="9.5703125" bestFit="1" customWidth="1"/>
    <col min="11527" max="11527" width="9.42578125" bestFit="1" customWidth="1"/>
    <col min="11528" max="11528" width="9.5703125" bestFit="1" customWidth="1"/>
    <col min="11529" max="11529" width="9.42578125" bestFit="1" customWidth="1"/>
    <col min="11530" max="11530" width="9.5703125" bestFit="1" customWidth="1"/>
    <col min="11531" max="11532" width="9.42578125" bestFit="1" customWidth="1"/>
    <col min="11533" max="11533" width="10" bestFit="1" customWidth="1"/>
    <col min="11534" max="11534" width="10.5703125" bestFit="1" customWidth="1"/>
    <col min="11777" max="11777" width="24.28515625" customWidth="1"/>
    <col min="11778" max="11778" width="12.5703125" bestFit="1" customWidth="1"/>
    <col min="11779" max="11779" width="13.42578125" customWidth="1"/>
    <col min="11780" max="11780" width="20.42578125" customWidth="1"/>
    <col min="11781" max="11781" width="9.42578125" bestFit="1" customWidth="1"/>
    <col min="11782" max="11782" width="9.5703125" bestFit="1" customWidth="1"/>
    <col min="11783" max="11783" width="9.42578125" bestFit="1" customWidth="1"/>
    <col min="11784" max="11784" width="9.5703125" bestFit="1" customWidth="1"/>
    <col min="11785" max="11785" width="9.42578125" bestFit="1" customWidth="1"/>
    <col min="11786" max="11786" width="9.5703125" bestFit="1" customWidth="1"/>
    <col min="11787" max="11788" width="9.42578125" bestFit="1" customWidth="1"/>
    <col min="11789" max="11789" width="10" bestFit="1" customWidth="1"/>
    <col min="11790" max="11790" width="10.5703125" bestFit="1" customWidth="1"/>
    <col min="12033" max="12033" width="24.28515625" customWidth="1"/>
    <col min="12034" max="12034" width="12.5703125" bestFit="1" customWidth="1"/>
    <col min="12035" max="12035" width="13.42578125" customWidth="1"/>
    <col min="12036" max="12036" width="20.42578125" customWidth="1"/>
    <col min="12037" max="12037" width="9.42578125" bestFit="1" customWidth="1"/>
    <col min="12038" max="12038" width="9.5703125" bestFit="1" customWidth="1"/>
    <col min="12039" max="12039" width="9.42578125" bestFit="1" customWidth="1"/>
    <col min="12040" max="12040" width="9.5703125" bestFit="1" customWidth="1"/>
    <col min="12041" max="12041" width="9.42578125" bestFit="1" customWidth="1"/>
    <col min="12042" max="12042" width="9.5703125" bestFit="1" customWidth="1"/>
    <col min="12043" max="12044" width="9.42578125" bestFit="1" customWidth="1"/>
    <col min="12045" max="12045" width="10" bestFit="1" customWidth="1"/>
    <col min="12046" max="12046" width="10.5703125" bestFit="1" customWidth="1"/>
    <col min="12289" max="12289" width="24.28515625" customWidth="1"/>
    <col min="12290" max="12290" width="12.5703125" bestFit="1" customWidth="1"/>
    <col min="12291" max="12291" width="13.42578125" customWidth="1"/>
    <col min="12292" max="12292" width="20.42578125" customWidth="1"/>
    <col min="12293" max="12293" width="9.42578125" bestFit="1" customWidth="1"/>
    <col min="12294" max="12294" width="9.5703125" bestFit="1" customWidth="1"/>
    <col min="12295" max="12295" width="9.42578125" bestFit="1" customWidth="1"/>
    <col min="12296" max="12296" width="9.5703125" bestFit="1" customWidth="1"/>
    <col min="12297" max="12297" width="9.42578125" bestFit="1" customWidth="1"/>
    <col min="12298" max="12298" width="9.5703125" bestFit="1" customWidth="1"/>
    <col min="12299" max="12300" width="9.42578125" bestFit="1" customWidth="1"/>
    <col min="12301" max="12301" width="10" bestFit="1" customWidth="1"/>
    <col min="12302" max="12302" width="10.5703125" bestFit="1" customWidth="1"/>
    <col min="12545" max="12545" width="24.28515625" customWidth="1"/>
    <col min="12546" max="12546" width="12.5703125" bestFit="1" customWidth="1"/>
    <col min="12547" max="12547" width="13.42578125" customWidth="1"/>
    <col min="12548" max="12548" width="20.42578125" customWidth="1"/>
    <col min="12549" max="12549" width="9.42578125" bestFit="1" customWidth="1"/>
    <col min="12550" max="12550" width="9.5703125" bestFit="1" customWidth="1"/>
    <col min="12551" max="12551" width="9.42578125" bestFit="1" customWidth="1"/>
    <col min="12552" max="12552" width="9.5703125" bestFit="1" customWidth="1"/>
    <col min="12553" max="12553" width="9.42578125" bestFit="1" customWidth="1"/>
    <col min="12554" max="12554" width="9.5703125" bestFit="1" customWidth="1"/>
    <col min="12555" max="12556" width="9.42578125" bestFit="1" customWidth="1"/>
    <col min="12557" max="12557" width="10" bestFit="1" customWidth="1"/>
    <col min="12558" max="12558" width="10.5703125" bestFit="1" customWidth="1"/>
    <col min="12801" max="12801" width="24.28515625" customWidth="1"/>
    <col min="12802" max="12802" width="12.5703125" bestFit="1" customWidth="1"/>
    <col min="12803" max="12803" width="13.42578125" customWidth="1"/>
    <col min="12804" max="12804" width="20.42578125" customWidth="1"/>
    <col min="12805" max="12805" width="9.42578125" bestFit="1" customWidth="1"/>
    <col min="12806" max="12806" width="9.5703125" bestFit="1" customWidth="1"/>
    <col min="12807" max="12807" width="9.42578125" bestFit="1" customWidth="1"/>
    <col min="12808" max="12808" width="9.5703125" bestFit="1" customWidth="1"/>
    <col min="12809" max="12809" width="9.42578125" bestFit="1" customWidth="1"/>
    <col min="12810" max="12810" width="9.5703125" bestFit="1" customWidth="1"/>
    <col min="12811" max="12812" width="9.42578125" bestFit="1" customWidth="1"/>
    <col min="12813" max="12813" width="10" bestFit="1" customWidth="1"/>
    <col min="12814" max="12814" width="10.5703125" bestFit="1" customWidth="1"/>
    <col min="13057" max="13057" width="24.28515625" customWidth="1"/>
    <col min="13058" max="13058" width="12.5703125" bestFit="1" customWidth="1"/>
    <col min="13059" max="13059" width="13.42578125" customWidth="1"/>
    <col min="13060" max="13060" width="20.42578125" customWidth="1"/>
    <col min="13061" max="13061" width="9.42578125" bestFit="1" customWidth="1"/>
    <col min="13062" max="13062" width="9.5703125" bestFit="1" customWidth="1"/>
    <col min="13063" max="13063" width="9.42578125" bestFit="1" customWidth="1"/>
    <col min="13064" max="13064" width="9.5703125" bestFit="1" customWidth="1"/>
    <col min="13065" max="13065" width="9.42578125" bestFit="1" customWidth="1"/>
    <col min="13066" max="13066" width="9.5703125" bestFit="1" customWidth="1"/>
    <col min="13067" max="13068" width="9.42578125" bestFit="1" customWidth="1"/>
    <col min="13069" max="13069" width="10" bestFit="1" customWidth="1"/>
    <col min="13070" max="13070" width="10.5703125" bestFit="1" customWidth="1"/>
    <col min="13313" max="13313" width="24.28515625" customWidth="1"/>
    <col min="13314" max="13314" width="12.5703125" bestFit="1" customWidth="1"/>
    <col min="13315" max="13315" width="13.42578125" customWidth="1"/>
    <col min="13316" max="13316" width="20.42578125" customWidth="1"/>
    <col min="13317" max="13317" width="9.42578125" bestFit="1" customWidth="1"/>
    <col min="13318" max="13318" width="9.5703125" bestFit="1" customWidth="1"/>
    <col min="13319" max="13319" width="9.42578125" bestFit="1" customWidth="1"/>
    <col min="13320" max="13320" width="9.5703125" bestFit="1" customWidth="1"/>
    <col min="13321" max="13321" width="9.42578125" bestFit="1" customWidth="1"/>
    <col min="13322" max="13322" width="9.5703125" bestFit="1" customWidth="1"/>
    <col min="13323" max="13324" width="9.42578125" bestFit="1" customWidth="1"/>
    <col min="13325" max="13325" width="10" bestFit="1" customWidth="1"/>
    <col min="13326" max="13326" width="10.5703125" bestFit="1" customWidth="1"/>
    <col min="13569" max="13569" width="24.28515625" customWidth="1"/>
    <col min="13570" max="13570" width="12.5703125" bestFit="1" customWidth="1"/>
    <col min="13571" max="13571" width="13.42578125" customWidth="1"/>
    <col min="13572" max="13572" width="20.42578125" customWidth="1"/>
    <col min="13573" max="13573" width="9.42578125" bestFit="1" customWidth="1"/>
    <col min="13574" max="13574" width="9.5703125" bestFit="1" customWidth="1"/>
    <col min="13575" max="13575" width="9.42578125" bestFit="1" customWidth="1"/>
    <col min="13576" max="13576" width="9.5703125" bestFit="1" customWidth="1"/>
    <col min="13577" max="13577" width="9.42578125" bestFit="1" customWidth="1"/>
    <col min="13578" max="13578" width="9.5703125" bestFit="1" customWidth="1"/>
    <col min="13579" max="13580" width="9.42578125" bestFit="1" customWidth="1"/>
    <col min="13581" max="13581" width="10" bestFit="1" customWidth="1"/>
    <col min="13582" max="13582" width="10.5703125" bestFit="1" customWidth="1"/>
    <col min="13825" max="13825" width="24.28515625" customWidth="1"/>
    <col min="13826" max="13826" width="12.5703125" bestFit="1" customWidth="1"/>
    <col min="13827" max="13827" width="13.42578125" customWidth="1"/>
    <col min="13828" max="13828" width="20.42578125" customWidth="1"/>
    <col min="13829" max="13829" width="9.42578125" bestFit="1" customWidth="1"/>
    <col min="13830" max="13830" width="9.5703125" bestFit="1" customWidth="1"/>
    <col min="13831" max="13831" width="9.42578125" bestFit="1" customWidth="1"/>
    <col min="13832" max="13832" width="9.5703125" bestFit="1" customWidth="1"/>
    <col min="13833" max="13833" width="9.42578125" bestFit="1" customWidth="1"/>
    <col min="13834" max="13834" width="9.5703125" bestFit="1" customWidth="1"/>
    <col min="13835" max="13836" width="9.42578125" bestFit="1" customWidth="1"/>
    <col min="13837" max="13837" width="10" bestFit="1" customWidth="1"/>
    <col min="13838" max="13838" width="10.5703125" bestFit="1" customWidth="1"/>
    <col min="14081" max="14081" width="24.28515625" customWidth="1"/>
    <col min="14082" max="14082" width="12.5703125" bestFit="1" customWidth="1"/>
    <col min="14083" max="14083" width="13.42578125" customWidth="1"/>
    <col min="14084" max="14084" width="20.42578125" customWidth="1"/>
    <col min="14085" max="14085" width="9.42578125" bestFit="1" customWidth="1"/>
    <col min="14086" max="14086" width="9.5703125" bestFit="1" customWidth="1"/>
    <col min="14087" max="14087" width="9.42578125" bestFit="1" customWidth="1"/>
    <col min="14088" max="14088" width="9.5703125" bestFit="1" customWidth="1"/>
    <col min="14089" max="14089" width="9.42578125" bestFit="1" customWidth="1"/>
    <col min="14090" max="14090" width="9.5703125" bestFit="1" customWidth="1"/>
    <col min="14091" max="14092" width="9.42578125" bestFit="1" customWidth="1"/>
    <col min="14093" max="14093" width="10" bestFit="1" customWidth="1"/>
    <col min="14094" max="14094" width="10.5703125" bestFit="1" customWidth="1"/>
    <col min="14337" max="14337" width="24.28515625" customWidth="1"/>
    <col min="14338" max="14338" width="12.5703125" bestFit="1" customWidth="1"/>
    <col min="14339" max="14339" width="13.42578125" customWidth="1"/>
    <col min="14340" max="14340" width="20.42578125" customWidth="1"/>
    <col min="14341" max="14341" width="9.42578125" bestFit="1" customWidth="1"/>
    <col min="14342" max="14342" width="9.5703125" bestFit="1" customWidth="1"/>
    <col min="14343" max="14343" width="9.42578125" bestFit="1" customWidth="1"/>
    <col min="14344" max="14344" width="9.5703125" bestFit="1" customWidth="1"/>
    <col min="14345" max="14345" width="9.42578125" bestFit="1" customWidth="1"/>
    <col min="14346" max="14346" width="9.5703125" bestFit="1" customWidth="1"/>
    <col min="14347" max="14348" width="9.42578125" bestFit="1" customWidth="1"/>
    <col min="14349" max="14349" width="10" bestFit="1" customWidth="1"/>
    <col min="14350" max="14350" width="10.5703125" bestFit="1" customWidth="1"/>
    <col min="14593" max="14593" width="24.28515625" customWidth="1"/>
    <col min="14594" max="14594" width="12.5703125" bestFit="1" customWidth="1"/>
    <col min="14595" max="14595" width="13.42578125" customWidth="1"/>
    <col min="14596" max="14596" width="20.42578125" customWidth="1"/>
    <col min="14597" max="14597" width="9.42578125" bestFit="1" customWidth="1"/>
    <col min="14598" max="14598" width="9.5703125" bestFit="1" customWidth="1"/>
    <col min="14599" max="14599" width="9.42578125" bestFit="1" customWidth="1"/>
    <col min="14600" max="14600" width="9.5703125" bestFit="1" customWidth="1"/>
    <col min="14601" max="14601" width="9.42578125" bestFit="1" customWidth="1"/>
    <col min="14602" max="14602" width="9.5703125" bestFit="1" customWidth="1"/>
    <col min="14603" max="14604" width="9.42578125" bestFit="1" customWidth="1"/>
    <col min="14605" max="14605" width="10" bestFit="1" customWidth="1"/>
    <col min="14606" max="14606" width="10.5703125" bestFit="1" customWidth="1"/>
    <col min="14849" max="14849" width="24.28515625" customWidth="1"/>
    <col min="14850" max="14850" width="12.5703125" bestFit="1" customWidth="1"/>
    <col min="14851" max="14851" width="13.42578125" customWidth="1"/>
    <col min="14852" max="14852" width="20.42578125" customWidth="1"/>
    <col min="14853" max="14853" width="9.42578125" bestFit="1" customWidth="1"/>
    <col min="14854" max="14854" width="9.5703125" bestFit="1" customWidth="1"/>
    <col min="14855" max="14855" width="9.42578125" bestFit="1" customWidth="1"/>
    <col min="14856" max="14856" width="9.5703125" bestFit="1" customWidth="1"/>
    <col min="14857" max="14857" width="9.42578125" bestFit="1" customWidth="1"/>
    <col min="14858" max="14858" width="9.5703125" bestFit="1" customWidth="1"/>
    <col min="14859" max="14860" width="9.42578125" bestFit="1" customWidth="1"/>
    <col min="14861" max="14861" width="10" bestFit="1" customWidth="1"/>
    <col min="14862" max="14862" width="10.5703125" bestFit="1" customWidth="1"/>
    <col min="15105" max="15105" width="24.28515625" customWidth="1"/>
    <col min="15106" max="15106" width="12.5703125" bestFit="1" customWidth="1"/>
    <col min="15107" max="15107" width="13.42578125" customWidth="1"/>
    <col min="15108" max="15108" width="20.42578125" customWidth="1"/>
    <col min="15109" max="15109" width="9.42578125" bestFit="1" customWidth="1"/>
    <col min="15110" max="15110" width="9.5703125" bestFit="1" customWidth="1"/>
    <col min="15111" max="15111" width="9.42578125" bestFit="1" customWidth="1"/>
    <col min="15112" max="15112" width="9.5703125" bestFit="1" customWidth="1"/>
    <col min="15113" max="15113" width="9.42578125" bestFit="1" customWidth="1"/>
    <col min="15114" max="15114" width="9.5703125" bestFit="1" customWidth="1"/>
    <col min="15115" max="15116" width="9.42578125" bestFit="1" customWidth="1"/>
    <col min="15117" max="15117" width="10" bestFit="1" customWidth="1"/>
    <col min="15118" max="15118" width="10.5703125" bestFit="1" customWidth="1"/>
    <col min="15361" max="15361" width="24.28515625" customWidth="1"/>
    <col min="15362" max="15362" width="12.5703125" bestFit="1" customWidth="1"/>
    <col min="15363" max="15363" width="13.42578125" customWidth="1"/>
    <col min="15364" max="15364" width="20.42578125" customWidth="1"/>
    <col min="15365" max="15365" width="9.42578125" bestFit="1" customWidth="1"/>
    <col min="15366" max="15366" width="9.5703125" bestFit="1" customWidth="1"/>
    <col min="15367" max="15367" width="9.42578125" bestFit="1" customWidth="1"/>
    <col min="15368" max="15368" width="9.5703125" bestFit="1" customWidth="1"/>
    <col min="15369" max="15369" width="9.42578125" bestFit="1" customWidth="1"/>
    <col min="15370" max="15370" width="9.5703125" bestFit="1" customWidth="1"/>
    <col min="15371" max="15372" width="9.42578125" bestFit="1" customWidth="1"/>
    <col min="15373" max="15373" width="10" bestFit="1" customWidth="1"/>
    <col min="15374" max="15374" width="10.5703125" bestFit="1" customWidth="1"/>
    <col min="15617" max="15617" width="24.28515625" customWidth="1"/>
    <col min="15618" max="15618" width="12.5703125" bestFit="1" customWidth="1"/>
    <col min="15619" max="15619" width="13.42578125" customWidth="1"/>
    <col min="15620" max="15620" width="20.42578125" customWidth="1"/>
    <col min="15621" max="15621" width="9.42578125" bestFit="1" customWidth="1"/>
    <col min="15622" max="15622" width="9.5703125" bestFit="1" customWidth="1"/>
    <col min="15623" max="15623" width="9.42578125" bestFit="1" customWidth="1"/>
    <col min="15624" max="15624" width="9.5703125" bestFit="1" customWidth="1"/>
    <col min="15625" max="15625" width="9.42578125" bestFit="1" customWidth="1"/>
    <col min="15626" max="15626" width="9.5703125" bestFit="1" customWidth="1"/>
    <col min="15627" max="15628" width="9.42578125" bestFit="1" customWidth="1"/>
    <col min="15629" max="15629" width="10" bestFit="1" customWidth="1"/>
    <col min="15630" max="15630" width="10.5703125" bestFit="1" customWidth="1"/>
    <col min="15873" max="15873" width="24.28515625" customWidth="1"/>
    <col min="15874" max="15874" width="12.5703125" bestFit="1" customWidth="1"/>
    <col min="15875" max="15875" width="13.42578125" customWidth="1"/>
    <col min="15876" max="15876" width="20.42578125" customWidth="1"/>
    <col min="15877" max="15877" width="9.42578125" bestFit="1" customWidth="1"/>
    <col min="15878" max="15878" width="9.5703125" bestFit="1" customWidth="1"/>
    <col min="15879" max="15879" width="9.42578125" bestFit="1" customWidth="1"/>
    <col min="15880" max="15880" width="9.5703125" bestFit="1" customWidth="1"/>
    <col min="15881" max="15881" width="9.42578125" bestFit="1" customWidth="1"/>
    <col min="15882" max="15882" width="9.5703125" bestFit="1" customWidth="1"/>
    <col min="15883" max="15884" width="9.42578125" bestFit="1" customWidth="1"/>
    <col min="15885" max="15885" width="10" bestFit="1" customWidth="1"/>
    <col min="15886" max="15886" width="10.5703125" bestFit="1" customWidth="1"/>
    <col min="16129" max="16129" width="24.28515625" customWidth="1"/>
    <col min="16130" max="16130" width="12.5703125" bestFit="1" customWidth="1"/>
    <col min="16131" max="16131" width="13.42578125" customWidth="1"/>
    <col min="16132" max="16132" width="20.42578125" customWidth="1"/>
    <col min="16133" max="16133" width="9.42578125" bestFit="1" customWidth="1"/>
    <col min="16134" max="16134" width="9.5703125" bestFit="1" customWidth="1"/>
    <col min="16135" max="16135" width="9.42578125" bestFit="1" customWidth="1"/>
    <col min="16136" max="16136" width="9.5703125" bestFit="1" customWidth="1"/>
    <col min="16137" max="16137" width="9.42578125" bestFit="1" customWidth="1"/>
    <col min="16138" max="16138" width="9.5703125" bestFit="1" customWidth="1"/>
    <col min="16139" max="16140" width="9.42578125" bestFit="1" customWidth="1"/>
    <col min="16141" max="16141" width="10" bestFit="1" customWidth="1"/>
    <col min="16142" max="16142" width="10.5703125" bestFit="1" customWidth="1"/>
  </cols>
  <sheetData>
    <row r="2" spans="1:13">
      <c r="A2" s="117"/>
      <c r="B2" s="1019" t="s">
        <v>1216</v>
      </c>
      <c r="C2" s="1019"/>
      <c r="D2" s="1019"/>
      <c r="E2" s="1019"/>
      <c r="F2" s="1019"/>
      <c r="G2" s="1019"/>
    </row>
    <row r="3" spans="1:13">
      <c r="A3" s="117"/>
      <c r="B3" s="1019" t="s">
        <v>1215</v>
      </c>
      <c r="C3" s="1019"/>
      <c r="D3" s="1019"/>
      <c r="E3" s="1019"/>
      <c r="F3" s="117"/>
      <c r="G3" s="117"/>
    </row>
    <row r="4" spans="1:13" ht="48.75">
      <c r="A4" s="112" t="s">
        <v>1214</v>
      </c>
      <c r="B4" s="103" t="s">
        <v>1213</v>
      </c>
      <c r="C4" s="112" t="s">
        <v>1212</v>
      </c>
      <c r="D4" s="5">
        <v>905200101</v>
      </c>
      <c r="E4" s="112" t="s">
        <v>1211</v>
      </c>
      <c r="F4" s="5">
        <v>763.68200000000002</v>
      </c>
      <c r="G4" s="112" t="s">
        <v>1210</v>
      </c>
      <c r="H4" s="103">
        <v>80</v>
      </c>
      <c r="I4" s="111"/>
      <c r="J4" s="111"/>
      <c r="K4" s="111"/>
      <c r="L4" s="111"/>
    </row>
    <row r="5" spans="1:13">
      <c r="A5" s="808" t="s">
        <v>4176</v>
      </c>
      <c r="B5" s="808"/>
      <c r="C5" s="808"/>
      <c r="D5" s="112"/>
      <c r="E5" s="112"/>
      <c r="F5" s="112"/>
      <c r="G5" s="112"/>
      <c r="H5" s="111"/>
      <c r="I5" s="111"/>
      <c r="J5" s="111"/>
      <c r="K5" s="111"/>
      <c r="L5" s="111"/>
    </row>
    <row r="6" spans="1:13" ht="24.75">
      <c r="A6" s="112" t="s">
        <v>832</v>
      </c>
      <c r="B6" s="103" t="s">
        <v>1209</v>
      </c>
      <c r="C6" s="112" t="s">
        <v>1208</v>
      </c>
      <c r="D6" s="112" t="s">
        <v>1207</v>
      </c>
      <c r="F6" s="112"/>
      <c r="G6" s="112"/>
      <c r="H6" s="111"/>
      <c r="I6" s="111"/>
      <c r="J6" s="111"/>
      <c r="K6" s="111"/>
      <c r="L6" s="111"/>
    </row>
    <row r="7" spans="1:13">
      <c r="A7" s="112"/>
      <c r="B7" s="111"/>
      <c r="C7" s="112"/>
      <c r="D7" s="112"/>
      <c r="E7" s="112"/>
      <c r="F7" s="112"/>
      <c r="G7" s="112"/>
      <c r="H7" s="111"/>
      <c r="I7" s="111"/>
      <c r="J7" s="111"/>
      <c r="K7" s="111"/>
      <c r="L7" s="111"/>
    </row>
    <row r="8" spans="1:13" ht="60.75">
      <c r="A8" s="112" t="s">
        <v>618</v>
      </c>
      <c r="B8" s="116" t="s">
        <v>1195</v>
      </c>
      <c r="C8" s="115" t="s">
        <v>1206</v>
      </c>
      <c r="D8" s="104" t="s">
        <v>1205</v>
      </c>
      <c r="E8" s="112"/>
      <c r="F8" s="112"/>
      <c r="G8" s="115"/>
      <c r="H8" s="111"/>
      <c r="I8" s="111"/>
      <c r="J8" s="111"/>
      <c r="K8" s="111"/>
      <c r="L8" s="111"/>
    </row>
    <row r="9" spans="1:13">
      <c r="A9" s="112"/>
      <c r="B9" s="111"/>
      <c r="C9" s="112"/>
      <c r="D9" s="112"/>
      <c r="E9" s="112"/>
      <c r="F9" s="112"/>
      <c r="G9" s="112"/>
      <c r="H9" s="111"/>
      <c r="I9" s="111"/>
      <c r="J9" s="111"/>
      <c r="K9" s="111"/>
      <c r="L9" s="111"/>
    </row>
    <row r="10" spans="1:13" ht="24.75">
      <c r="A10" s="104" t="s">
        <v>838</v>
      </c>
      <c r="B10" s="103" t="s">
        <v>1204</v>
      </c>
      <c r="C10" s="104"/>
      <c r="D10" s="104"/>
      <c r="E10" s="104"/>
      <c r="F10" s="104"/>
      <c r="G10" s="112"/>
      <c r="H10" s="111"/>
      <c r="I10" s="111"/>
      <c r="J10" s="111"/>
      <c r="K10" s="111"/>
      <c r="L10" s="111"/>
    </row>
    <row r="11" spans="1:13">
      <c r="A11" s="104" t="s">
        <v>1203</v>
      </c>
      <c r="B11" s="103" t="s">
        <v>1201</v>
      </c>
      <c r="C11" s="104"/>
      <c r="D11" s="104"/>
      <c r="E11" s="104"/>
      <c r="F11" s="104"/>
      <c r="G11" s="112"/>
      <c r="H11" s="111"/>
      <c r="I11" s="111"/>
      <c r="J11" s="111"/>
      <c r="K11" s="111"/>
      <c r="L11" s="111"/>
    </row>
    <row r="12" spans="1:13" ht="24.75">
      <c r="A12" s="104" t="s">
        <v>1202</v>
      </c>
      <c r="B12" s="103" t="s">
        <v>1201</v>
      </c>
      <c r="C12" s="104" t="s">
        <v>1200</v>
      </c>
      <c r="D12" s="104" t="s">
        <v>1199</v>
      </c>
      <c r="E12" s="104" t="s">
        <v>1198</v>
      </c>
      <c r="F12" s="114" t="s">
        <v>1197</v>
      </c>
      <c r="G12" s="112"/>
      <c r="H12" s="111"/>
      <c r="I12" s="111"/>
      <c r="J12" s="111"/>
      <c r="K12" s="111"/>
      <c r="L12" s="111"/>
    </row>
    <row r="13" spans="1:13" ht="24.75">
      <c r="A13" s="104" t="s">
        <v>1196</v>
      </c>
      <c r="B13" s="103" t="s">
        <v>1195</v>
      </c>
      <c r="C13" s="104"/>
      <c r="D13" s="104"/>
      <c r="E13" s="104"/>
      <c r="F13" s="104"/>
      <c r="G13" s="112"/>
      <c r="H13" s="111"/>
      <c r="I13" s="111"/>
      <c r="J13" s="111"/>
      <c r="K13" s="111"/>
      <c r="L13" s="111"/>
    </row>
    <row r="14" spans="1:13">
      <c r="A14" s="112"/>
      <c r="B14" s="111"/>
      <c r="C14" s="112"/>
      <c r="D14" s="112"/>
      <c r="E14" s="112"/>
      <c r="F14" s="112"/>
      <c r="G14" s="112"/>
      <c r="H14" s="111"/>
      <c r="I14" s="111"/>
      <c r="J14" s="111"/>
      <c r="K14" s="111"/>
      <c r="L14" s="111"/>
    </row>
    <row r="15" spans="1:13" ht="24.75">
      <c r="A15" s="112" t="s">
        <v>1194</v>
      </c>
      <c r="B15" s="104">
        <v>1</v>
      </c>
      <c r="C15" s="112" t="s">
        <v>1193</v>
      </c>
      <c r="D15" s="104">
        <v>1</v>
      </c>
      <c r="E15" s="112" t="s">
        <v>643</v>
      </c>
      <c r="F15" s="104">
        <v>5</v>
      </c>
      <c r="G15" s="112" t="s">
        <v>644</v>
      </c>
      <c r="H15" s="103">
        <v>1</v>
      </c>
      <c r="I15" s="111" t="s">
        <v>645</v>
      </c>
      <c r="J15" s="103">
        <f>10+16+32+158</f>
        <v>216</v>
      </c>
      <c r="K15" s="111"/>
      <c r="L15" s="111"/>
    </row>
    <row r="16" spans="1:13" ht="36.75">
      <c r="A16" s="112" t="s">
        <v>1192</v>
      </c>
      <c r="B16" s="111" t="s">
        <v>204</v>
      </c>
      <c r="C16" s="104">
        <v>66</v>
      </c>
      <c r="D16" s="112" t="s">
        <v>205</v>
      </c>
      <c r="E16" s="104">
        <v>0</v>
      </c>
      <c r="F16" s="112" t="s">
        <v>206</v>
      </c>
      <c r="G16" s="104">
        <v>0</v>
      </c>
      <c r="H16" s="111" t="s">
        <v>230</v>
      </c>
      <c r="I16" s="103">
        <f>G16+E16+C16</f>
        <v>66</v>
      </c>
      <c r="J16" s="111" t="s">
        <v>207</v>
      </c>
      <c r="K16" s="103">
        <v>43</v>
      </c>
      <c r="L16" s="112" t="s">
        <v>855</v>
      </c>
      <c r="M16" s="80">
        <v>33</v>
      </c>
    </row>
    <row r="17" spans="1:14" ht="24.75">
      <c r="A17" s="112" t="s">
        <v>1191</v>
      </c>
      <c r="B17" s="111" t="s">
        <v>210</v>
      </c>
      <c r="C17" s="104">
        <v>193</v>
      </c>
      <c r="D17" s="112" t="s">
        <v>211</v>
      </c>
      <c r="E17" s="104">
        <v>0</v>
      </c>
      <c r="F17" s="112" t="s">
        <v>212</v>
      </c>
      <c r="G17" s="104">
        <v>0</v>
      </c>
      <c r="H17" s="111" t="s">
        <v>411</v>
      </c>
      <c r="I17" s="103">
        <f>G17+E17+C17</f>
        <v>193</v>
      </c>
      <c r="J17" s="111"/>
      <c r="K17" s="103"/>
      <c r="L17" s="111"/>
    </row>
    <row r="18" spans="1:14" ht="24.75">
      <c r="A18" s="112"/>
      <c r="B18" s="111" t="s">
        <v>213</v>
      </c>
      <c r="C18" s="104">
        <v>173</v>
      </c>
      <c r="D18" s="112" t="s">
        <v>214</v>
      </c>
      <c r="E18" s="104">
        <v>0</v>
      </c>
      <c r="F18" s="112" t="s">
        <v>215</v>
      </c>
      <c r="G18" s="104">
        <v>0</v>
      </c>
      <c r="H18" s="111" t="s">
        <v>410</v>
      </c>
      <c r="I18" s="103">
        <f>G18+E18+C18</f>
        <v>173</v>
      </c>
      <c r="J18" s="111"/>
      <c r="K18" s="103"/>
      <c r="L18" s="111"/>
    </row>
    <row r="19" spans="1:14">
      <c r="A19" s="112"/>
      <c r="B19" s="111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>
      <c r="A20" s="113" t="s">
        <v>409</v>
      </c>
      <c r="B20" s="111"/>
      <c r="C20" s="112"/>
      <c r="D20" s="112"/>
      <c r="E20" s="112"/>
      <c r="F20" s="112"/>
      <c r="G20" s="112"/>
      <c r="H20" s="111"/>
      <c r="I20" s="111"/>
      <c r="J20" s="111"/>
      <c r="K20" s="111"/>
      <c r="L20" s="111"/>
    </row>
    <row r="21" spans="1:14" ht="15" customHeight="1">
      <c r="A21" s="1020" t="s">
        <v>1190</v>
      </c>
      <c r="B21" s="1021" t="s">
        <v>1189</v>
      </c>
      <c r="C21" s="1020" t="s">
        <v>1188</v>
      </c>
      <c r="D21" s="1020" t="s">
        <v>1187</v>
      </c>
      <c r="E21" s="1020" t="s">
        <v>1186</v>
      </c>
      <c r="F21" s="1022" t="s">
        <v>1185</v>
      </c>
      <c r="G21" s="1023"/>
      <c r="H21" s="1023"/>
      <c r="I21" s="1023"/>
      <c r="J21" s="1023"/>
      <c r="K21" s="1023"/>
      <c r="L21" s="1023"/>
      <c r="M21" s="1023"/>
      <c r="N21" s="1024"/>
    </row>
    <row r="22" spans="1:14" ht="21.75" customHeight="1">
      <c r="A22" s="1020"/>
      <c r="B22" s="1021"/>
      <c r="C22" s="1020"/>
      <c r="D22" s="1020"/>
      <c r="E22" s="1020"/>
      <c r="F22" s="104" t="s">
        <v>1184</v>
      </c>
      <c r="G22" s="104" t="s">
        <v>1183</v>
      </c>
      <c r="H22" s="104" t="s">
        <v>1182</v>
      </c>
      <c r="I22" s="103" t="s">
        <v>1181</v>
      </c>
      <c r="J22" s="103" t="s">
        <v>1180</v>
      </c>
      <c r="K22" s="103" t="s">
        <v>1179</v>
      </c>
      <c r="L22" s="103" t="s">
        <v>1178</v>
      </c>
      <c r="M22" s="110" t="s">
        <v>230</v>
      </c>
      <c r="N22" s="109" t="s">
        <v>231</v>
      </c>
    </row>
    <row r="23" spans="1:14">
      <c r="A23" s="104" t="s">
        <v>232</v>
      </c>
      <c r="B23" s="103">
        <v>8000</v>
      </c>
      <c r="C23" s="5" t="s">
        <v>1177</v>
      </c>
      <c r="D23" s="106">
        <f>+B23*F4/100000</f>
        <v>61.094560000000001</v>
      </c>
      <c r="E23" s="101">
        <f>6109456/100000</f>
        <v>61.094560000000001</v>
      </c>
      <c r="F23" s="100">
        <v>0</v>
      </c>
      <c r="G23" s="100">
        <f>14374/100000</f>
        <v>0.14374000000000001</v>
      </c>
      <c r="H23" s="100">
        <f>657545/100000</f>
        <v>6.57545</v>
      </c>
      <c r="I23" s="100">
        <f>1011191/100000</f>
        <v>10.11191</v>
      </c>
      <c r="J23" s="100">
        <f>2859985/100000</f>
        <v>28.59985</v>
      </c>
      <c r="K23" s="100">
        <f>1509823/100000</f>
        <v>15.098229999999999</v>
      </c>
      <c r="L23" s="100">
        <f>56538/100000</f>
        <v>0.56537999999999999</v>
      </c>
      <c r="M23" s="99">
        <f>SUM(F23:L23)</f>
        <v>61.094559999999994</v>
      </c>
      <c r="N23" s="98">
        <f>ROUND(M23/E23*100,0)</f>
        <v>100</v>
      </c>
    </row>
    <row r="24" spans="1:14" ht="24.75">
      <c r="A24" s="104" t="s">
        <v>234</v>
      </c>
      <c r="B24" s="103">
        <v>7000</v>
      </c>
      <c r="C24" s="102" t="s">
        <v>1175</v>
      </c>
      <c r="D24" s="106">
        <f>B24*80/100000</f>
        <v>5.6</v>
      </c>
      <c r="E24" s="108">
        <f>560000/100000</f>
        <v>5.6</v>
      </c>
      <c r="F24" s="100">
        <v>0</v>
      </c>
      <c r="G24" s="100">
        <v>0</v>
      </c>
      <c r="H24" s="100">
        <v>0</v>
      </c>
      <c r="I24" s="100">
        <v>0</v>
      </c>
      <c r="J24" s="100">
        <f>20420/100000</f>
        <v>0.20419999999999999</v>
      </c>
      <c r="K24" s="100">
        <f>253380/100000</f>
        <v>2.5337999999999998</v>
      </c>
      <c r="L24" s="100">
        <f>245724/100000</f>
        <v>2.4572400000000001</v>
      </c>
      <c r="M24" s="105">
        <f t="shared" ref="M24:M30" si="0">SUM(F24:L24)</f>
        <v>5.1952400000000001</v>
      </c>
      <c r="N24" s="98">
        <f t="shared" ref="N24:N30" si="1">ROUND(M24/E24*100,0)</f>
        <v>93</v>
      </c>
    </row>
    <row r="25" spans="1:14" ht="24.75">
      <c r="A25" s="104" t="s">
        <v>235</v>
      </c>
      <c r="B25" s="103">
        <v>86</v>
      </c>
      <c r="C25" s="102" t="s">
        <v>236</v>
      </c>
      <c r="D25" s="108">
        <v>0.43</v>
      </c>
      <c r="E25" s="108">
        <f>43000/100000</f>
        <v>0.43</v>
      </c>
      <c r="F25" s="100">
        <v>0</v>
      </c>
      <c r="G25" s="100">
        <v>0</v>
      </c>
      <c r="H25" s="100">
        <v>0</v>
      </c>
      <c r="I25" s="100">
        <f>18000/100000</f>
        <v>0.18</v>
      </c>
      <c r="J25" s="100">
        <f>15000/100000</f>
        <v>0.15</v>
      </c>
      <c r="K25" s="100">
        <f>10000/100000</f>
        <v>0.1</v>
      </c>
      <c r="L25" s="100">
        <f>20000/100000</f>
        <v>0.2</v>
      </c>
      <c r="M25" s="105">
        <f t="shared" si="0"/>
        <v>0.62999999999999989</v>
      </c>
      <c r="N25" s="98">
        <f t="shared" si="1"/>
        <v>147</v>
      </c>
    </row>
    <row r="26" spans="1:14" ht="24.75">
      <c r="A26" s="104" t="s">
        <v>237</v>
      </c>
      <c r="B26" s="103">
        <v>68</v>
      </c>
      <c r="C26" s="102" t="s">
        <v>236</v>
      </c>
      <c r="D26" s="108">
        <v>0.34</v>
      </c>
      <c r="E26" s="108">
        <f>34000/100000</f>
        <v>0.34</v>
      </c>
      <c r="F26" s="100">
        <v>0</v>
      </c>
      <c r="G26" s="100">
        <v>0</v>
      </c>
      <c r="H26" s="100">
        <v>0</v>
      </c>
      <c r="I26" s="100">
        <f>16224/100000</f>
        <v>0.16224</v>
      </c>
      <c r="J26" s="100">
        <f>11776/100000</f>
        <v>0.11776</v>
      </c>
      <c r="K26" s="100">
        <f>6000/100000</f>
        <v>0.06</v>
      </c>
      <c r="L26" s="100">
        <v>0</v>
      </c>
      <c r="M26" s="105">
        <f t="shared" si="0"/>
        <v>0.34</v>
      </c>
      <c r="N26" s="98">
        <f t="shared" si="1"/>
        <v>100</v>
      </c>
    </row>
    <row r="27" spans="1:14" ht="24.75">
      <c r="A27" s="104" t="s">
        <v>238</v>
      </c>
      <c r="B27" s="103">
        <v>1200</v>
      </c>
      <c r="C27" s="102" t="s">
        <v>1175</v>
      </c>
      <c r="D27" s="106">
        <f>ROUND((+B27*F4),0)/100000</f>
        <v>9.16418</v>
      </c>
      <c r="E27" s="108">
        <f>916418/100000</f>
        <v>9.16418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f>244584/100000</f>
        <v>2.44584</v>
      </c>
      <c r="L27" s="100">
        <f>443500/100000</f>
        <v>4.4349999999999996</v>
      </c>
      <c r="M27" s="105">
        <f t="shared" si="0"/>
        <v>6.8808399999999992</v>
      </c>
      <c r="N27" s="98">
        <f t="shared" si="1"/>
        <v>75</v>
      </c>
    </row>
    <row r="28" spans="1:14">
      <c r="A28" s="104" t="s">
        <v>667</v>
      </c>
      <c r="B28" s="103">
        <v>565</v>
      </c>
      <c r="C28" s="102" t="s">
        <v>1175</v>
      </c>
      <c r="D28" s="106">
        <f>ROUND((+B28*F4),0)/100000</f>
        <v>4.3148</v>
      </c>
      <c r="E28" s="106">
        <f>431480/100000</f>
        <v>4.3148</v>
      </c>
      <c r="F28" s="100">
        <v>0</v>
      </c>
      <c r="G28" s="100">
        <v>0</v>
      </c>
      <c r="H28" s="100">
        <v>0</v>
      </c>
      <c r="I28" s="100">
        <f>26725/100000</f>
        <v>0.26724999999999999</v>
      </c>
      <c r="J28" s="100">
        <f>404755/100000</f>
        <v>4.0475500000000002</v>
      </c>
      <c r="K28" s="100">
        <v>0</v>
      </c>
      <c r="L28" s="100">
        <v>0</v>
      </c>
      <c r="M28" s="107">
        <f t="shared" si="0"/>
        <v>4.3148</v>
      </c>
      <c r="N28" s="98">
        <f t="shared" si="1"/>
        <v>100</v>
      </c>
    </row>
    <row r="29" spans="1:14">
      <c r="A29" s="104" t="s">
        <v>1176</v>
      </c>
      <c r="B29" s="103">
        <v>1000</v>
      </c>
      <c r="C29" s="102" t="s">
        <v>1175</v>
      </c>
      <c r="D29" s="106">
        <f>ROUND((+B29*F4),0)/100000</f>
        <v>7.6368200000000002</v>
      </c>
      <c r="E29" s="101">
        <f>763682/100000</f>
        <v>7.6368200000000002</v>
      </c>
      <c r="F29" s="100">
        <v>0</v>
      </c>
      <c r="G29" s="100">
        <v>0</v>
      </c>
      <c r="H29" s="100">
        <f>25000/100000</f>
        <v>0.25</v>
      </c>
      <c r="I29" s="100">
        <f>75000/100000</f>
        <v>0.75</v>
      </c>
      <c r="J29" s="100">
        <v>0</v>
      </c>
      <c r="K29" s="100">
        <f>176578/100000</f>
        <v>1.7657799999999999</v>
      </c>
      <c r="L29" s="100">
        <f>368108/100000</f>
        <v>3.6810800000000001</v>
      </c>
      <c r="M29" s="105">
        <f t="shared" si="0"/>
        <v>6.44686</v>
      </c>
      <c r="N29" s="98">
        <f t="shared" si="1"/>
        <v>84</v>
      </c>
    </row>
    <row r="30" spans="1:14">
      <c r="A30" s="104" t="s">
        <v>394</v>
      </c>
      <c r="B30" s="103">
        <v>2750</v>
      </c>
      <c r="C30" s="102" t="s">
        <v>242</v>
      </c>
      <c r="D30" s="101">
        <v>1.92</v>
      </c>
      <c r="E30" s="101">
        <f>192000/100000</f>
        <v>1.92</v>
      </c>
      <c r="F30" s="100">
        <v>0</v>
      </c>
      <c r="G30" s="100">
        <v>0</v>
      </c>
      <c r="H30" s="100">
        <f>30185/100000</f>
        <v>0.30185000000000001</v>
      </c>
      <c r="I30" s="100">
        <f>62778/100000</f>
        <v>0.62778</v>
      </c>
      <c r="J30" s="100">
        <f>33037/100000</f>
        <v>0.33037</v>
      </c>
      <c r="K30" s="100">
        <f>27500/100000</f>
        <v>0.27500000000000002</v>
      </c>
      <c r="L30" s="100">
        <f>35330/100000</f>
        <v>0.3533</v>
      </c>
      <c r="M30" s="99">
        <f t="shared" si="0"/>
        <v>1.8883000000000001</v>
      </c>
      <c r="N30" s="98">
        <f t="shared" si="1"/>
        <v>98</v>
      </c>
    </row>
    <row r="31" spans="1:14">
      <c r="A31" s="97" t="s">
        <v>230</v>
      </c>
      <c r="B31" s="96"/>
      <c r="C31" s="95"/>
      <c r="D31" s="94">
        <f t="shared" ref="D31:M31" si="2">SUM(D23:D30)</f>
        <v>90.500360000000015</v>
      </c>
      <c r="E31" s="93">
        <f t="shared" si="2"/>
        <v>90.500360000000015</v>
      </c>
      <c r="F31" s="92">
        <f t="shared" si="2"/>
        <v>0</v>
      </c>
      <c r="G31" s="92">
        <f t="shared" si="2"/>
        <v>0.14374000000000001</v>
      </c>
      <c r="H31" s="92">
        <f t="shared" si="2"/>
        <v>7.1273</v>
      </c>
      <c r="I31" s="92">
        <f t="shared" si="2"/>
        <v>12.09918</v>
      </c>
      <c r="J31" s="92">
        <f t="shared" si="2"/>
        <v>33.449730000000002</v>
      </c>
      <c r="K31" s="92">
        <f t="shared" si="2"/>
        <v>22.278649999999999</v>
      </c>
      <c r="L31" s="92">
        <f t="shared" si="2"/>
        <v>11.692</v>
      </c>
      <c r="M31" s="92">
        <f t="shared" si="2"/>
        <v>86.790599999999998</v>
      </c>
      <c r="N31" s="91">
        <f>ROUND(M31/E31*100,0)</f>
        <v>96</v>
      </c>
    </row>
    <row r="33" spans="1:14" ht="22.5" customHeight="1">
      <c r="A33" s="1018" t="s">
        <v>1217</v>
      </c>
      <c r="B33" s="1018"/>
      <c r="C33" s="1018"/>
      <c r="D33" s="1018"/>
      <c r="E33" s="1018"/>
      <c r="F33" s="1018"/>
      <c r="G33" s="1018"/>
      <c r="H33" s="1018"/>
      <c r="I33" s="1018"/>
      <c r="J33" s="1018"/>
      <c r="K33" s="1018"/>
      <c r="L33" s="1018"/>
      <c r="M33" s="1018"/>
      <c r="N33" s="541"/>
    </row>
  </sheetData>
  <mergeCells count="10">
    <mergeCell ref="A33:M33"/>
    <mergeCell ref="B2:G2"/>
    <mergeCell ref="B3:E3"/>
    <mergeCell ref="A21:A22"/>
    <mergeCell ref="B21:B22"/>
    <mergeCell ref="C21:C22"/>
    <mergeCell ref="D21:D22"/>
    <mergeCell ref="E21:E22"/>
    <mergeCell ref="F21:N21"/>
    <mergeCell ref="A5:C5"/>
  </mergeCells>
  <hyperlinks>
    <hyperlink ref="A5" location="'Fact Sheet of VDC'!A1" display="&lt;&lt;Back"/>
  </hyperlinks>
  <pageMargins left="0.82" right="0.13" top="0.21" bottom="0.56000000000000005" header="0.17" footer="0.5"/>
  <pageSetup paperSize="9" scale="64" orientation="landscape" verticalDpi="3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dimension ref="A2:N32"/>
  <sheetViews>
    <sheetView workbookViewId="0">
      <selection activeCell="A5" sqref="A5:C5"/>
    </sheetView>
  </sheetViews>
  <sheetFormatPr defaultRowHeight="15"/>
  <cols>
    <col min="1" max="1" width="17.85546875" bestFit="1" customWidth="1"/>
    <col min="2" max="2" width="16.7109375" customWidth="1"/>
    <col min="3" max="3" width="13.28515625" customWidth="1"/>
    <col min="4" max="4" width="16.5703125" customWidth="1"/>
    <col min="5" max="5" width="9.85546875" customWidth="1"/>
    <col min="6" max="7" width="8.5703125" customWidth="1"/>
    <col min="8" max="13" width="10.140625" bestFit="1" customWidth="1"/>
    <col min="14" max="14" width="11.140625" bestFit="1" customWidth="1"/>
    <col min="257" max="257" width="17.85546875" bestFit="1" customWidth="1"/>
    <col min="258" max="258" width="16.7109375" customWidth="1"/>
    <col min="259" max="259" width="13.28515625" customWidth="1"/>
    <col min="260" max="260" width="16.5703125" customWidth="1"/>
    <col min="261" max="261" width="9.85546875" customWidth="1"/>
    <col min="262" max="263" width="8.5703125" customWidth="1"/>
    <col min="264" max="269" width="10.140625" bestFit="1" customWidth="1"/>
    <col min="270" max="270" width="11.140625" bestFit="1" customWidth="1"/>
    <col min="513" max="513" width="17.85546875" bestFit="1" customWidth="1"/>
    <col min="514" max="514" width="16.7109375" customWidth="1"/>
    <col min="515" max="515" width="13.28515625" customWidth="1"/>
    <col min="516" max="516" width="16.5703125" customWidth="1"/>
    <col min="517" max="517" width="9.85546875" customWidth="1"/>
    <col min="518" max="519" width="8.5703125" customWidth="1"/>
    <col min="520" max="525" width="10.140625" bestFit="1" customWidth="1"/>
    <col min="526" max="526" width="11.140625" bestFit="1" customWidth="1"/>
    <col min="769" max="769" width="17.85546875" bestFit="1" customWidth="1"/>
    <col min="770" max="770" width="16.7109375" customWidth="1"/>
    <col min="771" max="771" width="13.28515625" customWidth="1"/>
    <col min="772" max="772" width="16.5703125" customWidth="1"/>
    <col min="773" max="773" width="9.85546875" customWidth="1"/>
    <col min="774" max="775" width="8.5703125" customWidth="1"/>
    <col min="776" max="781" width="10.140625" bestFit="1" customWidth="1"/>
    <col min="782" max="782" width="11.140625" bestFit="1" customWidth="1"/>
    <col min="1025" max="1025" width="17.85546875" bestFit="1" customWidth="1"/>
    <col min="1026" max="1026" width="16.7109375" customWidth="1"/>
    <col min="1027" max="1027" width="13.28515625" customWidth="1"/>
    <col min="1028" max="1028" width="16.5703125" customWidth="1"/>
    <col min="1029" max="1029" width="9.85546875" customWidth="1"/>
    <col min="1030" max="1031" width="8.5703125" customWidth="1"/>
    <col min="1032" max="1037" width="10.140625" bestFit="1" customWidth="1"/>
    <col min="1038" max="1038" width="11.140625" bestFit="1" customWidth="1"/>
    <col min="1281" max="1281" width="17.85546875" bestFit="1" customWidth="1"/>
    <col min="1282" max="1282" width="16.7109375" customWidth="1"/>
    <col min="1283" max="1283" width="13.28515625" customWidth="1"/>
    <col min="1284" max="1284" width="16.5703125" customWidth="1"/>
    <col min="1285" max="1285" width="9.85546875" customWidth="1"/>
    <col min="1286" max="1287" width="8.5703125" customWidth="1"/>
    <col min="1288" max="1293" width="10.140625" bestFit="1" customWidth="1"/>
    <col min="1294" max="1294" width="11.140625" bestFit="1" customWidth="1"/>
    <col min="1537" max="1537" width="17.85546875" bestFit="1" customWidth="1"/>
    <col min="1538" max="1538" width="16.7109375" customWidth="1"/>
    <col min="1539" max="1539" width="13.28515625" customWidth="1"/>
    <col min="1540" max="1540" width="16.5703125" customWidth="1"/>
    <col min="1541" max="1541" width="9.85546875" customWidth="1"/>
    <col min="1542" max="1543" width="8.5703125" customWidth="1"/>
    <col min="1544" max="1549" width="10.140625" bestFit="1" customWidth="1"/>
    <col min="1550" max="1550" width="11.140625" bestFit="1" customWidth="1"/>
    <col min="1793" max="1793" width="17.85546875" bestFit="1" customWidth="1"/>
    <col min="1794" max="1794" width="16.7109375" customWidth="1"/>
    <col min="1795" max="1795" width="13.28515625" customWidth="1"/>
    <col min="1796" max="1796" width="16.5703125" customWidth="1"/>
    <col min="1797" max="1797" width="9.85546875" customWidth="1"/>
    <col min="1798" max="1799" width="8.5703125" customWidth="1"/>
    <col min="1800" max="1805" width="10.140625" bestFit="1" customWidth="1"/>
    <col min="1806" max="1806" width="11.140625" bestFit="1" customWidth="1"/>
    <col min="2049" max="2049" width="17.85546875" bestFit="1" customWidth="1"/>
    <col min="2050" max="2050" width="16.7109375" customWidth="1"/>
    <col min="2051" max="2051" width="13.28515625" customWidth="1"/>
    <col min="2052" max="2052" width="16.5703125" customWidth="1"/>
    <col min="2053" max="2053" width="9.85546875" customWidth="1"/>
    <col min="2054" max="2055" width="8.5703125" customWidth="1"/>
    <col min="2056" max="2061" width="10.140625" bestFit="1" customWidth="1"/>
    <col min="2062" max="2062" width="11.140625" bestFit="1" customWidth="1"/>
    <col min="2305" max="2305" width="17.85546875" bestFit="1" customWidth="1"/>
    <col min="2306" max="2306" width="16.7109375" customWidth="1"/>
    <col min="2307" max="2307" width="13.28515625" customWidth="1"/>
    <col min="2308" max="2308" width="16.5703125" customWidth="1"/>
    <col min="2309" max="2309" width="9.85546875" customWidth="1"/>
    <col min="2310" max="2311" width="8.5703125" customWidth="1"/>
    <col min="2312" max="2317" width="10.140625" bestFit="1" customWidth="1"/>
    <col min="2318" max="2318" width="11.140625" bestFit="1" customWidth="1"/>
    <col min="2561" max="2561" width="17.85546875" bestFit="1" customWidth="1"/>
    <col min="2562" max="2562" width="16.7109375" customWidth="1"/>
    <col min="2563" max="2563" width="13.28515625" customWidth="1"/>
    <col min="2564" max="2564" width="16.5703125" customWidth="1"/>
    <col min="2565" max="2565" width="9.85546875" customWidth="1"/>
    <col min="2566" max="2567" width="8.5703125" customWidth="1"/>
    <col min="2568" max="2573" width="10.140625" bestFit="1" customWidth="1"/>
    <col min="2574" max="2574" width="11.140625" bestFit="1" customWidth="1"/>
    <col min="2817" max="2817" width="17.85546875" bestFit="1" customWidth="1"/>
    <col min="2818" max="2818" width="16.7109375" customWidth="1"/>
    <col min="2819" max="2819" width="13.28515625" customWidth="1"/>
    <col min="2820" max="2820" width="16.5703125" customWidth="1"/>
    <col min="2821" max="2821" width="9.85546875" customWidth="1"/>
    <col min="2822" max="2823" width="8.5703125" customWidth="1"/>
    <col min="2824" max="2829" width="10.140625" bestFit="1" customWidth="1"/>
    <col min="2830" max="2830" width="11.140625" bestFit="1" customWidth="1"/>
    <col min="3073" max="3073" width="17.85546875" bestFit="1" customWidth="1"/>
    <col min="3074" max="3074" width="16.7109375" customWidth="1"/>
    <col min="3075" max="3075" width="13.28515625" customWidth="1"/>
    <col min="3076" max="3076" width="16.5703125" customWidth="1"/>
    <col min="3077" max="3077" width="9.85546875" customWidth="1"/>
    <col min="3078" max="3079" width="8.5703125" customWidth="1"/>
    <col min="3080" max="3085" width="10.140625" bestFit="1" customWidth="1"/>
    <col min="3086" max="3086" width="11.140625" bestFit="1" customWidth="1"/>
    <col min="3329" max="3329" width="17.85546875" bestFit="1" customWidth="1"/>
    <col min="3330" max="3330" width="16.7109375" customWidth="1"/>
    <col min="3331" max="3331" width="13.28515625" customWidth="1"/>
    <col min="3332" max="3332" width="16.5703125" customWidth="1"/>
    <col min="3333" max="3333" width="9.85546875" customWidth="1"/>
    <col min="3334" max="3335" width="8.5703125" customWidth="1"/>
    <col min="3336" max="3341" width="10.140625" bestFit="1" customWidth="1"/>
    <col min="3342" max="3342" width="11.140625" bestFit="1" customWidth="1"/>
    <col min="3585" max="3585" width="17.85546875" bestFit="1" customWidth="1"/>
    <col min="3586" max="3586" width="16.7109375" customWidth="1"/>
    <col min="3587" max="3587" width="13.28515625" customWidth="1"/>
    <col min="3588" max="3588" width="16.5703125" customWidth="1"/>
    <col min="3589" max="3589" width="9.85546875" customWidth="1"/>
    <col min="3590" max="3591" width="8.5703125" customWidth="1"/>
    <col min="3592" max="3597" width="10.140625" bestFit="1" customWidth="1"/>
    <col min="3598" max="3598" width="11.140625" bestFit="1" customWidth="1"/>
    <col min="3841" max="3841" width="17.85546875" bestFit="1" customWidth="1"/>
    <col min="3842" max="3842" width="16.7109375" customWidth="1"/>
    <col min="3843" max="3843" width="13.28515625" customWidth="1"/>
    <col min="3844" max="3844" width="16.5703125" customWidth="1"/>
    <col min="3845" max="3845" width="9.85546875" customWidth="1"/>
    <col min="3846" max="3847" width="8.5703125" customWidth="1"/>
    <col min="3848" max="3853" width="10.140625" bestFit="1" customWidth="1"/>
    <col min="3854" max="3854" width="11.140625" bestFit="1" customWidth="1"/>
    <col min="4097" max="4097" width="17.85546875" bestFit="1" customWidth="1"/>
    <col min="4098" max="4098" width="16.7109375" customWidth="1"/>
    <col min="4099" max="4099" width="13.28515625" customWidth="1"/>
    <col min="4100" max="4100" width="16.5703125" customWidth="1"/>
    <col min="4101" max="4101" width="9.85546875" customWidth="1"/>
    <col min="4102" max="4103" width="8.5703125" customWidth="1"/>
    <col min="4104" max="4109" width="10.140625" bestFit="1" customWidth="1"/>
    <col min="4110" max="4110" width="11.140625" bestFit="1" customWidth="1"/>
    <col min="4353" max="4353" width="17.85546875" bestFit="1" customWidth="1"/>
    <col min="4354" max="4354" width="16.7109375" customWidth="1"/>
    <col min="4355" max="4355" width="13.28515625" customWidth="1"/>
    <col min="4356" max="4356" width="16.5703125" customWidth="1"/>
    <col min="4357" max="4357" width="9.85546875" customWidth="1"/>
    <col min="4358" max="4359" width="8.5703125" customWidth="1"/>
    <col min="4360" max="4365" width="10.140625" bestFit="1" customWidth="1"/>
    <col min="4366" max="4366" width="11.140625" bestFit="1" customWidth="1"/>
    <col min="4609" max="4609" width="17.85546875" bestFit="1" customWidth="1"/>
    <col min="4610" max="4610" width="16.7109375" customWidth="1"/>
    <col min="4611" max="4611" width="13.28515625" customWidth="1"/>
    <col min="4612" max="4612" width="16.5703125" customWidth="1"/>
    <col min="4613" max="4613" width="9.85546875" customWidth="1"/>
    <col min="4614" max="4615" width="8.5703125" customWidth="1"/>
    <col min="4616" max="4621" width="10.140625" bestFit="1" customWidth="1"/>
    <col min="4622" max="4622" width="11.140625" bestFit="1" customWidth="1"/>
    <col min="4865" max="4865" width="17.85546875" bestFit="1" customWidth="1"/>
    <col min="4866" max="4866" width="16.7109375" customWidth="1"/>
    <col min="4867" max="4867" width="13.28515625" customWidth="1"/>
    <col min="4868" max="4868" width="16.5703125" customWidth="1"/>
    <col min="4869" max="4869" width="9.85546875" customWidth="1"/>
    <col min="4870" max="4871" width="8.5703125" customWidth="1"/>
    <col min="4872" max="4877" width="10.140625" bestFit="1" customWidth="1"/>
    <col min="4878" max="4878" width="11.140625" bestFit="1" customWidth="1"/>
    <col min="5121" max="5121" width="17.85546875" bestFit="1" customWidth="1"/>
    <col min="5122" max="5122" width="16.7109375" customWidth="1"/>
    <col min="5123" max="5123" width="13.28515625" customWidth="1"/>
    <col min="5124" max="5124" width="16.5703125" customWidth="1"/>
    <col min="5125" max="5125" width="9.85546875" customWidth="1"/>
    <col min="5126" max="5127" width="8.5703125" customWidth="1"/>
    <col min="5128" max="5133" width="10.140625" bestFit="1" customWidth="1"/>
    <col min="5134" max="5134" width="11.140625" bestFit="1" customWidth="1"/>
    <col min="5377" max="5377" width="17.85546875" bestFit="1" customWidth="1"/>
    <col min="5378" max="5378" width="16.7109375" customWidth="1"/>
    <col min="5379" max="5379" width="13.28515625" customWidth="1"/>
    <col min="5380" max="5380" width="16.5703125" customWidth="1"/>
    <col min="5381" max="5381" width="9.85546875" customWidth="1"/>
    <col min="5382" max="5383" width="8.5703125" customWidth="1"/>
    <col min="5384" max="5389" width="10.140625" bestFit="1" customWidth="1"/>
    <col min="5390" max="5390" width="11.140625" bestFit="1" customWidth="1"/>
    <col min="5633" max="5633" width="17.85546875" bestFit="1" customWidth="1"/>
    <col min="5634" max="5634" width="16.7109375" customWidth="1"/>
    <col min="5635" max="5635" width="13.28515625" customWidth="1"/>
    <col min="5636" max="5636" width="16.5703125" customWidth="1"/>
    <col min="5637" max="5637" width="9.85546875" customWidth="1"/>
    <col min="5638" max="5639" width="8.5703125" customWidth="1"/>
    <col min="5640" max="5645" width="10.140625" bestFit="1" customWidth="1"/>
    <col min="5646" max="5646" width="11.140625" bestFit="1" customWidth="1"/>
    <col min="5889" max="5889" width="17.85546875" bestFit="1" customWidth="1"/>
    <col min="5890" max="5890" width="16.7109375" customWidth="1"/>
    <col min="5891" max="5891" width="13.28515625" customWidth="1"/>
    <col min="5892" max="5892" width="16.5703125" customWidth="1"/>
    <col min="5893" max="5893" width="9.85546875" customWidth="1"/>
    <col min="5894" max="5895" width="8.5703125" customWidth="1"/>
    <col min="5896" max="5901" width="10.140625" bestFit="1" customWidth="1"/>
    <col min="5902" max="5902" width="11.140625" bestFit="1" customWidth="1"/>
    <col min="6145" max="6145" width="17.85546875" bestFit="1" customWidth="1"/>
    <col min="6146" max="6146" width="16.7109375" customWidth="1"/>
    <col min="6147" max="6147" width="13.28515625" customWidth="1"/>
    <col min="6148" max="6148" width="16.5703125" customWidth="1"/>
    <col min="6149" max="6149" width="9.85546875" customWidth="1"/>
    <col min="6150" max="6151" width="8.5703125" customWidth="1"/>
    <col min="6152" max="6157" width="10.140625" bestFit="1" customWidth="1"/>
    <col min="6158" max="6158" width="11.140625" bestFit="1" customWidth="1"/>
    <col min="6401" max="6401" width="17.85546875" bestFit="1" customWidth="1"/>
    <col min="6402" max="6402" width="16.7109375" customWidth="1"/>
    <col min="6403" max="6403" width="13.28515625" customWidth="1"/>
    <col min="6404" max="6404" width="16.5703125" customWidth="1"/>
    <col min="6405" max="6405" width="9.85546875" customWidth="1"/>
    <col min="6406" max="6407" width="8.5703125" customWidth="1"/>
    <col min="6408" max="6413" width="10.140625" bestFit="1" customWidth="1"/>
    <col min="6414" max="6414" width="11.140625" bestFit="1" customWidth="1"/>
    <col min="6657" max="6657" width="17.85546875" bestFit="1" customWidth="1"/>
    <col min="6658" max="6658" width="16.7109375" customWidth="1"/>
    <col min="6659" max="6659" width="13.28515625" customWidth="1"/>
    <col min="6660" max="6660" width="16.5703125" customWidth="1"/>
    <col min="6661" max="6661" width="9.85546875" customWidth="1"/>
    <col min="6662" max="6663" width="8.5703125" customWidth="1"/>
    <col min="6664" max="6669" width="10.140625" bestFit="1" customWidth="1"/>
    <col min="6670" max="6670" width="11.140625" bestFit="1" customWidth="1"/>
    <col min="6913" max="6913" width="17.85546875" bestFit="1" customWidth="1"/>
    <col min="6914" max="6914" width="16.7109375" customWidth="1"/>
    <col min="6915" max="6915" width="13.28515625" customWidth="1"/>
    <col min="6916" max="6916" width="16.5703125" customWidth="1"/>
    <col min="6917" max="6917" width="9.85546875" customWidth="1"/>
    <col min="6918" max="6919" width="8.5703125" customWidth="1"/>
    <col min="6920" max="6925" width="10.140625" bestFit="1" customWidth="1"/>
    <col min="6926" max="6926" width="11.140625" bestFit="1" customWidth="1"/>
    <col min="7169" max="7169" width="17.85546875" bestFit="1" customWidth="1"/>
    <col min="7170" max="7170" width="16.7109375" customWidth="1"/>
    <col min="7171" max="7171" width="13.28515625" customWidth="1"/>
    <col min="7172" max="7172" width="16.5703125" customWidth="1"/>
    <col min="7173" max="7173" width="9.85546875" customWidth="1"/>
    <col min="7174" max="7175" width="8.5703125" customWidth="1"/>
    <col min="7176" max="7181" width="10.140625" bestFit="1" customWidth="1"/>
    <col min="7182" max="7182" width="11.140625" bestFit="1" customWidth="1"/>
    <col min="7425" max="7425" width="17.85546875" bestFit="1" customWidth="1"/>
    <col min="7426" max="7426" width="16.7109375" customWidth="1"/>
    <col min="7427" max="7427" width="13.28515625" customWidth="1"/>
    <col min="7428" max="7428" width="16.5703125" customWidth="1"/>
    <col min="7429" max="7429" width="9.85546875" customWidth="1"/>
    <col min="7430" max="7431" width="8.5703125" customWidth="1"/>
    <col min="7432" max="7437" width="10.140625" bestFit="1" customWidth="1"/>
    <col min="7438" max="7438" width="11.140625" bestFit="1" customWidth="1"/>
    <col min="7681" max="7681" width="17.85546875" bestFit="1" customWidth="1"/>
    <col min="7682" max="7682" width="16.7109375" customWidth="1"/>
    <col min="7683" max="7683" width="13.28515625" customWidth="1"/>
    <col min="7684" max="7684" width="16.5703125" customWidth="1"/>
    <col min="7685" max="7685" width="9.85546875" customWidth="1"/>
    <col min="7686" max="7687" width="8.5703125" customWidth="1"/>
    <col min="7688" max="7693" width="10.140625" bestFit="1" customWidth="1"/>
    <col min="7694" max="7694" width="11.140625" bestFit="1" customWidth="1"/>
    <col min="7937" max="7937" width="17.85546875" bestFit="1" customWidth="1"/>
    <col min="7938" max="7938" width="16.7109375" customWidth="1"/>
    <col min="7939" max="7939" width="13.28515625" customWidth="1"/>
    <col min="7940" max="7940" width="16.5703125" customWidth="1"/>
    <col min="7941" max="7941" width="9.85546875" customWidth="1"/>
    <col min="7942" max="7943" width="8.5703125" customWidth="1"/>
    <col min="7944" max="7949" width="10.140625" bestFit="1" customWidth="1"/>
    <col min="7950" max="7950" width="11.140625" bestFit="1" customWidth="1"/>
    <col min="8193" max="8193" width="17.85546875" bestFit="1" customWidth="1"/>
    <col min="8194" max="8194" width="16.7109375" customWidth="1"/>
    <col min="8195" max="8195" width="13.28515625" customWidth="1"/>
    <col min="8196" max="8196" width="16.5703125" customWidth="1"/>
    <col min="8197" max="8197" width="9.85546875" customWidth="1"/>
    <col min="8198" max="8199" width="8.5703125" customWidth="1"/>
    <col min="8200" max="8205" width="10.140625" bestFit="1" customWidth="1"/>
    <col min="8206" max="8206" width="11.140625" bestFit="1" customWidth="1"/>
    <col min="8449" max="8449" width="17.85546875" bestFit="1" customWidth="1"/>
    <col min="8450" max="8450" width="16.7109375" customWidth="1"/>
    <col min="8451" max="8451" width="13.28515625" customWidth="1"/>
    <col min="8452" max="8452" width="16.5703125" customWidth="1"/>
    <col min="8453" max="8453" width="9.85546875" customWidth="1"/>
    <col min="8454" max="8455" width="8.5703125" customWidth="1"/>
    <col min="8456" max="8461" width="10.140625" bestFit="1" customWidth="1"/>
    <col min="8462" max="8462" width="11.140625" bestFit="1" customWidth="1"/>
    <col min="8705" max="8705" width="17.85546875" bestFit="1" customWidth="1"/>
    <col min="8706" max="8706" width="16.7109375" customWidth="1"/>
    <col min="8707" max="8707" width="13.28515625" customWidth="1"/>
    <col min="8708" max="8708" width="16.5703125" customWidth="1"/>
    <col min="8709" max="8709" width="9.85546875" customWidth="1"/>
    <col min="8710" max="8711" width="8.5703125" customWidth="1"/>
    <col min="8712" max="8717" width="10.140625" bestFit="1" customWidth="1"/>
    <col min="8718" max="8718" width="11.140625" bestFit="1" customWidth="1"/>
    <col min="8961" max="8961" width="17.85546875" bestFit="1" customWidth="1"/>
    <col min="8962" max="8962" width="16.7109375" customWidth="1"/>
    <col min="8963" max="8963" width="13.28515625" customWidth="1"/>
    <col min="8964" max="8964" width="16.5703125" customWidth="1"/>
    <col min="8965" max="8965" width="9.85546875" customWidth="1"/>
    <col min="8966" max="8967" width="8.5703125" customWidth="1"/>
    <col min="8968" max="8973" width="10.140625" bestFit="1" customWidth="1"/>
    <col min="8974" max="8974" width="11.140625" bestFit="1" customWidth="1"/>
    <col min="9217" max="9217" width="17.85546875" bestFit="1" customWidth="1"/>
    <col min="9218" max="9218" width="16.7109375" customWidth="1"/>
    <col min="9219" max="9219" width="13.28515625" customWidth="1"/>
    <col min="9220" max="9220" width="16.5703125" customWidth="1"/>
    <col min="9221" max="9221" width="9.85546875" customWidth="1"/>
    <col min="9222" max="9223" width="8.5703125" customWidth="1"/>
    <col min="9224" max="9229" width="10.140625" bestFit="1" customWidth="1"/>
    <col min="9230" max="9230" width="11.140625" bestFit="1" customWidth="1"/>
    <col min="9473" max="9473" width="17.85546875" bestFit="1" customWidth="1"/>
    <col min="9474" max="9474" width="16.7109375" customWidth="1"/>
    <col min="9475" max="9475" width="13.28515625" customWidth="1"/>
    <col min="9476" max="9476" width="16.5703125" customWidth="1"/>
    <col min="9477" max="9477" width="9.85546875" customWidth="1"/>
    <col min="9478" max="9479" width="8.5703125" customWidth="1"/>
    <col min="9480" max="9485" width="10.140625" bestFit="1" customWidth="1"/>
    <col min="9486" max="9486" width="11.140625" bestFit="1" customWidth="1"/>
    <col min="9729" max="9729" width="17.85546875" bestFit="1" customWidth="1"/>
    <col min="9730" max="9730" width="16.7109375" customWidth="1"/>
    <col min="9731" max="9731" width="13.28515625" customWidth="1"/>
    <col min="9732" max="9732" width="16.5703125" customWidth="1"/>
    <col min="9733" max="9733" width="9.85546875" customWidth="1"/>
    <col min="9734" max="9735" width="8.5703125" customWidth="1"/>
    <col min="9736" max="9741" width="10.140625" bestFit="1" customWidth="1"/>
    <col min="9742" max="9742" width="11.140625" bestFit="1" customWidth="1"/>
    <col min="9985" max="9985" width="17.85546875" bestFit="1" customWidth="1"/>
    <col min="9986" max="9986" width="16.7109375" customWidth="1"/>
    <col min="9987" max="9987" width="13.28515625" customWidth="1"/>
    <col min="9988" max="9988" width="16.5703125" customWidth="1"/>
    <col min="9989" max="9989" width="9.85546875" customWidth="1"/>
    <col min="9990" max="9991" width="8.5703125" customWidth="1"/>
    <col min="9992" max="9997" width="10.140625" bestFit="1" customWidth="1"/>
    <col min="9998" max="9998" width="11.140625" bestFit="1" customWidth="1"/>
    <col min="10241" max="10241" width="17.85546875" bestFit="1" customWidth="1"/>
    <col min="10242" max="10242" width="16.7109375" customWidth="1"/>
    <col min="10243" max="10243" width="13.28515625" customWidth="1"/>
    <col min="10244" max="10244" width="16.5703125" customWidth="1"/>
    <col min="10245" max="10245" width="9.85546875" customWidth="1"/>
    <col min="10246" max="10247" width="8.5703125" customWidth="1"/>
    <col min="10248" max="10253" width="10.140625" bestFit="1" customWidth="1"/>
    <col min="10254" max="10254" width="11.140625" bestFit="1" customWidth="1"/>
    <col min="10497" max="10497" width="17.85546875" bestFit="1" customWidth="1"/>
    <col min="10498" max="10498" width="16.7109375" customWidth="1"/>
    <col min="10499" max="10499" width="13.28515625" customWidth="1"/>
    <col min="10500" max="10500" width="16.5703125" customWidth="1"/>
    <col min="10501" max="10501" width="9.85546875" customWidth="1"/>
    <col min="10502" max="10503" width="8.5703125" customWidth="1"/>
    <col min="10504" max="10509" width="10.140625" bestFit="1" customWidth="1"/>
    <col min="10510" max="10510" width="11.140625" bestFit="1" customWidth="1"/>
    <col min="10753" max="10753" width="17.85546875" bestFit="1" customWidth="1"/>
    <col min="10754" max="10754" width="16.7109375" customWidth="1"/>
    <col min="10755" max="10755" width="13.28515625" customWidth="1"/>
    <col min="10756" max="10756" width="16.5703125" customWidth="1"/>
    <col min="10757" max="10757" width="9.85546875" customWidth="1"/>
    <col min="10758" max="10759" width="8.5703125" customWidth="1"/>
    <col min="10760" max="10765" width="10.140625" bestFit="1" customWidth="1"/>
    <col min="10766" max="10766" width="11.140625" bestFit="1" customWidth="1"/>
    <col min="11009" max="11009" width="17.85546875" bestFit="1" customWidth="1"/>
    <col min="11010" max="11010" width="16.7109375" customWidth="1"/>
    <col min="11011" max="11011" width="13.28515625" customWidth="1"/>
    <col min="11012" max="11012" width="16.5703125" customWidth="1"/>
    <col min="11013" max="11013" width="9.85546875" customWidth="1"/>
    <col min="11014" max="11015" width="8.5703125" customWidth="1"/>
    <col min="11016" max="11021" width="10.140625" bestFit="1" customWidth="1"/>
    <col min="11022" max="11022" width="11.140625" bestFit="1" customWidth="1"/>
    <col min="11265" max="11265" width="17.85546875" bestFit="1" customWidth="1"/>
    <col min="11266" max="11266" width="16.7109375" customWidth="1"/>
    <col min="11267" max="11267" width="13.28515625" customWidth="1"/>
    <col min="11268" max="11268" width="16.5703125" customWidth="1"/>
    <col min="11269" max="11269" width="9.85546875" customWidth="1"/>
    <col min="11270" max="11271" width="8.5703125" customWidth="1"/>
    <col min="11272" max="11277" width="10.140625" bestFit="1" customWidth="1"/>
    <col min="11278" max="11278" width="11.140625" bestFit="1" customWidth="1"/>
    <col min="11521" max="11521" width="17.85546875" bestFit="1" customWidth="1"/>
    <col min="11522" max="11522" width="16.7109375" customWidth="1"/>
    <col min="11523" max="11523" width="13.28515625" customWidth="1"/>
    <col min="11524" max="11524" width="16.5703125" customWidth="1"/>
    <col min="11525" max="11525" width="9.85546875" customWidth="1"/>
    <col min="11526" max="11527" width="8.5703125" customWidth="1"/>
    <col min="11528" max="11533" width="10.140625" bestFit="1" customWidth="1"/>
    <col min="11534" max="11534" width="11.140625" bestFit="1" customWidth="1"/>
    <col min="11777" max="11777" width="17.85546875" bestFit="1" customWidth="1"/>
    <col min="11778" max="11778" width="16.7109375" customWidth="1"/>
    <col min="11779" max="11779" width="13.28515625" customWidth="1"/>
    <col min="11780" max="11780" width="16.5703125" customWidth="1"/>
    <col min="11781" max="11781" width="9.85546875" customWidth="1"/>
    <col min="11782" max="11783" width="8.5703125" customWidth="1"/>
    <col min="11784" max="11789" width="10.140625" bestFit="1" customWidth="1"/>
    <col min="11790" max="11790" width="11.140625" bestFit="1" customWidth="1"/>
    <col min="12033" max="12033" width="17.85546875" bestFit="1" customWidth="1"/>
    <col min="12034" max="12034" width="16.7109375" customWidth="1"/>
    <col min="12035" max="12035" width="13.28515625" customWidth="1"/>
    <col min="12036" max="12036" width="16.5703125" customWidth="1"/>
    <col min="12037" max="12037" width="9.85546875" customWidth="1"/>
    <col min="12038" max="12039" width="8.5703125" customWidth="1"/>
    <col min="12040" max="12045" width="10.140625" bestFit="1" customWidth="1"/>
    <col min="12046" max="12046" width="11.140625" bestFit="1" customWidth="1"/>
    <col min="12289" max="12289" width="17.85546875" bestFit="1" customWidth="1"/>
    <col min="12290" max="12290" width="16.7109375" customWidth="1"/>
    <col min="12291" max="12291" width="13.28515625" customWidth="1"/>
    <col min="12292" max="12292" width="16.5703125" customWidth="1"/>
    <col min="12293" max="12293" width="9.85546875" customWidth="1"/>
    <col min="12294" max="12295" width="8.5703125" customWidth="1"/>
    <col min="12296" max="12301" width="10.140625" bestFit="1" customWidth="1"/>
    <col min="12302" max="12302" width="11.140625" bestFit="1" customWidth="1"/>
    <col min="12545" max="12545" width="17.85546875" bestFit="1" customWidth="1"/>
    <col min="12546" max="12546" width="16.7109375" customWidth="1"/>
    <col min="12547" max="12547" width="13.28515625" customWidth="1"/>
    <col min="12548" max="12548" width="16.5703125" customWidth="1"/>
    <col min="12549" max="12549" width="9.85546875" customWidth="1"/>
    <col min="12550" max="12551" width="8.5703125" customWidth="1"/>
    <col min="12552" max="12557" width="10.140625" bestFit="1" customWidth="1"/>
    <col min="12558" max="12558" width="11.140625" bestFit="1" customWidth="1"/>
    <col min="12801" max="12801" width="17.85546875" bestFit="1" customWidth="1"/>
    <col min="12802" max="12802" width="16.7109375" customWidth="1"/>
    <col min="12803" max="12803" width="13.28515625" customWidth="1"/>
    <col min="12804" max="12804" width="16.5703125" customWidth="1"/>
    <col min="12805" max="12805" width="9.85546875" customWidth="1"/>
    <col min="12806" max="12807" width="8.5703125" customWidth="1"/>
    <col min="12808" max="12813" width="10.140625" bestFit="1" customWidth="1"/>
    <col min="12814" max="12814" width="11.140625" bestFit="1" customWidth="1"/>
    <col min="13057" max="13057" width="17.85546875" bestFit="1" customWidth="1"/>
    <col min="13058" max="13058" width="16.7109375" customWidth="1"/>
    <col min="13059" max="13059" width="13.28515625" customWidth="1"/>
    <col min="13060" max="13060" width="16.5703125" customWidth="1"/>
    <col min="13061" max="13061" width="9.85546875" customWidth="1"/>
    <col min="13062" max="13063" width="8.5703125" customWidth="1"/>
    <col min="13064" max="13069" width="10.140625" bestFit="1" customWidth="1"/>
    <col min="13070" max="13070" width="11.140625" bestFit="1" customWidth="1"/>
    <col min="13313" max="13313" width="17.85546875" bestFit="1" customWidth="1"/>
    <col min="13314" max="13314" width="16.7109375" customWidth="1"/>
    <col min="13315" max="13315" width="13.28515625" customWidth="1"/>
    <col min="13316" max="13316" width="16.5703125" customWidth="1"/>
    <col min="13317" max="13317" width="9.85546875" customWidth="1"/>
    <col min="13318" max="13319" width="8.5703125" customWidth="1"/>
    <col min="13320" max="13325" width="10.140625" bestFit="1" customWidth="1"/>
    <col min="13326" max="13326" width="11.140625" bestFit="1" customWidth="1"/>
    <col min="13569" max="13569" width="17.85546875" bestFit="1" customWidth="1"/>
    <col min="13570" max="13570" width="16.7109375" customWidth="1"/>
    <col min="13571" max="13571" width="13.28515625" customWidth="1"/>
    <col min="13572" max="13572" width="16.5703125" customWidth="1"/>
    <col min="13573" max="13573" width="9.85546875" customWidth="1"/>
    <col min="13574" max="13575" width="8.5703125" customWidth="1"/>
    <col min="13576" max="13581" width="10.140625" bestFit="1" customWidth="1"/>
    <col min="13582" max="13582" width="11.140625" bestFit="1" customWidth="1"/>
    <col min="13825" max="13825" width="17.85546875" bestFit="1" customWidth="1"/>
    <col min="13826" max="13826" width="16.7109375" customWidth="1"/>
    <col min="13827" max="13827" width="13.28515625" customWidth="1"/>
    <col min="13828" max="13828" width="16.5703125" customWidth="1"/>
    <col min="13829" max="13829" width="9.85546875" customWidth="1"/>
    <col min="13830" max="13831" width="8.5703125" customWidth="1"/>
    <col min="13832" max="13837" width="10.140625" bestFit="1" customWidth="1"/>
    <col min="13838" max="13838" width="11.140625" bestFit="1" customWidth="1"/>
    <col min="14081" max="14081" width="17.85546875" bestFit="1" customWidth="1"/>
    <col min="14082" max="14082" width="16.7109375" customWidth="1"/>
    <col min="14083" max="14083" width="13.28515625" customWidth="1"/>
    <col min="14084" max="14084" width="16.5703125" customWidth="1"/>
    <col min="14085" max="14085" width="9.85546875" customWidth="1"/>
    <col min="14086" max="14087" width="8.5703125" customWidth="1"/>
    <col min="14088" max="14093" width="10.140625" bestFit="1" customWidth="1"/>
    <col min="14094" max="14094" width="11.140625" bestFit="1" customWidth="1"/>
    <col min="14337" max="14337" width="17.85546875" bestFit="1" customWidth="1"/>
    <col min="14338" max="14338" width="16.7109375" customWidth="1"/>
    <col min="14339" max="14339" width="13.28515625" customWidth="1"/>
    <col min="14340" max="14340" width="16.5703125" customWidth="1"/>
    <col min="14341" max="14341" width="9.85546875" customWidth="1"/>
    <col min="14342" max="14343" width="8.5703125" customWidth="1"/>
    <col min="14344" max="14349" width="10.140625" bestFit="1" customWidth="1"/>
    <col min="14350" max="14350" width="11.140625" bestFit="1" customWidth="1"/>
    <col min="14593" max="14593" width="17.85546875" bestFit="1" customWidth="1"/>
    <col min="14594" max="14594" width="16.7109375" customWidth="1"/>
    <col min="14595" max="14595" width="13.28515625" customWidth="1"/>
    <col min="14596" max="14596" width="16.5703125" customWidth="1"/>
    <col min="14597" max="14597" width="9.85546875" customWidth="1"/>
    <col min="14598" max="14599" width="8.5703125" customWidth="1"/>
    <col min="14600" max="14605" width="10.140625" bestFit="1" customWidth="1"/>
    <col min="14606" max="14606" width="11.140625" bestFit="1" customWidth="1"/>
    <col min="14849" max="14849" width="17.85546875" bestFit="1" customWidth="1"/>
    <col min="14850" max="14850" width="16.7109375" customWidth="1"/>
    <col min="14851" max="14851" width="13.28515625" customWidth="1"/>
    <col min="14852" max="14852" width="16.5703125" customWidth="1"/>
    <col min="14853" max="14853" width="9.85546875" customWidth="1"/>
    <col min="14854" max="14855" width="8.5703125" customWidth="1"/>
    <col min="14856" max="14861" width="10.140625" bestFit="1" customWidth="1"/>
    <col min="14862" max="14862" width="11.140625" bestFit="1" customWidth="1"/>
    <col min="15105" max="15105" width="17.85546875" bestFit="1" customWidth="1"/>
    <col min="15106" max="15106" width="16.7109375" customWidth="1"/>
    <col min="15107" max="15107" width="13.28515625" customWidth="1"/>
    <col min="15108" max="15108" width="16.5703125" customWidth="1"/>
    <col min="15109" max="15109" width="9.85546875" customWidth="1"/>
    <col min="15110" max="15111" width="8.5703125" customWidth="1"/>
    <col min="15112" max="15117" width="10.140625" bestFit="1" customWidth="1"/>
    <col min="15118" max="15118" width="11.140625" bestFit="1" customWidth="1"/>
    <col min="15361" max="15361" width="17.85546875" bestFit="1" customWidth="1"/>
    <col min="15362" max="15362" width="16.7109375" customWidth="1"/>
    <col min="15363" max="15363" width="13.28515625" customWidth="1"/>
    <col min="15364" max="15364" width="16.5703125" customWidth="1"/>
    <col min="15365" max="15365" width="9.85546875" customWidth="1"/>
    <col min="15366" max="15367" width="8.5703125" customWidth="1"/>
    <col min="15368" max="15373" width="10.140625" bestFit="1" customWidth="1"/>
    <col min="15374" max="15374" width="11.140625" bestFit="1" customWidth="1"/>
    <col min="15617" max="15617" width="17.85546875" bestFit="1" customWidth="1"/>
    <col min="15618" max="15618" width="16.7109375" customWidth="1"/>
    <col min="15619" max="15619" width="13.28515625" customWidth="1"/>
    <col min="15620" max="15620" width="16.5703125" customWidth="1"/>
    <col min="15621" max="15621" width="9.85546875" customWidth="1"/>
    <col min="15622" max="15623" width="8.5703125" customWidth="1"/>
    <col min="15624" max="15629" width="10.140625" bestFit="1" customWidth="1"/>
    <col min="15630" max="15630" width="11.140625" bestFit="1" customWidth="1"/>
    <col min="15873" max="15873" width="17.85546875" bestFit="1" customWidth="1"/>
    <col min="15874" max="15874" width="16.7109375" customWidth="1"/>
    <col min="15875" max="15875" width="13.28515625" customWidth="1"/>
    <col min="15876" max="15876" width="16.5703125" customWidth="1"/>
    <col min="15877" max="15877" width="9.85546875" customWidth="1"/>
    <col min="15878" max="15879" width="8.5703125" customWidth="1"/>
    <col min="15880" max="15885" width="10.140625" bestFit="1" customWidth="1"/>
    <col min="15886" max="15886" width="11.140625" bestFit="1" customWidth="1"/>
    <col min="16129" max="16129" width="17.85546875" bestFit="1" customWidth="1"/>
    <col min="16130" max="16130" width="16.7109375" customWidth="1"/>
    <col min="16131" max="16131" width="13.28515625" customWidth="1"/>
    <col min="16132" max="16132" width="16.5703125" customWidth="1"/>
    <col min="16133" max="16133" width="9.85546875" customWidth="1"/>
    <col min="16134" max="16135" width="8.5703125" customWidth="1"/>
    <col min="16136" max="16141" width="10.140625" bestFit="1" customWidth="1"/>
    <col min="16142" max="16142" width="11.140625" bestFit="1" customWidth="1"/>
  </cols>
  <sheetData>
    <row r="2" spans="1:13">
      <c r="A2" s="117"/>
      <c r="B2" s="1019" t="s">
        <v>1216</v>
      </c>
      <c r="C2" s="1019"/>
      <c r="D2" s="1019"/>
      <c r="E2" s="1019"/>
      <c r="F2" s="1019"/>
      <c r="G2" s="1019"/>
    </row>
    <row r="3" spans="1:13">
      <c r="A3" s="117"/>
      <c r="B3" s="1019" t="s">
        <v>1215</v>
      </c>
      <c r="C3" s="1019"/>
      <c r="D3" s="1019"/>
      <c r="E3" s="1019"/>
      <c r="F3" s="117"/>
      <c r="G3" s="117"/>
    </row>
    <row r="4" spans="1:13" ht="48.75">
      <c r="A4" s="112" t="s">
        <v>1214</v>
      </c>
      <c r="B4" s="103" t="s">
        <v>1225</v>
      </c>
      <c r="C4" s="112" t="s">
        <v>1212</v>
      </c>
      <c r="D4" s="5">
        <v>905220202</v>
      </c>
      <c r="E4" s="112" t="s">
        <v>1211</v>
      </c>
      <c r="F4" s="5">
        <v>739.25199999999995</v>
      </c>
      <c r="G4" s="112" t="s">
        <v>1210</v>
      </c>
      <c r="H4" s="103">
        <v>80</v>
      </c>
      <c r="I4" s="111"/>
      <c r="J4" s="111"/>
      <c r="K4" s="111"/>
      <c r="L4" s="111"/>
    </row>
    <row r="5" spans="1:13">
      <c r="A5" s="808" t="s">
        <v>4176</v>
      </c>
      <c r="B5" s="808"/>
      <c r="C5" s="808"/>
      <c r="D5" s="112"/>
      <c r="E5" s="112"/>
      <c r="F5" s="112"/>
      <c r="G5" s="112"/>
      <c r="H5" s="111"/>
      <c r="I5" s="111"/>
      <c r="J5" s="111"/>
      <c r="K5" s="111"/>
      <c r="L5" s="111"/>
    </row>
    <row r="6" spans="1:13" ht="24.75">
      <c r="A6" s="112" t="s">
        <v>832</v>
      </c>
      <c r="B6" s="103" t="s">
        <v>1229</v>
      </c>
      <c r="C6" s="112" t="s">
        <v>1208</v>
      </c>
      <c r="D6" s="112" t="s">
        <v>1228</v>
      </c>
      <c r="F6" s="112"/>
      <c r="G6" s="112"/>
      <c r="H6" s="111"/>
      <c r="I6" s="111"/>
      <c r="J6" s="111"/>
      <c r="K6" s="111"/>
      <c r="L6" s="111"/>
    </row>
    <row r="7" spans="1:13">
      <c r="A7" s="112"/>
      <c r="B7" s="111"/>
      <c r="C7" s="112"/>
      <c r="D7" s="112"/>
      <c r="E7" s="112"/>
      <c r="F7" s="112"/>
      <c r="G7" s="112"/>
      <c r="H7" s="111"/>
      <c r="I7" s="111"/>
      <c r="J7" s="111"/>
      <c r="K7" s="111"/>
      <c r="L7" s="111"/>
    </row>
    <row r="8" spans="1:13" ht="60.75">
      <c r="A8" s="112" t="s">
        <v>618</v>
      </c>
      <c r="B8" s="129" t="s">
        <v>1227</v>
      </c>
      <c r="C8" s="115" t="s">
        <v>1206</v>
      </c>
      <c r="D8" s="104" t="s">
        <v>1226</v>
      </c>
      <c r="E8" s="112"/>
      <c r="F8" s="112"/>
      <c r="G8" s="115"/>
      <c r="H8" s="111"/>
      <c r="I8" s="111"/>
      <c r="J8" s="111"/>
      <c r="K8" s="111"/>
      <c r="L8" s="111"/>
    </row>
    <row r="9" spans="1:13">
      <c r="A9" s="112"/>
      <c r="B9" s="111"/>
      <c r="C9" s="112"/>
      <c r="D9" s="112"/>
      <c r="E9" s="112"/>
      <c r="F9" s="112"/>
      <c r="G9" s="112"/>
      <c r="H9" s="111"/>
      <c r="I9" s="111"/>
      <c r="J9" s="111"/>
      <c r="K9" s="111"/>
      <c r="L9" s="111"/>
    </row>
    <row r="10" spans="1:13" ht="24.75">
      <c r="A10" s="104" t="s">
        <v>838</v>
      </c>
      <c r="B10" s="103" t="s">
        <v>1225</v>
      </c>
      <c r="C10" s="104"/>
      <c r="D10" s="104"/>
      <c r="E10" s="104"/>
      <c r="F10" s="104"/>
      <c r="G10" s="112"/>
      <c r="H10" s="111"/>
      <c r="I10" s="111"/>
      <c r="J10" s="111"/>
      <c r="K10" s="111"/>
      <c r="L10" s="111"/>
    </row>
    <row r="11" spans="1:13" ht="24.75">
      <c r="A11" s="104" t="s">
        <v>1203</v>
      </c>
      <c r="B11" s="103" t="s">
        <v>1224</v>
      </c>
      <c r="C11" s="104"/>
      <c r="D11" s="104"/>
      <c r="E11" s="104"/>
      <c r="F11" s="104"/>
      <c r="G11" s="112"/>
      <c r="H11" s="111"/>
      <c r="I11" s="111"/>
      <c r="J11" s="111"/>
      <c r="K11" s="111"/>
      <c r="L11" s="111"/>
    </row>
    <row r="12" spans="1:13" ht="24.75">
      <c r="A12" s="104" t="s">
        <v>1202</v>
      </c>
      <c r="B12" s="103" t="s">
        <v>1223</v>
      </c>
      <c r="C12" s="104" t="s">
        <v>1222</v>
      </c>
      <c r="D12" s="104" t="s">
        <v>1221</v>
      </c>
      <c r="E12" s="104" t="s">
        <v>1220</v>
      </c>
      <c r="F12" s="114" t="s">
        <v>1219</v>
      </c>
      <c r="G12" s="112"/>
      <c r="H12" s="111"/>
      <c r="I12" s="111"/>
      <c r="J12" s="111"/>
      <c r="K12" s="111"/>
      <c r="L12" s="111"/>
    </row>
    <row r="13" spans="1:13" ht="24.75">
      <c r="A13" s="104" t="s">
        <v>1196</v>
      </c>
      <c r="B13" s="103" t="s">
        <v>1218</v>
      </c>
      <c r="C13" s="104"/>
      <c r="D13" s="104"/>
      <c r="E13" s="104"/>
      <c r="F13" s="104"/>
      <c r="G13" s="112"/>
      <c r="H13" s="111"/>
      <c r="I13" s="111"/>
      <c r="J13" s="111"/>
      <c r="K13" s="111"/>
      <c r="L13" s="111"/>
    </row>
    <row r="14" spans="1:13">
      <c r="A14" s="112"/>
      <c r="B14" s="111"/>
      <c r="C14" s="112"/>
      <c r="D14" s="112"/>
      <c r="E14" s="112"/>
      <c r="F14" s="112"/>
      <c r="G14" s="112"/>
      <c r="H14" s="111"/>
      <c r="I14" s="111"/>
      <c r="J14" s="111"/>
      <c r="K14" s="111"/>
      <c r="L14" s="111"/>
    </row>
    <row r="15" spans="1:13" ht="36.75">
      <c r="A15" s="112" t="s">
        <v>1194</v>
      </c>
      <c r="B15" s="104">
        <v>1</v>
      </c>
      <c r="C15" s="112" t="s">
        <v>1193</v>
      </c>
      <c r="D15" s="104">
        <v>1</v>
      </c>
      <c r="E15" s="112" t="s">
        <v>643</v>
      </c>
      <c r="F15" s="104">
        <v>3</v>
      </c>
      <c r="G15" s="112" t="s">
        <v>644</v>
      </c>
      <c r="H15" s="103">
        <v>1</v>
      </c>
      <c r="I15" s="111" t="s">
        <v>645</v>
      </c>
      <c r="J15" s="103">
        <f>6+13+31+134</f>
        <v>184</v>
      </c>
      <c r="K15" s="111"/>
      <c r="L15" s="111"/>
    </row>
    <row r="16" spans="1:13" ht="24.75">
      <c r="A16" s="112" t="s">
        <v>1192</v>
      </c>
      <c r="B16" s="111" t="s">
        <v>204</v>
      </c>
      <c r="C16" s="104">
        <v>50</v>
      </c>
      <c r="D16" s="112" t="s">
        <v>205</v>
      </c>
      <c r="E16" s="104">
        <v>0</v>
      </c>
      <c r="F16" s="112" t="s">
        <v>206</v>
      </c>
      <c r="G16" s="104">
        <v>0</v>
      </c>
      <c r="H16" s="111" t="s">
        <v>230</v>
      </c>
      <c r="I16" s="103">
        <f>G16+E16+C16</f>
        <v>50</v>
      </c>
      <c r="J16" s="111" t="s">
        <v>207</v>
      </c>
      <c r="K16" s="103">
        <v>6</v>
      </c>
      <c r="L16" s="112" t="s">
        <v>855</v>
      </c>
      <c r="M16" s="80">
        <v>12</v>
      </c>
    </row>
    <row r="17" spans="1:14" ht="24.75">
      <c r="A17" s="112" t="s">
        <v>1191</v>
      </c>
      <c r="B17" s="111" t="s">
        <v>210</v>
      </c>
      <c r="C17" s="104">
        <v>138</v>
      </c>
      <c r="D17" s="112" t="s">
        <v>211</v>
      </c>
      <c r="E17" s="104">
        <v>0</v>
      </c>
      <c r="F17" s="112" t="s">
        <v>212</v>
      </c>
      <c r="G17" s="104">
        <v>0</v>
      </c>
      <c r="H17" s="111" t="s">
        <v>411</v>
      </c>
      <c r="I17" s="103">
        <f>G17+E17+C17</f>
        <v>138</v>
      </c>
      <c r="J17" s="111"/>
      <c r="K17" s="103"/>
      <c r="L17" s="111"/>
    </row>
    <row r="18" spans="1:14" ht="24.75">
      <c r="A18" s="112"/>
      <c r="B18" s="111" t="s">
        <v>213</v>
      </c>
      <c r="C18" s="104">
        <v>150</v>
      </c>
      <c r="D18" s="112" t="s">
        <v>214</v>
      </c>
      <c r="E18" s="104">
        <v>0</v>
      </c>
      <c r="F18" s="112" t="s">
        <v>215</v>
      </c>
      <c r="G18" s="104">
        <v>0</v>
      </c>
      <c r="H18" s="111" t="s">
        <v>410</v>
      </c>
      <c r="I18" s="103">
        <f>G18+E18+C18</f>
        <v>150</v>
      </c>
      <c r="J18" s="111"/>
      <c r="K18" s="103"/>
      <c r="L18" s="111"/>
    </row>
    <row r="19" spans="1:14">
      <c r="A19" s="112"/>
      <c r="B19" s="111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>
      <c r="A20" s="113" t="s">
        <v>409</v>
      </c>
      <c r="B20" s="111"/>
      <c r="C20" s="112"/>
      <c r="D20" s="112"/>
      <c r="E20" s="112"/>
      <c r="F20" s="112"/>
      <c r="G20" s="112"/>
      <c r="H20" s="111"/>
      <c r="I20" s="111"/>
      <c r="J20" s="111"/>
      <c r="K20" s="111"/>
      <c r="L20" s="111"/>
    </row>
    <row r="21" spans="1:14" ht="15" customHeight="1">
      <c r="A21" s="1020" t="s">
        <v>1190</v>
      </c>
      <c r="B21" s="1021" t="s">
        <v>1189</v>
      </c>
      <c r="C21" s="1020" t="s">
        <v>1188</v>
      </c>
      <c r="D21" s="1020" t="s">
        <v>1187</v>
      </c>
      <c r="E21" s="1020" t="s">
        <v>1186</v>
      </c>
      <c r="F21" s="1022" t="s">
        <v>1185</v>
      </c>
      <c r="G21" s="1023"/>
      <c r="H21" s="1023"/>
      <c r="I21" s="1023"/>
      <c r="J21" s="1023"/>
      <c r="K21" s="1023"/>
      <c r="L21" s="1023"/>
      <c r="M21" s="1023"/>
      <c r="N21" s="1024"/>
    </row>
    <row r="22" spans="1:14" ht="22.5" customHeight="1">
      <c r="A22" s="1020"/>
      <c r="B22" s="1021"/>
      <c r="C22" s="1020"/>
      <c r="D22" s="1020"/>
      <c r="E22" s="1020"/>
      <c r="F22" s="104" t="s">
        <v>1184</v>
      </c>
      <c r="G22" s="104" t="s">
        <v>1183</v>
      </c>
      <c r="H22" s="104" t="s">
        <v>1182</v>
      </c>
      <c r="I22" s="103" t="s">
        <v>1181</v>
      </c>
      <c r="J22" s="103" t="s">
        <v>1180</v>
      </c>
      <c r="K22" s="103" t="s">
        <v>1179</v>
      </c>
      <c r="L22" s="103" t="s">
        <v>1178</v>
      </c>
      <c r="M22" s="110" t="s">
        <v>230</v>
      </c>
      <c r="N22" s="109" t="s">
        <v>231</v>
      </c>
    </row>
    <row r="23" spans="1:14" ht="24.75">
      <c r="A23" s="104" t="s">
        <v>232</v>
      </c>
      <c r="B23" s="103">
        <v>8000</v>
      </c>
      <c r="C23" s="5" t="s">
        <v>1175</v>
      </c>
      <c r="D23" s="125">
        <f>ROUND((+B23*F4),0)/100000</f>
        <v>59.140160000000002</v>
      </c>
      <c r="E23" s="124">
        <f>5914015/100000</f>
        <v>59.140149999999998</v>
      </c>
      <c r="F23" s="123">
        <v>0</v>
      </c>
      <c r="G23" s="123">
        <f>3837/100000</f>
        <v>3.8370000000000001E-2</v>
      </c>
      <c r="H23" s="123">
        <f>837488/100000</f>
        <v>8.3748799999999992</v>
      </c>
      <c r="I23" s="123">
        <f>2120272/100000</f>
        <v>21.202719999999999</v>
      </c>
      <c r="J23" s="123">
        <f>1720708/100000</f>
        <v>17.207080000000001</v>
      </c>
      <c r="K23" s="123">
        <f>1186660/100000</f>
        <v>11.8666</v>
      </c>
      <c r="L23" s="123">
        <f>45050/100000</f>
        <v>0.45050000000000001</v>
      </c>
      <c r="M23" s="122">
        <f>SUM(F23:L23)</f>
        <v>59.140149999999991</v>
      </c>
      <c r="N23" s="121">
        <f>ROUND(M23/E23*100,0)</f>
        <v>100</v>
      </c>
    </row>
    <row r="24" spans="1:14" ht="24.75">
      <c r="A24" s="104" t="s">
        <v>234</v>
      </c>
      <c r="B24" s="103">
        <v>7000</v>
      </c>
      <c r="C24" s="102" t="s">
        <v>1175</v>
      </c>
      <c r="D24" s="125">
        <f>B24*80/100000</f>
        <v>5.6</v>
      </c>
      <c r="E24" s="127">
        <f>560000/100000</f>
        <v>5.6</v>
      </c>
      <c r="F24" s="123">
        <v>0</v>
      </c>
      <c r="G24" s="123">
        <v>0</v>
      </c>
      <c r="H24" s="123">
        <v>0</v>
      </c>
      <c r="I24" s="123">
        <v>0</v>
      </c>
      <c r="J24" s="123">
        <v>0</v>
      </c>
      <c r="K24" s="123">
        <f>232800/100000</f>
        <v>2.3279999999999998</v>
      </c>
      <c r="L24" s="123">
        <f>266044/100000</f>
        <v>2.6604399999999999</v>
      </c>
      <c r="M24" s="128">
        <f t="shared" ref="M24:M30" si="0">SUM(F24:L24)</f>
        <v>4.9884399999999998</v>
      </c>
      <c r="N24" s="121">
        <f t="shared" ref="N24:N30" si="1">ROUND(M24/E24*100,0)</f>
        <v>89</v>
      </c>
    </row>
    <row r="25" spans="1:14" ht="36.75">
      <c r="A25" s="104" t="s">
        <v>235</v>
      </c>
      <c r="B25" s="103">
        <v>86</v>
      </c>
      <c r="C25" s="102" t="s">
        <v>236</v>
      </c>
      <c r="D25" s="127">
        <v>0.43</v>
      </c>
      <c r="E25" s="127">
        <f>43000/100000</f>
        <v>0.43</v>
      </c>
      <c r="F25" s="123">
        <v>0</v>
      </c>
      <c r="G25" s="123">
        <v>0</v>
      </c>
      <c r="H25" s="123">
        <v>0</v>
      </c>
      <c r="I25" s="123">
        <f>18000/100000</f>
        <v>0.18</v>
      </c>
      <c r="J25" s="123">
        <f>15000/100000</f>
        <v>0.15</v>
      </c>
      <c r="K25" s="123">
        <f>10000/100000</f>
        <v>0.1</v>
      </c>
      <c r="L25" s="123">
        <f>17868/100000</f>
        <v>0.17868000000000001</v>
      </c>
      <c r="M25" s="128">
        <f t="shared" si="0"/>
        <v>0.60867999999999989</v>
      </c>
      <c r="N25" s="121">
        <f t="shared" si="1"/>
        <v>142</v>
      </c>
    </row>
    <row r="26" spans="1:14" ht="36.75">
      <c r="A26" s="104" t="s">
        <v>237</v>
      </c>
      <c r="B26" s="103">
        <v>68</v>
      </c>
      <c r="C26" s="102" t="s">
        <v>236</v>
      </c>
      <c r="D26" s="127">
        <v>0.34</v>
      </c>
      <c r="E26" s="127">
        <f>34000/100000</f>
        <v>0.34</v>
      </c>
      <c r="F26" s="123">
        <v>0</v>
      </c>
      <c r="G26" s="123">
        <v>0</v>
      </c>
      <c r="H26" s="123">
        <v>0</v>
      </c>
      <c r="I26" s="123">
        <f>16224/100000</f>
        <v>0.16224</v>
      </c>
      <c r="J26" s="123">
        <f>11776/100000</f>
        <v>0.11776</v>
      </c>
      <c r="K26" s="123">
        <f>6000/100000</f>
        <v>0.06</v>
      </c>
      <c r="L26" s="123">
        <v>0</v>
      </c>
      <c r="M26" s="128">
        <f t="shared" si="0"/>
        <v>0.34</v>
      </c>
      <c r="N26" s="121">
        <f t="shared" si="1"/>
        <v>100</v>
      </c>
    </row>
    <row r="27" spans="1:14" ht="24.75">
      <c r="A27" s="104" t="s">
        <v>238</v>
      </c>
      <c r="B27" s="103">
        <v>1200</v>
      </c>
      <c r="C27" s="102" t="s">
        <v>1175</v>
      </c>
      <c r="D27" s="125">
        <f>ROUND((B27*F4),0)/100000</f>
        <v>8.8710199999999997</v>
      </c>
      <c r="E27" s="127">
        <f>887102/100000</f>
        <v>8.8710199999999997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f>377998/100000</f>
        <v>3.7799800000000001</v>
      </c>
      <c r="L27" s="123">
        <f>424500/100000</f>
        <v>4.2450000000000001</v>
      </c>
      <c r="M27" s="128">
        <f t="shared" si="0"/>
        <v>8.0249799999999993</v>
      </c>
      <c r="N27" s="121">
        <f t="shared" si="1"/>
        <v>90</v>
      </c>
    </row>
    <row r="28" spans="1:14" ht="24.75">
      <c r="A28" s="104" t="s">
        <v>667</v>
      </c>
      <c r="B28" s="103">
        <v>565</v>
      </c>
      <c r="C28" s="102" t="s">
        <v>1175</v>
      </c>
      <c r="D28" s="125">
        <f>ROUND((B28*F4),0)/100000</f>
        <v>4.1767700000000003</v>
      </c>
      <c r="E28" s="127">
        <f>417677/100000</f>
        <v>4.1767700000000003</v>
      </c>
      <c r="F28" s="123">
        <v>0</v>
      </c>
      <c r="G28" s="123">
        <v>0</v>
      </c>
      <c r="H28" s="123">
        <v>0</v>
      </c>
      <c r="I28" s="123">
        <f>16035/100000</f>
        <v>0.16034999999999999</v>
      </c>
      <c r="J28" s="123">
        <f>401642/100000</f>
        <v>4.0164200000000001</v>
      </c>
      <c r="K28" s="123">
        <v>0</v>
      </c>
      <c r="L28" s="123">
        <v>0</v>
      </c>
      <c r="M28" s="126">
        <f t="shared" si="0"/>
        <v>4.1767700000000003</v>
      </c>
      <c r="N28" s="121">
        <f t="shared" si="1"/>
        <v>100</v>
      </c>
    </row>
    <row r="29" spans="1:14" ht="24.75">
      <c r="A29" s="104" t="s">
        <v>1176</v>
      </c>
      <c r="B29" s="103">
        <v>1000</v>
      </c>
      <c r="C29" s="102" t="s">
        <v>1175</v>
      </c>
      <c r="D29" s="125">
        <f>B29*F4/100000</f>
        <v>7.3925200000000002</v>
      </c>
      <c r="E29" s="124">
        <f>739252/100000</f>
        <v>7.3925200000000002</v>
      </c>
      <c r="F29" s="123">
        <v>0</v>
      </c>
      <c r="G29" s="123">
        <v>0</v>
      </c>
      <c r="H29" s="123">
        <f>90000/100000</f>
        <v>0.9</v>
      </c>
      <c r="I29" s="123">
        <f>10000/100000</f>
        <v>0.1</v>
      </c>
      <c r="J29" s="123">
        <v>0</v>
      </c>
      <c r="K29" s="123">
        <f>165940/100000</f>
        <v>1.6594</v>
      </c>
      <c r="L29" s="123">
        <f>339239/100000</f>
        <v>3.3923899999999998</v>
      </c>
      <c r="M29" s="122">
        <f t="shared" si="0"/>
        <v>6.0517899999999996</v>
      </c>
      <c r="N29" s="121">
        <f t="shared" si="1"/>
        <v>82</v>
      </c>
    </row>
    <row r="30" spans="1:14" ht="24.75">
      <c r="A30" s="104" t="s">
        <v>394</v>
      </c>
      <c r="B30" s="103">
        <v>2750</v>
      </c>
      <c r="C30" s="102" t="s">
        <v>242</v>
      </c>
      <c r="D30" s="124">
        <v>1.92</v>
      </c>
      <c r="E30" s="124">
        <f>192000/100000</f>
        <v>1.92</v>
      </c>
      <c r="F30" s="123">
        <v>0</v>
      </c>
      <c r="G30" s="123">
        <v>0</v>
      </c>
      <c r="H30" s="123">
        <f>31220/100000</f>
        <v>0.31219999999999998</v>
      </c>
      <c r="I30" s="123">
        <f>61692/100000</f>
        <v>0.61692000000000002</v>
      </c>
      <c r="J30" s="123">
        <f>33088/100000</f>
        <v>0.33088000000000001</v>
      </c>
      <c r="K30" s="123">
        <f>32710/100000</f>
        <v>0.3271</v>
      </c>
      <c r="L30" s="123">
        <f>30170/100000</f>
        <v>0.30170000000000002</v>
      </c>
      <c r="M30" s="122">
        <f t="shared" si="0"/>
        <v>1.8888</v>
      </c>
      <c r="N30" s="121">
        <f t="shared" si="1"/>
        <v>98</v>
      </c>
    </row>
    <row r="31" spans="1:14">
      <c r="A31" s="97" t="s">
        <v>230</v>
      </c>
      <c r="B31" s="96"/>
      <c r="C31" s="95"/>
      <c r="D31" s="120">
        <f t="shared" ref="D31:M31" si="2">SUM(D23:D30)</f>
        <v>87.870470000000026</v>
      </c>
      <c r="E31" s="120">
        <f t="shared" si="2"/>
        <v>87.870460000000023</v>
      </c>
      <c r="F31" s="119">
        <f t="shared" si="2"/>
        <v>0</v>
      </c>
      <c r="G31" s="119">
        <f t="shared" si="2"/>
        <v>3.8370000000000001E-2</v>
      </c>
      <c r="H31" s="119">
        <f t="shared" si="2"/>
        <v>9.5870800000000003</v>
      </c>
      <c r="I31" s="119">
        <f t="shared" si="2"/>
        <v>22.422230000000003</v>
      </c>
      <c r="J31" s="119">
        <f t="shared" si="2"/>
        <v>21.822140000000001</v>
      </c>
      <c r="K31" s="119">
        <f t="shared" si="2"/>
        <v>20.121080000000003</v>
      </c>
      <c r="L31" s="119">
        <f t="shared" si="2"/>
        <v>11.22871</v>
      </c>
      <c r="M31" s="119">
        <f t="shared" si="2"/>
        <v>85.219610000000003</v>
      </c>
      <c r="N31" s="118">
        <f>ROUND(M31/E31*100,0)</f>
        <v>97</v>
      </c>
    </row>
    <row r="32" spans="1:14">
      <c r="A32" s="1025" t="s">
        <v>1217</v>
      </c>
      <c r="B32" s="1025"/>
      <c r="C32" s="1025"/>
      <c r="D32" s="1025"/>
      <c r="E32" s="1025"/>
      <c r="F32" s="1025"/>
      <c r="G32" s="1025"/>
      <c r="H32" s="1025"/>
      <c r="I32" s="1025"/>
      <c r="J32" s="1025"/>
      <c r="K32" s="1025"/>
      <c r="L32" s="1025"/>
      <c r="M32" s="1025"/>
      <c r="N32" s="1025"/>
    </row>
  </sheetData>
  <mergeCells count="10">
    <mergeCell ref="A32:N32"/>
    <mergeCell ref="B2:G2"/>
    <mergeCell ref="B3:E3"/>
    <mergeCell ref="A21:A22"/>
    <mergeCell ref="B21:B22"/>
    <mergeCell ref="C21:C22"/>
    <mergeCell ref="D21:D22"/>
    <mergeCell ref="E21:E22"/>
    <mergeCell ref="F21:N21"/>
    <mergeCell ref="A5:C5"/>
  </mergeCells>
  <hyperlinks>
    <hyperlink ref="A5" location="'Fact Sheet of VDC'!A1" display="&lt;&lt;Back"/>
  </hyperlinks>
  <pageMargins left="0.8" right="0.13" top="0.17" bottom="0.56000000000000005" header="0.11" footer="0.5"/>
  <pageSetup paperSize="9" scale="67" orientation="landscape" verticalDpi="3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N31"/>
  <sheetViews>
    <sheetView zoomScale="70" zoomScaleNormal="70" workbookViewId="0">
      <selection activeCell="A4" sqref="A4:C4"/>
    </sheetView>
  </sheetViews>
  <sheetFormatPr defaultRowHeight="15"/>
  <cols>
    <col min="1" max="1" width="28.5703125" bestFit="1" customWidth="1"/>
    <col min="2" max="2" width="12.85546875" bestFit="1" customWidth="1"/>
    <col min="3" max="3" width="13.85546875" bestFit="1" customWidth="1"/>
    <col min="4" max="4" width="19" bestFit="1" customWidth="1"/>
    <col min="5" max="5" width="17.42578125" bestFit="1" customWidth="1"/>
    <col min="6" max="6" width="10.28515625" bestFit="1" customWidth="1"/>
    <col min="7" max="7" width="9.28515625" bestFit="1" customWidth="1"/>
    <col min="8" max="8" width="11.28515625" bestFit="1" customWidth="1"/>
    <col min="9" max="11" width="9.140625" bestFit="1" customWidth="1"/>
    <col min="12" max="12" width="10" bestFit="1" customWidth="1"/>
    <col min="13" max="13" width="7.140625" bestFit="1" customWidth="1"/>
    <col min="14" max="14" width="8.28515625" bestFit="1" customWidth="1"/>
    <col min="257" max="257" width="28.5703125" bestFit="1" customWidth="1"/>
    <col min="258" max="258" width="12.85546875" bestFit="1" customWidth="1"/>
    <col min="259" max="259" width="13.85546875" bestFit="1" customWidth="1"/>
    <col min="260" max="260" width="19" bestFit="1" customWidth="1"/>
    <col min="261" max="261" width="17.42578125" bestFit="1" customWidth="1"/>
    <col min="262" max="262" width="10.28515625" bestFit="1" customWidth="1"/>
    <col min="263" max="263" width="9.28515625" bestFit="1" customWidth="1"/>
    <col min="264" max="264" width="11.28515625" bestFit="1" customWidth="1"/>
    <col min="265" max="267" width="9.140625" bestFit="1" customWidth="1"/>
    <col min="268" max="268" width="10" bestFit="1" customWidth="1"/>
    <col min="269" max="269" width="7.140625" bestFit="1" customWidth="1"/>
    <col min="270" max="270" width="8.28515625" bestFit="1" customWidth="1"/>
    <col min="513" max="513" width="28.5703125" bestFit="1" customWidth="1"/>
    <col min="514" max="514" width="12.85546875" bestFit="1" customWidth="1"/>
    <col min="515" max="515" width="13.85546875" bestFit="1" customWidth="1"/>
    <col min="516" max="516" width="19" bestFit="1" customWidth="1"/>
    <col min="517" max="517" width="17.42578125" bestFit="1" customWidth="1"/>
    <col min="518" max="518" width="10.28515625" bestFit="1" customWidth="1"/>
    <col min="519" max="519" width="9.28515625" bestFit="1" customWidth="1"/>
    <col min="520" max="520" width="11.28515625" bestFit="1" customWidth="1"/>
    <col min="521" max="523" width="9.140625" bestFit="1" customWidth="1"/>
    <col min="524" max="524" width="10" bestFit="1" customWidth="1"/>
    <col min="525" max="525" width="7.140625" bestFit="1" customWidth="1"/>
    <col min="526" max="526" width="8.28515625" bestFit="1" customWidth="1"/>
    <col min="769" max="769" width="28.5703125" bestFit="1" customWidth="1"/>
    <col min="770" max="770" width="12.85546875" bestFit="1" customWidth="1"/>
    <col min="771" max="771" width="13.85546875" bestFit="1" customWidth="1"/>
    <col min="772" max="772" width="19" bestFit="1" customWidth="1"/>
    <col min="773" max="773" width="17.42578125" bestFit="1" customWidth="1"/>
    <col min="774" max="774" width="10.28515625" bestFit="1" customWidth="1"/>
    <col min="775" max="775" width="9.28515625" bestFit="1" customWidth="1"/>
    <col min="776" max="776" width="11.28515625" bestFit="1" customWidth="1"/>
    <col min="777" max="779" width="9.140625" bestFit="1" customWidth="1"/>
    <col min="780" max="780" width="10" bestFit="1" customWidth="1"/>
    <col min="781" max="781" width="7.140625" bestFit="1" customWidth="1"/>
    <col min="782" max="782" width="8.28515625" bestFit="1" customWidth="1"/>
    <col min="1025" max="1025" width="28.5703125" bestFit="1" customWidth="1"/>
    <col min="1026" max="1026" width="12.85546875" bestFit="1" customWidth="1"/>
    <col min="1027" max="1027" width="13.85546875" bestFit="1" customWidth="1"/>
    <col min="1028" max="1028" width="19" bestFit="1" customWidth="1"/>
    <col min="1029" max="1029" width="17.42578125" bestFit="1" customWidth="1"/>
    <col min="1030" max="1030" width="10.28515625" bestFit="1" customWidth="1"/>
    <col min="1031" max="1031" width="9.28515625" bestFit="1" customWidth="1"/>
    <col min="1032" max="1032" width="11.28515625" bestFit="1" customWidth="1"/>
    <col min="1033" max="1035" width="9.140625" bestFit="1" customWidth="1"/>
    <col min="1036" max="1036" width="10" bestFit="1" customWidth="1"/>
    <col min="1037" max="1037" width="7.140625" bestFit="1" customWidth="1"/>
    <col min="1038" max="1038" width="8.28515625" bestFit="1" customWidth="1"/>
    <col min="1281" max="1281" width="28.5703125" bestFit="1" customWidth="1"/>
    <col min="1282" max="1282" width="12.85546875" bestFit="1" customWidth="1"/>
    <col min="1283" max="1283" width="13.85546875" bestFit="1" customWidth="1"/>
    <col min="1284" max="1284" width="19" bestFit="1" customWidth="1"/>
    <col min="1285" max="1285" width="17.42578125" bestFit="1" customWidth="1"/>
    <col min="1286" max="1286" width="10.28515625" bestFit="1" customWidth="1"/>
    <col min="1287" max="1287" width="9.28515625" bestFit="1" customWidth="1"/>
    <col min="1288" max="1288" width="11.28515625" bestFit="1" customWidth="1"/>
    <col min="1289" max="1291" width="9.140625" bestFit="1" customWidth="1"/>
    <col min="1292" max="1292" width="10" bestFit="1" customWidth="1"/>
    <col min="1293" max="1293" width="7.140625" bestFit="1" customWidth="1"/>
    <col min="1294" max="1294" width="8.28515625" bestFit="1" customWidth="1"/>
    <col min="1537" max="1537" width="28.5703125" bestFit="1" customWidth="1"/>
    <col min="1538" max="1538" width="12.85546875" bestFit="1" customWidth="1"/>
    <col min="1539" max="1539" width="13.85546875" bestFit="1" customWidth="1"/>
    <col min="1540" max="1540" width="19" bestFit="1" customWidth="1"/>
    <col min="1541" max="1541" width="17.42578125" bestFit="1" customWidth="1"/>
    <col min="1542" max="1542" width="10.28515625" bestFit="1" customWidth="1"/>
    <col min="1543" max="1543" width="9.28515625" bestFit="1" customWidth="1"/>
    <col min="1544" max="1544" width="11.28515625" bestFit="1" customWidth="1"/>
    <col min="1545" max="1547" width="9.140625" bestFit="1" customWidth="1"/>
    <col min="1548" max="1548" width="10" bestFit="1" customWidth="1"/>
    <col min="1549" max="1549" width="7.140625" bestFit="1" customWidth="1"/>
    <col min="1550" max="1550" width="8.28515625" bestFit="1" customWidth="1"/>
    <col min="1793" max="1793" width="28.5703125" bestFit="1" customWidth="1"/>
    <col min="1794" max="1794" width="12.85546875" bestFit="1" customWidth="1"/>
    <col min="1795" max="1795" width="13.85546875" bestFit="1" customWidth="1"/>
    <col min="1796" max="1796" width="19" bestFit="1" customWidth="1"/>
    <col min="1797" max="1797" width="17.42578125" bestFit="1" customWidth="1"/>
    <col min="1798" max="1798" width="10.28515625" bestFit="1" customWidth="1"/>
    <col min="1799" max="1799" width="9.28515625" bestFit="1" customWidth="1"/>
    <col min="1800" max="1800" width="11.28515625" bestFit="1" customWidth="1"/>
    <col min="1801" max="1803" width="9.140625" bestFit="1" customWidth="1"/>
    <col min="1804" max="1804" width="10" bestFit="1" customWidth="1"/>
    <col min="1805" max="1805" width="7.140625" bestFit="1" customWidth="1"/>
    <col min="1806" max="1806" width="8.28515625" bestFit="1" customWidth="1"/>
    <col min="2049" max="2049" width="28.5703125" bestFit="1" customWidth="1"/>
    <col min="2050" max="2050" width="12.85546875" bestFit="1" customWidth="1"/>
    <col min="2051" max="2051" width="13.85546875" bestFit="1" customWidth="1"/>
    <col min="2052" max="2052" width="19" bestFit="1" customWidth="1"/>
    <col min="2053" max="2053" width="17.42578125" bestFit="1" customWidth="1"/>
    <col min="2054" max="2054" width="10.28515625" bestFit="1" customWidth="1"/>
    <col min="2055" max="2055" width="9.28515625" bestFit="1" customWidth="1"/>
    <col min="2056" max="2056" width="11.28515625" bestFit="1" customWidth="1"/>
    <col min="2057" max="2059" width="9.140625" bestFit="1" customWidth="1"/>
    <col min="2060" max="2060" width="10" bestFit="1" customWidth="1"/>
    <col min="2061" max="2061" width="7.140625" bestFit="1" customWidth="1"/>
    <col min="2062" max="2062" width="8.28515625" bestFit="1" customWidth="1"/>
    <col min="2305" max="2305" width="28.5703125" bestFit="1" customWidth="1"/>
    <col min="2306" max="2306" width="12.85546875" bestFit="1" customWidth="1"/>
    <col min="2307" max="2307" width="13.85546875" bestFit="1" customWidth="1"/>
    <col min="2308" max="2308" width="19" bestFit="1" customWidth="1"/>
    <col min="2309" max="2309" width="17.42578125" bestFit="1" customWidth="1"/>
    <col min="2310" max="2310" width="10.28515625" bestFit="1" customWidth="1"/>
    <col min="2311" max="2311" width="9.28515625" bestFit="1" customWidth="1"/>
    <col min="2312" max="2312" width="11.28515625" bestFit="1" customWidth="1"/>
    <col min="2313" max="2315" width="9.140625" bestFit="1" customWidth="1"/>
    <col min="2316" max="2316" width="10" bestFit="1" customWidth="1"/>
    <col min="2317" max="2317" width="7.140625" bestFit="1" customWidth="1"/>
    <col min="2318" max="2318" width="8.28515625" bestFit="1" customWidth="1"/>
    <col min="2561" max="2561" width="28.5703125" bestFit="1" customWidth="1"/>
    <col min="2562" max="2562" width="12.85546875" bestFit="1" customWidth="1"/>
    <col min="2563" max="2563" width="13.85546875" bestFit="1" customWidth="1"/>
    <col min="2564" max="2564" width="19" bestFit="1" customWidth="1"/>
    <col min="2565" max="2565" width="17.42578125" bestFit="1" customWidth="1"/>
    <col min="2566" max="2566" width="10.28515625" bestFit="1" customWidth="1"/>
    <col min="2567" max="2567" width="9.28515625" bestFit="1" customWidth="1"/>
    <col min="2568" max="2568" width="11.28515625" bestFit="1" customWidth="1"/>
    <col min="2569" max="2571" width="9.140625" bestFit="1" customWidth="1"/>
    <col min="2572" max="2572" width="10" bestFit="1" customWidth="1"/>
    <col min="2573" max="2573" width="7.140625" bestFit="1" customWidth="1"/>
    <col min="2574" max="2574" width="8.28515625" bestFit="1" customWidth="1"/>
    <col min="2817" max="2817" width="28.5703125" bestFit="1" customWidth="1"/>
    <col min="2818" max="2818" width="12.85546875" bestFit="1" customWidth="1"/>
    <col min="2819" max="2819" width="13.85546875" bestFit="1" customWidth="1"/>
    <col min="2820" max="2820" width="19" bestFit="1" customWidth="1"/>
    <col min="2821" max="2821" width="17.42578125" bestFit="1" customWidth="1"/>
    <col min="2822" max="2822" width="10.28515625" bestFit="1" customWidth="1"/>
    <col min="2823" max="2823" width="9.28515625" bestFit="1" customWidth="1"/>
    <col min="2824" max="2824" width="11.28515625" bestFit="1" customWidth="1"/>
    <col min="2825" max="2827" width="9.140625" bestFit="1" customWidth="1"/>
    <col min="2828" max="2828" width="10" bestFit="1" customWidth="1"/>
    <col min="2829" max="2829" width="7.140625" bestFit="1" customWidth="1"/>
    <col min="2830" max="2830" width="8.28515625" bestFit="1" customWidth="1"/>
    <col min="3073" max="3073" width="28.5703125" bestFit="1" customWidth="1"/>
    <col min="3074" max="3074" width="12.85546875" bestFit="1" customWidth="1"/>
    <col min="3075" max="3075" width="13.85546875" bestFit="1" customWidth="1"/>
    <col min="3076" max="3076" width="19" bestFit="1" customWidth="1"/>
    <col min="3077" max="3077" width="17.42578125" bestFit="1" customWidth="1"/>
    <col min="3078" max="3078" width="10.28515625" bestFit="1" customWidth="1"/>
    <col min="3079" max="3079" width="9.28515625" bestFit="1" customWidth="1"/>
    <col min="3080" max="3080" width="11.28515625" bestFit="1" customWidth="1"/>
    <col min="3081" max="3083" width="9.140625" bestFit="1" customWidth="1"/>
    <col min="3084" max="3084" width="10" bestFit="1" customWidth="1"/>
    <col min="3085" max="3085" width="7.140625" bestFit="1" customWidth="1"/>
    <col min="3086" max="3086" width="8.28515625" bestFit="1" customWidth="1"/>
    <col min="3329" max="3329" width="28.5703125" bestFit="1" customWidth="1"/>
    <col min="3330" max="3330" width="12.85546875" bestFit="1" customWidth="1"/>
    <col min="3331" max="3331" width="13.85546875" bestFit="1" customWidth="1"/>
    <col min="3332" max="3332" width="19" bestFit="1" customWidth="1"/>
    <col min="3333" max="3333" width="17.42578125" bestFit="1" customWidth="1"/>
    <col min="3334" max="3334" width="10.28515625" bestFit="1" customWidth="1"/>
    <col min="3335" max="3335" width="9.28515625" bestFit="1" customWidth="1"/>
    <col min="3336" max="3336" width="11.28515625" bestFit="1" customWidth="1"/>
    <col min="3337" max="3339" width="9.140625" bestFit="1" customWidth="1"/>
    <col min="3340" max="3340" width="10" bestFit="1" customWidth="1"/>
    <col min="3341" max="3341" width="7.140625" bestFit="1" customWidth="1"/>
    <col min="3342" max="3342" width="8.28515625" bestFit="1" customWidth="1"/>
    <col min="3585" max="3585" width="28.5703125" bestFit="1" customWidth="1"/>
    <col min="3586" max="3586" width="12.85546875" bestFit="1" customWidth="1"/>
    <col min="3587" max="3587" width="13.85546875" bestFit="1" customWidth="1"/>
    <col min="3588" max="3588" width="19" bestFit="1" customWidth="1"/>
    <col min="3589" max="3589" width="17.42578125" bestFit="1" customWidth="1"/>
    <col min="3590" max="3590" width="10.28515625" bestFit="1" customWidth="1"/>
    <col min="3591" max="3591" width="9.28515625" bestFit="1" customWidth="1"/>
    <col min="3592" max="3592" width="11.28515625" bestFit="1" customWidth="1"/>
    <col min="3593" max="3595" width="9.140625" bestFit="1" customWidth="1"/>
    <col min="3596" max="3596" width="10" bestFit="1" customWidth="1"/>
    <col min="3597" max="3597" width="7.140625" bestFit="1" customWidth="1"/>
    <col min="3598" max="3598" width="8.28515625" bestFit="1" customWidth="1"/>
    <col min="3841" max="3841" width="28.5703125" bestFit="1" customWidth="1"/>
    <col min="3842" max="3842" width="12.85546875" bestFit="1" customWidth="1"/>
    <col min="3843" max="3843" width="13.85546875" bestFit="1" customWidth="1"/>
    <col min="3844" max="3844" width="19" bestFit="1" customWidth="1"/>
    <col min="3845" max="3845" width="17.42578125" bestFit="1" customWidth="1"/>
    <col min="3846" max="3846" width="10.28515625" bestFit="1" customWidth="1"/>
    <col min="3847" max="3847" width="9.28515625" bestFit="1" customWidth="1"/>
    <col min="3848" max="3848" width="11.28515625" bestFit="1" customWidth="1"/>
    <col min="3849" max="3851" width="9.140625" bestFit="1" customWidth="1"/>
    <col min="3852" max="3852" width="10" bestFit="1" customWidth="1"/>
    <col min="3853" max="3853" width="7.140625" bestFit="1" customWidth="1"/>
    <col min="3854" max="3854" width="8.28515625" bestFit="1" customWidth="1"/>
    <col min="4097" max="4097" width="28.5703125" bestFit="1" customWidth="1"/>
    <col min="4098" max="4098" width="12.85546875" bestFit="1" customWidth="1"/>
    <col min="4099" max="4099" width="13.85546875" bestFit="1" customWidth="1"/>
    <col min="4100" max="4100" width="19" bestFit="1" customWidth="1"/>
    <col min="4101" max="4101" width="17.42578125" bestFit="1" customWidth="1"/>
    <col min="4102" max="4102" width="10.28515625" bestFit="1" customWidth="1"/>
    <col min="4103" max="4103" width="9.28515625" bestFit="1" customWidth="1"/>
    <col min="4104" max="4104" width="11.28515625" bestFit="1" customWidth="1"/>
    <col min="4105" max="4107" width="9.140625" bestFit="1" customWidth="1"/>
    <col min="4108" max="4108" width="10" bestFit="1" customWidth="1"/>
    <col min="4109" max="4109" width="7.140625" bestFit="1" customWidth="1"/>
    <col min="4110" max="4110" width="8.28515625" bestFit="1" customWidth="1"/>
    <col min="4353" max="4353" width="28.5703125" bestFit="1" customWidth="1"/>
    <col min="4354" max="4354" width="12.85546875" bestFit="1" customWidth="1"/>
    <col min="4355" max="4355" width="13.85546875" bestFit="1" customWidth="1"/>
    <col min="4356" max="4356" width="19" bestFit="1" customWidth="1"/>
    <col min="4357" max="4357" width="17.42578125" bestFit="1" customWidth="1"/>
    <col min="4358" max="4358" width="10.28515625" bestFit="1" customWidth="1"/>
    <col min="4359" max="4359" width="9.28515625" bestFit="1" customWidth="1"/>
    <col min="4360" max="4360" width="11.28515625" bestFit="1" customWidth="1"/>
    <col min="4361" max="4363" width="9.140625" bestFit="1" customWidth="1"/>
    <col min="4364" max="4364" width="10" bestFit="1" customWidth="1"/>
    <col min="4365" max="4365" width="7.140625" bestFit="1" customWidth="1"/>
    <col min="4366" max="4366" width="8.28515625" bestFit="1" customWidth="1"/>
    <col min="4609" max="4609" width="28.5703125" bestFit="1" customWidth="1"/>
    <col min="4610" max="4610" width="12.85546875" bestFit="1" customWidth="1"/>
    <col min="4611" max="4611" width="13.85546875" bestFit="1" customWidth="1"/>
    <col min="4612" max="4612" width="19" bestFit="1" customWidth="1"/>
    <col min="4613" max="4613" width="17.42578125" bestFit="1" customWidth="1"/>
    <col min="4614" max="4614" width="10.28515625" bestFit="1" customWidth="1"/>
    <col min="4615" max="4615" width="9.28515625" bestFit="1" customWidth="1"/>
    <col min="4616" max="4616" width="11.28515625" bestFit="1" customWidth="1"/>
    <col min="4617" max="4619" width="9.140625" bestFit="1" customWidth="1"/>
    <col min="4620" max="4620" width="10" bestFit="1" customWidth="1"/>
    <col min="4621" max="4621" width="7.140625" bestFit="1" customWidth="1"/>
    <col min="4622" max="4622" width="8.28515625" bestFit="1" customWidth="1"/>
    <col min="4865" max="4865" width="28.5703125" bestFit="1" customWidth="1"/>
    <col min="4866" max="4866" width="12.85546875" bestFit="1" customWidth="1"/>
    <col min="4867" max="4867" width="13.85546875" bestFit="1" customWidth="1"/>
    <col min="4868" max="4868" width="19" bestFit="1" customWidth="1"/>
    <col min="4869" max="4869" width="17.42578125" bestFit="1" customWidth="1"/>
    <col min="4870" max="4870" width="10.28515625" bestFit="1" customWidth="1"/>
    <col min="4871" max="4871" width="9.28515625" bestFit="1" customWidth="1"/>
    <col min="4872" max="4872" width="11.28515625" bestFit="1" customWidth="1"/>
    <col min="4873" max="4875" width="9.140625" bestFit="1" customWidth="1"/>
    <col min="4876" max="4876" width="10" bestFit="1" customWidth="1"/>
    <col min="4877" max="4877" width="7.140625" bestFit="1" customWidth="1"/>
    <col min="4878" max="4878" width="8.28515625" bestFit="1" customWidth="1"/>
    <col min="5121" max="5121" width="28.5703125" bestFit="1" customWidth="1"/>
    <col min="5122" max="5122" width="12.85546875" bestFit="1" customWidth="1"/>
    <col min="5123" max="5123" width="13.85546875" bestFit="1" customWidth="1"/>
    <col min="5124" max="5124" width="19" bestFit="1" customWidth="1"/>
    <col min="5125" max="5125" width="17.42578125" bestFit="1" customWidth="1"/>
    <col min="5126" max="5126" width="10.28515625" bestFit="1" customWidth="1"/>
    <col min="5127" max="5127" width="9.28515625" bestFit="1" customWidth="1"/>
    <col min="5128" max="5128" width="11.28515625" bestFit="1" customWidth="1"/>
    <col min="5129" max="5131" width="9.140625" bestFit="1" customWidth="1"/>
    <col min="5132" max="5132" width="10" bestFit="1" customWidth="1"/>
    <col min="5133" max="5133" width="7.140625" bestFit="1" customWidth="1"/>
    <col min="5134" max="5134" width="8.28515625" bestFit="1" customWidth="1"/>
    <col min="5377" max="5377" width="28.5703125" bestFit="1" customWidth="1"/>
    <col min="5378" max="5378" width="12.85546875" bestFit="1" customWidth="1"/>
    <col min="5379" max="5379" width="13.85546875" bestFit="1" customWidth="1"/>
    <col min="5380" max="5380" width="19" bestFit="1" customWidth="1"/>
    <col min="5381" max="5381" width="17.42578125" bestFit="1" customWidth="1"/>
    <col min="5382" max="5382" width="10.28515625" bestFit="1" customWidth="1"/>
    <col min="5383" max="5383" width="9.28515625" bestFit="1" customWidth="1"/>
    <col min="5384" max="5384" width="11.28515625" bestFit="1" customWidth="1"/>
    <col min="5385" max="5387" width="9.140625" bestFit="1" customWidth="1"/>
    <col min="5388" max="5388" width="10" bestFit="1" customWidth="1"/>
    <col min="5389" max="5389" width="7.140625" bestFit="1" customWidth="1"/>
    <col min="5390" max="5390" width="8.28515625" bestFit="1" customWidth="1"/>
    <col min="5633" max="5633" width="28.5703125" bestFit="1" customWidth="1"/>
    <col min="5634" max="5634" width="12.85546875" bestFit="1" customWidth="1"/>
    <col min="5635" max="5635" width="13.85546875" bestFit="1" customWidth="1"/>
    <col min="5636" max="5636" width="19" bestFit="1" customWidth="1"/>
    <col min="5637" max="5637" width="17.42578125" bestFit="1" customWidth="1"/>
    <col min="5638" max="5638" width="10.28515625" bestFit="1" customWidth="1"/>
    <col min="5639" max="5639" width="9.28515625" bestFit="1" customWidth="1"/>
    <col min="5640" max="5640" width="11.28515625" bestFit="1" customWidth="1"/>
    <col min="5641" max="5643" width="9.140625" bestFit="1" customWidth="1"/>
    <col min="5644" max="5644" width="10" bestFit="1" customWidth="1"/>
    <col min="5645" max="5645" width="7.140625" bestFit="1" customWidth="1"/>
    <col min="5646" max="5646" width="8.28515625" bestFit="1" customWidth="1"/>
    <col min="5889" max="5889" width="28.5703125" bestFit="1" customWidth="1"/>
    <col min="5890" max="5890" width="12.85546875" bestFit="1" customWidth="1"/>
    <col min="5891" max="5891" width="13.85546875" bestFit="1" customWidth="1"/>
    <col min="5892" max="5892" width="19" bestFit="1" customWidth="1"/>
    <col min="5893" max="5893" width="17.42578125" bestFit="1" customWidth="1"/>
    <col min="5894" max="5894" width="10.28515625" bestFit="1" customWidth="1"/>
    <col min="5895" max="5895" width="9.28515625" bestFit="1" customWidth="1"/>
    <col min="5896" max="5896" width="11.28515625" bestFit="1" customWidth="1"/>
    <col min="5897" max="5899" width="9.140625" bestFit="1" customWidth="1"/>
    <col min="5900" max="5900" width="10" bestFit="1" customWidth="1"/>
    <col min="5901" max="5901" width="7.140625" bestFit="1" customWidth="1"/>
    <col min="5902" max="5902" width="8.28515625" bestFit="1" customWidth="1"/>
    <col min="6145" max="6145" width="28.5703125" bestFit="1" customWidth="1"/>
    <col min="6146" max="6146" width="12.85546875" bestFit="1" customWidth="1"/>
    <col min="6147" max="6147" width="13.85546875" bestFit="1" customWidth="1"/>
    <col min="6148" max="6148" width="19" bestFit="1" customWidth="1"/>
    <col min="6149" max="6149" width="17.42578125" bestFit="1" customWidth="1"/>
    <col min="6150" max="6150" width="10.28515625" bestFit="1" customWidth="1"/>
    <col min="6151" max="6151" width="9.28515625" bestFit="1" customWidth="1"/>
    <col min="6152" max="6152" width="11.28515625" bestFit="1" customWidth="1"/>
    <col min="6153" max="6155" width="9.140625" bestFit="1" customWidth="1"/>
    <col min="6156" max="6156" width="10" bestFit="1" customWidth="1"/>
    <col min="6157" max="6157" width="7.140625" bestFit="1" customWidth="1"/>
    <col min="6158" max="6158" width="8.28515625" bestFit="1" customWidth="1"/>
    <col min="6401" max="6401" width="28.5703125" bestFit="1" customWidth="1"/>
    <col min="6402" max="6402" width="12.85546875" bestFit="1" customWidth="1"/>
    <col min="6403" max="6403" width="13.85546875" bestFit="1" customWidth="1"/>
    <col min="6404" max="6404" width="19" bestFit="1" customWidth="1"/>
    <col min="6405" max="6405" width="17.42578125" bestFit="1" customWidth="1"/>
    <col min="6406" max="6406" width="10.28515625" bestFit="1" customWidth="1"/>
    <col min="6407" max="6407" width="9.28515625" bestFit="1" customWidth="1"/>
    <col min="6408" max="6408" width="11.28515625" bestFit="1" customWidth="1"/>
    <col min="6409" max="6411" width="9.140625" bestFit="1" customWidth="1"/>
    <col min="6412" max="6412" width="10" bestFit="1" customWidth="1"/>
    <col min="6413" max="6413" width="7.140625" bestFit="1" customWidth="1"/>
    <col min="6414" max="6414" width="8.28515625" bestFit="1" customWidth="1"/>
    <col min="6657" max="6657" width="28.5703125" bestFit="1" customWidth="1"/>
    <col min="6658" max="6658" width="12.85546875" bestFit="1" customWidth="1"/>
    <col min="6659" max="6659" width="13.85546875" bestFit="1" customWidth="1"/>
    <col min="6660" max="6660" width="19" bestFit="1" customWidth="1"/>
    <col min="6661" max="6661" width="17.42578125" bestFit="1" customWidth="1"/>
    <col min="6662" max="6662" width="10.28515625" bestFit="1" customWidth="1"/>
    <col min="6663" max="6663" width="9.28515625" bestFit="1" customWidth="1"/>
    <col min="6664" max="6664" width="11.28515625" bestFit="1" customWidth="1"/>
    <col min="6665" max="6667" width="9.140625" bestFit="1" customWidth="1"/>
    <col min="6668" max="6668" width="10" bestFit="1" customWidth="1"/>
    <col min="6669" max="6669" width="7.140625" bestFit="1" customWidth="1"/>
    <col min="6670" max="6670" width="8.28515625" bestFit="1" customWidth="1"/>
    <col min="6913" max="6913" width="28.5703125" bestFit="1" customWidth="1"/>
    <col min="6914" max="6914" width="12.85546875" bestFit="1" customWidth="1"/>
    <col min="6915" max="6915" width="13.85546875" bestFit="1" customWidth="1"/>
    <col min="6916" max="6916" width="19" bestFit="1" customWidth="1"/>
    <col min="6917" max="6917" width="17.42578125" bestFit="1" customWidth="1"/>
    <col min="6918" max="6918" width="10.28515625" bestFit="1" customWidth="1"/>
    <col min="6919" max="6919" width="9.28515625" bestFit="1" customWidth="1"/>
    <col min="6920" max="6920" width="11.28515625" bestFit="1" customWidth="1"/>
    <col min="6921" max="6923" width="9.140625" bestFit="1" customWidth="1"/>
    <col min="6924" max="6924" width="10" bestFit="1" customWidth="1"/>
    <col min="6925" max="6925" width="7.140625" bestFit="1" customWidth="1"/>
    <col min="6926" max="6926" width="8.28515625" bestFit="1" customWidth="1"/>
    <col min="7169" max="7169" width="28.5703125" bestFit="1" customWidth="1"/>
    <col min="7170" max="7170" width="12.85546875" bestFit="1" customWidth="1"/>
    <col min="7171" max="7171" width="13.85546875" bestFit="1" customWidth="1"/>
    <col min="7172" max="7172" width="19" bestFit="1" customWidth="1"/>
    <col min="7173" max="7173" width="17.42578125" bestFit="1" customWidth="1"/>
    <col min="7174" max="7174" width="10.28515625" bestFit="1" customWidth="1"/>
    <col min="7175" max="7175" width="9.28515625" bestFit="1" customWidth="1"/>
    <col min="7176" max="7176" width="11.28515625" bestFit="1" customWidth="1"/>
    <col min="7177" max="7179" width="9.140625" bestFit="1" customWidth="1"/>
    <col min="7180" max="7180" width="10" bestFit="1" customWidth="1"/>
    <col min="7181" max="7181" width="7.140625" bestFit="1" customWidth="1"/>
    <col min="7182" max="7182" width="8.28515625" bestFit="1" customWidth="1"/>
    <col min="7425" max="7425" width="28.5703125" bestFit="1" customWidth="1"/>
    <col min="7426" max="7426" width="12.85546875" bestFit="1" customWidth="1"/>
    <col min="7427" max="7427" width="13.85546875" bestFit="1" customWidth="1"/>
    <col min="7428" max="7428" width="19" bestFit="1" customWidth="1"/>
    <col min="7429" max="7429" width="17.42578125" bestFit="1" customWidth="1"/>
    <col min="7430" max="7430" width="10.28515625" bestFit="1" customWidth="1"/>
    <col min="7431" max="7431" width="9.28515625" bestFit="1" customWidth="1"/>
    <col min="7432" max="7432" width="11.28515625" bestFit="1" customWidth="1"/>
    <col min="7433" max="7435" width="9.140625" bestFit="1" customWidth="1"/>
    <col min="7436" max="7436" width="10" bestFit="1" customWidth="1"/>
    <col min="7437" max="7437" width="7.140625" bestFit="1" customWidth="1"/>
    <col min="7438" max="7438" width="8.28515625" bestFit="1" customWidth="1"/>
    <col min="7681" max="7681" width="28.5703125" bestFit="1" customWidth="1"/>
    <col min="7682" max="7682" width="12.85546875" bestFit="1" customWidth="1"/>
    <col min="7683" max="7683" width="13.85546875" bestFit="1" customWidth="1"/>
    <col min="7684" max="7684" width="19" bestFit="1" customWidth="1"/>
    <col min="7685" max="7685" width="17.42578125" bestFit="1" customWidth="1"/>
    <col min="7686" max="7686" width="10.28515625" bestFit="1" customWidth="1"/>
    <col min="7687" max="7687" width="9.28515625" bestFit="1" customWidth="1"/>
    <col min="7688" max="7688" width="11.28515625" bestFit="1" customWidth="1"/>
    <col min="7689" max="7691" width="9.140625" bestFit="1" customWidth="1"/>
    <col min="7692" max="7692" width="10" bestFit="1" customWidth="1"/>
    <col min="7693" max="7693" width="7.140625" bestFit="1" customWidth="1"/>
    <col min="7694" max="7694" width="8.28515625" bestFit="1" customWidth="1"/>
    <col min="7937" max="7937" width="28.5703125" bestFit="1" customWidth="1"/>
    <col min="7938" max="7938" width="12.85546875" bestFit="1" customWidth="1"/>
    <col min="7939" max="7939" width="13.85546875" bestFit="1" customWidth="1"/>
    <col min="7940" max="7940" width="19" bestFit="1" customWidth="1"/>
    <col min="7941" max="7941" width="17.42578125" bestFit="1" customWidth="1"/>
    <col min="7942" max="7942" width="10.28515625" bestFit="1" customWidth="1"/>
    <col min="7943" max="7943" width="9.28515625" bestFit="1" customWidth="1"/>
    <col min="7944" max="7944" width="11.28515625" bestFit="1" customWidth="1"/>
    <col min="7945" max="7947" width="9.140625" bestFit="1" customWidth="1"/>
    <col min="7948" max="7948" width="10" bestFit="1" customWidth="1"/>
    <col min="7949" max="7949" width="7.140625" bestFit="1" customWidth="1"/>
    <col min="7950" max="7950" width="8.28515625" bestFit="1" customWidth="1"/>
    <col min="8193" max="8193" width="28.5703125" bestFit="1" customWidth="1"/>
    <col min="8194" max="8194" width="12.85546875" bestFit="1" customWidth="1"/>
    <col min="8195" max="8195" width="13.85546875" bestFit="1" customWidth="1"/>
    <col min="8196" max="8196" width="19" bestFit="1" customWidth="1"/>
    <col min="8197" max="8197" width="17.42578125" bestFit="1" customWidth="1"/>
    <col min="8198" max="8198" width="10.28515625" bestFit="1" customWidth="1"/>
    <col min="8199" max="8199" width="9.28515625" bestFit="1" customWidth="1"/>
    <col min="8200" max="8200" width="11.28515625" bestFit="1" customWidth="1"/>
    <col min="8201" max="8203" width="9.140625" bestFit="1" customWidth="1"/>
    <col min="8204" max="8204" width="10" bestFit="1" customWidth="1"/>
    <col min="8205" max="8205" width="7.140625" bestFit="1" customWidth="1"/>
    <col min="8206" max="8206" width="8.28515625" bestFit="1" customWidth="1"/>
    <col min="8449" max="8449" width="28.5703125" bestFit="1" customWidth="1"/>
    <col min="8450" max="8450" width="12.85546875" bestFit="1" customWidth="1"/>
    <col min="8451" max="8451" width="13.85546875" bestFit="1" customWidth="1"/>
    <col min="8452" max="8452" width="19" bestFit="1" customWidth="1"/>
    <col min="8453" max="8453" width="17.42578125" bestFit="1" customWidth="1"/>
    <col min="8454" max="8454" width="10.28515625" bestFit="1" customWidth="1"/>
    <col min="8455" max="8455" width="9.28515625" bestFit="1" customWidth="1"/>
    <col min="8456" max="8456" width="11.28515625" bestFit="1" customWidth="1"/>
    <col min="8457" max="8459" width="9.140625" bestFit="1" customWidth="1"/>
    <col min="8460" max="8460" width="10" bestFit="1" customWidth="1"/>
    <col min="8461" max="8461" width="7.140625" bestFit="1" customWidth="1"/>
    <col min="8462" max="8462" width="8.28515625" bestFit="1" customWidth="1"/>
    <col min="8705" max="8705" width="28.5703125" bestFit="1" customWidth="1"/>
    <col min="8706" max="8706" width="12.85546875" bestFit="1" customWidth="1"/>
    <col min="8707" max="8707" width="13.85546875" bestFit="1" customWidth="1"/>
    <col min="8708" max="8708" width="19" bestFit="1" customWidth="1"/>
    <col min="8709" max="8709" width="17.42578125" bestFit="1" customWidth="1"/>
    <col min="8710" max="8710" width="10.28515625" bestFit="1" customWidth="1"/>
    <col min="8711" max="8711" width="9.28515625" bestFit="1" customWidth="1"/>
    <col min="8712" max="8712" width="11.28515625" bestFit="1" customWidth="1"/>
    <col min="8713" max="8715" width="9.140625" bestFit="1" customWidth="1"/>
    <col min="8716" max="8716" width="10" bestFit="1" customWidth="1"/>
    <col min="8717" max="8717" width="7.140625" bestFit="1" customWidth="1"/>
    <col min="8718" max="8718" width="8.28515625" bestFit="1" customWidth="1"/>
    <col min="8961" max="8961" width="28.5703125" bestFit="1" customWidth="1"/>
    <col min="8962" max="8962" width="12.85546875" bestFit="1" customWidth="1"/>
    <col min="8963" max="8963" width="13.85546875" bestFit="1" customWidth="1"/>
    <col min="8964" max="8964" width="19" bestFit="1" customWidth="1"/>
    <col min="8965" max="8965" width="17.42578125" bestFit="1" customWidth="1"/>
    <col min="8966" max="8966" width="10.28515625" bestFit="1" customWidth="1"/>
    <col min="8967" max="8967" width="9.28515625" bestFit="1" customWidth="1"/>
    <col min="8968" max="8968" width="11.28515625" bestFit="1" customWidth="1"/>
    <col min="8969" max="8971" width="9.140625" bestFit="1" customWidth="1"/>
    <col min="8972" max="8972" width="10" bestFit="1" customWidth="1"/>
    <col min="8973" max="8973" width="7.140625" bestFit="1" customWidth="1"/>
    <col min="8974" max="8974" width="8.28515625" bestFit="1" customWidth="1"/>
    <col min="9217" max="9217" width="28.5703125" bestFit="1" customWidth="1"/>
    <col min="9218" max="9218" width="12.85546875" bestFit="1" customWidth="1"/>
    <col min="9219" max="9219" width="13.85546875" bestFit="1" customWidth="1"/>
    <col min="9220" max="9220" width="19" bestFit="1" customWidth="1"/>
    <col min="9221" max="9221" width="17.42578125" bestFit="1" customWidth="1"/>
    <col min="9222" max="9222" width="10.28515625" bestFit="1" customWidth="1"/>
    <col min="9223" max="9223" width="9.28515625" bestFit="1" customWidth="1"/>
    <col min="9224" max="9224" width="11.28515625" bestFit="1" customWidth="1"/>
    <col min="9225" max="9227" width="9.140625" bestFit="1" customWidth="1"/>
    <col min="9228" max="9228" width="10" bestFit="1" customWidth="1"/>
    <col min="9229" max="9229" width="7.140625" bestFit="1" customWidth="1"/>
    <col min="9230" max="9230" width="8.28515625" bestFit="1" customWidth="1"/>
    <col min="9473" max="9473" width="28.5703125" bestFit="1" customWidth="1"/>
    <col min="9474" max="9474" width="12.85546875" bestFit="1" customWidth="1"/>
    <col min="9475" max="9475" width="13.85546875" bestFit="1" customWidth="1"/>
    <col min="9476" max="9476" width="19" bestFit="1" customWidth="1"/>
    <col min="9477" max="9477" width="17.42578125" bestFit="1" customWidth="1"/>
    <col min="9478" max="9478" width="10.28515625" bestFit="1" customWidth="1"/>
    <col min="9479" max="9479" width="9.28515625" bestFit="1" customWidth="1"/>
    <col min="9480" max="9480" width="11.28515625" bestFit="1" customWidth="1"/>
    <col min="9481" max="9483" width="9.140625" bestFit="1" customWidth="1"/>
    <col min="9484" max="9484" width="10" bestFit="1" customWidth="1"/>
    <col min="9485" max="9485" width="7.140625" bestFit="1" customWidth="1"/>
    <col min="9486" max="9486" width="8.28515625" bestFit="1" customWidth="1"/>
    <col min="9729" max="9729" width="28.5703125" bestFit="1" customWidth="1"/>
    <col min="9730" max="9730" width="12.85546875" bestFit="1" customWidth="1"/>
    <col min="9731" max="9731" width="13.85546875" bestFit="1" customWidth="1"/>
    <col min="9732" max="9732" width="19" bestFit="1" customWidth="1"/>
    <col min="9733" max="9733" width="17.42578125" bestFit="1" customWidth="1"/>
    <col min="9734" max="9734" width="10.28515625" bestFit="1" customWidth="1"/>
    <col min="9735" max="9735" width="9.28515625" bestFit="1" customWidth="1"/>
    <col min="9736" max="9736" width="11.28515625" bestFit="1" customWidth="1"/>
    <col min="9737" max="9739" width="9.140625" bestFit="1" customWidth="1"/>
    <col min="9740" max="9740" width="10" bestFit="1" customWidth="1"/>
    <col min="9741" max="9741" width="7.140625" bestFit="1" customWidth="1"/>
    <col min="9742" max="9742" width="8.28515625" bestFit="1" customWidth="1"/>
    <col min="9985" max="9985" width="28.5703125" bestFit="1" customWidth="1"/>
    <col min="9986" max="9986" width="12.85546875" bestFit="1" customWidth="1"/>
    <col min="9987" max="9987" width="13.85546875" bestFit="1" customWidth="1"/>
    <col min="9988" max="9988" width="19" bestFit="1" customWidth="1"/>
    <col min="9989" max="9989" width="17.42578125" bestFit="1" customWidth="1"/>
    <col min="9990" max="9990" width="10.28515625" bestFit="1" customWidth="1"/>
    <col min="9991" max="9991" width="9.28515625" bestFit="1" customWidth="1"/>
    <col min="9992" max="9992" width="11.28515625" bestFit="1" customWidth="1"/>
    <col min="9993" max="9995" width="9.140625" bestFit="1" customWidth="1"/>
    <col min="9996" max="9996" width="10" bestFit="1" customWidth="1"/>
    <col min="9997" max="9997" width="7.140625" bestFit="1" customWidth="1"/>
    <col min="9998" max="9998" width="8.28515625" bestFit="1" customWidth="1"/>
    <col min="10241" max="10241" width="28.5703125" bestFit="1" customWidth="1"/>
    <col min="10242" max="10242" width="12.85546875" bestFit="1" customWidth="1"/>
    <col min="10243" max="10243" width="13.85546875" bestFit="1" customWidth="1"/>
    <col min="10244" max="10244" width="19" bestFit="1" customWidth="1"/>
    <col min="10245" max="10245" width="17.42578125" bestFit="1" customWidth="1"/>
    <col min="10246" max="10246" width="10.28515625" bestFit="1" customWidth="1"/>
    <col min="10247" max="10247" width="9.28515625" bestFit="1" customWidth="1"/>
    <col min="10248" max="10248" width="11.28515625" bestFit="1" customWidth="1"/>
    <col min="10249" max="10251" width="9.140625" bestFit="1" customWidth="1"/>
    <col min="10252" max="10252" width="10" bestFit="1" customWidth="1"/>
    <col min="10253" max="10253" width="7.140625" bestFit="1" customWidth="1"/>
    <col min="10254" max="10254" width="8.28515625" bestFit="1" customWidth="1"/>
    <col min="10497" max="10497" width="28.5703125" bestFit="1" customWidth="1"/>
    <col min="10498" max="10498" width="12.85546875" bestFit="1" customWidth="1"/>
    <col min="10499" max="10499" width="13.85546875" bestFit="1" customWidth="1"/>
    <col min="10500" max="10500" width="19" bestFit="1" customWidth="1"/>
    <col min="10501" max="10501" width="17.42578125" bestFit="1" customWidth="1"/>
    <col min="10502" max="10502" width="10.28515625" bestFit="1" customWidth="1"/>
    <col min="10503" max="10503" width="9.28515625" bestFit="1" customWidth="1"/>
    <col min="10504" max="10504" width="11.28515625" bestFit="1" customWidth="1"/>
    <col min="10505" max="10507" width="9.140625" bestFit="1" customWidth="1"/>
    <col min="10508" max="10508" width="10" bestFit="1" customWidth="1"/>
    <col min="10509" max="10509" width="7.140625" bestFit="1" customWidth="1"/>
    <col min="10510" max="10510" width="8.28515625" bestFit="1" customWidth="1"/>
    <col min="10753" max="10753" width="28.5703125" bestFit="1" customWidth="1"/>
    <col min="10754" max="10754" width="12.85546875" bestFit="1" customWidth="1"/>
    <col min="10755" max="10755" width="13.85546875" bestFit="1" customWidth="1"/>
    <col min="10756" max="10756" width="19" bestFit="1" customWidth="1"/>
    <col min="10757" max="10757" width="17.42578125" bestFit="1" customWidth="1"/>
    <col min="10758" max="10758" width="10.28515625" bestFit="1" customWidth="1"/>
    <col min="10759" max="10759" width="9.28515625" bestFit="1" customWidth="1"/>
    <col min="10760" max="10760" width="11.28515625" bestFit="1" customWidth="1"/>
    <col min="10761" max="10763" width="9.140625" bestFit="1" customWidth="1"/>
    <col min="10764" max="10764" width="10" bestFit="1" customWidth="1"/>
    <col min="10765" max="10765" width="7.140625" bestFit="1" customWidth="1"/>
    <col min="10766" max="10766" width="8.28515625" bestFit="1" customWidth="1"/>
    <col min="11009" max="11009" width="28.5703125" bestFit="1" customWidth="1"/>
    <col min="11010" max="11010" width="12.85546875" bestFit="1" customWidth="1"/>
    <col min="11011" max="11011" width="13.85546875" bestFit="1" customWidth="1"/>
    <col min="11012" max="11012" width="19" bestFit="1" customWidth="1"/>
    <col min="11013" max="11013" width="17.42578125" bestFit="1" customWidth="1"/>
    <col min="11014" max="11014" width="10.28515625" bestFit="1" customWidth="1"/>
    <col min="11015" max="11015" width="9.28515625" bestFit="1" customWidth="1"/>
    <col min="11016" max="11016" width="11.28515625" bestFit="1" customWidth="1"/>
    <col min="11017" max="11019" width="9.140625" bestFit="1" customWidth="1"/>
    <col min="11020" max="11020" width="10" bestFit="1" customWidth="1"/>
    <col min="11021" max="11021" width="7.140625" bestFit="1" customWidth="1"/>
    <col min="11022" max="11022" width="8.28515625" bestFit="1" customWidth="1"/>
    <col min="11265" max="11265" width="28.5703125" bestFit="1" customWidth="1"/>
    <col min="11266" max="11266" width="12.85546875" bestFit="1" customWidth="1"/>
    <col min="11267" max="11267" width="13.85546875" bestFit="1" customWidth="1"/>
    <col min="11268" max="11268" width="19" bestFit="1" customWidth="1"/>
    <col min="11269" max="11269" width="17.42578125" bestFit="1" customWidth="1"/>
    <col min="11270" max="11270" width="10.28515625" bestFit="1" customWidth="1"/>
    <col min="11271" max="11271" width="9.28515625" bestFit="1" customWidth="1"/>
    <col min="11272" max="11272" width="11.28515625" bestFit="1" customWidth="1"/>
    <col min="11273" max="11275" width="9.140625" bestFit="1" customWidth="1"/>
    <col min="11276" max="11276" width="10" bestFit="1" customWidth="1"/>
    <col min="11277" max="11277" width="7.140625" bestFit="1" customWidth="1"/>
    <col min="11278" max="11278" width="8.28515625" bestFit="1" customWidth="1"/>
    <col min="11521" max="11521" width="28.5703125" bestFit="1" customWidth="1"/>
    <col min="11522" max="11522" width="12.85546875" bestFit="1" customWidth="1"/>
    <col min="11523" max="11523" width="13.85546875" bestFit="1" customWidth="1"/>
    <col min="11524" max="11524" width="19" bestFit="1" customWidth="1"/>
    <col min="11525" max="11525" width="17.42578125" bestFit="1" customWidth="1"/>
    <col min="11526" max="11526" width="10.28515625" bestFit="1" customWidth="1"/>
    <col min="11527" max="11527" width="9.28515625" bestFit="1" customWidth="1"/>
    <col min="11528" max="11528" width="11.28515625" bestFit="1" customWidth="1"/>
    <col min="11529" max="11531" width="9.140625" bestFit="1" customWidth="1"/>
    <col min="11532" max="11532" width="10" bestFit="1" customWidth="1"/>
    <col min="11533" max="11533" width="7.140625" bestFit="1" customWidth="1"/>
    <col min="11534" max="11534" width="8.28515625" bestFit="1" customWidth="1"/>
    <col min="11777" max="11777" width="28.5703125" bestFit="1" customWidth="1"/>
    <col min="11778" max="11778" width="12.85546875" bestFit="1" customWidth="1"/>
    <col min="11779" max="11779" width="13.85546875" bestFit="1" customWidth="1"/>
    <col min="11780" max="11780" width="19" bestFit="1" customWidth="1"/>
    <col min="11781" max="11781" width="17.42578125" bestFit="1" customWidth="1"/>
    <col min="11782" max="11782" width="10.28515625" bestFit="1" customWidth="1"/>
    <col min="11783" max="11783" width="9.28515625" bestFit="1" customWidth="1"/>
    <col min="11784" max="11784" width="11.28515625" bestFit="1" customWidth="1"/>
    <col min="11785" max="11787" width="9.140625" bestFit="1" customWidth="1"/>
    <col min="11788" max="11788" width="10" bestFit="1" customWidth="1"/>
    <col min="11789" max="11789" width="7.140625" bestFit="1" customWidth="1"/>
    <col min="11790" max="11790" width="8.28515625" bestFit="1" customWidth="1"/>
    <col min="12033" max="12033" width="28.5703125" bestFit="1" customWidth="1"/>
    <col min="12034" max="12034" width="12.85546875" bestFit="1" customWidth="1"/>
    <col min="12035" max="12035" width="13.85546875" bestFit="1" customWidth="1"/>
    <col min="12036" max="12036" width="19" bestFit="1" customWidth="1"/>
    <col min="12037" max="12037" width="17.42578125" bestFit="1" customWidth="1"/>
    <col min="12038" max="12038" width="10.28515625" bestFit="1" customWidth="1"/>
    <col min="12039" max="12039" width="9.28515625" bestFit="1" customWidth="1"/>
    <col min="12040" max="12040" width="11.28515625" bestFit="1" customWidth="1"/>
    <col min="12041" max="12043" width="9.140625" bestFit="1" customWidth="1"/>
    <col min="12044" max="12044" width="10" bestFit="1" customWidth="1"/>
    <col min="12045" max="12045" width="7.140625" bestFit="1" customWidth="1"/>
    <col min="12046" max="12046" width="8.28515625" bestFit="1" customWidth="1"/>
    <col min="12289" max="12289" width="28.5703125" bestFit="1" customWidth="1"/>
    <col min="12290" max="12290" width="12.85546875" bestFit="1" customWidth="1"/>
    <col min="12291" max="12291" width="13.85546875" bestFit="1" customWidth="1"/>
    <col min="12292" max="12292" width="19" bestFit="1" customWidth="1"/>
    <col min="12293" max="12293" width="17.42578125" bestFit="1" customWidth="1"/>
    <col min="12294" max="12294" width="10.28515625" bestFit="1" customWidth="1"/>
    <col min="12295" max="12295" width="9.28515625" bestFit="1" customWidth="1"/>
    <col min="12296" max="12296" width="11.28515625" bestFit="1" customWidth="1"/>
    <col min="12297" max="12299" width="9.140625" bestFit="1" customWidth="1"/>
    <col min="12300" max="12300" width="10" bestFit="1" customWidth="1"/>
    <col min="12301" max="12301" width="7.140625" bestFit="1" customWidth="1"/>
    <col min="12302" max="12302" width="8.28515625" bestFit="1" customWidth="1"/>
    <col min="12545" max="12545" width="28.5703125" bestFit="1" customWidth="1"/>
    <col min="12546" max="12546" width="12.85546875" bestFit="1" customWidth="1"/>
    <col min="12547" max="12547" width="13.85546875" bestFit="1" customWidth="1"/>
    <col min="12548" max="12548" width="19" bestFit="1" customWidth="1"/>
    <col min="12549" max="12549" width="17.42578125" bestFit="1" customWidth="1"/>
    <col min="12550" max="12550" width="10.28515625" bestFit="1" customWidth="1"/>
    <col min="12551" max="12551" width="9.28515625" bestFit="1" customWidth="1"/>
    <col min="12552" max="12552" width="11.28515625" bestFit="1" customWidth="1"/>
    <col min="12553" max="12555" width="9.140625" bestFit="1" customWidth="1"/>
    <col min="12556" max="12556" width="10" bestFit="1" customWidth="1"/>
    <col min="12557" max="12557" width="7.140625" bestFit="1" customWidth="1"/>
    <col min="12558" max="12558" width="8.28515625" bestFit="1" customWidth="1"/>
    <col min="12801" max="12801" width="28.5703125" bestFit="1" customWidth="1"/>
    <col min="12802" max="12802" width="12.85546875" bestFit="1" customWidth="1"/>
    <col min="12803" max="12803" width="13.85546875" bestFit="1" customWidth="1"/>
    <col min="12804" max="12804" width="19" bestFit="1" customWidth="1"/>
    <col min="12805" max="12805" width="17.42578125" bestFit="1" customWidth="1"/>
    <col min="12806" max="12806" width="10.28515625" bestFit="1" customWidth="1"/>
    <col min="12807" max="12807" width="9.28515625" bestFit="1" customWidth="1"/>
    <col min="12808" max="12808" width="11.28515625" bestFit="1" customWidth="1"/>
    <col min="12809" max="12811" width="9.140625" bestFit="1" customWidth="1"/>
    <col min="12812" max="12812" width="10" bestFit="1" customWidth="1"/>
    <col min="12813" max="12813" width="7.140625" bestFit="1" customWidth="1"/>
    <col min="12814" max="12814" width="8.28515625" bestFit="1" customWidth="1"/>
    <col min="13057" max="13057" width="28.5703125" bestFit="1" customWidth="1"/>
    <col min="13058" max="13058" width="12.85546875" bestFit="1" customWidth="1"/>
    <col min="13059" max="13059" width="13.85546875" bestFit="1" customWidth="1"/>
    <col min="13060" max="13060" width="19" bestFit="1" customWidth="1"/>
    <col min="13061" max="13061" width="17.42578125" bestFit="1" customWidth="1"/>
    <col min="13062" max="13062" width="10.28515625" bestFit="1" customWidth="1"/>
    <col min="13063" max="13063" width="9.28515625" bestFit="1" customWidth="1"/>
    <col min="13064" max="13064" width="11.28515625" bestFit="1" customWidth="1"/>
    <col min="13065" max="13067" width="9.140625" bestFit="1" customWidth="1"/>
    <col min="13068" max="13068" width="10" bestFit="1" customWidth="1"/>
    <col min="13069" max="13069" width="7.140625" bestFit="1" customWidth="1"/>
    <col min="13070" max="13070" width="8.28515625" bestFit="1" customWidth="1"/>
    <col min="13313" max="13313" width="28.5703125" bestFit="1" customWidth="1"/>
    <col min="13314" max="13314" width="12.85546875" bestFit="1" customWidth="1"/>
    <col min="13315" max="13315" width="13.85546875" bestFit="1" customWidth="1"/>
    <col min="13316" max="13316" width="19" bestFit="1" customWidth="1"/>
    <col min="13317" max="13317" width="17.42578125" bestFit="1" customWidth="1"/>
    <col min="13318" max="13318" width="10.28515625" bestFit="1" customWidth="1"/>
    <col min="13319" max="13319" width="9.28515625" bestFit="1" customWidth="1"/>
    <col min="13320" max="13320" width="11.28515625" bestFit="1" customWidth="1"/>
    <col min="13321" max="13323" width="9.140625" bestFit="1" customWidth="1"/>
    <col min="13324" max="13324" width="10" bestFit="1" customWidth="1"/>
    <col min="13325" max="13325" width="7.140625" bestFit="1" customWidth="1"/>
    <col min="13326" max="13326" width="8.28515625" bestFit="1" customWidth="1"/>
    <col min="13569" max="13569" width="28.5703125" bestFit="1" customWidth="1"/>
    <col min="13570" max="13570" width="12.85546875" bestFit="1" customWidth="1"/>
    <col min="13571" max="13571" width="13.85546875" bestFit="1" customWidth="1"/>
    <col min="13572" max="13572" width="19" bestFit="1" customWidth="1"/>
    <col min="13573" max="13573" width="17.42578125" bestFit="1" customWidth="1"/>
    <col min="13574" max="13574" width="10.28515625" bestFit="1" customWidth="1"/>
    <col min="13575" max="13575" width="9.28515625" bestFit="1" customWidth="1"/>
    <col min="13576" max="13576" width="11.28515625" bestFit="1" customWidth="1"/>
    <col min="13577" max="13579" width="9.140625" bestFit="1" customWidth="1"/>
    <col min="13580" max="13580" width="10" bestFit="1" customWidth="1"/>
    <col min="13581" max="13581" width="7.140625" bestFit="1" customWidth="1"/>
    <col min="13582" max="13582" width="8.28515625" bestFit="1" customWidth="1"/>
    <col min="13825" max="13825" width="28.5703125" bestFit="1" customWidth="1"/>
    <col min="13826" max="13826" width="12.85546875" bestFit="1" customWidth="1"/>
    <col min="13827" max="13827" width="13.85546875" bestFit="1" customWidth="1"/>
    <col min="13828" max="13828" width="19" bestFit="1" customWidth="1"/>
    <col min="13829" max="13829" width="17.42578125" bestFit="1" customWidth="1"/>
    <col min="13830" max="13830" width="10.28515625" bestFit="1" customWidth="1"/>
    <col min="13831" max="13831" width="9.28515625" bestFit="1" customWidth="1"/>
    <col min="13832" max="13832" width="11.28515625" bestFit="1" customWidth="1"/>
    <col min="13833" max="13835" width="9.140625" bestFit="1" customWidth="1"/>
    <col min="13836" max="13836" width="10" bestFit="1" customWidth="1"/>
    <col min="13837" max="13837" width="7.140625" bestFit="1" customWidth="1"/>
    <col min="13838" max="13838" width="8.28515625" bestFit="1" customWidth="1"/>
    <col min="14081" max="14081" width="28.5703125" bestFit="1" customWidth="1"/>
    <col min="14082" max="14082" width="12.85546875" bestFit="1" customWidth="1"/>
    <col min="14083" max="14083" width="13.85546875" bestFit="1" customWidth="1"/>
    <col min="14084" max="14084" width="19" bestFit="1" customWidth="1"/>
    <col min="14085" max="14085" width="17.42578125" bestFit="1" customWidth="1"/>
    <col min="14086" max="14086" width="10.28515625" bestFit="1" customWidth="1"/>
    <col min="14087" max="14087" width="9.28515625" bestFit="1" customWidth="1"/>
    <col min="14088" max="14088" width="11.28515625" bestFit="1" customWidth="1"/>
    <col min="14089" max="14091" width="9.140625" bestFit="1" customWidth="1"/>
    <col min="14092" max="14092" width="10" bestFit="1" customWidth="1"/>
    <col min="14093" max="14093" width="7.140625" bestFit="1" customWidth="1"/>
    <col min="14094" max="14094" width="8.28515625" bestFit="1" customWidth="1"/>
    <col min="14337" max="14337" width="28.5703125" bestFit="1" customWidth="1"/>
    <col min="14338" max="14338" width="12.85546875" bestFit="1" customWidth="1"/>
    <col min="14339" max="14339" width="13.85546875" bestFit="1" customWidth="1"/>
    <col min="14340" max="14340" width="19" bestFit="1" customWidth="1"/>
    <col min="14341" max="14341" width="17.42578125" bestFit="1" customWidth="1"/>
    <col min="14342" max="14342" width="10.28515625" bestFit="1" customWidth="1"/>
    <col min="14343" max="14343" width="9.28515625" bestFit="1" customWidth="1"/>
    <col min="14344" max="14344" width="11.28515625" bestFit="1" customWidth="1"/>
    <col min="14345" max="14347" width="9.140625" bestFit="1" customWidth="1"/>
    <col min="14348" max="14348" width="10" bestFit="1" customWidth="1"/>
    <col min="14349" max="14349" width="7.140625" bestFit="1" customWidth="1"/>
    <col min="14350" max="14350" width="8.28515625" bestFit="1" customWidth="1"/>
    <col min="14593" max="14593" width="28.5703125" bestFit="1" customWidth="1"/>
    <col min="14594" max="14594" width="12.85546875" bestFit="1" customWidth="1"/>
    <col min="14595" max="14595" width="13.85546875" bestFit="1" customWidth="1"/>
    <col min="14596" max="14596" width="19" bestFit="1" customWidth="1"/>
    <col min="14597" max="14597" width="17.42578125" bestFit="1" customWidth="1"/>
    <col min="14598" max="14598" width="10.28515625" bestFit="1" customWidth="1"/>
    <col min="14599" max="14599" width="9.28515625" bestFit="1" customWidth="1"/>
    <col min="14600" max="14600" width="11.28515625" bestFit="1" customWidth="1"/>
    <col min="14601" max="14603" width="9.140625" bestFit="1" customWidth="1"/>
    <col min="14604" max="14604" width="10" bestFit="1" customWidth="1"/>
    <col min="14605" max="14605" width="7.140625" bestFit="1" customWidth="1"/>
    <col min="14606" max="14606" width="8.28515625" bestFit="1" customWidth="1"/>
    <col min="14849" max="14849" width="28.5703125" bestFit="1" customWidth="1"/>
    <col min="14850" max="14850" width="12.85546875" bestFit="1" customWidth="1"/>
    <col min="14851" max="14851" width="13.85546875" bestFit="1" customWidth="1"/>
    <col min="14852" max="14852" width="19" bestFit="1" customWidth="1"/>
    <col min="14853" max="14853" width="17.42578125" bestFit="1" customWidth="1"/>
    <col min="14854" max="14854" width="10.28515625" bestFit="1" customWidth="1"/>
    <col min="14855" max="14855" width="9.28515625" bestFit="1" customWidth="1"/>
    <col min="14856" max="14856" width="11.28515625" bestFit="1" customWidth="1"/>
    <col min="14857" max="14859" width="9.140625" bestFit="1" customWidth="1"/>
    <col min="14860" max="14860" width="10" bestFit="1" customWidth="1"/>
    <col min="14861" max="14861" width="7.140625" bestFit="1" customWidth="1"/>
    <col min="14862" max="14862" width="8.28515625" bestFit="1" customWidth="1"/>
    <col min="15105" max="15105" width="28.5703125" bestFit="1" customWidth="1"/>
    <col min="15106" max="15106" width="12.85546875" bestFit="1" customWidth="1"/>
    <col min="15107" max="15107" width="13.85546875" bestFit="1" customWidth="1"/>
    <col min="15108" max="15108" width="19" bestFit="1" customWidth="1"/>
    <col min="15109" max="15109" width="17.42578125" bestFit="1" customWidth="1"/>
    <col min="15110" max="15110" width="10.28515625" bestFit="1" customWidth="1"/>
    <col min="15111" max="15111" width="9.28515625" bestFit="1" customWidth="1"/>
    <col min="15112" max="15112" width="11.28515625" bestFit="1" customWidth="1"/>
    <col min="15113" max="15115" width="9.140625" bestFit="1" customWidth="1"/>
    <col min="15116" max="15116" width="10" bestFit="1" customWidth="1"/>
    <col min="15117" max="15117" width="7.140625" bestFit="1" customWidth="1"/>
    <col min="15118" max="15118" width="8.28515625" bestFit="1" customWidth="1"/>
    <col min="15361" max="15361" width="28.5703125" bestFit="1" customWidth="1"/>
    <col min="15362" max="15362" width="12.85546875" bestFit="1" customWidth="1"/>
    <col min="15363" max="15363" width="13.85546875" bestFit="1" customWidth="1"/>
    <col min="15364" max="15364" width="19" bestFit="1" customWidth="1"/>
    <col min="15365" max="15365" width="17.42578125" bestFit="1" customWidth="1"/>
    <col min="15366" max="15366" width="10.28515625" bestFit="1" customWidth="1"/>
    <col min="15367" max="15367" width="9.28515625" bestFit="1" customWidth="1"/>
    <col min="15368" max="15368" width="11.28515625" bestFit="1" customWidth="1"/>
    <col min="15369" max="15371" width="9.140625" bestFit="1" customWidth="1"/>
    <col min="15372" max="15372" width="10" bestFit="1" customWidth="1"/>
    <col min="15373" max="15373" width="7.140625" bestFit="1" customWidth="1"/>
    <col min="15374" max="15374" width="8.28515625" bestFit="1" customWidth="1"/>
    <col min="15617" max="15617" width="28.5703125" bestFit="1" customWidth="1"/>
    <col min="15618" max="15618" width="12.85546875" bestFit="1" customWidth="1"/>
    <col min="15619" max="15619" width="13.85546875" bestFit="1" customWidth="1"/>
    <col min="15620" max="15620" width="19" bestFit="1" customWidth="1"/>
    <col min="15621" max="15621" width="17.42578125" bestFit="1" customWidth="1"/>
    <col min="15622" max="15622" width="10.28515625" bestFit="1" customWidth="1"/>
    <col min="15623" max="15623" width="9.28515625" bestFit="1" customWidth="1"/>
    <col min="15624" max="15624" width="11.28515625" bestFit="1" customWidth="1"/>
    <col min="15625" max="15627" width="9.140625" bestFit="1" customWidth="1"/>
    <col min="15628" max="15628" width="10" bestFit="1" customWidth="1"/>
    <col min="15629" max="15629" width="7.140625" bestFit="1" customWidth="1"/>
    <col min="15630" max="15630" width="8.28515625" bestFit="1" customWidth="1"/>
    <col min="15873" max="15873" width="28.5703125" bestFit="1" customWidth="1"/>
    <col min="15874" max="15874" width="12.85546875" bestFit="1" customWidth="1"/>
    <col min="15875" max="15875" width="13.85546875" bestFit="1" customWidth="1"/>
    <col min="15876" max="15876" width="19" bestFit="1" customWidth="1"/>
    <col min="15877" max="15877" width="17.42578125" bestFit="1" customWidth="1"/>
    <col min="15878" max="15878" width="10.28515625" bestFit="1" customWidth="1"/>
    <col min="15879" max="15879" width="9.28515625" bestFit="1" customWidth="1"/>
    <col min="15880" max="15880" width="11.28515625" bestFit="1" customWidth="1"/>
    <col min="15881" max="15883" width="9.140625" bestFit="1" customWidth="1"/>
    <col min="15884" max="15884" width="10" bestFit="1" customWidth="1"/>
    <col min="15885" max="15885" width="7.140625" bestFit="1" customWidth="1"/>
    <col min="15886" max="15886" width="8.28515625" bestFit="1" customWidth="1"/>
    <col min="16129" max="16129" width="28.5703125" bestFit="1" customWidth="1"/>
    <col min="16130" max="16130" width="12.85546875" bestFit="1" customWidth="1"/>
    <col min="16131" max="16131" width="13.85546875" bestFit="1" customWidth="1"/>
    <col min="16132" max="16132" width="19" bestFit="1" customWidth="1"/>
    <col min="16133" max="16133" width="17.42578125" bestFit="1" customWidth="1"/>
    <col min="16134" max="16134" width="10.28515625" bestFit="1" customWidth="1"/>
    <col min="16135" max="16135" width="9.28515625" bestFit="1" customWidth="1"/>
    <col min="16136" max="16136" width="11.28515625" bestFit="1" customWidth="1"/>
    <col min="16137" max="16139" width="9.140625" bestFit="1" customWidth="1"/>
    <col min="16140" max="16140" width="10" bestFit="1" customWidth="1"/>
    <col min="16141" max="16141" width="7.140625" bestFit="1" customWidth="1"/>
    <col min="16142" max="16142" width="8.28515625" bestFit="1" customWidth="1"/>
  </cols>
  <sheetData>
    <row r="1" spans="1:13">
      <c r="A1" s="117"/>
      <c r="B1" s="1019" t="s">
        <v>1216</v>
      </c>
      <c r="C1" s="1019"/>
      <c r="D1" s="1019"/>
      <c r="E1" s="1019"/>
      <c r="F1" s="1019"/>
      <c r="G1" s="1019"/>
    </row>
    <row r="2" spans="1:13">
      <c r="A2" s="117"/>
      <c r="B2" s="1019" t="s">
        <v>1215</v>
      </c>
      <c r="C2" s="1019"/>
      <c r="D2" s="1019"/>
      <c r="E2" s="1019"/>
      <c r="F2" s="117"/>
      <c r="G2" s="117"/>
    </row>
    <row r="3" spans="1:13" ht="48.75">
      <c r="A3" s="112" t="s">
        <v>1214</v>
      </c>
      <c r="B3" s="104" t="s">
        <v>1245</v>
      </c>
      <c r="C3" s="112" t="s">
        <v>1212</v>
      </c>
      <c r="D3" s="5">
        <v>904250103</v>
      </c>
      <c r="E3" s="112" t="s">
        <v>1211</v>
      </c>
      <c r="F3" s="5">
        <v>359.36799999999999</v>
      </c>
      <c r="G3" s="112" t="s">
        <v>1210</v>
      </c>
      <c r="H3" s="103">
        <v>80</v>
      </c>
      <c r="I3" s="111"/>
      <c r="J3" s="111"/>
      <c r="K3" s="111"/>
      <c r="L3" s="111"/>
    </row>
    <row r="4" spans="1:13">
      <c r="A4" s="808" t="s">
        <v>4176</v>
      </c>
      <c r="B4" s="808"/>
      <c r="C4" s="808"/>
      <c r="D4" s="112"/>
      <c r="E4" s="112"/>
      <c r="F4" s="112"/>
      <c r="G4" s="112"/>
      <c r="H4" s="111"/>
      <c r="I4" s="111"/>
      <c r="J4" s="111"/>
      <c r="K4" s="111"/>
      <c r="L4" s="111"/>
    </row>
    <row r="5" spans="1:13" ht="24.75">
      <c r="A5" s="112" t="s">
        <v>832</v>
      </c>
      <c r="B5" s="104" t="s">
        <v>1244</v>
      </c>
      <c r="C5" s="112" t="s">
        <v>1208</v>
      </c>
      <c r="D5" s="112" t="s">
        <v>1243</v>
      </c>
      <c r="F5" s="112"/>
      <c r="G5" s="112"/>
      <c r="H5" s="111"/>
      <c r="I5" s="111"/>
      <c r="J5" s="111"/>
      <c r="K5" s="111"/>
      <c r="L5" s="111"/>
    </row>
    <row r="6" spans="1:13">
      <c r="A6" s="112"/>
      <c r="B6" s="112"/>
      <c r="C6" s="112"/>
      <c r="D6" s="112"/>
      <c r="E6" s="112"/>
      <c r="F6" s="112"/>
      <c r="G6" s="112"/>
      <c r="H6" s="111"/>
      <c r="I6" s="111"/>
      <c r="J6" s="111"/>
      <c r="K6" s="111"/>
      <c r="L6" s="111"/>
    </row>
    <row r="7" spans="1:13" ht="48.75">
      <c r="A7" s="112" t="s">
        <v>618</v>
      </c>
      <c r="B7" s="104" t="s">
        <v>1230</v>
      </c>
      <c r="C7" s="115" t="s">
        <v>1206</v>
      </c>
      <c r="D7" s="104" t="s">
        <v>1242</v>
      </c>
      <c r="E7" s="112"/>
      <c r="F7" s="112"/>
      <c r="G7" s="115"/>
      <c r="H7" s="111"/>
      <c r="I7" s="111"/>
      <c r="J7" s="111"/>
      <c r="K7" s="111"/>
      <c r="L7" s="111"/>
    </row>
    <row r="8" spans="1:13">
      <c r="A8" s="112"/>
      <c r="B8" s="112"/>
      <c r="C8" s="112"/>
      <c r="D8" s="112"/>
      <c r="E8" s="112"/>
      <c r="F8" s="112"/>
      <c r="G8" s="112"/>
      <c r="H8" s="111"/>
      <c r="I8" s="111"/>
      <c r="J8" s="111"/>
      <c r="K8" s="111"/>
      <c r="L8" s="111"/>
    </row>
    <row r="9" spans="1:13">
      <c r="A9" s="104" t="s">
        <v>838</v>
      </c>
      <c r="B9" s="104" t="s">
        <v>1241</v>
      </c>
      <c r="C9" s="104" t="s">
        <v>1240</v>
      </c>
      <c r="D9" s="104"/>
      <c r="E9" s="104"/>
      <c r="F9" s="104"/>
      <c r="G9" s="112"/>
      <c r="H9" s="111"/>
      <c r="I9" s="111"/>
      <c r="J9" s="111"/>
      <c r="K9" s="111"/>
      <c r="L9" s="111"/>
    </row>
    <row r="10" spans="1:13" ht="24.75">
      <c r="A10" s="104" t="s">
        <v>1239</v>
      </c>
      <c r="B10" s="135" t="s">
        <v>1238</v>
      </c>
      <c r="C10" s="104" t="s">
        <v>1224</v>
      </c>
      <c r="D10" s="104" t="s">
        <v>1237</v>
      </c>
      <c r="E10" s="104" t="s">
        <v>1236</v>
      </c>
      <c r="F10" s="104"/>
      <c r="G10" s="112"/>
      <c r="H10" s="111"/>
      <c r="I10" s="111"/>
      <c r="J10" s="111"/>
      <c r="K10" s="111"/>
      <c r="L10" s="111"/>
    </row>
    <row r="11" spans="1:13" ht="24.75">
      <c r="A11" s="104" t="s">
        <v>1202</v>
      </c>
      <c r="B11" s="104" t="s">
        <v>1235</v>
      </c>
      <c r="C11" s="104" t="s">
        <v>1234</v>
      </c>
      <c r="D11" s="104" t="s">
        <v>1233</v>
      </c>
      <c r="E11" s="104" t="s">
        <v>1232</v>
      </c>
      <c r="F11" s="114" t="s">
        <v>1231</v>
      </c>
      <c r="G11" s="112"/>
      <c r="H11" s="111"/>
      <c r="I11" s="111"/>
      <c r="J11" s="111"/>
      <c r="K11" s="111"/>
      <c r="L11" s="111"/>
    </row>
    <row r="12" spans="1:13" ht="24.75">
      <c r="A12" s="104" t="s">
        <v>1196</v>
      </c>
      <c r="B12" s="104" t="s">
        <v>1230</v>
      </c>
      <c r="C12" s="104"/>
      <c r="D12" s="104"/>
      <c r="E12" s="104"/>
      <c r="F12" s="104"/>
      <c r="G12" s="112"/>
      <c r="H12" s="111"/>
      <c r="I12" s="111"/>
      <c r="J12" s="111"/>
      <c r="K12" s="111"/>
      <c r="L12" s="111"/>
    </row>
    <row r="13" spans="1:13">
      <c r="A13" s="112"/>
      <c r="B13" s="112"/>
      <c r="C13" s="112"/>
      <c r="D13" s="112"/>
      <c r="E13" s="112"/>
      <c r="F13" s="112"/>
      <c r="G13" s="112"/>
      <c r="H13" s="111"/>
      <c r="I13" s="111"/>
      <c r="J13" s="111"/>
      <c r="K13" s="111"/>
      <c r="L13" s="111"/>
    </row>
    <row r="14" spans="1:13" ht="24.75">
      <c r="A14" s="112" t="s">
        <v>1194</v>
      </c>
      <c r="B14" s="104">
        <v>2</v>
      </c>
      <c r="C14" s="112" t="s">
        <v>1193</v>
      </c>
      <c r="D14" s="104">
        <v>2</v>
      </c>
      <c r="E14" s="112" t="s">
        <v>643</v>
      </c>
      <c r="F14" s="104">
        <v>3</v>
      </c>
      <c r="G14" s="112" t="s">
        <v>644</v>
      </c>
      <c r="H14" s="103">
        <v>2</v>
      </c>
      <c r="I14" s="111" t="s">
        <v>645</v>
      </c>
      <c r="J14" s="103">
        <f>8+2+38+37+29+9</f>
        <v>123</v>
      </c>
      <c r="K14" s="111"/>
      <c r="L14" s="111"/>
    </row>
    <row r="15" spans="1:13" ht="24.75">
      <c r="A15" s="112" t="s">
        <v>1192</v>
      </c>
      <c r="B15" s="112" t="s">
        <v>204</v>
      </c>
      <c r="C15" s="104">
        <v>42</v>
      </c>
      <c r="D15" s="112" t="s">
        <v>205</v>
      </c>
      <c r="E15" s="104">
        <v>0</v>
      </c>
      <c r="F15" s="112" t="s">
        <v>206</v>
      </c>
      <c r="G15" s="104">
        <v>0</v>
      </c>
      <c r="H15" s="111" t="s">
        <v>230</v>
      </c>
      <c r="I15" s="103">
        <f>G15+E15+C15</f>
        <v>42</v>
      </c>
      <c r="J15" s="111" t="s">
        <v>207</v>
      </c>
      <c r="K15" s="103">
        <v>2</v>
      </c>
      <c r="L15" s="104" t="s">
        <v>855</v>
      </c>
      <c r="M15" s="80">
        <v>6</v>
      </c>
    </row>
    <row r="16" spans="1:13" ht="24.75">
      <c r="A16" s="112" t="s">
        <v>1191</v>
      </c>
      <c r="B16" s="112" t="s">
        <v>210</v>
      </c>
      <c r="C16" s="104">
        <v>122</v>
      </c>
      <c r="D16" s="112" t="s">
        <v>211</v>
      </c>
      <c r="E16" s="104">
        <v>0</v>
      </c>
      <c r="F16" s="112" t="s">
        <v>212</v>
      </c>
      <c r="G16" s="104">
        <v>0</v>
      </c>
      <c r="H16" s="111" t="s">
        <v>411</v>
      </c>
      <c r="I16" s="103">
        <f>G16+E16+C16</f>
        <v>122</v>
      </c>
      <c r="J16" s="111"/>
      <c r="K16" s="103"/>
      <c r="L16" s="111"/>
    </row>
    <row r="17" spans="1:14" ht="24.75">
      <c r="A17" s="112"/>
      <c r="B17" s="112" t="s">
        <v>213</v>
      </c>
      <c r="C17" s="104">
        <v>134</v>
      </c>
      <c r="D17" s="112" t="s">
        <v>214</v>
      </c>
      <c r="E17" s="104">
        <v>0</v>
      </c>
      <c r="F17" s="112" t="s">
        <v>215</v>
      </c>
      <c r="G17" s="104">
        <v>0</v>
      </c>
      <c r="H17" s="111" t="s">
        <v>410</v>
      </c>
      <c r="I17" s="103">
        <f>G17+E17+C17</f>
        <v>134</v>
      </c>
      <c r="J17" s="111"/>
      <c r="K17" s="103"/>
      <c r="L17" s="111"/>
    </row>
    <row r="18" spans="1:14">
      <c r="A18" s="112"/>
      <c r="B18" s="112"/>
      <c r="C18" s="112"/>
      <c r="D18" s="112"/>
      <c r="E18" s="112"/>
      <c r="F18" s="112"/>
      <c r="G18" s="112"/>
      <c r="H18" s="111"/>
      <c r="I18" s="111"/>
      <c r="J18" s="111"/>
      <c r="K18" s="111"/>
      <c r="L18" s="111"/>
    </row>
    <row r="19" spans="1:14">
      <c r="A19" s="113" t="s">
        <v>409</v>
      </c>
      <c r="B19" s="112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>
      <c r="A20" s="1020" t="s">
        <v>1190</v>
      </c>
      <c r="B20" s="1020" t="s">
        <v>1189</v>
      </c>
      <c r="C20" s="1020" t="s">
        <v>1188</v>
      </c>
      <c r="D20" s="1020" t="s">
        <v>1187</v>
      </c>
      <c r="E20" s="1020" t="s">
        <v>1186</v>
      </c>
      <c r="F20" s="1022" t="s">
        <v>1185</v>
      </c>
      <c r="G20" s="1023"/>
      <c r="H20" s="1023"/>
      <c r="I20" s="1023"/>
      <c r="J20" s="1023"/>
      <c r="K20" s="1023"/>
      <c r="L20" s="1023"/>
      <c r="M20" s="1023"/>
      <c r="N20" s="1024"/>
    </row>
    <row r="21" spans="1:14">
      <c r="A21" s="1020"/>
      <c r="B21" s="1020"/>
      <c r="C21" s="1020"/>
      <c r="D21" s="1020"/>
      <c r="E21" s="1020"/>
      <c r="F21" s="104" t="s">
        <v>1184</v>
      </c>
      <c r="G21" s="104" t="s">
        <v>1183</v>
      </c>
      <c r="H21" s="104" t="s">
        <v>1182</v>
      </c>
      <c r="I21" s="103" t="s">
        <v>1181</v>
      </c>
      <c r="J21" s="103" t="s">
        <v>1180</v>
      </c>
      <c r="K21" s="103" t="s">
        <v>1179</v>
      </c>
      <c r="L21" s="103" t="s">
        <v>1178</v>
      </c>
      <c r="M21" s="110" t="s">
        <v>230</v>
      </c>
      <c r="N21" s="109" t="s">
        <v>231</v>
      </c>
    </row>
    <row r="22" spans="1:14">
      <c r="A22" s="104" t="s">
        <v>232</v>
      </c>
      <c r="B22" s="104">
        <v>8000</v>
      </c>
      <c r="C22" s="5" t="s">
        <v>1177</v>
      </c>
      <c r="D22" s="106">
        <f>+B22*F3/100000</f>
        <v>28.74944</v>
      </c>
      <c r="E22" s="108">
        <f>2874944/100000</f>
        <v>28.74944</v>
      </c>
      <c r="F22" s="100">
        <v>0</v>
      </c>
      <c r="G22" s="100">
        <f>13445/100000</f>
        <v>0.13444999999999999</v>
      </c>
      <c r="H22" s="100">
        <f>480938/100000</f>
        <v>4.80938</v>
      </c>
      <c r="I22" s="132">
        <f>913910/100000</f>
        <v>9.1390999999999991</v>
      </c>
      <c r="J22" s="132">
        <f>1414767/100000</f>
        <v>14.14767</v>
      </c>
      <c r="K22" s="132">
        <f>51884/100000</f>
        <v>0.51883999999999997</v>
      </c>
      <c r="L22" s="132"/>
      <c r="M22" s="131">
        <f>SUM(F22:L22)</f>
        <v>28.74944</v>
      </c>
      <c r="N22" s="98">
        <f>ROUND(M22/E22*100,0)</f>
        <v>100</v>
      </c>
    </row>
    <row r="23" spans="1:14">
      <c r="A23" s="104" t="s">
        <v>234</v>
      </c>
      <c r="B23" s="104">
        <v>7000</v>
      </c>
      <c r="C23" s="102" t="s">
        <v>1175</v>
      </c>
      <c r="D23" s="106">
        <f>+B23*80/100000</f>
        <v>5.6</v>
      </c>
      <c r="E23" s="108">
        <f>560000/100000</f>
        <v>5.6</v>
      </c>
      <c r="F23" s="100">
        <v>0</v>
      </c>
      <c r="G23" s="100">
        <v>0</v>
      </c>
      <c r="H23" s="132">
        <v>0</v>
      </c>
      <c r="I23" s="132"/>
      <c r="J23" s="132">
        <f>23520/100000</f>
        <v>0.23519999999999999</v>
      </c>
      <c r="K23" s="132">
        <f>250280/100000</f>
        <v>2.5028000000000001</v>
      </c>
      <c r="L23" s="132">
        <f>245974/100000</f>
        <v>2.45974</v>
      </c>
      <c r="M23" s="134">
        <f t="shared" ref="M23:M29" si="0">SUM(F23:L23)</f>
        <v>5.1977399999999996</v>
      </c>
      <c r="N23" s="98">
        <f t="shared" ref="N23:N29" si="1">ROUND(M23/E23*100,0)</f>
        <v>93</v>
      </c>
    </row>
    <row r="24" spans="1:14" ht="24.75">
      <c r="A24" s="104" t="s">
        <v>235</v>
      </c>
      <c r="B24" s="104">
        <v>86</v>
      </c>
      <c r="C24" s="102" t="s">
        <v>236</v>
      </c>
      <c r="D24" s="108">
        <v>0.43</v>
      </c>
      <c r="E24" s="108">
        <f>43000/100000</f>
        <v>0.43</v>
      </c>
      <c r="F24" s="100">
        <v>0</v>
      </c>
      <c r="G24" s="100">
        <v>0</v>
      </c>
      <c r="H24" s="132">
        <v>0</v>
      </c>
      <c r="I24" s="132">
        <f>18000/100000</f>
        <v>0.18</v>
      </c>
      <c r="J24" s="132">
        <f>15000/100000</f>
        <v>0.15</v>
      </c>
      <c r="K24" s="132">
        <f>10000/100000</f>
        <v>0.1</v>
      </c>
      <c r="L24" s="132">
        <f>20000/100000</f>
        <v>0.2</v>
      </c>
      <c r="M24" s="134">
        <f t="shared" si="0"/>
        <v>0.62999999999999989</v>
      </c>
      <c r="N24" s="98">
        <f t="shared" si="1"/>
        <v>147</v>
      </c>
    </row>
    <row r="25" spans="1:14" ht="24.75">
      <c r="A25" s="104" t="s">
        <v>237</v>
      </c>
      <c r="B25" s="104">
        <v>68</v>
      </c>
      <c r="C25" s="102" t="s">
        <v>236</v>
      </c>
      <c r="D25" s="108">
        <v>0.34</v>
      </c>
      <c r="E25" s="108">
        <f>34000/100000</f>
        <v>0.34</v>
      </c>
      <c r="F25" s="100">
        <v>0</v>
      </c>
      <c r="G25" s="100">
        <v>0</v>
      </c>
      <c r="H25" s="132">
        <v>0</v>
      </c>
      <c r="I25" s="132">
        <f>16224/100000</f>
        <v>0.16224</v>
      </c>
      <c r="J25" s="132">
        <f>11776/100000</f>
        <v>0.11776</v>
      </c>
      <c r="K25" s="132">
        <f>6000/100000</f>
        <v>0.06</v>
      </c>
      <c r="L25" s="132"/>
      <c r="M25" s="134">
        <f t="shared" si="0"/>
        <v>0.34</v>
      </c>
      <c r="N25" s="98">
        <f t="shared" si="1"/>
        <v>100</v>
      </c>
    </row>
    <row r="26" spans="1:14">
      <c r="A26" s="104" t="s">
        <v>238</v>
      </c>
      <c r="B26" s="104">
        <v>1200</v>
      </c>
      <c r="C26" s="102" t="s">
        <v>1175</v>
      </c>
      <c r="D26" s="106">
        <f>ROUND((+B26*F3),0)/100000</f>
        <v>4.3124200000000004</v>
      </c>
      <c r="E26" s="108">
        <f>431242/100000</f>
        <v>4.3124200000000004</v>
      </c>
      <c r="F26" s="100">
        <v>0</v>
      </c>
      <c r="G26" s="100">
        <v>0</v>
      </c>
      <c r="H26" s="132">
        <v>0</v>
      </c>
      <c r="I26" s="132"/>
      <c r="J26" s="132"/>
      <c r="K26" s="132">
        <f>264352/100000</f>
        <v>2.6435200000000001</v>
      </c>
      <c r="L26" s="132">
        <f>103702/100000</f>
        <v>1.0370200000000001</v>
      </c>
      <c r="M26" s="134">
        <f t="shared" si="0"/>
        <v>3.6805400000000001</v>
      </c>
      <c r="N26" s="98">
        <f t="shared" si="1"/>
        <v>85</v>
      </c>
    </row>
    <row r="27" spans="1:14">
      <c r="A27" s="104" t="s">
        <v>667</v>
      </c>
      <c r="B27" s="104">
        <v>565</v>
      </c>
      <c r="C27" s="102" t="s">
        <v>1175</v>
      </c>
      <c r="D27" s="106">
        <f>ROUND((+B27*F3),0)/100000</f>
        <v>2.03043</v>
      </c>
      <c r="E27" s="108">
        <f>203044/100000</f>
        <v>2.03044</v>
      </c>
      <c r="F27" s="100">
        <v>0</v>
      </c>
      <c r="G27" s="100">
        <v>0</v>
      </c>
      <c r="H27" s="132">
        <v>0</v>
      </c>
      <c r="I27" s="132">
        <f>16035/100000</f>
        <v>0.16034999999999999</v>
      </c>
      <c r="J27" s="132">
        <f>187009/100000</f>
        <v>1.87009</v>
      </c>
      <c r="K27" s="132"/>
      <c r="L27" s="132"/>
      <c r="M27" s="133">
        <f t="shared" si="0"/>
        <v>2.03044</v>
      </c>
      <c r="N27" s="98">
        <f t="shared" si="1"/>
        <v>100</v>
      </c>
    </row>
    <row r="28" spans="1:14">
      <c r="A28" s="104" t="s">
        <v>1176</v>
      </c>
      <c r="B28" s="104">
        <v>1000</v>
      </c>
      <c r="C28" s="102" t="s">
        <v>1175</v>
      </c>
      <c r="D28" s="106">
        <f>+B28*F3/100000</f>
        <v>3.59368</v>
      </c>
      <c r="E28" s="101">
        <f>359368/100000</f>
        <v>3.59368</v>
      </c>
      <c r="F28" s="100">
        <v>0</v>
      </c>
      <c r="G28" s="100"/>
      <c r="H28" s="100">
        <f>90000/100000</f>
        <v>0.9</v>
      </c>
      <c r="I28" s="132">
        <f>10000/100000</f>
        <v>0.1</v>
      </c>
      <c r="J28" s="132"/>
      <c r="K28" s="132">
        <f>96578/100000</f>
        <v>0.96577999999999997</v>
      </c>
      <c r="L28" s="132">
        <f>124092/100000</f>
        <v>1.24092</v>
      </c>
      <c r="M28" s="131">
        <f t="shared" si="0"/>
        <v>3.2067000000000001</v>
      </c>
      <c r="N28" s="98">
        <f t="shared" si="1"/>
        <v>89</v>
      </c>
    </row>
    <row r="29" spans="1:14">
      <c r="A29" s="104" t="s">
        <v>394</v>
      </c>
      <c r="B29" s="104">
        <v>2750</v>
      </c>
      <c r="C29" s="102" t="s">
        <v>242</v>
      </c>
      <c r="D29" s="101">
        <v>1.92</v>
      </c>
      <c r="E29" s="101">
        <f>192000/100000</f>
        <v>1.92</v>
      </c>
      <c r="F29" s="100">
        <v>0</v>
      </c>
      <c r="G29" s="100">
        <v>0</v>
      </c>
      <c r="H29" s="100">
        <f>29558/100000</f>
        <v>0.29558000000000001</v>
      </c>
      <c r="I29" s="132">
        <f>63108/100000</f>
        <v>0.63107999999999997</v>
      </c>
      <c r="J29" s="132">
        <f>20750/100000</f>
        <v>0.20749999999999999</v>
      </c>
      <c r="K29" s="132">
        <f>44949/100000</f>
        <v>0.44949</v>
      </c>
      <c r="L29" s="132">
        <f>30250/100000</f>
        <v>0.30249999999999999</v>
      </c>
      <c r="M29" s="131">
        <f t="shared" si="0"/>
        <v>1.88615</v>
      </c>
      <c r="N29" s="98">
        <f t="shared" si="1"/>
        <v>98</v>
      </c>
    </row>
    <row r="30" spans="1:14">
      <c r="A30" s="97" t="s">
        <v>230</v>
      </c>
      <c r="B30" s="95"/>
      <c r="C30" s="95"/>
      <c r="D30" s="94">
        <f t="shared" ref="D30:M30" si="2">SUM(D22:D29)</f>
        <v>46.975970000000011</v>
      </c>
      <c r="E30" s="94">
        <f t="shared" si="2"/>
        <v>46.975980000000007</v>
      </c>
      <c r="F30" s="92">
        <f t="shared" si="2"/>
        <v>0</v>
      </c>
      <c r="G30" s="92">
        <f t="shared" si="2"/>
        <v>0.13444999999999999</v>
      </c>
      <c r="H30" s="92">
        <f t="shared" si="2"/>
        <v>6.0049600000000005</v>
      </c>
      <c r="I30" s="92">
        <f t="shared" si="2"/>
        <v>10.372769999999999</v>
      </c>
      <c r="J30" s="92">
        <f t="shared" si="2"/>
        <v>16.72822</v>
      </c>
      <c r="K30" s="92">
        <f t="shared" si="2"/>
        <v>7.2404299999999999</v>
      </c>
      <c r="L30" s="92">
        <f t="shared" si="2"/>
        <v>5.2401800000000005</v>
      </c>
      <c r="M30" s="130">
        <f t="shared" si="2"/>
        <v>45.721010000000007</v>
      </c>
      <c r="N30" s="91">
        <f>ROUND(M30/E30*100,0)</f>
        <v>97</v>
      </c>
    </row>
    <row r="31" spans="1:14">
      <c r="A31" s="1025" t="s">
        <v>1217</v>
      </c>
      <c r="B31" s="1025"/>
      <c r="C31" s="1025"/>
      <c r="D31" s="1025"/>
      <c r="E31" s="1025"/>
      <c r="F31" s="1025"/>
      <c r="G31" s="1025"/>
      <c r="H31" s="1025"/>
      <c r="I31" s="1025"/>
      <c r="J31" s="1025"/>
      <c r="K31" s="1025"/>
      <c r="L31" s="1025"/>
      <c r="M31" s="1025"/>
      <c r="N31" s="1025"/>
    </row>
  </sheetData>
  <mergeCells count="10">
    <mergeCell ref="A31:N31"/>
    <mergeCell ref="B1:G1"/>
    <mergeCell ref="B2:E2"/>
    <mergeCell ref="A20:A21"/>
    <mergeCell ref="B20:B21"/>
    <mergeCell ref="C20:C21"/>
    <mergeCell ref="D20:D21"/>
    <mergeCell ref="E20:E21"/>
    <mergeCell ref="F20:N20"/>
    <mergeCell ref="A4:C4"/>
  </mergeCells>
  <hyperlinks>
    <hyperlink ref="A4" location="'Fact Sheet of VDC'!A1" display="&lt;&lt;Back"/>
  </hyperlinks>
  <pageMargins left="0.96" right="0.25" top="0.16" bottom="0.61" header="0.09" footer="0.5"/>
  <pageSetup scale="57" orientation="landscape" verticalDpi="3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dimension ref="A2:N33"/>
  <sheetViews>
    <sheetView workbookViewId="0">
      <selection activeCell="A5" sqref="A5:C5"/>
    </sheetView>
  </sheetViews>
  <sheetFormatPr defaultRowHeight="15"/>
  <cols>
    <col min="1" max="1" width="17.85546875" bestFit="1" customWidth="1"/>
    <col min="2" max="2" width="11.42578125" style="117" bestFit="1" customWidth="1"/>
    <col min="3" max="3" width="11.28515625" bestFit="1" customWidth="1"/>
    <col min="4" max="4" width="12.7109375" customWidth="1"/>
    <col min="5" max="5" width="11.140625" customWidth="1"/>
    <col min="6" max="7" width="8.7109375" bestFit="1" customWidth="1"/>
    <col min="8" max="8" width="10.140625" bestFit="1" customWidth="1"/>
    <col min="9" max="12" width="9.42578125" bestFit="1" customWidth="1"/>
    <col min="13" max="13" width="10" bestFit="1" customWidth="1"/>
    <col min="14" max="14" width="10.5703125" bestFit="1" customWidth="1"/>
    <col min="257" max="257" width="17.85546875" bestFit="1" customWidth="1"/>
    <col min="258" max="258" width="11.42578125" bestFit="1" customWidth="1"/>
    <col min="259" max="259" width="11.28515625" bestFit="1" customWidth="1"/>
    <col min="260" max="260" width="12.7109375" customWidth="1"/>
    <col min="261" max="261" width="11.140625" customWidth="1"/>
    <col min="262" max="263" width="8.7109375" bestFit="1" customWidth="1"/>
    <col min="264" max="264" width="10.140625" bestFit="1" customWidth="1"/>
    <col min="265" max="268" width="9.42578125" bestFit="1" customWidth="1"/>
    <col min="269" max="269" width="10" bestFit="1" customWidth="1"/>
    <col min="270" max="270" width="10.5703125" bestFit="1" customWidth="1"/>
    <col min="513" max="513" width="17.85546875" bestFit="1" customWidth="1"/>
    <col min="514" max="514" width="11.42578125" bestFit="1" customWidth="1"/>
    <col min="515" max="515" width="11.28515625" bestFit="1" customWidth="1"/>
    <col min="516" max="516" width="12.7109375" customWidth="1"/>
    <col min="517" max="517" width="11.140625" customWidth="1"/>
    <col min="518" max="519" width="8.7109375" bestFit="1" customWidth="1"/>
    <col min="520" max="520" width="10.140625" bestFit="1" customWidth="1"/>
    <col min="521" max="524" width="9.42578125" bestFit="1" customWidth="1"/>
    <col min="525" max="525" width="10" bestFit="1" customWidth="1"/>
    <col min="526" max="526" width="10.5703125" bestFit="1" customWidth="1"/>
    <col min="769" max="769" width="17.85546875" bestFit="1" customWidth="1"/>
    <col min="770" max="770" width="11.42578125" bestFit="1" customWidth="1"/>
    <col min="771" max="771" width="11.28515625" bestFit="1" customWidth="1"/>
    <col min="772" max="772" width="12.7109375" customWidth="1"/>
    <col min="773" max="773" width="11.140625" customWidth="1"/>
    <col min="774" max="775" width="8.7109375" bestFit="1" customWidth="1"/>
    <col min="776" max="776" width="10.140625" bestFit="1" customWidth="1"/>
    <col min="777" max="780" width="9.42578125" bestFit="1" customWidth="1"/>
    <col min="781" max="781" width="10" bestFit="1" customWidth="1"/>
    <col min="782" max="782" width="10.5703125" bestFit="1" customWidth="1"/>
    <col min="1025" max="1025" width="17.85546875" bestFit="1" customWidth="1"/>
    <col min="1026" max="1026" width="11.42578125" bestFit="1" customWidth="1"/>
    <col min="1027" max="1027" width="11.28515625" bestFit="1" customWidth="1"/>
    <col min="1028" max="1028" width="12.7109375" customWidth="1"/>
    <col min="1029" max="1029" width="11.140625" customWidth="1"/>
    <col min="1030" max="1031" width="8.7109375" bestFit="1" customWidth="1"/>
    <col min="1032" max="1032" width="10.140625" bestFit="1" customWidth="1"/>
    <col min="1033" max="1036" width="9.42578125" bestFit="1" customWidth="1"/>
    <col min="1037" max="1037" width="10" bestFit="1" customWidth="1"/>
    <col min="1038" max="1038" width="10.5703125" bestFit="1" customWidth="1"/>
    <col min="1281" max="1281" width="17.85546875" bestFit="1" customWidth="1"/>
    <col min="1282" max="1282" width="11.42578125" bestFit="1" customWidth="1"/>
    <col min="1283" max="1283" width="11.28515625" bestFit="1" customWidth="1"/>
    <col min="1284" max="1284" width="12.7109375" customWidth="1"/>
    <col min="1285" max="1285" width="11.140625" customWidth="1"/>
    <col min="1286" max="1287" width="8.7109375" bestFit="1" customWidth="1"/>
    <col min="1288" max="1288" width="10.140625" bestFit="1" customWidth="1"/>
    <col min="1289" max="1292" width="9.42578125" bestFit="1" customWidth="1"/>
    <col min="1293" max="1293" width="10" bestFit="1" customWidth="1"/>
    <col min="1294" max="1294" width="10.5703125" bestFit="1" customWidth="1"/>
    <col min="1537" max="1537" width="17.85546875" bestFit="1" customWidth="1"/>
    <col min="1538" max="1538" width="11.42578125" bestFit="1" customWidth="1"/>
    <col min="1539" max="1539" width="11.28515625" bestFit="1" customWidth="1"/>
    <col min="1540" max="1540" width="12.7109375" customWidth="1"/>
    <col min="1541" max="1541" width="11.140625" customWidth="1"/>
    <col min="1542" max="1543" width="8.7109375" bestFit="1" customWidth="1"/>
    <col min="1544" max="1544" width="10.140625" bestFit="1" customWidth="1"/>
    <col min="1545" max="1548" width="9.42578125" bestFit="1" customWidth="1"/>
    <col min="1549" max="1549" width="10" bestFit="1" customWidth="1"/>
    <col min="1550" max="1550" width="10.5703125" bestFit="1" customWidth="1"/>
    <col min="1793" max="1793" width="17.85546875" bestFit="1" customWidth="1"/>
    <col min="1794" max="1794" width="11.42578125" bestFit="1" customWidth="1"/>
    <col min="1795" max="1795" width="11.28515625" bestFit="1" customWidth="1"/>
    <col min="1796" max="1796" width="12.7109375" customWidth="1"/>
    <col min="1797" max="1797" width="11.140625" customWidth="1"/>
    <col min="1798" max="1799" width="8.7109375" bestFit="1" customWidth="1"/>
    <col min="1800" max="1800" width="10.140625" bestFit="1" customWidth="1"/>
    <col min="1801" max="1804" width="9.42578125" bestFit="1" customWidth="1"/>
    <col min="1805" max="1805" width="10" bestFit="1" customWidth="1"/>
    <col min="1806" max="1806" width="10.5703125" bestFit="1" customWidth="1"/>
    <col min="2049" max="2049" width="17.85546875" bestFit="1" customWidth="1"/>
    <col min="2050" max="2050" width="11.42578125" bestFit="1" customWidth="1"/>
    <col min="2051" max="2051" width="11.28515625" bestFit="1" customWidth="1"/>
    <col min="2052" max="2052" width="12.7109375" customWidth="1"/>
    <col min="2053" max="2053" width="11.140625" customWidth="1"/>
    <col min="2054" max="2055" width="8.7109375" bestFit="1" customWidth="1"/>
    <col min="2056" max="2056" width="10.140625" bestFit="1" customWidth="1"/>
    <col min="2057" max="2060" width="9.42578125" bestFit="1" customWidth="1"/>
    <col min="2061" max="2061" width="10" bestFit="1" customWidth="1"/>
    <col min="2062" max="2062" width="10.5703125" bestFit="1" customWidth="1"/>
    <col min="2305" max="2305" width="17.85546875" bestFit="1" customWidth="1"/>
    <col min="2306" max="2306" width="11.42578125" bestFit="1" customWidth="1"/>
    <col min="2307" max="2307" width="11.28515625" bestFit="1" customWidth="1"/>
    <col min="2308" max="2308" width="12.7109375" customWidth="1"/>
    <col min="2309" max="2309" width="11.140625" customWidth="1"/>
    <col min="2310" max="2311" width="8.7109375" bestFit="1" customWidth="1"/>
    <col min="2312" max="2312" width="10.140625" bestFit="1" customWidth="1"/>
    <col min="2313" max="2316" width="9.42578125" bestFit="1" customWidth="1"/>
    <col min="2317" max="2317" width="10" bestFit="1" customWidth="1"/>
    <col min="2318" max="2318" width="10.5703125" bestFit="1" customWidth="1"/>
    <col min="2561" max="2561" width="17.85546875" bestFit="1" customWidth="1"/>
    <col min="2562" max="2562" width="11.42578125" bestFit="1" customWidth="1"/>
    <col min="2563" max="2563" width="11.28515625" bestFit="1" customWidth="1"/>
    <col min="2564" max="2564" width="12.7109375" customWidth="1"/>
    <col min="2565" max="2565" width="11.140625" customWidth="1"/>
    <col min="2566" max="2567" width="8.7109375" bestFit="1" customWidth="1"/>
    <col min="2568" max="2568" width="10.140625" bestFit="1" customWidth="1"/>
    <col min="2569" max="2572" width="9.42578125" bestFit="1" customWidth="1"/>
    <col min="2573" max="2573" width="10" bestFit="1" customWidth="1"/>
    <col min="2574" max="2574" width="10.5703125" bestFit="1" customWidth="1"/>
    <col min="2817" max="2817" width="17.85546875" bestFit="1" customWidth="1"/>
    <col min="2818" max="2818" width="11.42578125" bestFit="1" customWidth="1"/>
    <col min="2819" max="2819" width="11.28515625" bestFit="1" customWidth="1"/>
    <col min="2820" max="2820" width="12.7109375" customWidth="1"/>
    <col min="2821" max="2821" width="11.140625" customWidth="1"/>
    <col min="2822" max="2823" width="8.7109375" bestFit="1" customWidth="1"/>
    <col min="2824" max="2824" width="10.140625" bestFit="1" customWidth="1"/>
    <col min="2825" max="2828" width="9.42578125" bestFit="1" customWidth="1"/>
    <col min="2829" max="2829" width="10" bestFit="1" customWidth="1"/>
    <col min="2830" max="2830" width="10.5703125" bestFit="1" customWidth="1"/>
    <col min="3073" max="3073" width="17.85546875" bestFit="1" customWidth="1"/>
    <col min="3074" max="3074" width="11.42578125" bestFit="1" customWidth="1"/>
    <col min="3075" max="3075" width="11.28515625" bestFit="1" customWidth="1"/>
    <col min="3076" max="3076" width="12.7109375" customWidth="1"/>
    <col min="3077" max="3077" width="11.140625" customWidth="1"/>
    <col min="3078" max="3079" width="8.7109375" bestFit="1" customWidth="1"/>
    <col min="3080" max="3080" width="10.140625" bestFit="1" customWidth="1"/>
    <col min="3081" max="3084" width="9.42578125" bestFit="1" customWidth="1"/>
    <col min="3085" max="3085" width="10" bestFit="1" customWidth="1"/>
    <col min="3086" max="3086" width="10.5703125" bestFit="1" customWidth="1"/>
    <col min="3329" max="3329" width="17.85546875" bestFit="1" customWidth="1"/>
    <col min="3330" max="3330" width="11.42578125" bestFit="1" customWidth="1"/>
    <col min="3331" max="3331" width="11.28515625" bestFit="1" customWidth="1"/>
    <col min="3332" max="3332" width="12.7109375" customWidth="1"/>
    <col min="3333" max="3333" width="11.140625" customWidth="1"/>
    <col min="3334" max="3335" width="8.7109375" bestFit="1" customWidth="1"/>
    <col min="3336" max="3336" width="10.140625" bestFit="1" customWidth="1"/>
    <col min="3337" max="3340" width="9.42578125" bestFit="1" customWidth="1"/>
    <col min="3341" max="3341" width="10" bestFit="1" customWidth="1"/>
    <col min="3342" max="3342" width="10.5703125" bestFit="1" customWidth="1"/>
    <col min="3585" max="3585" width="17.85546875" bestFit="1" customWidth="1"/>
    <col min="3586" max="3586" width="11.42578125" bestFit="1" customWidth="1"/>
    <col min="3587" max="3587" width="11.28515625" bestFit="1" customWidth="1"/>
    <col min="3588" max="3588" width="12.7109375" customWidth="1"/>
    <col min="3589" max="3589" width="11.140625" customWidth="1"/>
    <col min="3590" max="3591" width="8.7109375" bestFit="1" customWidth="1"/>
    <col min="3592" max="3592" width="10.140625" bestFit="1" customWidth="1"/>
    <col min="3593" max="3596" width="9.42578125" bestFit="1" customWidth="1"/>
    <col min="3597" max="3597" width="10" bestFit="1" customWidth="1"/>
    <col min="3598" max="3598" width="10.5703125" bestFit="1" customWidth="1"/>
    <col min="3841" max="3841" width="17.85546875" bestFit="1" customWidth="1"/>
    <col min="3842" max="3842" width="11.42578125" bestFit="1" customWidth="1"/>
    <col min="3843" max="3843" width="11.28515625" bestFit="1" customWidth="1"/>
    <col min="3844" max="3844" width="12.7109375" customWidth="1"/>
    <col min="3845" max="3845" width="11.140625" customWidth="1"/>
    <col min="3846" max="3847" width="8.7109375" bestFit="1" customWidth="1"/>
    <col min="3848" max="3848" width="10.140625" bestFit="1" customWidth="1"/>
    <col min="3849" max="3852" width="9.42578125" bestFit="1" customWidth="1"/>
    <col min="3853" max="3853" width="10" bestFit="1" customWidth="1"/>
    <col min="3854" max="3854" width="10.5703125" bestFit="1" customWidth="1"/>
    <col min="4097" max="4097" width="17.85546875" bestFit="1" customWidth="1"/>
    <col min="4098" max="4098" width="11.42578125" bestFit="1" customWidth="1"/>
    <col min="4099" max="4099" width="11.28515625" bestFit="1" customWidth="1"/>
    <col min="4100" max="4100" width="12.7109375" customWidth="1"/>
    <col min="4101" max="4101" width="11.140625" customWidth="1"/>
    <col min="4102" max="4103" width="8.7109375" bestFit="1" customWidth="1"/>
    <col min="4104" max="4104" width="10.140625" bestFit="1" customWidth="1"/>
    <col min="4105" max="4108" width="9.42578125" bestFit="1" customWidth="1"/>
    <col min="4109" max="4109" width="10" bestFit="1" customWidth="1"/>
    <col min="4110" max="4110" width="10.5703125" bestFit="1" customWidth="1"/>
    <col min="4353" max="4353" width="17.85546875" bestFit="1" customWidth="1"/>
    <col min="4354" max="4354" width="11.42578125" bestFit="1" customWidth="1"/>
    <col min="4355" max="4355" width="11.28515625" bestFit="1" customWidth="1"/>
    <col min="4356" max="4356" width="12.7109375" customWidth="1"/>
    <col min="4357" max="4357" width="11.140625" customWidth="1"/>
    <col min="4358" max="4359" width="8.7109375" bestFit="1" customWidth="1"/>
    <col min="4360" max="4360" width="10.140625" bestFit="1" customWidth="1"/>
    <col min="4361" max="4364" width="9.42578125" bestFit="1" customWidth="1"/>
    <col min="4365" max="4365" width="10" bestFit="1" customWidth="1"/>
    <col min="4366" max="4366" width="10.5703125" bestFit="1" customWidth="1"/>
    <col min="4609" max="4609" width="17.85546875" bestFit="1" customWidth="1"/>
    <col min="4610" max="4610" width="11.42578125" bestFit="1" customWidth="1"/>
    <col min="4611" max="4611" width="11.28515625" bestFit="1" customWidth="1"/>
    <col min="4612" max="4612" width="12.7109375" customWidth="1"/>
    <col min="4613" max="4613" width="11.140625" customWidth="1"/>
    <col min="4614" max="4615" width="8.7109375" bestFit="1" customWidth="1"/>
    <col min="4616" max="4616" width="10.140625" bestFit="1" customWidth="1"/>
    <col min="4617" max="4620" width="9.42578125" bestFit="1" customWidth="1"/>
    <col min="4621" max="4621" width="10" bestFit="1" customWidth="1"/>
    <col min="4622" max="4622" width="10.5703125" bestFit="1" customWidth="1"/>
    <col min="4865" max="4865" width="17.85546875" bestFit="1" customWidth="1"/>
    <col min="4866" max="4866" width="11.42578125" bestFit="1" customWidth="1"/>
    <col min="4867" max="4867" width="11.28515625" bestFit="1" customWidth="1"/>
    <col min="4868" max="4868" width="12.7109375" customWidth="1"/>
    <col min="4869" max="4869" width="11.140625" customWidth="1"/>
    <col min="4870" max="4871" width="8.7109375" bestFit="1" customWidth="1"/>
    <col min="4872" max="4872" width="10.140625" bestFit="1" customWidth="1"/>
    <col min="4873" max="4876" width="9.42578125" bestFit="1" customWidth="1"/>
    <col min="4877" max="4877" width="10" bestFit="1" customWidth="1"/>
    <col min="4878" max="4878" width="10.5703125" bestFit="1" customWidth="1"/>
    <col min="5121" max="5121" width="17.85546875" bestFit="1" customWidth="1"/>
    <col min="5122" max="5122" width="11.42578125" bestFit="1" customWidth="1"/>
    <col min="5123" max="5123" width="11.28515625" bestFit="1" customWidth="1"/>
    <col min="5124" max="5124" width="12.7109375" customWidth="1"/>
    <col min="5125" max="5125" width="11.140625" customWidth="1"/>
    <col min="5126" max="5127" width="8.7109375" bestFit="1" customWidth="1"/>
    <col min="5128" max="5128" width="10.140625" bestFit="1" customWidth="1"/>
    <col min="5129" max="5132" width="9.42578125" bestFit="1" customWidth="1"/>
    <col min="5133" max="5133" width="10" bestFit="1" customWidth="1"/>
    <col min="5134" max="5134" width="10.5703125" bestFit="1" customWidth="1"/>
    <col min="5377" max="5377" width="17.85546875" bestFit="1" customWidth="1"/>
    <col min="5378" max="5378" width="11.42578125" bestFit="1" customWidth="1"/>
    <col min="5379" max="5379" width="11.28515625" bestFit="1" customWidth="1"/>
    <col min="5380" max="5380" width="12.7109375" customWidth="1"/>
    <col min="5381" max="5381" width="11.140625" customWidth="1"/>
    <col min="5382" max="5383" width="8.7109375" bestFit="1" customWidth="1"/>
    <col min="5384" max="5384" width="10.140625" bestFit="1" customWidth="1"/>
    <col min="5385" max="5388" width="9.42578125" bestFit="1" customWidth="1"/>
    <col min="5389" max="5389" width="10" bestFit="1" customWidth="1"/>
    <col min="5390" max="5390" width="10.5703125" bestFit="1" customWidth="1"/>
    <col min="5633" max="5633" width="17.85546875" bestFit="1" customWidth="1"/>
    <col min="5634" max="5634" width="11.42578125" bestFit="1" customWidth="1"/>
    <col min="5635" max="5635" width="11.28515625" bestFit="1" customWidth="1"/>
    <col min="5636" max="5636" width="12.7109375" customWidth="1"/>
    <col min="5637" max="5637" width="11.140625" customWidth="1"/>
    <col min="5638" max="5639" width="8.7109375" bestFit="1" customWidth="1"/>
    <col min="5640" max="5640" width="10.140625" bestFit="1" customWidth="1"/>
    <col min="5641" max="5644" width="9.42578125" bestFit="1" customWidth="1"/>
    <col min="5645" max="5645" width="10" bestFit="1" customWidth="1"/>
    <col min="5646" max="5646" width="10.5703125" bestFit="1" customWidth="1"/>
    <col min="5889" max="5889" width="17.85546875" bestFit="1" customWidth="1"/>
    <col min="5890" max="5890" width="11.42578125" bestFit="1" customWidth="1"/>
    <col min="5891" max="5891" width="11.28515625" bestFit="1" customWidth="1"/>
    <col min="5892" max="5892" width="12.7109375" customWidth="1"/>
    <col min="5893" max="5893" width="11.140625" customWidth="1"/>
    <col min="5894" max="5895" width="8.7109375" bestFit="1" customWidth="1"/>
    <col min="5896" max="5896" width="10.140625" bestFit="1" customWidth="1"/>
    <col min="5897" max="5900" width="9.42578125" bestFit="1" customWidth="1"/>
    <col min="5901" max="5901" width="10" bestFit="1" customWidth="1"/>
    <col min="5902" max="5902" width="10.5703125" bestFit="1" customWidth="1"/>
    <col min="6145" max="6145" width="17.85546875" bestFit="1" customWidth="1"/>
    <col min="6146" max="6146" width="11.42578125" bestFit="1" customWidth="1"/>
    <col min="6147" max="6147" width="11.28515625" bestFit="1" customWidth="1"/>
    <col min="6148" max="6148" width="12.7109375" customWidth="1"/>
    <col min="6149" max="6149" width="11.140625" customWidth="1"/>
    <col min="6150" max="6151" width="8.7109375" bestFit="1" customWidth="1"/>
    <col min="6152" max="6152" width="10.140625" bestFit="1" customWidth="1"/>
    <col min="6153" max="6156" width="9.42578125" bestFit="1" customWidth="1"/>
    <col min="6157" max="6157" width="10" bestFit="1" customWidth="1"/>
    <col min="6158" max="6158" width="10.5703125" bestFit="1" customWidth="1"/>
    <col min="6401" max="6401" width="17.85546875" bestFit="1" customWidth="1"/>
    <col min="6402" max="6402" width="11.42578125" bestFit="1" customWidth="1"/>
    <col min="6403" max="6403" width="11.28515625" bestFit="1" customWidth="1"/>
    <col min="6404" max="6404" width="12.7109375" customWidth="1"/>
    <col min="6405" max="6405" width="11.140625" customWidth="1"/>
    <col min="6406" max="6407" width="8.7109375" bestFit="1" customWidth="1"/>
    <col min="6408" max="6408" width="10.140625" bestFit="1" customWidth="1"/>
    <col min="6409" max="6412" width="9.42578125" bestFit="1" customWidth="1"/>
    <col min="6413" max="6413" width="10" bestFit="1" customWidth="1"/>
    <col min="6414" max="6414" width="10.5703125" bestFit="1" customWidth="1"/>
    <col min="6657" max="6657" width="17.85546875" bestFit="1" customWidth="1"/>
    <col min="6658" max="6658" width="11.42578125" bestFit="1" customWidth="1"/>
    <col min="6659" max="6659" width="11.28515625" bestFit="1" customWidth="1"/>
    <col min="6660" max="6660" width="12.7109375" customWidth="1"/>
    <col min="6661" max="6661" width="11.140625" customWidth="1"/>
    <col min="6662" max="6663" width="8.7109375" bestFit="1" customWidth="1"/>
    <col min="6664" max="6664" width="10.140625" bestFit="1" customWidth="1"/>
    <col min="6665" max="6668" width="9.42578125" bestFit="1" customWidth="1"/>
    <col min="6669" max="6669" width="10" bestFit="1" customWidth="1"/>
    <col min="6670" max="6670" width="10.5703125" bestFit="1" customWidth="1"/>
    <col min="6913" max="6913" width="17.85546875" bestFit="1" customWidth="1"/>
    <col min="6914" max="6914" width="11.42578125" bestFit="1" customWidth="1"/>
    <col min="6915" max="6915" width="11.28515625" bestFit="1" customWidth="1"/>
    <col min="6916" max="6916" width="12.7109375" customWidth="1"/>
    <col min="6917" max="6917" width="11.140625" customWidth="1"/>
    <col min="6918" max="6919" width="8.7109375" bestFit="1" customWidth="1"/>
    <col min="6920" max="6920" width="10.140625" bestFit="1" customWidth="1"/>
    <col min="6921" max="6924" width="9.42578125" bestFit="1" customWidth="1"/>
    <col min="6925" max="6925" width="10" bestFit="1" customWidth="1"/>
    <col min="6926" max="6926" width="10.5703125" bestFit="1" customWidth="1"/>
    <col min="7169" max="7169" width="17.85546875" bestFit="1" customWidth="1"/>
    <col min="7170" max="7170" width="11.42578125" bestFit="1" customWidth="1"/>
    <col min="7171" max="7171" width="11.28515625" bestFit="1" customWidth="1"/>
    <col min="7172" max="7172" width="12.7109375" customWidth="1"/>
    <col min="7173" max="7173" width="11.140625" customWidth="1"/>
    <col min="7174" max="7175" width="8.7109375" bestFit="1" customWidth="1"/>
    <col min="7176" max="7176" width="10.140625" bestFit="1" customWidth="1"/>
    <col min="7177" max="7180" width="9.42578125" bestFit="1" customWidth="1"/>
    <col min="7181" max="7181" width="10" bestFit="1" customWidth="1"/>
    <col min="7182" max="7182" width="10.5703125" bestFit="1" customWidth="1"/>
    <col min="7425" max="7425" width="17.85546875" bestFit="1" customWidth="1"/>
    <col min="7426" max="7426" width="11.42578125" bestFit="1" customWidth="1"/>
    <col min="7427" max="7427" width="11.28515625" bestFit="1" customWidth="1"/>
    <col min="7428" max="7428" width="12.7109375" customWidth="1"/>
    <col min="7429" max="7429" width="11.140625" customWidth="1"/>
    <col min="7430" max="7431" width="8.7109375" bestFit="1" customWidth="1"/>
    <col min="7432" max="7432" width="10.140625" bestFit="1" customWidth="1"/>
    <col min="7433" max="7436" width="9.42578125" bestFit="1" customWidth="1"/>
    <col min="7437" max="7437" width="10" bestFit="1" customWidth="1"/>
    <col min="7438" max="7438" width="10.5703125" bestFit="1" customWidth="1"/>
    <col min="7681" max="7681" width="17.85546875" bestFit="1" customWidth="1"/>
    <col min="7682" max="7682" width="11.42578125" bestFit="1" customWidth="1"/>
    <col min="7683" max="7683" width="11.28515625" bestFit="1" customWidth="1"/>
    <col min="7684" max="7684" width="12.7109375" customWidth="1"/>
    <col min="7685" max="7685" width="11.140625" customWidth="1"/>
    <col min="7686" max="7687" width="8.7109375" bestFit="1" customWidth="1"/>
    <col min="7688" max="7688" width="10.140625" bestFit="1" customWidth="1"/>
    <col min="7689" max="7692" width="9.42578125" bestFit="1" customWidth="1"/>
    <col min="7693" max="7693" width="10" bestFit="1" customWidth="1"/>
    <col min="7694" max="7694" width="10.5703125" bestFit="1" customWidth="1"/>
    <col min="7937" max="7937" width="17.85546875" bestFit="1" customWidth="1"/>
    <col min="7938" max="7938" width="11.42578125" bestFit="1" customWidth="1"/>
    <col min="7939" max="7939" width="11.28515625" bestFit="1" customWidth="1"/>
    <col min="7940" max="7940" width="12.7109375" customWidth="1"/>
    <col min="7941" max="7941" width="11.140625" customWidth="1"/>
    <col min="7942" max="7943" width="8.7109375" bestFit="1" customWidth="1"/>
    <col min="7944" max="7944" width="10.140625" bestFit="1" customWidth="1"/>
    <col min="7945" max="7948" width="9.42578125" bestFit="1" customWidth="1"/>
    <col min="7949" max="7949" width="10" bestFit="1" customWidth="1"/>
    <col min="7950" max="7950" width="10.5703125" bestFit="1" customWidth="1"/>
    <col min="8193" max="8193" width="17.85546875" bestFit="1" customWidth="1"/>
    <col min="8194" max="8194" width="11.42578125" bestFit="1" customWidth="1"/>
    <col min="8195" max="8195" width="11.28515625" bestFit="1" customWidth="1"/>
    <col min="8196" max="8196" width="12.7109375" customWidth="1"/>
    <col min="8197" max="8197" width="11.140625" customWidth="1"/>
    <col min="8198" max="8199" width="8.7109375" bestFit="1" customWidth="1"/>
    <col min="8200" max="8200" width="10.140625" bestFit="1" customWidth="1"/>
    <col min="8201" max="8204" width="9.42578125" bestFit="1" customWidth="1"/>
    <col min="8205" max="8205" width="10" bestFit="1" customWidth="1"/>
    <col min="8206" max="8206" width="10.5703125" bestFit="1" customWidth="1"/>
    <col min="8449" max="8449" width="17.85546875" bestFit="1" customWidth="1"/>
    <col min="8450" max="8450" width="11.42578125" bestFit="1" customWidth="1"/>
    <col min="8451" max="8451" width="11.28515625" bestFit="1" customWidth="1"/>
    <col min="8452" max="8452" width="12.7109375" customWidth="1"/>
    <col min="8453" max="8453" width="11.140625" customWidth="1"/>
    <col min="8454" max="8455" width="8.7109375" bestFit="1" customWidth="1"/>
    <col min="8456" max="8456" width="10.140625" bestFit="1" customWidth="1"/>
    <col min="8457" max="8460" width="9.42578125" bestFit="1" customWidth="1"/>
    <col min="8461" max="8461" width="10" bestFit="1" customWidth="1"/>
    <col min="8462" max="8462" width="10.5703125" bestFit="1" customWidth="1"/>
    <col min="8705" max="8705" width="17.85546875" bestFit="1" customWidth="1"/>
    <col min="8706" max="8706" width="11.42578125" bestFit="1" customWidth="1"/>
    <col min="8707" max="8707" width="11.28515625" bestFit="1" customWidth="1"/>
    <col min="8708" max="8708" width="12.7109375" customWidth="1"/>
    <col min="8709" max="8709" width="11.140625" customWidth="1"/>
    <col min="8710" max="8711" width="8.7109375" bestFit="1" customWidth="1"/>
    <col min="8712" max="8712" width="10.140625" bestFit="1" customWidth="1"/>
    <col min="8713" max="8716" width="9.42578125" bestFit="1" customWidth="1"/>
    <col min="8717" max="8717" width="10" bestFit="1" customWidth="1"/>
    <col min="8718" max="8718" width="10.5703125" bestFit="1" customWidth="1"/>
    <col min="8961" max="8961" width="17.85546875" bestFit="1" customWidth="1"/>
    <col min="8962" max="8962" width="11.42578125" bestFit="1" customWidth="1"/>
    <col min="8963" max="8963" width="11.28515625" bestFit="1" customWidth="1"/>
    <col min="8964" max="8964" width="12.7109375" customWidth="1"/>
    <col min="8965" max="8965" width="11.140625" customWidth="1"/>
    <col min="8966" max="8967" width="8.7109375" bestFit="1" customWidth="1"/>
    <col min="8968" max="8968" width="10.140625" bestFit="1" customWidth="1"/>
    <col min="8969" max="8972" width="9.42578125" bestFit="1" customWidth="1"/>
    <col min="8973" max="8973" width="10" bestFit="1" customWidth="1"/>
    <col min="8974" max="8974" width="10.5703125" bestFit="1" customWidth="1"/>
    <col min="9217" max="9217" width="17.85546875" bestFit="1" customWidth="1"/>
    <col min="9218" max="9218" width="11.42578125" bestFit="1" customWidth="1"/>
    <col min="9219" max="9219" width="11.28515625" bestFit="1" customWidth="1"/>
    <col min="9220" max="9220" width="12.7109375" customWidth="1"/>
    <col min="9221" max="9221" width="11.140625" customWidth="1"/>
    <col min="9222" max="9223" width="8.7109375" bestFit="1" customWidth="1"/>
    <col min="9224" max="9224" width="10.140625" bestFit="1" customWidth="1"/>
    <col min="9225" max="9228" width="9.42578125" bestFit="1" customWidth="1"/>
    <col min="9229" max="9229" width="10" bestFit="1" customWidth="1"/>
    <col min="9230" max="9230" width="10.5703125" bestFit="1" customWidth="1"/>
    <col min="9473" max="9473" width="17.85546875" bestFit="1" customWidth="1"/>
    <col min="9474" max="9474" width="11.42578125" bestFit="1" customWidth="1"/>
    <col min="9475" max="9475" width="11.28515625" bestFit="1" customWidth="1"/>
    <col min="9476" max="9476" width="12.7109375" customWidth="1"/>
    <col min="9477" max="9477" width="11.140625" customWidth="1"/>
    <col min="9478" max="9479" width="8.7109375" bestFit="1" customWidth="1"/>
    <col min="9480" max="9480" width="10.140625" bestFit="1" customWidth="1"/>
    <col min="9481" max="9484" width="9.42578125" bestFit="1" customWidth="1"/>
    <col min="9485" max="9485" width="10" bestFit="1" customWidth="1"/>
    <col min="9486" max="9486" width="10.5703125" bestFit="1" customWidth="1"/>
    <col min="9729" max="9729" width="17.85546875" bestFit="1" customWidth="1"/>
    <col min="9730" max="9730" width="11.42578125" bestFit="1" customWidth="1"/>
    <col min="9731" max="9731" width="11.28515625" bestFit="1" customWidth="1"/>
    <col min="9732" max="9732" width="12.7109375" customWidth="1"/>
    <col min="9733" max="9733" width="11.140625" customWidth="1"/>
    <col min="9734" max="9735" width="8.7109375" bestFit="1" customWidth="1"/>
    <col min="9736" max="9736" width="10.140625" bestFit="1" customWidth="1"/>
    <col min="9737" max="9740" width="9.42578125" bestFit="1" customWidth="1"/>
    <col min="9741" max="9741" width="10" bestFit="1" customWidth="1"/>
    <col min="9742" max="9742" width="10.5703125" bestFit="1" customWidth="1"/>
    <col min="9985" max="9985" width="17.85546875" bestFit="1" customWidth="1"/>
    <col min="9986" max="9986" width="11.42578125" bestFit="1" customWidth="1"/>
    <col min="9987" max="9987" width="11.28515625" bestFit="1" customWidth="1"/>
    <col min="9988" max="9988" width="12.7109375" customWidth="1"/>
    <col min="9989" max="9989" width="11.140625" customWidth="1"/>
    <col min="9990" max="9991" width="8.7109375" bestFit="1" customWidth="1"/>
    <col min="9992" max="9992" width="10.140625" bestFit="1" customWidth="1"/>
    <col min="9993" max="9996" width="9.42578125" bestFit="1" customWidth="1"/>
    <col min="9997" max="9997" width="10" bestFit="1" customWidth="1"/>
    <col min="9998" max="9998" width="10.5703125" bestFit="1" customWidth="1"/>
    <col min="10241" max="10241" width="17.85546875" bestFit="1" customWidth="1"/>
    <col min="10242" max="10242" width="11.42578125" bestFit="1" customWidth="1"/>
    <col min="10243" max="10243" width="11.28515625" bestFit="1" customWidth="1"/>
    <col min="10244" max="10244" width="12.7109375" customWidth="1"/>
    <col min="10245" max="10245" width="11.140625" customWidth="1"/>
    <col min="10246" max="10247" width="8.7109375" bestFit="1" customWidth="1"/>
    <col min="10248" max="10248" width="10.140625" bestFit="1" customWidth="1"/>
    <col min="10249" max="10252" width="9.42578125" bestFit="1" customWidth="1"/>
    <col min="10253" max="10253" width="10" bestFit="1" customWidth="1"/>
    <col min="10254" max="10254" width="10.5703125" bestFit="1" customWidth="1"/>
    <col min="10497" max="10497" width="17.85546875" bestFit="1" customWidth="1"/>
    <col min="10498" max="10498" width="11.42578125" bestFit="1" customWidth="1"/>
    <col min="10499" max="10499" width="11.28515625" bestFit="1" customWidth="1"/>
    <col min="10500" max="10500" width="12.7109375" customWidth="1"/>
    <col min="10501" max="10501" width="11.140625" customWidth="1"/>
    <col min="10502" max="10503" width="8.7109375" bestFit="1" customWidth="1"/>
    <col min="10504" max="10504" width="10.140625" bestFit="1" customWidth="1"/>
    <col min="10505" max="10508" width="9.42578125" bestFit="1" customWidth="1"/>
    <col min="10509" max="10509" width="10" bestFit="1" customWidth="1"/>
    <col min="10510" max="10510" width="10.5703125" bestFit="1" customWidth="1"/>
    <col min="10753" max="10753" width="17.85546875" bestFit="1" customWidth="1"/>
    <col min="10754" max="10754" width="11.42578125" bestFit="1" customWidth="1"/>
    <col min="10755" max="10755" width="11.28515625" bestFit="1" customWidth="1"/>
    <col min="10756" max="10756" width="12.7109375" customWidth="1"/>
    <col min="10757" max="10757" width="11.140625" customWidth="1"/>
    <col min="10758" max="10759" width="8.7109375" bestFit="1" customWidth="1"/>
    <col min="10760" max="10760" width="10.140625" bestFit="1" customWidth="1"/>
    <col min="10761" max="10764" width="9.42578125" bestFit="1" customWidth="1"/>
    <col min="10765" max="10765" width="10" bestFit="1" customWidth="1"/>
    <col min="10766" max="10766" width="10.5703125" bestFit="1" customWidth="1"/>
    <col min="11009" max="11009" width="17.85546875" bestFit="1" customWidth="1"/>
    <col min="11010" max="11010" width="11.42578125" bestFit="1" customWidth="1"/>
    <col min="11011" max="11011" width="11.28515625" bestFit="1" customWidth="1"/>
    <col min="11012" max="11012" width="12.7109375" customWidth="1"/>
    <col min="11013" max="11013" width="11.140625" customWidth="1"/>
    <col min="11014" max="11015" width="8.7109375" bestFit="1" customWidth="1"/>
    <col min="11016" max="11016" width="10.140625" bestFit="1" customWidth="1"/>
    <col min="11017" max="11020" width="9.42578125" bestFit="1" customWidth="1"/>
    <col min="11021" max="11021" width="10" bestFit="1" customWidth="1"/>
    <col min="11022" max="11022" width="10.5703125" bestFit="1" customWidth="1"/>
    <col min="11265" max="11265" width="17.85546875" bestFit="1" customWidth="1"/>
    <col min="11266" max="11266" width="11.42578125" bestFit="1" customWidth="1"/>
    <col min="11267" max="11267" width="11.28515625" bestFit="1" customWidth="1"/>
    <col min="11268" max="11268" width="12.7109375" customWidth="1"/>
    <col min="11269" max="11269" width="11.140625" customWidth="1"/>
    <col min="11270" max="11271" width="8.7109375" bestFit="1" customWidth="1"/>
    <col min="11272" max="11272" width="10.140625" bestFit="1" customWidth="1"/>
    <col min="11273" max="11276" width="9.42578125" bestFit="1" customWidth="1"/>
    <col min="11277" max="11277" width="10" bestFit="1" customWidth="1"/>
    <col min="11278" max="11278" width="10.5703125" bestFit="1" customWidth="1"/>
    <col min="11521" max="11521" width="17.85546875" bestFit="1" customWidth="1"/>
    <col min="11522" max="11522" width="11.42578125" bestFit="1" customWidth="1"/>
    <col min="11523" max="11523" width="11.28515625" bestFit="1" customWidth="1"/>
    <col min="11524" max="11524" width="12.7109375" customWidth="1"/>
    <col min="11525" max="11525" width="11.140625" customWidth="1"/>
    <col min="11526" max="11527" width="8.7109375" bestFit="1" customWidth="1"/>
    <col min="11528" max="11528" width="10.140625" bestFit="1" customWidth="1"/>
    <col min="11529" max="11532" width="9.42578125" bestFit="1" customWidth="1"/>
    <col min="11533" max="11533" width="10" bestFit="1" customWidth="1"/>
    <col min="11534" max="11534" width="10.5703125" bestFit="1" customWidth="1"/>
    <col min="11777" max="11777" width="17.85546875" bestFit="1" customWidth="1"/>
    <col min="11778" max="11778" width="11.42578125" bestFit="1" customWidth="1"/>
    <col min="11779" max="11779" width="11.28515625" bestFit="1" customWidth="1"/>
    <col min="11780" max="11780" width="12.7109375" customWidth="1"/>
    <col min="11781" max="11781" width="11.140625" customWidth="1"/>
    <col min="11782" max="11783" width="8.7109375" bestFit="1" customWidth="1"/>
    <col min="11784" max="11784" width="10.140625" bestFit="1" customWidth="1"/>
    <col min="11785" max="11788" width="9.42578125" bestFit="1" customWidth="1"/>
    <col min="11789" max="11789" width="10" bestFit="1" customWidth="1"/>
    <col min="11790" max="11790" width="10.5703125" bestFit="1" customWidth="1"/>
    <col min="12033" max="12033" width="17.85546875" bestFit="1" customWidth="1"/>
    <col min="12034" max="12034" width="11.42578125" bestFit="1" customWidth="1"/>
    <col min="12035" max="12035" width="11.28515625" bestFit="1" customWidth="1"/>
    <col min="12036" max="12036" width="12.7109375" customWidth="1"/>
    <col min="12037" max="12037" width="11.140625" customWidth="1"/>
    <col min="12038" max="12039" width="8.7109375" bestFit="1" customWidth="1"/>
    <col min="12040" max="12040" width="10.140625" bestFit="1" customWidth="1"/>
    <col min="12041" max="12044" width="9.42578125" bestFit="1" customWidth="1"/>
    <col min="12045" max="12045" width="10" bestFit="1" customWidth="1"/>
    <col min="12046" max="12046" width="10.5703125" bestFit="1" customWidth="1"/>
    <col min="12289" max="12289" width="17.85546875" bestFit="1" customWidth="1"/>
    <col min="12290" max="12290" width="11.42578125" bestFit="1" customWidth="1"/>
    <col min="12291" max="12291" width="11.28515625" bestFit="1" customWidth="1"/>
    <col min="12292" max="12292" width="12.7109375" customWidth="1"/>
    <col min="12293" max="12293" width="11.140625" customWidth="1"/>
    <col min="12294" max="12295" width="8.7109375" bestFit="1" customWidth="1"/>
    <col min="12296" max="12296" width="10.140625" bestFit="1" customWidth="1"/>
    <col min="12297" max="12300" width="9.42578125" bestFit="1" customWidth="1"/>
    <col min="12301" max="12301" width="10" bestFit="1" customWidth="1"/>
    <col min="12302" max="12302" width="10.5703125" bestFit="1" customWidth="1"/>
    <col min="12545" max="12545" width="17.85546875" bestFit="1" customWidth="1"/>
    <col min="12546" max="12546" width="11.42578125" bestFit="1" customWidth="1"/>
    <col min="12547" max="12547" width="11.28515625" bestFit="1" customWidth="1"/>
    <col min="12548" max="12548" width="12.7109375" customWidth="1"/>
    <col min="12549" max="12549" width="11.140625" customWidth="1"/>
    <col min="12550" max="12551" width="8.7109375" bestFit="1" customWidth="1"/>
    <col min="12552" max="12552" width="10.140625" bestFit="1" customWidth="1"/>
    <col min="12553" max="12556" width="9.42578125" bestFit="1" customWidth="1"/>
    <col min="12557" max="12557" width="10" bestFit="1" customWidth="1"/>
    <col min="12558" max="12558" width="10.5703125" bestFit="1" customWidth="1"/>
    <col min="12801" max="12801" width="17.85546875" bestFit="1" customWidth="1"/>
    <col min="12802" max="12802" width="11.42578125" bestFit="1" customWidth="1"/>
    <col min="12803" max="12803" width="11.28515625" bestFit="1" customWidth="1"/>
    <col min="12804" max="12804" width="12.7109375" customWidth="1"/>
    <col min="12805" max="12805" width="11.140625" customWidth="1"/>
    <col min="12806" max="12807" width="8.7109375" bestFit="1" customWidth="1"/>
    <col min="12808" max="12808" width="10.140625" bestFit="1" customWidth="1"/>
    <col min="12809" max="12812" width="9.42578125" bestFit="1" customWidth="1"/>
    <col min="12813" max="12813" width="10" bestFit="1" customWidth="1"/>
    <col min="12814" max="12814" width="10.5703125" bestFit="1" customWidth="1"/>
    <col min="13057" max="13057" width="17.85546875" bestFit="1" customWidth="1"/>
    <col min="13058" max="13058" width="11.42578125" bestFit="1" customWidth="1"/>
    <col min="13059" max="13059" width="11.28515625" bestFit="1" customWidth="1"/>
    <col min="13060" max="13060" width="12.7109375" customWidth="1"/>
    <col min="13061" max="13061" width="11.140625" customWidth="1"/>
    <col min="13062" max="13063" width="8.7109375" bestFit="1" customWidth="1"/>
    <col min="13064" max="13064" width="10.140625" bestFit="1" customWidth="1"/>
    <col min="13065" max="13068" width="9.42578125" bestFit="1" customWidth="1"/>
    <col min="13069" max="13069" width="10" bestFit="1" customWidth="1"/>
    <col min="13070" max="13070" width="10.5703125" bestFit="1" customWidth="1"/>
    <col min="13313" max="13313" width="17.85546875" bestFit="1" customWidth="1"/>
    <col min="13314" max="13314" width="11.42578125" bestFit="1" customWidth="1"/>
    <col min="13315" max="13315" width="11.28515625" bestFit="1" customWidth="1"/>
    <col min="13316" max="13316" width="12.7109375" customWidth="1"/>
    <col min="13317" max="13317" width="11.140625" customWidth="1"/>
    <col min="13318" max="13319" width="8.7109375" bestFit="1" customWidth="1"/>
    <col min="13320" max="13320" width="10.140625" bestFit="1" customWidth="1"/>
    <col min="13321" max="13324" width="9.42578125" bestFit="1" customWidth="1"/>
    <col min="13325" max="13325" width="10" bestFit="1" customWidth="1"/>
    <col min="13326" max="13326" width="10.5703125" bestFit="1" customWidth="1"/>
    <col min="13569" max="13569" width="17.85546875" bestFit="1" customWidth="1"/>
    <col min="13570" max="13570" width="11.42578125" bestFit="1" customWidth="1"/>
    <col min="13571" max="13571" width="11.28515625" bestFit="1" customWidth="1"/>
    <col min="13572" max="13572" width="12.7109375" customWidth="1"/>
    <col min="13573" max="13573" width="11.140625" customWidth="1"/>
    <col min="13574" max="13575" width="8.7109375" bestFit="1" customWidth="1"/>
    <col min="13576" max="13576" width="10.140625" bestFit="1" customWidth="1"/>
    <col min="13577" max="13580" width="9.42578125" bestFit="1" customWidth="1"/>
    <col min="13581" max="13581" width="10" bestFit="1" customWidth="1"/>
    <col min="13582" max="13582" width="10.5703125" bestFit="1" customWidth="1"/>
    <col min="13825" max="13825" width="17.85546875" bestFit="1" customWidth="1"/>
    <col min="13826" max="13826" width="11.42578125" bestFit="1" customWidth="1"/>
    <col min="13827" max="13827" width="11.28515625" bestFit="1" customWidth="1"/>
    <col min="13828" max="13828" width="12.7109375" customWidth="1"/>
    <col min="13829" max="13829" width="11.140625" customWidth="1"/>
    <col min="13830" max="13831" width="8.7109375" bestFit="1" customWidth="1"/>
    <col min="13832" max="13832" width="10.140625" bestFit="1" customWidth="1"/>
    <col min="13833" max="13836" width="9.42578125" bestFit="1" customWidth="1"/>
    <col min="13837" max="13837" width="10" bestFit="1" customWidth="1"/>
    <col min="13838" max="13838" width="10.5703125" bestFit="1" customWidth="1"/>
    <col min="14081" max="14081" width="17.85546875" bestFit="1" customWidth="1"/>
    <col min="14082" max="14082" width="11.42578125" bestFit="1" customWidth="1"/>
    <col min="14083" max="14083" width="11.28515625" bestFit="1" customWidth="1"/>
    <col min="14084" max="14084" width="12.7109375" customWidth="1"/>
    <col min="14085" max="14085" width="11.140625" customWidth="1"/>
    <col min="14086" max="14087" width="8.7109375" bestFit="1" customWidth="1"/>
    <col min="14088" max="14088" width="10.140625" bestFit="1" customWidth="1"/>
    <col min="14089" max="14092" width="9.42578125" bestFit="1" customWidth="1"/>
    <col min="14093" max="14093" width="10" bestFit="1" customWidth="1"/>
    <col min="14094" max="14094" width="10.5703125" bestFit="1" customWidth="1"/>
    <col min="14337" max="14337" width="17.85546875" bestFit="1" customWidth="1"/>
    <col min="14338" max="14338" width="11.42578125" bestFit="1" customWidth="1"/>
    <col min="14339" max="14339" width="11.28515625" bestFit="1" customWidth="1"/>
    <col min="14340" max="14340" width="12.7109375" customWidth="1"/>
    <col min="14341" max="14341" width="11.140625" customWidth="1"/>
    <col min="14342" max="14343" width="8.7109375" bestFit="1" customWidth="1"/>
    <col min="14344" max="14344" width="10.140625" bestFit="1" customWidth="1"/>
    <col min="14345" max="14348" width="9.42578125" bestFit="1" customWidth="1"/>
    <col min="14349" max="14349" width="10" bestFit="1" customWidth="1"/>
    <col min="14350" max="14350" width="10.5703125" bestFit="1" customWidth="1"/>
    <col min="14593" max="14593" width="17.85546875" bestFit="1" customWidth="1"/>
    <col min="14594" max="14594" width="11.42578125" bestFit="1" customWidth="1"/>
    <col min="14595" max="14595" width="11.28515625" bestFit="1" customWidth="1"/>
    <col min="14596" max="14596" width="12.7109375" customWidth="1"/>
    <col min="14597" max="14597" width="11.140625" customWidth="1"/>
    <col min="14598" max="14599" width="8.7109375" bestFit="1" customWidth="1"/>
    <col min="14600" max="14600" width="10.140625" bestFit="1" customWidth="1"/>
    <col min="14601" max="14604" width="9.42578125" bestFit="1" customWidth="1"/>
    <col min="14605" max="14605" width="10" bestFit="1" customWidth="1"/>
    <col min="14606" max="14606" width="10.5703125" bestFit="1" customWidth="1"/>
    <col min="14849" max="14849" width="17.85546875" bestFit="1" customWidth="1"/>
    <col min="14850" max="14850" width="11.42578125" bestFit="1" customWidth="1"/>
    <col min="14851" max="14851" width="11.28515625" bestFit="1" customWidth="1"/>
    <col min="14852" max="14852" width="12.7109375" customWidth="1"/>
    <col min="14853" max="14853" width="11.140625" customWidth="1"/>
    <col min="14854" max="14855" width="8.7109375" bestFit="1" customWidth="1"/>
    <col min="14856" max="14856" width="10.140625" bestFit="1" customWidth="1"/>
    <col min="14857" max="14860" width="9.42578125" bestFit="1" customWidth="1"/>
    <col min="14861" max="14861" width="10" bestFit="1" customWidth="1"/>
    <col min="14862" max="14862" width="10.5703125" bestFit="1" customWidth="1"/>
    <col min="15105" max="15105" width="17.85546875" bestFit="1" customWidth="1"/>
    <col min="15106" max="15106" width="11.42578125" bestFit="1" customWidth="1"/>
    <col min="15107" max="15107" width="11.28515625" bestFit="1" customWidth="1"/>
    <col min="15108" max="15108" width="12.7109375" customWidth="1"/>
    <col min="15109" max="15109" width="11.140625" customWidth="1"/>
    <col min="15110" max="15111" width="8.7109375" bestFit="1" customWidth="1"/>
    <col min="15112" max="15112" width="10.140625" bestFit="1" customWidth="1"/>
    <col min="15113" max="15116" width="9.42578125" bestFit="1" customWidth="1"/>
    <col min="15117" max="15117" width="10" bestFit="1" customWidth="1"/>
    <col min="15118" max="15118" width="10.5703125" bestFit="1" customWidth="1"/>
    <col min="15361" max="15361" width="17.85546875" bestFit="1" customWidth="1"/>
    <col min="15362" max="15362" width="11.42578125" bestFit="1" customWidth="1"/>
    <col min="15363" max="15363" width="11.28515625" bestFit="1" customWidth="1"/>
    <col min="15364" max="15364" width="12.7109375" customWidth="1"/>
    <col min="15365" max="15365" width="11.140625" customWidth="1"/>
    <col min="15366" max="15367" width="8.7109375" bestFit="1" customWidth="1"/>
    <col min="15368" max="15368" width="10.140625" bestFit="1" customWidth="1"/>
    <col min="15369" max="15372" width="9.42578125" bestFit="1" customWidth="1"/>
    <col min="15373" max="15373" width="10" bestFit="1" customWidth="1"/>
    <col min="15374" max="15374" width="10.5703125" bestFit="1" customWidth="1"/>
    <col min="15617" max="15617" width="17.85546875" bestFit="1" customWidth="1"/>
    <col min="15618" max="15618" width="11.42578125" bestFit="1" customWidth="1"/>
    <col min="15619" max="15619" width="11.28515625" bestFit="1" customWidth="1"/>
    <col min="15620" max="15620" width="12.7109375" customWidth="1"/>
    <col min="15621" max="15621" width="11.140625" customWidth="1"/>
    <col min="15622" max="15623" width="8.7109375" bestFit="1" customWidth="1"/>
    <col min="15624" max="15624" width="10.140625" bestFit="1" customWidth="1"/>
    <col min="15625" max="15628" width="9.42578125" bestFit="1" customWidth="1"/>
    <col min="15629" max="15629" width="10" bestFit="1" customWidth="1"/>
    <col min="15630" max="15630" width="10.5703125" bestFit="1" customWidth="1"/>
    <col min="15873" max="15873" width="17.85546875" bestFit="1" customWidth="1"/>
    <col min="15874" max="15874" width="11.42578125" bestFit="1" customWidth="1"/>
    <col min="15875" max="15875" width="11.28515625" bestFit="1" customWidth="1"/>
    <col min="15876" max="15876" width="12.7109375" customWidth="1"/>
    <col min="15877" max="15877" width="11.140625" customWidth="1"/>
    <col min="15878" max="15879" width="8.7109375" bestFit="1" customWidth="1"/>
    <col min="15880" max="15880" width="10.140625" bestFit="1" customWidth="1"/>
    <col min="15881" max="15884" width="9.42578125" bestFit="1" customWidth="1"/>
    <col min="15885" max="15885" width="10" bestFit="1" customWidth="1"/>
    <col min="15886" max="15886" width="10.5703125" bestFit="1" customWidth="1"/>
    <col min="16129" max="16129" width="17.85546875" bestFit="1" customWidth="1"/>
    <col min="16130" max="16130" width="11.42578125" bestFit="1" customWidth="1"/>
    <col min="16131" max="16131" width="11.28515625" bestFit="1" customWidth="1"/>
    <col min="16132" max="16132" width="12.7109375" customWidth="1"/>
    <col min="16133" max="16133" width="11.140625" customWidth="1"/>
    <col min="16134" max="16135" width="8.7109375" bestFit="1" customWidth="1"/>
    <col min="16136" max="16136" width="10.140625" bestFit="1" customWidth="1"/>
    <col min="16137" max="16140" width="9.42578125" bestFit="1" customWidth="1"/>
    <col min="16141" max="16141" width="10" bestFit="1" customWidth="1"/>
    <col min="16142" max="16142" width="10.5703125" bestFit="1" customWidth="1"/>
  </cols>
  <sheetData>
    <row r="2" spans="1:13">
      <c r="A2" s="117"/>
      <c r="B2" s="1019" t="s">
        <v>1216</v>
      </c>
      <c r="C2" s="1019"/>
      <c r="D2" s="1019"/>
      <c r="E2" s="1019"/>
      <c r="F2" s="1019"/>
      <c r="G2" s="1019"/>
    </row>
    <row r="3" spans="1:13">
      <c r="A3" s="117"/>
      <c r="B3" s="1019" t="s">
        <v>1215</v>
      </c>
      <c r="C3" s="1019"/>
      <c r="D3" s="1019"/>
      <c r="E3" s="1019"/>
      <c r="F3" s="117"/>
      <c r="G3" s="117"/>
    </row>
    <row r="4" spans="1:13" ht="48.75">
      <c r="A4" s="112" t="s">
        <v>1214</v>
      </c>
      <c r="B4" s="104" t="s">
        <v>1256</v>
      </c>
      <c r="C4" s="112" t="s">
        <v>1212</v>
      </c>
      <c r="D4" s="5">
        <v>905101020</v>
      </c>
      <c r="E4" s="112" t="s">
        <v>1211</v>
      </c>
      <c r="F4" s="5">
        <v>431.57100000000003</v>
      </c>
      <c r="G4" s="112" t="s">
        <v>1210</v>
      </c>
      <c r="H4" s="103">
        <v>80</v>
      </c>
      <c r="I4" s="111"/>
      <c r="J4" s="111"/>
      <c r="K4" s="111"/>
      <c r="L4" s="111"/>
    </row>
    <row r="5" spans="1:13">
      <c r="A5" s="808" t="s">
        <v>4176</v>
      </c>
      <c r="B5" s="808"/>
      <c r="C5" s="808"/>
      <c r="D5" s="112"/>
      <c r="E5" s="112"/>
      <c r="F5" s="112"/>
      <c r="G5" s="112"/>
      <c r="H5" s="111"/>
      <c r="I5" s="111"/>
      <c r="J5" s="111"/>
      <c r="K5" s="111"/>
      <c r="L5" s="111"/>
    </row>
    <row r="6" spans="1:13" ht="36.75">
      <c r="A6" s="112" t="s">
        <v>832</v>
      </c>
      <c r="B6" s="104" t="s">
        <v>1255</v>
      </c>
      <c r="C6" s="112" t="s">
        <v>1208</v>
      </c>
      <c r="D6" s="112" t="s">
        <v>1254</v>
      </c>
      <c r="F6" s="112"/>
      <c r="G6" s="112"/>
      <c r="H6" s="111"/>
      <c r="I6" s="111"/>
      <c r="J6" s="111"/>
      <c r="K6" s="111"/>
      <c r="L6" s="111"/>
    </row>
    <row r="7" spans="1:13">
      <c r="A7" s="112"/>
      <c r="B7" s="112"/>
      <c r="C7" s="112"/>
      <c r="D7" s="112"/>
      <c r="E7" s="112"/>
      <c r="F7" s="112"/>
      <c r="G7" s="112"/>
      <c r="H7" s="111"/>
      <c r="I7" s="111"/>
      <c r="J7" s="111"/>
      <c r="K7" s="111"/>
      <c r="L7" s="111"/>
    </row>
    <row r="8" spans="1:13" ht="72.75">
      <c r="A8" s="112" t="s">
        <v>618</v>
      </c>
      <c r="B8" s="104" t="s">
        <v>1246</v>
      </c>
      <c r="C8" s="115" t="s">
        <v>1206</v>
      </c>
      <c r="D8" s="104" t="s">
        <v>1253</v>
      </c>
      <c r="E8" s="112"/>
      <c r="F8" s="112"/>
      <c r="G8" s="115"/>
      <c r="H8" s="111"/>
      <c r="I8" s="111"/>
      <c r="J8" s="111"/>
      <c r="K8" s="111"/>
      <c r="L8" s="111"/>
    </row>
    <row r="9" spans="1:13">
      <c r="A9" s="112"/>
      <c r="B9" s="112"/>
      <c r="C9" s="112"/>
      <c r="D9" s="112"/>
      <c r="E9" s="112"/>
      <c r="F9" s="112"/>
      <c r="G9" s="112"/>
      <c r="H9" s="111"/>
      <c r="I9" s="111"/>
      <c r="J9" s="111"/>
      <c r="K9" s="111"/>
      <c r="L9" s="111"/>
    </row>
    <row r="10" spans="1:13" ht="24.75">
      <c r="A10" s="104" t="s">
        <v>838</v>
      </c>
      <c r="B10" s="104" t="s">
        <v>1252</v>
      </c>
      <c r="C10" s="104" t="s">
        <v>1251</v>
      </c>
      <c r="D10" s="104" t="s">
        <v>1250</v>
      </c>
      <c r="E10" s="104" t="s">
        <v>1249</v>
      </c>
      <c r="F10" s="104"/>
      <c r="G10" s="112"/>
      <c r="H10" s="111"/>
      <c r="I10" s="111"/>
      <c r="J10" s="111"/>
      <c r="K10" s="111"/>
      <c r="L10" s="111"/>
    </row>
    <row r="11" spans="1:13" ht="24.75">
      <c r="A11" s="104" t="s">
        <v>1203</v>
      </c>
      <c r="B11" s="104" t="s">
        <v>1248</v>
      </c>
      <c r="C11" s="104" t="s">
        <v>1247</v>
      </c>
      <c r="D11" s="104" t="s">
        <v>1237</v>
      </c>
      <c r="E11" s="104" t="s">
        <v>1236</v>
      </c>
      <c r="F11" s="104"/>
      <c r="G11" s="112"/>
      <c r="H11" s="111"/>
      <c r="I11" s="111"/>
      <c r="J11" s="111"/>
      <c r="K11" s="111"/>
      <c r="L11" s="111"/>
    </row>
    <row r="12" spans="1:13" ht="24.75">
      <c r="A12" s="104" t="s">
        <v>1202</v>
      </c>
      <c r="B12" s="104" t="s">
        <v>1201</v>
      </c>
      <c r="C12" s="104" t="s">
        <v>1200</v>
      </c>
      <c r="D12" s="104" t="s">
        <v>1199</v>
      </c>
      <c r="E12" s="104" t="s">
        <v>1198</v>
      </c>
      <c r="F12" s="114" t="s">
        <v>1197</v>
      </c>
      <c r="G12" s="112"/>
      <c r="H12" s="111"/>
      <c r="I12" s="111"/>
      <c r="J12" s="111"/>
      <c r="K12" s="111"/>
      <c r="L12" s="111"/>
    </row>
    <row r="13" spans="1:13" ht="24.75">
      <c r="A13" s="104" t="s">
        <v>1196</v>
      </c>
      <c r="B13" s="104" t="s">
        <v>1246</v>
      </c>
      <c r="C13" s="104"/>
      <c r="D13" s="104"/>
      <c r="E13" s="104"/>
      <c r="F13" s="104"/>
      <c r="G13" s="112"/>
      <c r="H13" s="111"/>
      <c r="I13" s="111"/>
      <c r="J13" s="111"/>
      <c r="K13" s="111"/>
      <c r="L13" s="111"/>
    </row>
    <row r="14" spans="1:13">
      <c r="A14" s="112"/>
      <c r="B14" s="112"/>
      <c r="C14" s="112"/>
      <c r="D14" s="112"/>
      <c r="E14" s="112"/>
      <c r="F14" s="112"/>
      <c r="G14" s="112"/>
      <c r="H14" s="111"/>
      <c r="I14" s="111"/>
      <c r="J14" s="111"/>
      <c r="K14" s="111"/>
      <c r="L14" s="111"/>
    </row>
    <row r="15" spans="1:13" ht="36.75">
      <c r="A15" s="112" t="s">
        <v>1194</v>
      </c>
      <c r="B15" s="104">
        <v>4</v>
      </c>
      <c r="C15" s="112" t="s">
        <v>1193</v>
      </c>
      <c r="D15" s="104">
        <v>3</v>
      </c>
      <c r="E15" s="112" t="s">
        <v>643</v>
      </c>
      <c r="F15" s="104">
        <v>3</v>
      </c>
      <c r="G15" s="112" t="s">
        <v>644</v>
      </c>
      <c r="H15" s="103">
        <v>3</v>
      </c>
      <c r="I15" s="111" t="s">
        <v>645</v>
      </c>
      <c r="J15" s="103">
        <f>3+10+45+29+11+21+10</f>
        <v>129</v>
      </c>
      <c r="K15" s="111"/>
      <c r="L15" s="111"/>
    </row>
    <row r="16" spans="1:13" ht="36.75">
      <c r="A16" s="112" t="s">
        <v>1192</v>
      </c>
      <c r="B16" s="112" t="s">
        <v>204</v>
      </c>
      <c r="C16" s="104">
        <v>35</v>
      </c>
      <c r="D16" s="112" t="s">
        <v>205</v>
      </c>
      <c r="E16" s="104">
        <v>0</v>
      </c>
      <c r="F16" s="112" t="s">
        <v>206</v>
      </c>
      <c r="G16" s="104">
        <v>0</v>
      </c>
      <c r="H16" s="111" t="s">
        <v>230</v>
      </c>
      <c r="I16" s="103">
        <f>G16+E16+C16</f>
        <v>35</v>
      </c>
      <c r="J16" s="111" t="s">
        <v>207</v>
      </c>
      <c r="K16" s="103">
        <v>5</v>
      </c>
      <c r="L16" s="112" t="s">
        <v>855</v>
      </c>
      <c r="M16" s="80">
        <v>20</v>
      </c>
    </row>
    <row r="17" spans="1:14" ht="24.75">
      <c r="A17" s="112" t="s">
        <v>1191</v>
      </c>
      <c r="B17" s="112" t="s">
        <v>210</v>
      </c>
      <c r="C17" s="104">
        <v>116</v>
      </c>
      <c r="D17" s="112" t="s">
        <v>211</v>
      </c>
      <c r="E17" s="104">
        <v>0</v>
      </c>
      <c r="F17" s="112" t="s">
        <v>212</v>
      </c>
      <c r="G17" s="104">
        <v>0</v>
      </c>
      <c r="H17" s="111" t="s">
        <v>411</v>
      </c>
      <c r="I17" s="103">
        <f>G17+E17+C17</f>
        <v>116</v>
      </c>
      <c r="J17" s="111"/>
      <c r="K17" s="103"/>
      <c r="L17" s="111"/>
    </row>
    <row r="18" spans="1:14" ht="24.75">
      <c r="A18" s="112"/>
      <c r="B18" s="112" t="s">
        <v>213</v>
      </c>
      <c r="C18" s="104">
        <v>94</v>
      </c>
      <c r="D18" s="112" t="s">
        <v>214</v>
      </c>
      <c r="E18" s="104">
        <v>0</v>
      </c>
      <c r="F18" s="112" t="s">
        <v>215</v>
      </c>
      <c r="G18" s="104">
        <v>0</v>
      </c>
      <c r="H18" s="111" t="s">
        <v>410</v>
      </c>
      <c r="I18" s="103">
        <f>G18+E18+C18</f>
        <v>94</v>
      </c>
      <c r="J18" s="111"/>
      <c r="K18" s="103"/>
      <c r="L18" s="111"/>
    </row>
    <row r="19" spans="1:14">
      <c r="A19" s="112"/>
      <c r="B19" s="112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>
      <c r="A20" s="113" t="s">
        <v>409</v>
      </c>
      <c r="B20" s="112"/>
      <c r="C20" s="112"/>
      <c r="D20" s="112"/>
      <c r="E20" s="112"/>
      <c r="F20" s="112"/>
      <c r="G20" s="112"/>
      <c r="H20" s="111"/>
      <c r="I20" s="111"/>
      <c r="J20" s="111"/>
      <c r="K20" s="111"/>
      <c r="L20" s="111"/>
    </row>
    <row r="21" spans="1:14">
      <c r="A21" s="1020" t="s">
        <v>1190</v>
      </c>
      <c r="B21" s="1020" t="s">
        <v>1189</v>
      </c>
      <c r="C21" s="1020" t="s">
        <v>1188</v>
      </c>
      <c r="D21" s="1020" t="s">
        <v>1187</v>
      </c>
      <c r="E21" s="1020" t="s">
        <v>1186</v>
      </c>
      <c r="F21" s="1022" t="s">
        <v>1185</v>
      </c>
      <c r="G21" s="1023"/>
      <c r="H21" s="1023"/>
      <c r="I21" s="1023"/>
      <c r="J21" s="1023"/>
      <c r="K21" s="1023"/>
      <c r="L21" s="1023"/>
      <c r="M21" s="1023"/>
      <c r="N21" s="1024"/>
    </row>
    <row r="22" spans="1:14">
      <c r="A22" s="1020"/>
      <c r="B22" s="1020"/>
      <c r="C22" s="1020"/>
      <c r="D22" s="1020"/>
      <c r="E22" s="1020"/>
      <c r="F22" s="104" t="s">
        <v>1184</v>
      </c>
      <c r="G22" s="104" t="s">
        <v>1183</v>
      </c>
      <c r="H22" s="104" t="s">
        <v>1182</v>
      </c>
      <c r="I22" s="103" t="s">
        <v>1181</v>
      </c>
      <c r="J22" s="103" t="s">
        <v>1180</v>
      </c>
      <c r="K22" s="103" t="s">
        <v>1179</v>
      </c>
      <c r="L22" s="103" t="s">
        <v>1178</v>
      </c>
      <c r="M22" s="110" t="s">
        <v>230</v>
      </c>
      <c r="N22" s="109" t="s">
        <v>231</v>
      </c>
    </row>
    <row r="23" spans="1:14" ht="24.75">
      <c r="A23" s="104" t="s">
        <v>232</v>
      </c>
      <c r="B23" s="104">
        <v>8000</v>
      </c>
      <c r="C23" s="5" t="s">
        <v>1175</v>
      </c>
      <c r="D23" s="106">
        <f>+B23*F4/100000</f>
        <v>34.525680000000001</v>
      </c>
      <c r="E23" s="101">
        <f>3452568/100000</f>
        <v>34.525680000000001</v>
      </c>
      <c r="F23" s="100">
        <v>0</v>
      </c>
      <c r="G23" s="100">
        <f>3416/100000</f>
        <v>3.4160000000000003E-2</v>
      </c>
      <c r="H23" s="100">
        <f>775524/100000</f>
        <v>7.7552399999999997</v>
      </c>
      <c r="I23" s="100">
        <f>1675672/100000</f>
        <v>16.756720000000001</v>
      </c>
      <c r="J23" s="100">
        <f>970804/100000</f>
        <v>9.7080400000000004</v>
      </c>
      <c r="K23" s="100">
        <f>70824/100000</f>
        <v>0.70823999999999998</v>
      </c>
      <c r="L23" s="100">
        <v>0</v>
      </c>
      <c r="M23" s="131">
        <f>SUM(F23:L23)</f>
        <v>34.962400000000002</v>
      </c>
      <c r="N23" s="98">
        <f>ROUND(M23/E23*100,0)</f>
        <v>101</v>
      </c>
    </row>
    <row r="24" spans="1:14" ht="24.75">
      <c r="A24" s="104" t="s">
        <v>234</v>
      </c>
      <c r="B24" s="104">
        <v>7000</v>
      </c>
      <c r="C24" s="102" t="s">
        <v>1175</v>
      </c>
      <c r="D24" s="106">
        <f>B24*80/100000</f>
        <v>5.6</v>
      </c>
      <c r="E24" s="108">
        <f>560000/100000</f>
        <v>5.6</v>
      </c>
      <c r="F24" s="100">
        <v>0</v>
      </c>
      <c r="G24" s="100">
        <v>0</v>
      </c>
      <c r="H24" s="100">
        <v>0</v>
      </c>
      <c r="I24" s="100">
        <v>0</v>
      </c>
      <c r="J24" s="100">
        <f>35280/100000</f>
        <v>0.3528</v>
      </c>
      <c r="K24" s="100">
        <f>238520/100000</f>
        <v>2.3852000000000002</v>
      </c>
      <c r="L24" s="100">
        <f>258081/100000</f>
        <v>2.58081</v>
      </c>
      <c r="M24" s="134">
        <f t="shared" ref="M24:M30" si="0">SUM(F24:L24)</f>
        <v>5.3188100000000009</v>
      </c>
      <c r="N24" s="98">
        <f t="shared" ref="N24:N30" si="1">ROUND(M24/E24*100,0)</f>
        <v>95</v>
      </c>
    </row>
    <row r="25" spans="1:14" ht="36.75">
      <c r="A25" s="104" t="s">
        <v>235</v>
      </c>
      <c r="B25" s="104">
        <v>86</v>
      </c>
      <c r="C25" s="102" t="s">
        <v>236</v>
      </c>
      <c r="D25" s="108">
        <v>0.43</v>
      </c>
      <c r="E25" s="108">
        <f>43000/100000</f>
        <v>0.43</v>
      </c>
      <c r="F25" s="100">
        <v>0</v>
      </c>
      <c r="G25" s="100">
        <v>0</v>
      </c>
      <c r="H25" s="100">
        <v>0</v>
      </c>
      <c r="I25" s="100">
        <f>18000/100000</f>
        <v>0.18</v>
      </c>
      <c r="J25" s="100">
        <f>15000/100000</f>
        <v>0.15</v>
      </c>
      <c r="K25" s="100">
        <f>10000/100000</f>
        <v>0.1</v>
      </c>
      <c r="L25" s="100">
        <f>20000/100000</f>
        <v>0.2</v>
      </c>
      <c r="M25" s="134">
        <f t="shared" si="0"/>
        <v>0.62999999999999989</v>
      </c>
      <c r="N25" s="98">
        <f t="shared" si="1"/>
        <v>147</v>
      </c>
    </row>
    <row r="26" spans="1:14" ht="36.75">
      <c r="A26" s="104" t="s">
        <v>237</v>
      </c>
      <c r="B26" s="104">
        <v>68</v>
      </c>
      <c r="C26" s="102" t="s">
        <v>236</v>
      </c>
      <c r="D26" s="108">
        <v>0.34</v>
      </c>
      <c r="E26" s="108">
        <f>34000/100000</f>
        <v>0.34</v>
      </c>
      <c r="F26" s="100">
        <v>0</v>
      </c>
      <c r="G26" s="100">
        <v>0</v>
      </c>
      <c r="H26" s="100">
        <v>0</v>
      </c>
      <c r="I26" s="100">
        <f>16224/100000</f>
        <v>0.16224</v>
      </c>
      <c r="J26" s="100">
        <f>11776/100000</f>
        <v>0.11776</v>
      </c>
      <c r="K26" s="100">
        <f>6000/100000</f>
        <v>0.06</v>
      </c>
      <c r="L26" s="100">
        <v>0</v>
      </c>
      <c r="M26" s="134">
        <f t="shared" si="0"/>
        <v>0.34</v>
      </c>
      <c r="N26" s="98">
        <f t="shared" si="1"/>
        <v>100</v>
      </c>
    </row>
    <row r="27" spans="1:14" ht="24.75">
      <c r="A27" s="104" t="s">
        <v>238</v>
      </c>
      <c r="B27" s="104">
        <v>1200</v>
      </c>
      <c r="C27" s="102" t="s">
        <v>1175</v>
      </c>
      <c r="D27" s="106">
        <f>ROUND((+B27*F4),0)/100000</f>
        <v>5.1788499999999997</v>
      </c>
      <c r="E27" s="108">
        <f>517885/100000</f>
        <v>5.1788499999999997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f>237705/100000</f>
        <v>2.3770500000000001</v>
      </c>
      <c r="L27" s="100">
        <f>130000/100000</f>
        <v>1.3</v>
      </c>
      <c r="M27" s="134">
        <f t="shared" si="0"/>
        <v>3.6770500000000004</v>
      </c>
      <c r="N27" s="98">
        <f t="shared" si="1"/>
        <v>71</v>
      </c>
    </row>
    <row r="28" spans="1:14" ht="24.75">
      <c r="A28" s="104" t="s">
        <v>667</v>
      </c>
      <c r="B28" s="104">
        <v>565</v>
      </c>
      <c r="C28" s="102" t="s">
        <v>1175</v>
      </c>
      <c r="D28" s="106">
        <f>ROUND((+B28*F4),0)/100000</f>
        <v>2.43838</v>
      </c>
      <c r="E28" s="108">
        <f>243838/100000</f>
        <v>2.43838</v>
      </c>
      <c r="F28" s="100">
        <v>0</v>
      </c>
      <c r="G28" s="100">
        <v>0</v>
      </c>
      <c r="H28" s="100">
        <v>0</v>
      </c>
      <c r="I28" s="100">
        <f>16035/100000</f>
        <v>0.16034999999999999</v>
      </c>
      <c r="J28" s="100">
        <f>227803/100000</f>
        <v>2.2780300000000002</v>
      </c>
      <c r="K28" s="100">
        <v>0</v>
      </c>
      <c r="L28" s="100">
        <v>0</v>
      </c>
      <c r="M28" s="133">
        <f t="shared" si="0"/>
        <v>2.4383800000000004</v>
      </c>
      <c r="N28" s="98">
        <f t="shared" si="1"/>
        <v>100</v>
      </c>
    </row>
    <row r="29" spans="1:14" ht="24.75">
      <c r="A29" s="104" t="s">
        <v>1176</v>
      </c>
      <c r="B29" s="104">
        <v>1000</v>
      </c>
      <c r="C29" s="102" t="s">
        <v>1175</v>
      </c>
      <c r="D29" s="106">
        <f>ROUND((+B29*F4),0)/100000</f>
        <v>4.3157100000000002</v>
      </c>
      <c r="E29" s="101">
        <f>431571/100000</f>
        <v>4.3157100000000002</v>
      </c>
      <c r="F29" s="100">
        <v>0</v>
      </c>
      <c r="G29" s="100">
        <v>0</v>
      </c>
      <c r="H29" s="100">
        <f>60000/100000</f>
        <v>0.6</v>
      </c>
      <c r="I29" s="100">
        <f>40000/100000</f>
        <v>0.4</v>
      </c>
      <c r="J29" s="100">
        <v>0</v>
      </c>
      <c r="K29" s="100">
        <f>151578/100000</f>
        <v>1.5157799999999999</v>
      </c>
      <c r="L29" s="100">
        <f>174993/100000</f>
        <v>1.74993</v>
      </c>
      <c r="M29" s="131">
        <f t="shared" si="0"/>
        <v>4.2657100000000003</v>
      </c>
      <c r="N29" s="98">
        <f t="shared" si="1"/>
        <v>99</v>
      </c>
    </row>
    <row r="30" spans="1:14" ht="24.75">
      <c r="A30" s="104" t="s">
        <v>394</v>
      </c>
      <c r="B30" s="104">
        <v>2750</v>
      </c>
      <c r="C30" s="102" t="s">
        <v>242</v>
      </c>
      <c r="D30" s="101">
        <v>1.92</v>
      </c>
      <c r="E30" s="101">
        <f>192000/100000</f>
        <v>1.92</v>
      </c>
      <c r="F30" s="100">
        <v>0</v>
      </c>
      <c r="G30" s="100">
        <v>0</v>
      </c>
      <c r="H30" s="100">
        <f>30375/100000</f>
        <v>0.30375000000000002</v>
      </c>
      <c r="I30" s="100">
        <f>62493/100000</f>
        <v>0.62492999999999999</v>
      </c>
      <c r="J30" s="100">
        <f>33132/100000</f>
        <v>0.33132</v>
      </c>
      <c r="K30" s="100">
        <f>32205/100000</f>
        <v>0.32205</v>
      </c>
      <c r="L30" s="100">
        <f>30250/100000</f>
        <v>0.30249999999999999</v>
      </c>
      <c r="M30" s="131">
        <f t="shared" si="0"/>
        <v>1.8845499999999999</v>
      </c>
      <c r="N30" s="98">
        <f t="shared" si="1"/>
        <v>98</v>
      </c>
    </row>
    <row r="31" spans="1:14">
      <c r="A31" s="97" t="s">
        <v>230</v>
      </c>
      <c r="B31" s="104"/>
      <c r="C31" s="104"/>
      <c r="D31" s="94">
        <f t="shared" ref="D31:M31" si="2">SUM(D23:D30)</f>
        <v>54.74862000000001</v>
      </c>
      <c r="E31" s="94">
        <f t="shared" si="2"/>
        <v>54.74862000000001</v>
      </c>
      <c r="F31" s="92">
        <f t="shared" si="2"/>
        <v>0</v>
      </c>
      <c r="G31" s="92">
        <f t="shared" si="2"/>
        <v>3.4160000000000003E-2</v>
      </c>
      <c r="H31" s="92">
        <f t="shared" si="2"/>
        <v>8.6589900000000011</v>
      </c>
      <c r="I31" s="92">
        <f t="shared" si="2"/>
        <v>18.28424</v>
      </c>
      <c r="J31" s="92">
        <f t="shared" si="2"/>
        <v>12.937950000000003</v>
      </c>
      <c r="K31" s="92">
        <f t="shared" si="2"/>
        <v>7.4683199999999994</v>
      </c>
      <c r="L31" s="92">
        <f t="shared" si="2"/>
        <v>6.1332400000000007</v>
      </c>
      <c r="M31" s="130">
        <f t="shared" si="2"/>
        <v>53.516900000000007</v>
      </c>
      <c r="N31" s="91">
        <f>ROUND(M31/E31*100,0)</f>
        <v>98</v>
      </c>
    </row>
    <row r="33" spans="1:14">
      <c r="A33" s="1025" t="s">
        <v>1217</v>
      </c>
      <c r="B33" s="1025"/>
      <c r="C33" s="1025"/>
      <c r="D33" s="1025"/>
      <c r="E33" s="1025"/>
      <c r="F33" s="1025"/>
      <c r="G33" s="1025"/>
      <c r="H33" s="1025"/>
      <c r="I33" s="1025"/>
      <c r="J33" s="1025"/>
      <c r="K33" s="1025"/>
      <c r="L33" s="1025"/>
      <c r="M33" s="1025"/>
      <c r="N33" s="1025"/>
    </row>
  </sheetData>
  <mergeCells count="10">
    <mergeCell ref="A33:N33"/>
    <mergeCell ref="B2:G2"/>
    <mergeCell ref="B3:E3"/>
    <mergeCell ref="A21:A22"/>
    <mergeCell ref="B21:B22"/>
    <mergeCell ref="C21:C22"/>
    <mergeCell ref="D21:D22"/>
    <mergeCell ref="E21:E22"/>
    <mergeCell ref="F21:N21"/>
    <mergeCell ref="A5:C5"/>
  </mergeCells>
  <hyperlinks>
    <hyperlink ref="A5" location="'Fact Sheet of VDC'!A1" display="&lt;&lt;Back"/>
  </hyperlinks>
  <pageMargins left="0.86" right="0.25" top="0.14000000000000001" bottom="0.55000000000000004" header="0.09" footer="0.5"/>
  <pageSetup scale="64" orientation="landscape" verticalDpi="3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4" sqref="A4:C4"/>
    </sheetView>
  </sheetViews>
  <sheetFormatPr defaultRowHeight="15"/>
  <cols>
    <col min="1" max="1" width="19.28515625" customWidth="1"/>
    <col min="2" max="2" width="16.7109375" customWidth="1"/>
    <col min="3" max="3" width="20.140625" customWidth="1"/>
    <col min="4" max="4" width="12.28515625" customWidth="1"/>
    <col min="5" max="7" width="9.42578125" bestFit="1" customWidth="1"/>
    <col min="8" max="8" width="9.7109375" customWidth="1"/>
    <col min="9" max="12" width="9.42578125" bestFit="1" customWidth="1"/>
    <col min="13" max="13" width="10" bestFit="1" customWidth="1"/>
    <col min="14" max="14" width="10.5703125" bestFit="1" customWidth="1"/>
    <col min="257" max="257" width="19.28515625" customWidth="1"/>
    <col min="258" max="258" width="16.7109375" customWidth="1"/>
    <col min="259" max="259" width="20.140625" customWidth="1"/>
    <col min="260" max="260" width="12.28515625" customWidth="1"/>
    <col min="261" max="263" width="9.42578125" bestFit="1" customWidth="1"/>
    <col min="264" max="264" width="9.7109375" customWidth="1"/>
    <col min="265" max="268" width="9.42578125" bestFit="1" customWidth="1"/>
    <col min="269" max="269" width="10" bestFit="1" customWidth="1"/>
    <col min="270" max="270" width="10.5703125" bestFit="1" customWidth="1"/>
    <col min="513" max="513" width="19.28515625" customWidth="1"/>
    <col min="514" max="514" width="16.7109375" customWidth="1"/>
    <col min="515" max="515" width="20.140625" customWidth="1"/>
    <col min="516" max="516" width="12.28515625" customWidth="1"/>
    <col min="517" max="519" width="9.42578125" bestFit="1" customWidth="1"/>
    <col min="520" max="520" width="9.7109375" customWidth="1"/>
    <col min="521" max="524" width="9.42578125" bestFit="1" customWidth="1"/>
    <col min="525" max="525" width="10" bestFit="1" customWidth="1"/>
    <col min="526" max="526" width="10.5703125" bestFit="1" customWidth="1"/>
    <col min="769" max="769" width="19.28515625" customWidth="1"/>
    <col min="770" max="770" width="16.7109375" customWidth="1"/>
    <col min="771" max="771" width="20.140625" customWidth="1"/>
    <col min="772" max="772" width="12.28515625" customWidth="1"/>
    <col min="773" max="775" width="9.42578125" bestFit="1" customWidth="1"/>
    <col min="776" max="776" width="9.7109375" customWidth="1"/>
    <col min="777" max="780" width="9.42578125" bestFit="1" customWidth="1"/>
    <col min="781" max="781" width="10" bestFit="1" customWidth="1"/>
    <col min="782" max="782" width="10.5703125" bestFit="1" customWidth="1"/>
    <col min="1025" max="1025" width="19.28515625" customWidth="1"/>
    <col min="1026" max="1026" width="16.7109375" customWidth="1"/>
    <col min="1027" max="1027" width="20.140625" customWidth="1"/>
    <col min="1028" max="1028" width="12.28515625" customWidth="1"/>
    <col min="1029" max="1031" width="9.42578125" bestFit="1" customWidth="1"/>
    <col min="1032" max="1032" width="9.7109375" customWidth="1"/>
    <col min="1033" max="1036" width="9.42578125" bestFit="1" customWidth="1"/>
    <col min="1037" max="1037" width="10" bestFit="1" customWidth="1"/>
    <col min="1038" max="1038" width="10.5703125" bestFit="1" customWidth="1"/>
    <col min="1281" max="1281" width="19.28515625" customWidth="1"/>
    <col min="1282" max="1282" width="16.7109375" customWidth="1"/>
    <col min="1283" max="1283" width="20.140625" customWidth="1"/>
    <col min="1284" max="1284" width="12.28515625" customWidth="1"/>
    <col min="1285" max="1287" width="9.42578125" bestFit="1" customWidth="1"/>
    <col min="1288" max="1288" width="9.7109375" customWidth="1"/>
    <col min="1289" max="1292" width="9.42578125" bestFit="1" customWidth="1"/>
    <col min="1293" max="1293" width="10" bestFit="1" customWidth="1"/>
    <col min="1294" max="1294" width="10.5703125" bestFit="1" customWidth="1"/>
    <col min="1537" max="1537" width="19.28515625" customWidth="1"/>
    <col min="1538" max="1538" width="16.7109375" customWidth="1"/>
    <col min="1539" max="1539" width="20.140625" customWidth="1"/>
    <col min="1540" max="1540" width="12.28515625" customWidth="1"/>
    <col min="1541" max="1543" width="9.42578125" bestFit="1" customWidth="1"/>
    <col min="1544" max="1544" width="9.7109375" customWidth="1"/>
    <col min="1545" max="1548" width="9.42578125" bestFit="1" customWidth="1"/>
    <col min="1549" max="1549" width="10" bestFit="1" customWidth="1"/>
    <col min="1550" max="1550" width="10.5703125" bestFit="1" customWidth="1"/>
    <col min="1793" max="1793" width="19.28515625" customWidth="1"/>
    <col min="1794" max="1794" width="16.7109375" customWidth="1"/>
    <col min="1795" max="1795" width="20.140625" customWidth="1"/>
    <col min="1796" max="1796" width="12.28515625" customWidth="1"/>
    <col min="1797" max="1799" width="9.42578125" bestFit="1" customWidth="1"/>
    <col min="1800" max="1800" width="9.7109375" customWidth="1"/>
    <col min="1801" max="1804" width="9.42578125" bestFit="1" customWidth="1"/>
    <col min="1805" max="1805" width="10" bestFit="1" customWidth="1"/>
    <col min="1806" max="1806" width="10.5703125" bestFit="1" customWidth="1"/>
    <col min="2049" max="2049" width="19.28515625" customWidth="1"/>
    <col min="2050" max="2050" width="16.7109375" customWidth="1"/>
    <col min="2051" max="2051" width="20.140625" customWidth="1"/>
    <col min="2052" max="2052" width="12.28515625" customWidth="1"/>
    <col min="2053" max="2055" width="9.42578125" bestFit="1" customWidth="1"/>
    <col min="2056" max="2056" width="9.7109375" customWidth="1"/>
    <col min="2057" max="2060" width="9.42578125" bestFit="1" customWidth="1"/>
    <col min="2061" max="2061" width="10" bestFit="1" customWidth="1"/>
    <col min="2062" max="2062" width="10.5703125" bestFit="1" customWidth="1"/>
    <col min="2305" max="2305" width="19.28515625" customWidth="1"/>
    <col min="2306" max="2306" width="16.7109375" customWidth="1"/>
    <col min="2307" max="2307" width="20.140625" customWidth="1"/>
    <col min="2308" max="2308" width="12.28515625" customWidth="1"/>
    <col min="2309" max="2311" width="9.42578125" bestFit="1" customWidth="1"/>
    <col min="2312" max="2312" width="9.7109375" customWidth="1"/>
    <col min="2313" max="2316" width="9.42578125" bestFit="1" customWidth="1"/>
    <col min="2317" max="2317" width="10" bestFit="1" customWidth="1"/>
    <col min="2318" max="2318" width="10.5703125" bestFit="1" customWidth="1"/>
    <col min="2561" max="2561" width="19.28515625" customWidth="1"/>
    <col min="2562" max="2562" width="16.7109375" customWidth="1"/>
    <col min="2563" max="2563" width="20.140625" customWidth="1"/>
    <col min="2564" max="2564" width="12.28515625" customWidth="1"/>
    <col min="2565" max="2567" width="9.42578125" bestFit="1" customWidth="1"/>
    <col min="2568" max="2568" width="9.7109375" customWidth="1"/>
    <col min="2569" max="2572" width="9.42578125" bestFit="1" customWidth="1"/>
    <col min="2573" max="2573" width="10" bestFit="1" customWidth="1"/>
    <col min="2574" max="2574" width="10.5703125" bestFit="1" customWidth="1"/>
    <col min="2817" max="2817" width="19.28515625" customWidth="1"/>
    <col min="2818" max="2818" width="16.7109375" customWidth="1"/>
    <col min="2819" max="2819" width="20.140625" customWidth="1"/>
    <col min="2820" max="2820" width="12.28515625" customWidth="1"/>
    <col min="2821" max="2823" width="9.42578125" bestFit="1" customWidth="1"/>
    <col min="2824" max="2824" width="9.7109375" customWidth="1"/>
    <col min="2825" max="2828" width="9.42578125" bestFit="1" customWidth="1"/>
    <col min="2829" max="2829" width="10" bestFit="1" customWidth="1"/>
    <col min="2830" max="2830" width="10.5703125" bestFit="1" customWidth="1"/>
    <col min="3073" max="3073" width="19.28515625" customWidth="1"/>
    <col min="3074" max="3074" width="16.7109375" customWidth="1"/>
    <col min="3075" max="3075" width="20.140625" customWidth="1"/>
    <col min="3076" max="3076" width="12.28515625" customWidth="1"/>
    <col min="3077" max="3079" width="9.42578125" bestFit="1" customWidth="1"/>
    <col min="3080" max="3080" width="9.7109375" customWidth="1"/>
    <col min="3081" max="3084" width="9.42578125" bestFit="1" customWidth="1"/>
    <col min="3085" max="3085" width="10" bestFit="1" customWidth="1"/>
    <col min="3086" max="3086" width="10.5703125" bestFit="1" customWidth="1"/>
    <col min="3329" max="3329" width="19.28515625" customWidth="1"/>
    <col min="3330" max="3330" width="16.7109375" customWidth="1"/>
    <col min="3331" max="3331" width="20.140625" customWidth="1"/>
    <col min="3332" max="3332" width="12.28515625" customWidth="1"/>
    <col min="3333" max="3335" width="9.42578125" bestFit="1" customWidth="1"/>
    <col min="3336" max="3336" width="9.7109375" customWidth="1"/>
    <col min="3337" max="3340" width="9.42578125" bestFit="1" customWidth="1"/>
    <col min="3341" max="3341" width="10" bestFit="1" customWidth="1"/>
    <col min="3342" max="3342" width="10.5703125" bestFit="1" customWidth="1"/>
    <col min="3585" max="3585" width="19.28515625" customWidth="1"/>
    <col min="3586" max="3586" width="16.7109375" customWidth="1"/>
    <col min="3587" max="3587" width="20.140625" customWidth="1"/>
    <col min="3588" max="3588" width="12.28515625" customWidth="1"/>
    <col min="3589" max="3591" width="9.42578125" bestFit="1" customWidth="1"/>
    <col min="3592" max="3592" width="9.7109375" customWidth="1"/>
    <col min="3593" max="3596" width="9.42578125" bestFit="1" customWidth="1"/>
    <col min="3597" max="3597" width="10" bestFit="1" customWidth="1"/>
    <col min="3598" max="3598" width="10.5703125" bestFit="1" customWidth="1"/>
    <col min="3841" max="3841" width="19.28515625" customWidth="1"/>
    <col min="3842" max="3842" width="16.7109375" customWidth="1"/>
    <col min="3843" max="3843" width="20.140625" customWidth="1"/>
    <col min="3844" max="3844" width="12.28515625" customWidth="1"/>
    <col min="3845" max="3847" width="9.42578125" bestFit="1" customWidth="1"/>
    <col min="3848" max="3848" width="9.7109375" customWidth="1"/>
    <col min="3849" max="3852" width="9.42578125" bestFit="1" customWidth="1"/>
    <col min="3853" max="3853" width="10" bestFit="1" customWidth="1"/>
    <col min="3854" max="3854" width="10.5703125" bestFit="1" customWidth="1"/>
    <col min="4097" max="4097" width="19.28515625" customWidth="1"/>
    <col min="4098" max="4098" width="16.7109375" customWidth="1"/>
    <col min="4099" max="4099" width="20.140625" customWidth="1"/>
    <col min="4100" max="4100" width="12.28515625" customWidth="1"/>
    <col min="4101" max="4103" width="9.42578125" bestFit="1" customWidth="1"/>
    <col min="4104" max="4104" width="9.7109375" customWidth="1"/>
    <col min="4105" max="4108" width="9.42578125" bestFit="1" customWidth="1"/>
    <col min="4109" max="4109" width="10" bestFit="1" customWidth="1"/>
    <col min="4110" max="4110" width="10.5703125" bestFit="1" customWidth="1"/>
    <col min="4353" max="4353" width="19.28515625" customWidth="1"/>
    <col min="4354" max="4354" width="16.7109375" customWidth="1"/>
    <col min="4355" max="4355" width="20.140625" customWidth="1"/>
    <col min="4356" max="4356" width="12.28515625" customWidth="1"/>
    <col min="4357" max="4359" width="9.42578125" bestFit="1" customWidth="1"/>
    <col min="4360" max="4360" width="9.7109375" customWidth="1"/>
    <col min="4361" max="4364" width="9.42578125" bestFit="1" customWidth="1"/>
    <col min="4365" max="4365" width="10" bestFit="1" customWidth="1"/>
    <col min="4366" max="4366" width="10.5703125" bestFit="1" customWidth="1"/>
    <col min="4609" max="4609" width="19.28515625" customWidth="1"/>
    <col min="4610" max="4610" width="16.7109375" customWidth="1"/>
    <col min="4611" max="4611" width="20.140625" customWidth="1"/>
    <col min="4612" max="4612" width="12.28515625" customWidth="1"/>
    <col min="4613" max="4615" width="9.42578125" bestFit="1" customWidth="1"/>
    <col min="4616" max="4616" width="9.7109375" customWidth="1"/>
    <col min="4617" max="4620" width="9.42578125" bestFit="1" customWidth="1"/>
    <col min="4621" max="4621" width="10" bestFit="1" customWidth="1"/>
    <col min="4622" max="4622" width="10.5703125" bestFit="1" customWidth="1"/>
    <col min="4865" max="4865" width="19.28515625" customWidth="1"/>
    <col min="4866" max="4866" width="16.7109375" customWidth="1"/>
    <col min="4867" max="4867" width="20.140625" customWidth="1"/>
    <col min="4868" max="4868" width="12.28515625" customWidth="1"/>
    <col min="4869" max="4871" width="9.42578125" bestFit="1" customWidth="1"/>
    <col min="4872" max="4872" width="9.7109375" customWidth="1"/>
    <col min="4873" max="4876" width="9.42578125" bestFit="1" customWidth="1"/>
    <col min="4877" max="4877" width="10" bestFit="1" customWidth="1"/>
    <col min="4878" max="4878" width="10.5703125" bestFit="1" customWidth="1"/>
    <col min="5121" max="5121" width="19.28515625" customWidth="1"/>
    <col min="5122" max="5122" width="16.7109375" customWidth="1"/>
    <col min="5123" max="5123" width="20.140625" customWidth="1"/>
    <col min="5124" max="5124" width="12.28515625" customWidth="1"/>
    <col min="5125" max="5127" width="9.42578125" bestFit="1" customWidth="1"/>
    <col min="5128" max="5128" width="9.7109375" customWidth="1"/>
    <col min="5129" max="5132" width="9.42578125" bestFit="1" customWidth="1"/>
    <col min="5133" max="5133" width="10" bestFit="1" customWidth="1"/>
    <col min="5134" max="5134" width="10.5703125" bestFit="1" customWidth="1"/>
    <col min="5377" max="5377" width="19.28515625" customWidth="1"/>
    <col min="5378" max="5378" width="16.7109375" customWidth="1"/>
    <col min="5379" max="5379" width="20.140625" customWidth="1"/>
    <col min="5380" max="5380" width="12.28515625" customWidth="1"/>
    <col min="5381" max="5383" width="9.42578125" bestFit="1" customWidth="1"/>
    <col min="5384" max="5384" width="9.7109375" customWidth="1"/>
    <col min="5385" max="5388" width="9.42578125" bestFit="1" customWidth="1"/>
    <col min="5389" max="5389" width="10" bestFit="1" customWidth="1"/>
    <col min="5390" max="5390" width="10.5703125" bestFit="1" customWidth="1"/>
    <col min="5633" max="5633" width="19.28515625" customWidth="1"/>
    <col min="5634" max="5634" width="16.7109375" customWidth="1"/>
    <col min="5635" max="5635" width="20.140625" customWidth="1"/>
    <col min="5636" max="5636" width="12.28515625" customWidth="1"/>
    <col min="5637" max="5639" width="9.42578125" bestFit="1" customWidth="1"/>
    <col min="5640" max="5640" width="9.7109375" customWidth="1"/>
    <col min="5641" max="5644" width="9.42578125" bestFit="1" customWidth="1"/>
    <col min="5645" max="5645" width="10" bestFit="1" customWidth="1"/>
    <col min="5646" max="5646" width="10.5703125" bestFit="1" customWidth="1"/>
    <col min="5889" max="5889" width="19.28515625" customWidth="1"/>
    <col min="5890" max="5890" width="16.7109375" customWidth="1"/>
    <col min="5891" max="5891" width="20.140625" customWidth="1"/>
    <col min="5892" max="5892" width="12.28515625" customWidth="1"/>
    <col min="5893" max="5895" width="9.42578125" bestFit="1" customWidth="1"/>
    <col min="5896" max="5896" width="9.7109375" customWidth="1"/>
    <col min="5897" max="5900" width="9.42578125" bestFit="1" customWidth="1"/>
    <col min="5901" max="5901" width="10" bestFit="1" customWidth="1"/>
    <col min="5902" max="5902" width="10.5703125" bestFit="1" customWidth="1"/>
    <col min="6145" max="6145" width="19.28515625" customWidth="1"/>
    <col min="6146" max="6146" width="16.7109375" customWidth="1"/>
    <col min="6147" max="6147" width="20.140625" customWidth="1"/>
    <col min="6148" max="6148" width="12.28515625" customWidth="1"/>
    <col min="6149" max="6151" width="9.42578125" bestFit="1" customWidth="1"/>
    <col min="6152" max="6152" width="9.7109375" customWidth="1"/>
    <col min="6153" max="6156" width="9.42578125" bestFit="1" customWidth="1"/>
    <col min="6157" max="6157" width="10" bestFit="1" customWidth="1"/>
    <col min="6158" max="6158" width="10.5703125" bestFit="1" customWidth="1"/>
    <col min="6401" max="6401" width="19.28515625" customWidth="1"/>
    <col min="6402" max="6402" width="16.7109375" customWidth="1"/>
    <col min="6403" max="6403" width="20.140625" customWidth="1"/>
    <col min="6404" max="6404" width="12.28515625" customWidth="1"/>
    <col min="6405" max="6407" width="9.42578125" bestFit="1" customWidth="1"/>
    <col min="6408" max="6408" width="9.7109375" customWidth="1"/>
    <col min="6409" max="6412" width="9.42578125" bestFit="1" customWidth="1"/>
    <col min="6413" max="6413" width="10" bestFit="1" customWidth="1"/>
    <col min="6414" max="6414" width="10.5703125" bestFit="1" customWidth="1"/>
    <col min="6657" max="6657" width="19.28515625" customWidth="1"/>
    <col min="6658" max="6658" width="16.7109375" customWidth="1"/>
    <col min="6659" max="6659" width="20.140625" customWidth="1"/>
    <col min="6660" max="6660" width="12.28515625" customWidth="1"/>
    <col min="6661" max="6663" width="9.42578125" bestFit="1" customWidth="1"/>
    <col min="6664" max="6664" width="9.7109375" customWidth="1"/>
    <col min="6665" max="6668" width="9.42578125" bestFit="1" customWidth="1"/>
    <col min="6669" max="6669" width="10" bestFit="1" customWidth="1"/>
    <col min="6670" max="6670" width="10.5703125" bestFit="1" customWidth="1"/>
    <col min="6913" max="6913" width="19.28515625" customWidth="1"/>
    <col min="6914" max="6914" width="16.7109375" customWidth="1"/>
    <col min="6915" max="6915" width="20.140625" customWidth="1"/>
    <col min="6916" max="6916" width="12.28515625" customWidth="1"/>
    <col min="6917" max="6919" width="9.42578125" bestFit="1" customWidth="1"/>
    <col min="6920" max="6920" width="9.7109375" customWidth="1"/>
    <col min="6921" max="6924" width="9.42578125" bestFit="1" customWidth="1"/>
    <col min="6925" max="6925" width="10" bestFit="1" customWidth="1"/>
    <col min="6926" max="6926" width="10.5703125" bestFit="1" customWidth="1"/>
    <col min="7169" max="7169" width="19.28515625" customWidth="1"/>
    <col min="7170" max="7170" width="16.7109375" customWidth="1"/>
    <col min="7171" max="7171" width="20.140625" customWidth="1"/>
    <col min="7172" max="7172" width="12.28515625" customWidth="1"/>
    <col min="7173" max="7175" width="9.42578125" bestFit="1" customWidth="1"/>
    <col min="7176" max="7176" width="9.7109375" customWidth="1"/>
    <col min="7177" max="7180" width="9.42578125" bestFit="1" customWidth="1"/>
    <col min="7181" max="7181" width="10" bestFit="1" customWidth="1"/>
    <col min="7182" max="7182" width="10.5703125" bestFit="1" customWidth="1"/>
    <col min="7425" max="7425" width="19.28515625" customWidth="1"/>
    <col min="7426" max="7426" width="16.7109375" customWidth="1"/>
    <col min="7427" max="7427" width="20.140625" customWidth="1"/>
    <col min="7428" max="7428" width="12.28515625" customWidth="1"/>
    <col min="7429" max="7431" width="9.42578125" bestFit="1" customWidth="1"/>
    <col min="7432" max="7432" width="9.7109375" customWidth="1"/>
    <col min="7433" max="7436" width="9.42578125" bestFit="1" customWidth="1"/>
    <col min="7437" max="7437" width="10" bestFit="1" customWidth="1"/>
    <col min="7438" max="7438" width="10.5703125" bestFit="1" customWidth="1"/>
    <col min="7681" max="7681" width="19.28515625" customWidth="1"/>
    <col min="7682" max="7682" width="16.7109375" customWidth="1"/>
    <col min="7683" max="7683" width="20.140625" customWidth="1"/>
    <col min="7684" max="7684" width="12.28515625" customWidth="1"/>
    <col min="7685" max="7687" width="9.42578125" bestFit="1" customWidth="1"/>
    <col min="7688" max="7688" width="9.7109375" customWidth="1"/>
    <col min="7689" max="7692" width="9.42578125" bestFit="1" customWidth="1"/>
    <col min="7693" max="7693" width="10" bestFit="1" customWidth="1"/>
    <col min="7694" max="7694" width="10.5703125" bestFit="1" customWidth="1"/>
    <col min="7937" max="7937" width="19.28515625" customWidth="1"/>
    <col min="7938" max="7938" width="16.7109375" customWidth="1"/>
    <col min="7939" max="7939" width="20.140625" customWidth="1"/>
    <col min="7940" max="7940" width="12.28515625" customWidth="1"/>
    <col min="7941" max="7943" width="9.42578125" bestFit="1" customWidth="1"/>
    <col min="7944" max="7944" width="9.7109375" customWidth="1"/>
    <col min="7945" max="7948" width="9.42578125" bestFit="1" customWidth="1"/>
    <col min="7949" max="7949" width="10" bestFit="1" customWidth="1"/>
    <col min="7950" max="7950" width="10.5703125" bestFit="1" customWidth="1"/>
    <col min="8193" max="8193" width="19.28515625" customWidth="1"/>
    <col min="8194" max="8194" width="16.7109375" customWidth="1"/>
    <col min="8195" max="8195" width="20.140625" customWidth="1"/>
    <col min="8196" max="8196" width="12.28515625" customWidth="1"/>
    <col min="8197" max="8199" width="9.42578125" bestFit="1" customWidth="1"/>
    <col min="8200" max="8200" width="9.7109375" customWidth="1"/>
    <col min="8201" max="8204" width="9.42578125" bestFit="1" customWidth="1"/>
    <col min="8205" max="8205" width="10" bestFit="1" customWidth="1"/>
    <col min="8206" max="8206" width="10.5703125" bestFit="1" customWidth="1"/>
    <col min="8449" max="8449" width="19.28515625" customWidth="1"/>
    <col min="8450" max="8450" width="16.7109375" customWidth="1"/>
    <col min="8451" max="8451" width="20.140625" customWidth="1"/>
    <col min="8452" max="8452" width="12.28515625" customWidth="1"/>
    <col min="8453" max="8455" width="9.42578125" bestFit="1" customWidth="1"/>
    <col min="8456" max="8456" width="9.7109375" customWidth="1"/>
    <col min="8457" max="8460" width="9.42578125" bestFit="1" customWidth="1"/>
    <col min="8461" max="8461" width="10" bestFit="1" customWidth="1"/>
    <col min="8462" max="8462" width="10.5703125" bestFit="1" customWidth="1"/>
    <col min="8705" max="8705" width="19.28515625" customWidth="1"/>
    <col min="8706" max="8706" width="16.7109375" customWidth="1"/>
    <col min="8707" max="8707" width="20.140625" customWidth="1"/>
    <col min="8708" max="8708" width="12.28515625" customWidth="1"/>
    <col min="8709" max="8711" width="9.42578125" bestFit="1" customWidth="1"/>
    <col min="8712" max="8712" width="9.7109375" customWidth="1"/>
    <col min="8713" max="8716" width="9.42578125" bestFit="1" customWidth="1"/>
    <col min="8717" max="8717" width="10" bestFit="1" customWidth="1"/>
    <col min="8718" max="8718" width="10.5703125" bestFit="1" customWidth="1"/>
    <col min="8961" max="8961" width="19.28515625" customWidth="1"/>
    <col min="8962" max="8962" width="16.7109375" customWidth="1"/>
    <col min="8963" max="8963" width="20.140625" customWidth="1"/>
    <col min="8964" max="8964" width="12.28515625" customWidth="1"/>
    <col min="8965" max="8967" width="9.42578125" bestFit="1" customWidth="1"/>
    <col min="8968" max="8968" width="9.7109375" customWidth="1"/>
    <col min="8969" max="8972" width="9.42578125" bestFit="1" customWidth="1"/>
    <col min="8973" max="8973" width="10" bestFit="1" customWidth="1"/>
    <col min="8974" max="8974" width="10.5703125" bestFit="1" customWidth="1"/>
    <col min="9217" max="9217" width="19.28515625" customWidth="1"/>
    <col min="9218" max="9218" width="16.7109375" customWidth="1"/>
    <col min="9219" max="9219" width="20.140625" customWidth="1"/>
    <col min="9220" max="9220" width="12.28515625" customWidth="1"/>
    <col min="9221" max="9223" width="9.42578125" bestFit="1" customWidth="1"/>
    <col min="9224" max="9224" width="9.7109375" customWidth="1"/>
    <col min="9225" max="9228" width="9.42578125" bestFit="1" customWidth="1"/>
    <col min="9229" max="9229" width="10" bestFit="1" customWidth="1"/>
    <col min="9230" max="9230" width="10.5703125" bestFit="1" customWidth="1"/>
    <col min="9473" max="9473" width="19.28515625" customWidth="1"/>
    <col min="9474" max="9474" width="16.7109375" customWidth="1"/>
    <col min="9475" max="9475" width="20.140625" customWidth="1"/>
    <col min="9476" max="9476" width="12.28515625" customWidth="1"/>
    <col min="9477" max="9479" width="9.42578125" bestFit="1" customWidth="1"/>
    <col min="9480" max="9480" width="9.7109375" customWidth="1"/>
    <col min="9481" max="9484" width="9.42578125" bestFit="1" customWidth="1"/>
    <col min="9485" max="9485" width="10" bestFit="1" customWidth="1"/>
    <col min="9486" max="9486" width="10.5703125" bestFit="1" customWidth="1"/>
    <col min="9729" max="9729" width="19.28515625" customWidth="1"/>
    <col min="9730" max="9730" width="16.7109375" customWidth="1"/>
    <col min="9731" max="9731" width="20.140625" customWidth="1"/>
    <col min="9732" max="9732" width="12.28515625" customWidth="1"/>
    <col min="9733" max="9735" width="9.42578125" bestFit="1" customWidth="1"/>
    <col min="9736" max="9736" width="9.7109375" customWidth="1"/>
    <col min="9737" max="9740" width="9.42578125" bestFit="1" customWidth="1"/>
    <col min="9741" max="9741" width="10" bestFit="1" customWidth="1"/>
    <col min="9742" max="9742" width="10.5703125" bestFit="1" customWidth="1"/>
    <col min="9985" max="9985" width="19.28515625" customWidth="1"/>
    <col min="9986" max="9986" width="16.7109375" customWidth="1"/>
    <col min="9987" max="9987" width="20.140625" customWidth="1"/>
    <col min="9988" max="9988" width="12.28515625" customWidth="1"/>
    <col min="9989" max="9991" width="9.42578125" bestFit="1" customWidth="1"/>
    <col min="9992" max="9992" width="9.7109375" customWidth="1"/>
    <col min="9993" max="9996" width="9.42578125" bestFit="1" customWidth="1"/>
    <col min="9997" max="9997" width="10" bestFit="1" customWidth="1"/>
    <col min="9998" max="9998" width="10.5703125" bestFit="1" customWidth="1"/>
    <col min="10241" max="10241" width="19.28515625" customWidth="1"/>
    <col min="10242" max="10242" width="16.7109375" customWidth="1"/>
    <col min="10243" max="10243" width="20.140625" customWidth="1"/>
    <col min="10244" max="10244" width="12.28515625" customWidth="1"/>
    <col min="10245" max="10247" width="9.42578125" bestFit="1" customWidth="1"/>
    <col min="10248" max="10248" width="9.7109375" customWidth="1"/>
    <col min="10249" max="10252" width="9.42578125" bestFit="1" customWidth="1"/>
    <col min="10253" max="10253" width="10" bestFit="1" customWidth="1"/>
    <col min="10254" max="10254" width="10.5703125" bestFit="1" customWidth="1"/>
    <col min="10497" max="10497" width="19.28515625" customWidth="1"/>
    <col min="10498" max="10498" width="16.7109375" customWidth="1"/>
    <col min="10499" max="10499" width="20.140625" customWidth="1"/>
    <col min="10500" max="10500" width="12.28515625" customWidth="1"/>
    <col min="10501" max="10503" width="9.42578125" bestFit="1" customWidth="1"/>
    <col min="10504" max="10504" width="9.7109375" customWidth="1"/>
    <col min="10505" max="10508" width="9.42578125" bestFit="1" customWidth="1"/>
    <col min="10509" max="10509" width="10" bestFit="1" customWidth="1"/>
    <col min="10510" max="10510" width="10.5703125" bestFit="1" customWidth="1"/>
    <col min="10753" max="10753" width="19.28515625" customWidth="1"/>
    <col min="10754" max="10754" width="16.7109375" customWidth="1"/>
    <col min="10755" max="10755" width="20.140625" customWidth="1"/>
    <col min="10756" max="10756" width="12.28515625" customWidth="1"/>
    <col min="10757" max="10759" width="9.42578125" bestFit="1" customWidth="1"/>
    <col min="10760" max="10760" width="9.7109375" customWidth="1"/>
    <col min="10761" max="10764" width="9.42578125" bestFit="1" customWidth="1"/>
    <col min="10765" max="10765" width="10" bestFit="1" customWidth="1"/>
    <col min="10766" max="10766" width="10.5703125" bestFit="1" customWidth="1"/>
    <col min="11009" max="11009" width="19.28515625" customWidth="1"/>
    <col min="11010" max="11010" width="16.7109375" customWidth="1"/>
    <col min="11011" max="11011" width="20.140625" customWidth="1"/>
    <col min="11012" max="11012" width="12.28515625" customWidth="1"/>
    <col min="11013" max="11015" width="9.42578125" bestFit="1" customWidth="1"/>
    <col min="11016" max="11016" width="9.7109375" customWidth="1"/>
    <col min="11017" max="11020" width="9.42578125" bestFit="1" customWidth="1"/>
    <col min="11021" max="11021" width="10" bestFit="1" customWidth="1"/>
    <col min="11022" max="11022" width="10.5703125" bestFit="1" customWidth="1"/>
    <col min="11265" max="11265" width="19.28515625" customWidth="1"/>
    <col min="11266" max="11266" width="16.7109375" customWidth="1"/>
    <col min="11267" max="11267" width="20.140625" customWidth="1"/>
    <col min="11268" max="11268" width="12.28515625" customWidth="1"/>
    <col min="11269" max="11271" width="9.42578125" bestFit="1" customWidth="1"/>
    <col min="11272" max="11272" width="9.7109375" customWidth="1"/>
    <col min="11273" max="11276" width="9.42578125" bestFit="1" customWidth="1"/>
    <col min="11277" max="11277" width="10" bestFit="1" customWidth="1"/>
    <col min="11278" max="11278" width="10.5703125" bestFit="1" customWidth="1"/>
    <col min="11521" max="11521" width="19.28515625" customWidth="1"/>
    <col min="11522" max="11522" width="16.7109375" customWidth="1"/>
    <col min="11523" max="11523" width="20.140625" customWidth="1"/>
    <col min="11524" max="11524" width="12.28515625" customWidth="1"/>
    <col min="11525" max="11527" width="9.42578125" bestFit="1" customWidth="1"/>
    <col min="11528" max="11528" width="9.7109375" customWidth="1"/>
    <col min="11529" max="11532" width="9.42578125" bestFit="1" customWidth="1"/>
    <col min="11533" max="11533" width="10" bestFit="1" customWidth="1"/>
    <col min="11534" max="11534" width="10.5703125" bestFit="1" customWidth="1"/>
    <col min="11777" max="11777" width="19.28515625" customWidth="1"/>
    <col min="11778" max="11778" width="16.7109375" customWidth="1"/>
    <col min="11779" max="11779" width="20.140625" customWidth="1"/>
    <col min="11780" max="11780" width="12.28515625" customWidth="1"/>
    <col min="11781" max="11783" width="9.42578125" bestFit="1" customWidth="1"/>
    <col min="11784" max="11784" width="9.7109375" customWidth="1"/>
    <col min="11785" max="11788" width="9.42578125" bestFit="1" customWidth="1"/>
    <col min="11789" max="11789" width="10" bestFit="1" customWidth="1"/>
    <col min="11790" max="11790" width="10.5703125" bestFit="1" customWidth="1"/>
    <col min="12033" max="12033" width="19.28515625" customWidth="1"/>
    <col min="12034" max="12034" width="16.7109375" customWidth="1"/>
    <col min="12035" max="12035" width="20.140625" customWidth="1"/>
    <col min="12036" max="12036" width="12.28515625" customWidth="1"/>
    <col min="12037" max="12039" width="9.42578125" bestFit="1" customWidth="1"/>
    <col min="12040" max="12040" width="9.7109375" customWidth="1"/>
    <col min="12041" max="12044" width="9.42578125" bestFit="1" customWidth="1"/>
    <col min="12045" max="12045" width="10" bestFit="1" customWidth="1"/>
    <col min="12046" max="12046" width="10.5703125" bestFit="1" customWidth="1"/>
    <col min="12289" max="12289" width="19.28515625" customWidth="1"/>
    <col min="12290" max="12290" width="16.7109375" customWidth="1"/>
    <col min="12291" max="12291" width="20.140625" customWidth="1"/>
    <col min="12292" max="12292" width="12.28515625" customWidth="1"/>
    <col min="12293" max="12295" width="9.42578125" bestFit="1" customWidth="1"/>
    <col min="12296" max="12296" width="9.7109375" customWidth="1"/>
    <col min="12297" max="12300" width="9.42578125" bestFit="1" customWidth="1"/>
    <col min="12301" max="12301" width="10" bestFit="1" customWidth="1"/>
    <col min="12302" max="12302" width="10.5703125" bestFit="1" customWidth="1"/>
    <col min="12545" max="12545" width="19.28515625" customWidth="1"/>
    <col min="12546" max="12546" width="16.7109375" customWidth="1"/>
    <col min="12547" max="12547" width="20.140625" customWidth="1"/>
    <col min="12548" max="12548" width="12.28515625" customWidth="1"/>
    <col min="12549" max="12551" width="9.42578125" bestFit="1" customWidth="1"/>
    <col min="12552" max="12552" width="9.7109375" customWidth="1"/>
    <col min="12553" max="12556" width="9.42578125" bestFit="1" customWidth="1"/>
    <col min="12557" max="12557" width="10" bestFit="1" customWidth="1"/>
    <col min="12558" max="12558" width="10.5703125" bestFit="1" customWidth="1"/>
    <col min="12801" max="12801" width="19.28515625" customWidth="1"/>
    <col min="12802" max="12802" width="16.7109375" customWidth="1"/>
    <col min="12803" max="12803" width="20.140625" customWidth="1"/>
    <col min="12804" max="12804" width="12.28515625" customWidth="1"/>
    <col min="12805" max="12807" width="9.42578125" bestFit="1" customWidth="1"/>
    <col min="12808" max="12808" width="9.7109375" customWidth="1"/>
    <col min="12809" max="12812" width="9.42578125" bestFit="1" customWidth="1"/>
    <col min="12813" max="12813" width="10" bestFit="1" customWidth="1"/>
    <col min="12814" max="12814" width="10.5703125" bestFit="1" customWidth="1"/>
    <col min="13057" max="13057" width="19.28515625" customWidth="1"/>
    <col min="13058" max="13058" width="16.7109375" customWidth="1"/>
    <col min="13059" max="13059" width="20.140625" customWidth="1"/>
    <col min="13060" max="13060" width="12.28515625" customWidth="1"/>
    <col min="13061" max="13063" width="9.42578125" bestFit="1" customWidth="1"/>
    <col min="13064" max="13064" width="9.7109375" customWidth="1"/>
    <col min="13065" max="13068" width="9.42578125" bestFit="1" customWidth="1"/>
    <col min="13069" max="13069" width="10" bestFit="1" customWidth="1"/>
    <col min="13070" max="13070" width="10.5703125" bestFit="1" customWidth="1"/>
    <col min="13313" max="13313" width="19.28515625" customWidth="1"/>
    <col min="13314" max="13314" width="16.7109375" customWidth="1"/>
    <col min="13315" max="13315" width="20.140625" customWidth="1"/>
    <col min="13316" max="13316" width="12.28515625" customWidth="1"/>
    <col min="13317" max="13319" width="9.42578125" bestFit="1" customWidth="1"/>
    <col min="13320" max="13320" width="9.7109375" customWidth="1"/>
    <col min="13321" max="13324" width="9.42578125" bestFit="1" customWidth="1"/>
    <col min="13325" max="13325" width="10" bestFit="1" customWidth="1"/>
    <col min="13326" max="13326" width="10.5703125" bestFit="1" customWidth="1"/>
    <col min="13569" max="13569" width="19.28515625" customWidth="1"/>
    <col min="13570" max="13570" width="16.7109375" customWidth="1"/>
    <col min="13571" max="13571" width="20.140625" customWidth="1"/>
    <col min="13572" max="13572" width="12.28515625" customWidth="1"/>
    <col min="13573" max="13575" width="9.42578125" bestFit="1" customWidth="1"/>
    <col min="13576" max="13576" width="9.7109375" customWidth="1"/>
    <col min="13577" max="13580" width="9.42578125" bestFit="1" customWidth="1"/>
    <col min="13581" max="13581" width="10" bestFit="1" customWidth="1"/>
    <col min="13582" max="13582" width="10.5703125" bestFit="1" customWidth="1"/>
    <col min="13825" max="13825" width="19.28515625" customWidth="1"/>
    <col min="13826" max="13826" width="16.7109375" customWidth="1"/>
    <col min="13827" max="13827" width="20.140625" customWidth="1"/>
    <col min="13828" max="13828" width="12.28515625" customWidth="1"/>
    <col min="13829" max="13831" width="9.42578125" bestFit="1" customWidth="1"/>
    <col min="13832" max="13832" width="9.7109375" customWidth="1"/>
    <col min="13833" max="13836" width="9.42578125" bestFit="1" customWidth="1"/>
    <col min="13837" max="13837" width="10" bestFit="1" customWidth="1"/>
    <col min="13838" max="13838" width="10.5703125" bestFit="1" customWidth="1"/>
    <col min="14081" max="14081" width="19.28515625" customWidth="1"/>
    <col min="14082" max="14082" width="16.7109375" customWidth="1"/>
    <col min="14083" max="14083" width="20.140625" customWidth="1"/>
    <col min="14084" max="14084" width="12.28515625" customWidth="1"/>
    <col min="14085" max="14087" width="9.42578125" bestFit="1" customWidth="1"/>
    <col min="14088" max="14088" width="9.7109375" customWidth="1"/>
    <col min="14089" max="14092" width="9.42578125" bestFit="1" customWidth="1"/>
    <col min="14093" max="14093" width="10" bestFit="1" customWidth="1"/>
    <col min="14094" max="14094" width="10.5703125" bestFit="1" customWidth="1"/>
    <col min="14337" max="14337" width="19.28515625" customWidth="1"/>
    <col min="14338" max="14338" width="16.7109375" customWidth="1"/>
    <col min="14339" max="14339" width="20.140625" customWidth="1"/>
    <col min="14340" max="14340" width="12.28515625" customWidth="1"/>
    <col min="14341" max="14343" width="9.42578125" bestFit="1" customWidth="1"/>
    <col min="14344" max="14344" width="9.7109375" customWidth="1"/>
    <col min="14345" max="14348" width="9.42578125" bestFit="1" customWidth="1"/>
    <col min="14349" max="14349" width="10" bestFit="1" customWidth="1"/>
    <col min="14350" max="14350" width="10.5703125" bestFit="1" customWidth="1"/>
    <col min="14593" max="14593" width="19.28515625" customWidth="1"/>
    <col min="14594" max="14594" width="16.7109375" customWidth="1"/>
    <col min="14595" max="14595" width="20.140625" customWidth="1"/>
    <col min="14596" max="14596" width="12.28515625" customWidth="1"/>
    <col min="14597" max="14599" width="9.42578125" bestFit="1" customWidth="1"/>
    <col min="14600" max="14600" width="9.7109375" customWidth="1"/>
    <col min="14601" max="14604" width="9.42578125" bestFit="1" customWidth="1"/>
    <col min="14605" max="14605" width="10" bestFit="1" customWidth="1"/>
    <col min="14606" max="14606" width="10.5703125" bestFit="1" customWidth="1"/>
    <col min="14849" max="14849" width="19.28515625" customWidth="1"/>
    <col min="14850" max="14850" width="16.7109375" customWidth="1"/>
    <col min="14851" max="14851" width="20.140625" customWidth="1"/>
    <col min="14852" max="14852" width="12.28515625" customWidth="1"/>
    <col min="14853" max="14855" width="9.42578125" bestFit="1" customWidth="1"/>
    <col min="14856" max="14856" width="9.7109375" customWidth="1"/>
    <col min="14857" max="14860" width="9.42578125" bestFit="1" customWidth="1"/>
    <col min="14861" max="14861" width="10" bestFit="1" customWidth="1"/>
    <col min="14862" max="14862" width="10.5703125" bestFit="1" customWidth="1"/>
    <col min="15105" max="15105" width="19.28515625" customWidth="1"/>
    <col min="15106" max="15106" width="16.7109375" customWidth="1"/>
    <col min="15107" max="15107" width="20.140625" customWidth="1"/>
    <col min="15108" max="15108" width="12.28515625" customWidth="1"/>
    <col min="15109" max="15111" width="9.42578125" bestFit="1" customWidth="1"/>
    <col min="15112" max="15112" width="9.7109375" customWidth="1"/>
    <col min="15113" max="15116" width="9.42578125" bestFit="1" customWidth="1"/>
    <col min="15117" max="15117" width="10" bestFit="1" customWidth="1"/>
    <col min="15118" max="15118" width="10.5703125" bestFit="1" customWidth="1"/>
    <col min="15361" max="15361" width="19.28515625" customWidth="1"/>
    <col min="15362" max="15362" width="16.7109375" customWidth="1"/>
    <col min="15363" max="15363" width="20.140625" customWidth="1"/>
    <col min="15364" max="15364" width="12.28515625" customWidth="1"/>
    <col min="15365" max="15367" width="9.42578125" bestFit="1" customWidth="1"/>
    <col min="15368" max="15368" width="9.7109375" customWidth="1"/>
    <col min="15369" max="15372" width="9.42578125" bestFit="1" customWidth="1"/>
    <col min="15373" max="15373" width="10" bestFit="1" customWidth="1"/>
    <col min="15374" max="15374" width="10.5703125" bestFit="1" customWidth="1"/>
    <col min="15617" max="15617" width="19.28515625" customWidth="1"/>
    <col min="15618" max="15618" width="16.7109375" customWidth="1"/>
    <col min="15619" max="15619" width="20.140625" customWidth="1"/>
    <col min="15620" max="15620" width="12.28515625" customWidth="1"/>
    <col min="15621" max="15623" width="9.42578125" bestFit="1" customWidth="1"/>
    <col min="15624" max="15624" width="9.7109375" customWidth="1"/>
    <col min="15625" max="15628" width="9.42578125" bestFit="1" customWidth="1"/>
    <col min="15629" max="15629" width="10" bestFit="1" customWidth="1"/>
    <col min="15630" max="15630" width="10.5703125" bestFit="1" customWidth="1"/>
    <col min="15873" max="15873" width="19.28515625" customWidth="1"/>
    <col min="15874" max="15874" width="16.7109375" customWidth="1"/>
    <col min="15875" max="15875" width="20.140625" customWidth="1"/>
    <col min="15876" max="15876" width="12.28515625" customWidth="1"/>
    <col min="15877" max="15879" width="9.42578125" bestFit="1" customWidth="1"/>
    <col min="15880" max="15880" width="9.7109375" customWidth="1"/>
    <col min="15881" max="15884" width="9.42578125" bestFit="1" customWidth="1"/>
    <col min="15885" max="15885" width="10" bestFit="1" customWidth="1"/>
    <col min="15886" max="15886" width="10.5703125" bestFit="1" customWidth="1"/>
    <col min="16129" max="16129" width="19.28515625" customWidth="1"/>
    <col min="16130" max="16130" width="16.7109375" customWidth="1"/>
    <col min="16131" max="16131" width="20.140625" customWidth="1"/>
    <col min="16132" max="16132" width="12.28515625" customWidth="1"/>
    <col min="16133" max="16135" width="9.42578125" bestFit="1" customWidth="1"/>
    <col min="16136" max="16136" width="9.7109375" customWidth="1"/>
    <col min="16137" max="16140" width="9.42578125" bestFit="1" customWidth="1"/>
    <col min="16141" max="16141" width="10" bestFit="1" customWidth="1"/>
    <col min="16142" max="16142" width="10.5703125" bestFit="1" customWidth="1"/>
  </cols>
  <sheetData>
    <row r="1" spans="1:13">
      <c r="A1" s="117"/>
      <c r="B1" s="1019" t="s">
        <v>1216</v>
      </c>
      <c r="C1" s="1019"/>
      <c r="D1" s="1019"/>
      <c r="E1" s="1019"/>
      <c r="F1" s="1019"/>
      <c r="G1" s="1019"/>
    </row>
    <row r="2" spans="1:13">
      <c r="A2" s="117"/>
      <c r="B2" s="1019" t="s">
        <v>1215</v>
      </c>
      <c r="C2" s="1019"/>
      <c r="D2" s="1019"/>
      <c r="E2" s="1019"/>
      <c r="F2" s="117"/>
      <c r="G2" s="117"/>
    </row>
    <row r="3" spans="1:13" ht="48.75">
      <c r="A3" s="112" t="s">
        <v>1214</v>
      </c>
      <c r="B3" s="103" t="s">
        <v>1267</v>
      </c>
      <c r="C3" s="112" t="s">
        <v>1212</v>
      </c>
      <c r="D3" s="5">
        <v>905160202</v>
      </c>
      <c r="E3" s="112" t="s">
        <v>1211</v>
      </c>
      <c r="F3" s="5">
        <v>674.99699999999996</v>
      </c>
      <c r="G3" s="112" t="s">
        <v>1210</v>
      </c>
      <c r="H3" s="103">
        <v>80</v>
      </c>
      <c r="I3" s="111"/>
      <c r="J3" s="111"/>
      <c r="K3" s="111"/>
      <c r="L3" s="111"/>
    </row>
    <row r="4" spans="1:13">
      <c r="A4" s="808" t="s">
        <v>4176</v>
      </c>
      <c r="B4" s="808"/>
      <c r="C4" s="808"/>
      <c r="D4" s="112"/>
      <c r="E4" s="112"/>
      <c r="F4" s="112"/>
      <c r="G4" s="112"/>
      <c r="H4" s="111"/>
      <c r="I4" s="111"/>
      <c r="J4" s="111"/>
      <c r="K4" s="111"/>
      <c r="L4" s="111"/>
    </row>
    <row r="5" spans="1:13" ht="24.75">
      <c r="A5" s="112" t="s">
        <v>832</v>
      </c>
      <c r="B5" s="103" t="s">
        <v>1268</v>
      </c>
      <c r="C5" s="112" t="s">
        <v>1208</v>
      </c>
      <c r="D5" s="104" t="s">
        <v>1263</v>
      </c>
      <c r="E5" s="112"/>
      <c r="F5" s="112"/>
      <c r="G5" s="112"/>
      <c r="H5" s="111"/>
      <c r="I5" s="111"/>
      <c r="J5" s="111"/>
      <c r="K5" s="111"/>
      <c r="L5" s="111"/>
    </row>
    <row r="6" spans="1:13">
      <c r="A6" s="112"/>
      <c r="B6" s="111"/>
      <c r="C6" s="112"/>
      <c r="D6" s="112"/>
      <c r="E6" s="112"/>
      <c r="F6" s="112"/>
      <c r="G6" s="112"/>
      <c r="H6" s="111"/>
      <c r="I6" s="111"/>
      <c r="J6" s="111"/>
      <c r="K6" s="111"/>
      <c r="L6" s="111"/>
    </row>
    <row r="7" spans="1:13" ht="36.75">
      <c r="A7" s="112" t="s">
        <v>618</v>
      </c>
      <c r="B7" s="104" t="s">
        <v>1257</v>
      </c>
      <c r="C7" s="115" t="s">
        <v>1206</v>
      </c>
      <c r="D7" s="104"/>
      <c r="E7" s="112"/>
      <c r="F7" s="112"/>
      <c r="G7" s="115"/>
      <c r="H7" s="111"/>
      <c r="I7" s="111"/>
      <c r="J7" s="111"/>
      <c r="K7" s="111"/>
      <c r="L7" s="111"/>
    </row>
    <row r="8" spans="1:13">
      <c r="A8" s="112"/>
      <c r="B8" s="111"/>
      <c r="C8" s="112"/>
      <c r="D8" s="112"/>
      <c r="E8" s="112"/>
      <c r="F8" s="112"/>
      <c r="G8" s="112"/>
      <c r="H8" s="111"/>
      <c r="I8" s="111"/>
      <c r="J8" s="111"/>
      <c r="K8" s="111"/>
      <c r="L8" s="111"/>
    </row>
    <row r="9" spans="1:13" ht="24.75">
      <c r="A9" s="104" t="s">
        <v>838</v>
      </c>
      <c r="B9" s="103" t="s">
        <v>1267</v>
      </c>
      <c r="C9" s="104" t="s">
        <v>1266</v>
      </c>
      <c r="D9" s="104" t="s">
        <v>1265</v>
      </c>
      <c r="E9" s="104"/>
      <c r="F9" s="104"/>
      <c r="G9" s="112"/>
      <c r="H9" s="111"/>
      <c r="I9" s="111"/>
      <c r="J9" s="111"/>
      <c r="K9" s="111"/>
      <c r="L9" s="111"/>
    </row>
    <row r="10" spans="1:13" ht="24.75">
      <c r="A10" s="104" t="s">
        <v>1203</v>
      </c>
      <c r="B10" s="103" t="s">
        <v>1264</v>
      </c>
      <c r="C10" s="104" t="s">
        <v>1258</v>
      </c>
      <c r="D10" s="104" t="s">
        <v>1263</v>
      </c>
      <c r="E10" s="104"/>
      <c r="F10" s="104"/>
      <c r="G10" s="112"/>
      <c r="H10" s="111"/>
      <c r="I10" s="111"/>
      <c r="J10" s="111"/>
      <c r="K10" s="111"/>
      <c r="L10" s="111"/>
    </row>
    <row r="11" spans="1:13" ht="24.75">
      <c r="A11" s="104" t="s">
        <v>1202</v>
      </c>
      <c r="B11" s="103" t="s">
        <v>1262</v>
      </c>
      <c r="C11" s="104" t="s">
        <v>1261</v>
      </c>
      <c r="D11" s="104" t="s">
        <v>1260</v>
      </c>
      <c r="E11" s="104" t="s">
        <v>1259</v>
      </c>
      <c r="F11" s="114" t="s">
        <v>1258</v>
      </c>
      <c r="G11" s="112"/>
      <c r="H11" s="111"/>
      <c r="I11" s="111"/>
      <c r="J11" s="111"/>
      <c r="K11" s="111"/>
      <c r="L11" s="111"/>
    </row>
    <row r="12" spans="1:13" ht="24.75">
      <c r="A12" s="104" t="s">
        <v>1196</v>
      </c>
      <c r="B12" s="104" t="s">
        <v>1257</v>
      </c>
      <c r="C12" s="104"/>
      <c r="D12" s="104"/>
      <c r="E12" s="104"/>
      <c r="F12" s="104"/>
      <c r="G12" s="112"/>
      <c r="H12" s="111"/>
      <c r="I12" s="111"/>
      <c r="J12" s="111"/>
      <c r="K12" s="111"/>
      <c r="L12" s="111"/>
    </row>
    <row r="13" spans="1:13">
      <c r="A13" s="112"/>
      <c r="B13" s="111"/>
      <c r="C13" s="112"/>
      <c r="D13" s="112"/>
      <c r="E13" s="112"/>
      <c r="F13" s="112"/>
      <c r="G13" s="112"/>
      <c r="H13" s="111"/>
      <c r="I13" s="111"/>
      <c r="J13" s="111"/>
      <c r="K13" s="111"/>
      <c r="L13" s="111"/>
    </row>
    <row r="14" spans="1:13" ht="24.75">
      <c r="A14" s="112" t="s">
        <v>1194</v>
      </c>
      <c r="B14" s="104">
        <v>3</v>
      </c>
      <c r="C14" s="112" t="s">
        <v>1193</v>
      </c>
      <c r="D14" s="104">
        <v>3</v>
      </c>
      <c r="E14" s="112" t="s">
        <v>643</v>
      </c>
      <c r="F14" s="104">
        <v>6</v>
      </c>
      <c r="G14" s="112" t="s">
        <v>644</v>
      </c>
      <c r="H14" s="103">
        <v>3</v>
      </c>
      <c r="I14" s="111" t="s">
        <v>645</v>
      </c>
      <c r="J14" s="103">
        <f>11+13+41+47+75+80+9</f>
        <v>276</v>
      </c>
      <c r="K14" s="111"/>
      <c r="L14" s="111"/>
    </row>
    <row r="15" spans="1:13" ht="36.75">
      <c r="A15" s="112" t="s">
        <v>1192</v>
      </c>
      <c r="B15" s="111" t="s">
        <v>204</v>
      </c>
      <c r="C15" s="104">
        <v>103</v>
      </c>
      <c r="D15" s="112" t="s">
        <v>205</v>
      </c>
      <c r="E15" s="104">
        <v>14</v>
      </c>
      <c r="F15" s="112" t="s">
        <v>206</v>
      </c>
      <c r="G15" s="104">
        <v>0</v>
      </c>
      <c r="H15" s="111" t="s">
        <v>230</v>
      </c>
      <c r="I15" s="103">
        <f>G15+E15+C15</f>
        <v>117</v>
      </c>
      <c r="J15" s="111" t="s">
        <v>207</v>
      </c>
      <c r="K15" s="103">
        <v>58</v>
      </c>
      <c r="L15" s="112" t="s">
        <v>855</v>
      </c>
      <c r="M15" s="80">
        <v>16</v>
      </c>
    </row>
    <row r="16" spans="1:13" ht="24.75">
      <c r="A16" s="112" t="s">
        <v>1191</v>
      </c>
      <c r="B16" s="111" t="s">
        <v>210</v>
      </c>
      <c r="C16" s="104">
        <v>211</v>
      </c>
      <c r="D16" s="112" t="s">
        <v>211</v>
      </c>
      <c r="E16" s="104">
        <v>28</v>
      </c>
      <c r="F16" s="112" t="s">
        <v>212</v>
      </c>
      <c r="G16" s="104"/>
      <c r="H16" s="111" t="s">
        <v>411</v>
      </c>
      <c r="I16" s="103">
        <f>G16+E16+C16</f>
        <v>239</v>
      </c>
      <c r="J16" s="111"/>
      <c r="K16" s="103"/>
      <c r="L16" s="111"/>
    </row>
    <row r="17" spans="1:14" ht="24.75">
      <c r="A17" s="112"/>
      <c r="B17" s="111" t="s">
        <v>213</v>
      </c>
      <c r="C17" s="104">
        <v>273</v>
      </c>
      <c r="D17" s="112" t="s">
        <v>214</v>
      </c>
      <c r="E17" s="104">
        <v>37</v>
      </c>
      <c r="F17" s="112" t="s">
        <v>215</v>
      </c>
      <c r="G17" s="104"/>
      <c r="H17" s="111" t="s">
        <v>410</v>
      </c>
      <c r="I17" s="103">
        <f>G17+E17+C17</f>
        <v>310</v>
      </c>
      <c r="J17" s="111"/>
      <c r="K17" s="103"/>
      <c r="L17" s="111"/>
    </row>
    <row r="18" spans="1:14">
      <c r="A18" s="112"/>
      <c r="B18" s="111"/>
      <c r="C18" s="112"/>
      <c r="D18" s="112"/>
      <c r="E18" s="112"/>
      <c r="F18" s="112"/>
      <c r="G18" s="112"/>
      <c r="H18" s="111"/>
      <c r="I18" s="111"/>
      <c r="J18" s="111"/>
      <c r="K18" s="111"/>
      <c r="L18" s="111"/>
    </row>
    <row r="19" spans="1:14">
      <c r="A19" s="113" t="s">
        <v>409</v>
      </c>
      <c r="B19" s="111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 ht="15" customHeight="1">
      <c r="A20" s="1020" t="s">
        <v>1190</v>
      </c>
      <c r="B20" s="1026" t="s">
        <v>1189</v>
      </c>
      <c r="C20" s="1020" t="s">
        <v>1188</v>
      </c>
      <c r="D20" s="1020" t="s">
        <v>1187</v>
      </c>
      <c r="E20" s="1020" t="s">
        <v>1186</v>
      </c>
      <c r="F20" s="1022" t="s">
        <v>1185</v>
      </c>
      <c r="G20" s="1023"/>
      <c r="H20" s="1023"/>
      <c r="I20" s="1023"/>
      <c r="J20" s="1023"/>
      <c r="K20" s="1023"/>
      <c r="L20" s="1023"/>
      <c r="M20" s="1023"/>
      <c r="N20" s="1024"/>
    </row>
    <row r="21" spans="1:14" ht="19.5" customHeight="1">
      <c r="A21" s="1020"/>
      <c r="B21" s="1027"/>
      <c r="C21" s="1020"/>
      <c r="D21" s="1020"/>
      <c r="E21" s="1020"/>
      <c r="F21" s="104" t="s">
        <v>1184</v>
      </c>
      <c r="G21" s="104" t="s">
        <v>1183</v>
      </c>
      <c r="H21" s="104" t="s">
        <v>1182</v>
      </c>
      <c r="I21" s="103" t="s">
        <v>1181</v>
      </c>
      <c r="J21" s="103" t="s">
        <v>1180</v>
      </c>
      <c r="K21" s="103" t="s">
        <v>1179</v>
      </c>
      <c r="L21" s="103" t="s">
        <v>1178</v>
      </c>
      <c r="M21" s="110" t="s">
        <v>230</v>
      </c>
      <c r="N21" s="109" t="s">
        <v>231</v>
      </c>
    </row>
    <row r="22" spans="1:14" ht="24.75">
      <c r="A22" s="104" t="s">
        <v>232</v>
      </c>
      <c r="B22" s="103">
        <v>8000</v>
      </c>
      <c r="C22" s="5" t="s">
        <v>1175</v>
      </c>
      <c r="D22" s="106">
        <f>+B22*F3/100000</f>
        <v>53.999760000000002</v>
      </c>
      <c r="E22" s="101">
        <f>5399976/100000</f>
        <v>53.999760000000002</v>
      </c>
      <c r="F22" s="100">
        <v>0</v>
      </c>
      <c r="G22" s="100">
        <f>14980/100000</f>
        <v>0.14979999999999999</v>
      </c>
      <c r="H22" s="100">
        <f>636325/100000</f>
        <v>6.3632499999999999</v>
      </c>
      <c r="I22" s="100">
        <f>1215566/100000</f>
        <v>12.155659999999999</v>
      </c>
      <c r="J22" s="100">
        <f>2410092/100000</f>
        <v>24.100919999999999</v>
      </c>
      <c r="K22" s="100">
        <f>1164453/100000</f>
        <v>11.64453</v>
      </c>
      <c r="L22" s="100">
        <v>0</v>
      </c>
      <c r="M22" s="99">
        <f>SUM(F22:L22)</f>
        <v>54.414159999999995</v>
      </c>
      <c r="N22" s="98">
        <f>ROUND(M22/E22*100,0)</f>
        <v>101</v>
      </c>
    </row>
    <row r="23" spans="1:14" ht="24.75">
      <c r="A23" s="104" t="s">
        <v>234</v>
      </c>
      <c r="B23" s="103">
        <v>7000</v>
      </c>
      <c r="C23" s="102" t="s">
        <v>1175</v>
      </c>
      <c r="D23" s="106">
        <f>+B23*80/100000</f>
        <v>5.6</v>
      </c>
      <c r="E23" s="108">
        <f>560000/100000</f>
        <v>5.6</v>
      </c>
      <c r="F23" s="100">
        <v>0</v>
      </c>
      <c r="G23" s="100">
        <v>0</v>
      </c>
      <c r="H23" s="100">
        <v>0</v>
      </c>
      <c r="I23" s="100">
        <v>0</v>
      </c>
      <c r="J23" s="100">
        <f>36480/100000</f>
        <v>0.36480000000000001</v>
      </c>
      <c r="K23" s="100">
        <f>200789/100000</f>
        <v>2.0078900000000002</v>
      </c>
      <c r="L23" s="100">
        <f>324108/100000</f>
        <v>3.2410800000000002</v>
      </c>
      <c r="M23" s="105">
        <f t="shared" ref="M23:M29" si="0">SUM(F23:L23)</f>
        <v>5.6137700000000006</v>
      </c>
      <c r="N23" s="98">
        <f t="shared" ref="N23:N29" si="1">ROUND(M23/E23*100,0)</f>
        <v>100</v>
      </c>
    </row>
    <row r="24" spans="1:14" ht="24.75">
      <c r="A24" s="104" t="s">
        <v>235</v>
      </c>
      <c r="B24" s="103">
        <v>86</v>
      </c>
      <c r="C24" s="102" t="s">
        <v>236</v>
      </c>
      <c r="D24" s="108">
        <v>0.43</v>
      </c>
      <c r="E24" s="108">
        <f>43000/100000</f>
        <v>0.43</v>
      </c>
      <c r="F24" s="100">
        <v>0</v>
      </c>
      <c r="G24" s="100">
        <v>0</v>
      </c>
      <c r="H24" s="100">
        <v>0</v>
      </c>
      <c r="I24" s="100">
        <f>18000/100000</f>
        <v>0.18</v>
      </c>
      <c r="J24" s="100">
        <f>15000/100000</f>
        <v>0.15</v>
      </c>
      <c r="K24" s="100">
        <f>10000/100000</f>
        <v>0.1</v>
      </c>
      <c r="L24" s="100">
        <f>20000/100000</f>
        <v>0.2</v>
      </c>
      <c r="M24" s="105">
        <f t="shared" si="0"/>
        <v>0.62999999999999989</v>
      </c>
      <c r="N24" s="98">
        <f t="shared" si="1"/>
        <v>147</v>
      </c>
    </row>
    <row r="25" spans="1:14" ht="36.75">
      <c r="A25" s="104" t="s">
        <v>237</v>
      </c>
      <c r="B25" s="103">
        <v>68</v>
      </c>
      <c r="C25" s="102" t="s">
        <v>236</v>
      </c>
      <c r="D25" s="108">
        <v>0.34</v>
      </c>
      <c r="E25" s="108">
        <f>34000/100000</f>
        <v>0.34</v>
      </c>
      <c r="F25" s="100">
        <v>0</v>
      </c>
      <c r="G25" s="100">
        <v>0</v>
      </c>
      <c r="H25" s="100">
        <v>0</v>
      </c>
      <c r="I25" s="100">
        <f>16224/100000</f>
        <v>0.16224</v>
      </c>
      <c r="J25" s="100">
        <f>11776/100000</f>
        <v>0.11776</v>
      </c>
      <c r="K25" s="100">
        <f>-5776/100000</f>
        <v>-5.7759999999999999E-2</v>
      </c>
      <c r="L25" s="100">
        <v>0</v>
      </c>
      <c r="M25" s="105">
        <f t="shared" si="0"/>
        <v>0.22224000000000002</v>
      </c>
      <c r="N25" s="98">
        <f t="shared" si="1"/>
        <v>65</v>
      </c>
    </row>
    <row r="26" spans="1:14" ht="24.75">
      <c r="A26" s="104" t="s">
        <v>238</v>
      </c>
      <c r="B26" s="103">
        <v>1200</v>
      </c>
      <c r="C26" s="102" t="s">
        <v>1175</v>
      </c>
      <c r="D26" s="106">
        <f>ROUND((+B26*F3),0)/100000</f>
        <v>8.0999599999999994</v>
      </c>
      <c r="E26" s="108">
        <f>809996/100000</f>
        <v>8.0999599999999994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f>234509/100000</f>
        <v>2.3450899999999999</v>
      </c>
      <c r="L26" s="100">
        <f>357740/100000</f>
        <v>3.5773999999999999</v>
      </c>
      <c r="M26" s="105">
        <f t="shared" si="0"/>
        <v>5.9224899999999998</v>
      </c>
      <c r="N26" s="98">
        <f t="shared" si="1"/>
        <v>73</v>
      </c>
    </row>
    <row r="27" spans="1:14" ht="24.75">
      <c r="A27" s="104" t="s">
        <v>667</v>
      </c>
      <c r="B27" s="103">
        <v>565</v>
      </c>
      <c r="C27" s="102" t="s">
        <v>1175</v>
      </c>
      <c r="D27" s="106">
        <f>ROUND((+B27*F3),0)/100000</f>
        <v>3.8137300000000001</v>
      </c>
      <c r="E27" s="108">
        <f>381374/100000</f>
        <v>3.8137400000000001</v>
      </c>
      <c r="F27" s="100">
        <v>0</v>
      </c>
      <c r="G27" s="100">
        <v>0</v>
      </c>
      <c r="H27" s="100">
        <v>0</v>
      </c>
      <c r="I27" s="100">
        <f>32070/100000</f>
        <v>0.32069999999999999</v>
      </c>
      <c r="J27" s="100">
        <f>349304/100000</f>
        <v>3.4930400000000001</v>
      </c>
      <c r="K27" s="100">
        <v>0</v>
      </c>
      <c r="L27" s="100">
        <v>0</v>
      </c>
      <c r="M27" s="107">
        <f t="shared" si="0"/>
        <v>3.8137400000000001</v>
      </c>
      <c r="N27" s="98">
        <f t="shared" si="1"/>
        <v>100</v>
      </c>
    </row>
    <row r="28" spans="1:14" ht="24.75">
      <c r="A28" s="104" t="s">
        <v>1176</v>
      </c>
      <c r="B28" s="103">
        <v>1000</v>
      </c>
      <c r="C28" s="102" t="s">
        <v>1175</v>
      </c>
      <c r="D28" s="106">
        <f>ROUND((+B28*F3),0)/100000</f>
        <v>6.7499700000000002</v>
      </c>
      <c r="E28" s="101">
        <f>674997/100000</f>
        <v>6.7499700000000002</v>
      </c>
      <c r="F28" s="100">
        <v>0</v>
      </c>
      <c r="G28" s="100">
        <v>0</v>
      </c>
      <c r="H28" s="100">
        <f>50000/100000</f>
        <v>0.5</v>
      </c>
      <c r="I28" s="100">
        <f>50000/100000</f>
        <v>0.5</v>
      </c>
      <c r="J28" s="100">
        <v>0</v>
      </c>
      <c r="K28" s="100">
        <f>159250/100000</f>
        <v>1.5925</v>
      </c>
      <c r="L28" s="100">
        <f>338017/100000</f>
        <v>3.3801700000000001</v>
      </c>
      <c r="M28" s="99">
        <f t="shared" si="0"/>
        <v>5.9726700000000008</v>
      </c>
      <c r="N28" s="98">
        <f t="shared" si="1"/>
        <v>88</v>
      </c>
    </row>
    <row r="29" spans="1:14" ht="24.75">
      <c r="A29" s="104" t="s">
        <v>394</v>
      </c>
      <c r="B29" s="103">
        <v>2750</v>
      </c>
      <c r="C29" s="102" t="s">
        <v>242</v>
      </c>
      <c r="D29" s="101">
        <v>1.92</v>
      </c>
      <c r="E29" s="101">
        <f>192000/100000</f>
        <v>1.92</v>
      </c>
      <c r="F29" s="100">
        <v>0</v>
      </c>
      <c r="G29" s="100">
        <v>0</v>
      </c>
      <c r="H29" s="100">
        <f>33850/100000</f>
        <v>0.33850000000000002</v>
      </c>
      <c r="I29" s="100">
        <f>59154/100000</f>
        <v>0.59153999999999995</v>
      </c>
      <c r="J29" s="100">
        <f>33021/100000</f>
        <v>0.33021</v>
      </c>
      <c r="K29" s="100">
        <f>32130/100000</f>
        <v>0.32129999999999997</v>
      </c>
      <c r="L29" s="100">
        <f>30250/100000</f>
        <v>0.30249999999999999</v>
      </c>
      <c r="M29" s="99">
        <f t="shared" si="0"/>
        <v>1.88405</v>
      </c>
      <c r="N29" s="98">
        <f t="shared" si="1"/>
        <v>98</v>
      </c>
    </row>
    <row r="30" spans="1:14">
      <c r="A30" s="97" t="s">
        <v>230</v>
      </c>
      <c r="B30" s="96"/>
      <c r="C30" s="95"/>
      <c r="D30" s="94">
        <f t="shared" ref="D30:M30" si="2">SUM(D22:D29)</f>
        <v>80.953420000000023</v>
      </c>
      <c r="E30" s="94">
        <f t="shared" si="2"/>
        <v>80.953430000000012</v>
      </c>
      <c r="F30" s="92">
        <f t="shared" si="2"/>
        <v>0</v>
      </c>
      <c r="G30" s="92">
        <f t="shared" si="2"/>
        <v>0.14979999999999999</v>
      </c>
      <c r="H30" s="92">
        <f t="shared" si="2"/>
        <v>7.2017499999999997</v>
      </c>
      <c r="I30" s="92">
        <f t="shared" si="2"/>
        <v>13.91014</v>
      </c>
      <c r="J30" s="92">
        <f t="shared" si="2"/>
        <v>28.556729999999998</v>
      </c>
      <c r="K30" s="92">
        <f t="shared" si="2"/>
        <v>17.95355</v>
      </c>
      <c r="L30" s="92">
        <f t="shared" si="2"/>
        <v>10.70115</v>
      </c>
      <c r="M30" s="92">
        <f t="shared" si="2"/>
        <v>78.473119999999994</v>
      </c>
      <c r="N30" s="91">
        <f>ROUND(M30/E30*100,0)</f>
        <v>97</v>
      </c>
    </row>
    <row r="32" spans="1:14">
      <c r="A32" s="1025" t="s">
        <v>1217</v>
      </c>
      <c r="B32" s="1025"/>
      <c r="C32" s="1025"/>
      <c r="D32" s="1025"/>
      <c r="E32" s="1025"/>
      <c r="F32" s="1025"/>
      <c r="G32" s="1025"/>
      <c r="H32" s="1025"/>
      <c r="I32" s="1025"/>
      <c r="J32" s="1025"/>
      <c r="K32" s="1025"/>
      <c r="L32" s="1025"/>
      <c r="M32" s="1025"/>
      <c r="N32" s="1025"/>
    </row>
  </sheetData>
  <mergeCells count="10">
    <mergeCell ref="A32:N32"/>
    <mergeCell ref="B1:G1"/>
    <mergeCell ref="B2:E2"/>
    <mergeCell ref="A20:A21"/>
    <mergeCell ref="B20:B21"/>
    <mergeCell ref="C20:C21"/>
    <mergeCell ref="D20:D21"/>
    <mergeCell ref="E20:E21"/>
    <mergeCell ref="F20:N20"/>
    <mergeCell ref="A4:C4"/>
  </mergeCells>
  <hyperlinks>
    <hyperlink ref="A4" location="'Fact Sheet of VDC'!A1" display="&lt;&lt;Back"/>
  </hyperlinks>
  <pageMargins left="0.88" right="0.25" top="0.1" bottom="0.52" header="0.08" footer="0.5"/>
  <pageSetup scale="68" orientation="landscape" horizontalDpi="300" verticalDpi="3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4" sqref="A4:C4"/>
    </sheetView>
  </sheetViews>
  <sheetFormatPr defaultRowHeight="15"/>
  <cols>
    <col min="1" max="1" width="17.85546875" style="117" customWidth="1"/>
    <col min="2" max="2" width="18.7109375" customWidth="1"/>
    <col min="3" max="3" width="24.28515625" style="117" customWidth="1"/>
    <col min="4" max="4" width="12.28515625" style="117" customWidth="1"/>
    <col min="5" max="5" width="13.85546875" style="117" customWidth="1"/>
    <col min="6" max="6" width="10" style="117" bestFit="1" customWidth="1"/>
    <col min="7" max="7" width="8.7109375" style="117" bestFit="1" customWidth="1"/>
    <col min="8" max="8" width="9.85546875" customWidth="1"/>
    <col min="9" max="9" width="8.5703125" bestFit="1" customWidth="1"/>
    <col min="10" max="11" width="8" customWidth="1"/>
    <col min="12" max="12" width="14.42578125" customWidth="1"/>
    <col min="13" max="13" width="10" bestFit="1" customWidth="1"/>
    <col min="14" max="14" width="10.5703125" bestFit="1" customWidth="1"/>
    <col min="15" max="15" width="9.28515625" bestFit="1" customWidth="1"/>
    <col min="257" max="257" width="17.85546875" customWidth="1"/>
    <col min="258" max="258" width="18.7109375" customWidth="1"/>
    <col min="259" max="259" width="24.28515625" customWidth="1"/>
    <col min="260" max="260" width="12.28515625" customWidth="1"/>
    <col min="261" max="261" width="13.85546875" customWidth="1"/>
    <col min="262" max="262" width="10" bestFit="1" customWidth="1"/>
    <col min="263" max="263" width="8.7109375" bestFit="1" customWidth="1"/>
    <col min="264" max="264" width="9.85546875" customWidth="1"/>
    <col min="265" max="265" width="8.5703125" bestFit="1" customWidth="1"/>
    <col min="266" max="267" width="8" customWidth="1"/>
    <col min="268" max="268" width="14.42578125" customWidth="1"/>
    <col min="269" max="269" width="10" bestFit="1" customWidth="1"/>
    <col min="270" max="270" width="10.5703125" bestFit="1" customWidth="1"/>
    <col min="271" max="271" width="9.28515625" bestFit="1" customWidth="1"/>
    <col min="513" max="513" width="17.85546875" customWidth="1"/>
    <col min="514" max="514" width="18.7109375" customWidth="1"/>
    <col min="515" max="515" width="24.28515625" customWidth="1"/>
    <col min="516" max="516" width="12.28515625" customWidth="1"/>
    <col min="517" max="517" width="13.85546875" customWidth="1"/>
    <col min="518" max="518" width="10" bestFit="1" customWidth="1"/>
    <col min="519" max="519" width="8.7109375" bestFit="1" customWidth="1"/>
    <col min="520" max="520" width="9.85546875" customWidth="1"/>
    <col min="521" max="521" width="8.5703125" bestFit="1" customWidth="1"/>
    <col min="522" max="523" width="8" customWidth="1"/>
    <col min="524" max="524" width="14.42578125" customWidth="1"/>
    <col min="525" max="525" width="10" bestFit="1" customWidth="1"/>
    <col min="526" max="526" width="10.5703125" bestFit="1" customWidth="1"/>
    <col min="527" max="527" width="9.28515625" bestFit="1" customWidth="1"/>
    <col min="769" max="769" width="17.85546875" customWidth="1"/>
    <col min="770" max="770" width="18.7109375" customWidth="1"/>
    <col min="771" max="771" width="24.28515625" customWidth="1"/>
    <col min="772" max="772" width="12.28515625" customWidth="1"/>
    <col min="773" max="773" width="13.85546875" customWidth="1"/>
    <col min="774" max="774" width="10" bestFit="1" customWidth="1"/>
    <col min="775" max="775" width="8.7109375" bestFit="1" customWidth="1"/>
    <col min="776" max="776" width="9.85546875" customWidth="1"/>
    <col min="777" max="777" width="8.5703125" bestFit="1" customWidth="1"/>
    <col min="778" max="779" width="8" customWidth="1"/>
    <col min="780" max="780" width="14.42578125" customWidth="1"/>
    <col min="781" max="781" width="10" bestFit="1" customWidth="1"/>
    <col min="782" max="782" width="10.5703125" bestFit="1" customWidth="1"/>
    <col min="783" max="783" width="9.28515625" bestFit="1" customWidth="1"/>
    <col min="1025" max="1025" width="17.85546875" customWidth="1"/>
    <col min="1026" max="1026" width="18.7109375" customWidth="1"/>
    <col min="1027" max="1027" width="24.28515625" customWidth="1"/>
    <col min="1028" max="1028" width="12.28515625" customWidth="1"/>
    <col min="1029" max="1029" width="13.85546875" customWidth="1"/>
    <col min="1030" max="1030" width="10" bestFit="1" customWidth="1"/>
    <col min="1031" max="1031" width="8.7109375" bestFit="1" customWidth="1"/>
    <col min="1032" max="1032" width="9.85546875" customWidth="1"/>
    <col min="1033" max="1033" width="8.5703125" bestFit="1" customWidth="1"/>
    <col min="1034" max="1035" width="8" customWidth="1"/>
    <col min="1036" max="1036" width="14.42578125" customWidth="1"/>
    <col min="1037" max="1037" width="10" bestFit="1" customWidth="1"/>
    <col min="1038" max="1038" width="10.5703125" bestFit="1" customWidth="1"/>
    <col min="1039" max="1039" width="9.28515625" bestFit="1" customWidth="1"/>
    <col min="1281" max="1281" width="17.85546875" customWidth="1"/>
    <col min="1282" max="1282" width="18.7109375" customWidth="1"/>
    <col min="1283" max="1283" width="24.28515625" customWidth="1"/>
    <col min="1284" max="1284" width="12.28515625" customWidth="1"/>
    <col min="1285" max="1285" width="13.85546875" customWidth="1"/>
    <col min="1286" max="1286" width="10" bestFit="1" customWidth="1"/>
    <col min="1287" max="1287" width="8.7109375" bestFit="1" customWidth="1"/>
    <col min="1288" max="1288" width="9.85546875" customWidth="1"/>
    <col min="1289" max="1289" width="8.5703125" bestFit="1" customWidth="1"/>
    <col min="1290" max="1291" width="8" customWidth="1"/>
    <col min="1292" max="1292" width="14.42578125" customWidth="1"/>
    <col min="1293" max="1293" width="10" bestFit="1" customWidth="1"/>
    <col min="1294" max="1294" width="10.5703125" bestFit="1" customWidth="1"/>
    <col min="1295" max="1295" width="9.28515625" bestFit="1" customWidth="1"/>
    <col min="1537" max="1537" width="17.85546875" customWidth="1"/>
    <col min="1538" max="1538" width="18.7109375" customWidth="1"/>
    <col min="1539" max="1539" width="24.28515625" customWidth="1"/>
    <col min="1540" max="1540" width="12.28515625" customWidth="1"/>
    <col min="1541" max="1541" width="13.85546875" customWidth="1"/>
    <col min="1542" max="1542" width="10" bestFit="1" customWidth="1"/>
    <col min="1543" max="1543" width="8.7109375" bestFit="1" customWidth="1"/>
    <col min="1544" max="1544" width="9.85546875" customWidth="1"/>
    <col min="1545" max="1545" width="8.5703125" bestFit="1" customWidth="1"/>
    <col min="1546" max="1547" width="8" customWidth="1"/>
    <col min="1548" max="1548" width="14.42578125" customWidth="1"/>
    <col min="1549" max="1549" width="10" bestFit="1" customWidth="1"/>
    <col min="1550" max="1550" width="10.5703125" bestFit="1" customWidth="1"/>
    <col min="1551" max="1551" width="9.28515625" bestFit="1" customWidth="1"/>
    <col min="1793" max="1793" width="17.85546875" customWidth="1"/>
    <col min="1794" max="1794" width="18.7109375" customWidth="1"/>
    <col min="1795" max="1795" width="24.28515625" customWidth="1"/>
    <col min="1796" max="1796" width="12.28515625" customWidth="1"/>
    <col min="1797" max="1797" width="13.85546875" customWidth="1"/>
    <col min="1798" max="1798" width="10" bestFit="1" customWidth="1"/>
    <col min="1799" max="1799" width="8.7109375" bestFit="1" customWidth="1"/>
    <col min="1800" max="1800" width="9.85546875" customWidth="1"/>
    <col min="1801" max="1801" width="8.5703125" bestFit="1" customWidth="1"/>
    <col min="1802" max="1803" width="8" customWidth="1"/>
    <col min="1804" max="1804" width="14.42578125" customWidth="1"/>
    <col min="1805" max="1805" width="10" bestFit="1" customWidth="1"/>
    <col min="1806" max="1806" width="10.5703125" bestFit="1" customWidth="1"/>
    <col min="1807" max="1807" width="9.28515625" bestFit="1" customWidth="1"/>
    <col min="2049" max="2049" width="17.85546875" customWidth="1"/>
    <col min="2050" max="2050" width="18.7109375" customWidth="1"/>
    <col min="2051" max="2051" width="24.28515625" customWidth="1"/>
    <col min="2052" max="2052" width="12.28515625" customWidth="1"/>
    <col min="2053" max="2053" width="13.85546875" customWidth="1"/>
    <col min="2054" max="2054" width="10" bestFit="1" customWidth="1"/>
    <col min="2055" max="2055" width="8.7109375" bestFit="1" customWidth="1"/>
    <col min="2056" max="2056" width="9.85546875" customWidth="1"/>
    <col min="2057" max="2057" width="8.5703125" bestFit="1" customWidth="1"/>
    <col min="2058" max="2059" width="8" customWidth="1"/>
    <col min="2060" max="2060" width="14.42578125" customWidth="1"/>
    <col min="2061" max="2061" width="10" bestFit="1" customWidth="1"/>
    <col min="2062" max="2062" width="10.5703125" bestFit="1" customWidth="1"/>
    <col min="2063" max="2063" width="9.28515625" bestFit="1" customWidth="1"/>
    <col min="2305" max="2305" width="17.85546875" customWidth="1"/>
    <col min="2306" max="2306" width="18.7109375" customWidth="1"/>
    <col min="2307" max="2307" width="24.28515625" customWidth="1"/>
    <col min="2308" max="2308" width="12.28515625" customWidth="1"/>
    <col min="2309" max="2309" width="13.85546875" customWidth="1"/>
    <col min="2310" max="2310" width="10" bestFit="1" customWidth="1"/>
    <col min="2311" max="2311" width="8.7109375" bestFit="1" customWidth="1"/>
    <col min="2312" max="2312" width="9.85546875" customWidth="1"/>
    <col min="2313" max="2313" width="8.5703125" bestFit="1" customWidth="1"/>
    <col min="2314" max="2315" width="8" customWidth="1"/>
    <col min="2316" max="2316" width="14.42578125" customWidth="1"/>
    <col min="2317" max="2317" width="10" bestFit="1" customWidth="1"/>
    <col min="2318" max="2318" width="10.5703125" bestFit="1" customWidth="1"/>
    <col min="2319" max="2319" width="9.28515625" bestFit="1" customWidth="1"/>
    <col min="2561" max="2561" width="17.85546875" customWidth="1"/>
    <col min="2562" max="2562" width="18.7109375" customWidth="1"/>
    <col min="2563" max="2563" width="24.28515625" customWidth="1"/>
    <col min="2564" max="2564" width="12.28515625" customWidth="1"/>
    <col min="2565" max="2565" width="13.85546875" customWidth="1"/>
    <col min="2566" max="2566" width="10" bestFit="1" customWidth="1"/>
    <col min="2567" max="2567" width="8.7109375" bestFit="1" customWidth="1"/>
    <col min="2568" max="2568" width="9.85546875" customWidth="1"/>
    <col min="2569" max="2569" width="8.5703125" bestFit="1" customWidth="1"/>
    <col min="2570" max="2571" width="8" customWidth="1"/>
    <col min="2572" max="2572" width="14.42578125" customWidth="1"/>
    <col min="2573" max="2573" width="10" bestFit="1" customWidth="1"/>
    <col min="2574" max="2574" width="10.5703125" bestFit="1" customWidth="1"/>
    <col min="2575" max="2575" width="9.28515625" bestFit="1" customWidth="1"/>
    <col min="2817" max="2817" width="17.85546875" customWidth="1"/>
    <col min="2818" max="2818" width="18.7109375" customWidth="1"/>
    <col min="2819" max="2819" width="24.28515625" customWidth="1"/>
    <col min="2820" max="2820" width="12.28515625" customWidth="1"/>
    <col min="2821" max="2821" width="13.85546875" customWidth="1"/>
    <col min="2822" max="2822" width="10" bestFit="1" customWidth="1"/>
    <col min="2823" max="2823" width="8.7109375" bestFit="1" customWidth="1"/>
    <col min="2824" max="2824" width="9.85546875" customWidth="1"/>
    <col min="2825" max="2825" width="8.5703125" bestFit="1" customWidth="1"/>
    <col min="2826" max="2827" width="8" customWidth="1"/>
    <col min="2828" max="2828" width="14.42578125" customWidth="1"/>
    <col min="2829" max="2829" width="10" bestFit="1" customWidth="1"/>
    <col min="2830" max="2830" width="10.5703125" bestFit="1" customWidth="1"/>
    <col min="2831" max="2831" width="9.28515625" bestFit="1" customWidth="1"/>
    <col min="3073" max="3073" width="17.85546875" customWidth="1"/>
    <col min="3074" max="3074" width="18.7109375" customWidth="1"/>
    <col min="3075" max="3075" width="24.28515625" customWidth="1"/>
    <col min="3076" max="3076" width="12.28515625" customWidth="1"/>
    <col min="3077" max="3077" width="13.85546875" customWidth="1"/>
    <col min="3078" max="3078" width="10" bestFit="1" customWidth="1"/>
    <col min="3079" max="3079" width="8.7109375" bestFit="1" customWidth="1"/>
    <col min="3080" max="3080" width="9.85546875" customWidth="1"/>
    <col min="3081" max="3081" width="8.5703125" bestFit="1" customWidth="1"/>
    <col min="3082" max="3083" width="8" customWidth="1"/>
    <col min="3084" max="3084" width="14.42578125" customWidth="1"/>
    <col min="3085" max="3085" width="10" bestFit="1" customWidth="1"/>
    <col min="3086" max="3086" width="10.5703125" bestFit="1" customWidth="1"/>
    <col min="3087" max="3087" width="9.28515625" bestFit="1" customWidth="1"/>
    <col min="3329" max="3329" width="17.85546875" customWidth="1"/>
    <col min="3330" max="3330" width="18.7109375" customWidth="1"/>
    <col min="3331" max="3331" width="24.28515625" customWidth="1"/>
    <col min="3332" max="3332" width="12.28515625" customWidth="1"/>
    <col min="3333" max="3333" width="13.85546875" customWidth="1"/>
    <col min="3334" max="3334" width="10" bestFit="1" customWidth="1"/>
    <col min="3335" max="3335" width="8.7109375" bestFit="1" customWidth="1"/>
    <col min="3336" max="3336" width="9.85546875" customWidth="1"/>
    <col min="3337" max="3337" width="8.5703125" bestFit="1" customWidth="1"/>
    <col min="3338" max="3339" width="8" customWidth="1"/>
    <col min="3340" max="3340" width="14.42578125" customWidth="1"/>
    <col min="3341" max="3341" width="10" bestFit="1" customWidth="1"/>
    <col min="3342" max="3342" width="10.5703125" bestFit="1" customWidth="1"/>
    <col min="3343" max="3343" width="9.28515625" bestFit="1" customWidth="1"/>
    <col min="3585" max="3585" width="17.85546875" customWidth="1"/>
    <col min="3586" max="3586" width="18.7109375" customWidth="1"/>
    <col min="3587" max="3587" width="24.28515625" customWidth="1"/>
    <col min="3588" max="3588" width="12.28515625" customWidth="1"/>
    <col min="3589" max="3589" width="13.85546875" customWidth="1"/>
    <col min="3590" max="3590" width="10" bestFit="1" customWidth="1"/>
    <col min="3591" max="3591" width="8.7109375" bestFit="1" customWidth="1"/>
    <col min="3592" max="3592" width="9.85546875" customWidth="1"/>
    <col min="3593" max="3593" width="8.5703125" bestFit="1" customWidth="1"/>
    <col min="3594" max="3595" width="8" customWidth="1"/>
    <col min="3596" max="3596" width="14.42578125" customWidth="1"/>
    <col min="3597" max="3597" width="10" bestFit="1" customWidth="1"/>
    <col min="3598" max="3598" width="10.5703125" bestFit="1" customWidth="1"/>
    <col min="3599" max="3599" width="9.28515625" bestFit="1" customWidth="1"/>
    <col min="3841" max="3841" width="17.85546875" customWidth="1"/>
    <col min="3842" max="3842" width="18.7109375" customWidth="1"/>
    <col min="3843" max="3843" width="24.28515625" customWidth="1"/>
    <col min="3844" max="3844" width="12.28515625" customWidth="1"/>
    <col min="3845" max="3845" width="13.85546875" customWidth="1"/>
    <col min="3846" max="3846" width="10" bestFit="1" customWidth="1"/>
    <col min="3847" max="3847" width="8.7109375" bestFit="1" customWidth="1"/>
    <col min="3848" max="3848" width="9.85546875" customWidth="1"/>
    <col min="3849" max="3849" width="8.5703125" bestFit="1" customWidth="1"/>
    <col min="3850" max="3851" width="8" customWidth="1"/>
    <col min="3852" max="3852" width="14.42578125" customWidth="1"/>
    <col min="3853" max="3853" width="10" bestFit="1" customWidth="1"/>
    <col min="3854" max="3854" width="10.5703125" bestFit="1" customWidth="1"/>
    <col min="3855" max="3855" width="9.28515625" bestFit="1" customWidth="1"/>
    <col min="4097" max="4097" width="17.85546875" customWidth="1"/>
    <col min="4098" max="4098" width="18.7109375" customWidth="1"/>
    <col min="4099" max="4099" width="24.28515625" customWidth="1"/>
    <col min="4100" max="4100" width="12.28515625" customWidth="1"/>
    <col min="4101" max="4101" width="13.85546875" customWidth="1"/>
    <col min="4102" max="4102" width="10" bestFit="1" customWidth="1"/>
    <col min="4103" max="4103" width="8.7109375" bestFit="1" customWidth="1"/>
    <col min="4104" max="4104" width="9.85546875" customWidth="1"/>
    <col min="4105" max="4105" width="8.5703125" bestFit="1" customWidth="1"/>
    <col min="4106" max="4107" width="8" customWidth="1"/>
    <col min="4108" max="4108" width="14.42578125" customWidth="1"/>
    <col min="4109" max="4109" width="10" bestFit="1" customWidth="1"/>
    <col min="4110" max="4110" width="10.5703125" bestFit="1" customWidth="1"/>
    <col min="4111" max="4111" width="9.28515625" bestFit="1" customWidth="1"/>
    <col min="4353" max="4353" width="17.85546875" customWidth="1"/>
    <col min="4354" max="4354" width="18.7109375" customWidth="1"/>
    <col min="4355" max="4355" width="24.28515625" customWidth="1"/>
    <col min="4356" max="4356" width="12.28515625" customWidth="1"/>
    <col min="4357" max="4357" width="13.85546875" customWidth="1"/>
    <col min="4358" max="4358" width="10" bestFit="1" customWidth="1"/>
    <col min="4359" max="4359" width="8.7109375" bestFit="1" customWidth="1"/>
    <col min="4360" max="4360" width="9.85546875" customWidth="1"/>
    <col min="4361" max="4361" width="8.5703125" bestFit="1" customWidth="1"/>
    <col min="4362" max="4363" width="8" customWidth="1"/>
    <col min="4364" max="4364" width="14.42578125" customWidth="1"/>
    <col min="4365" max="4365" width="10" bestFit="1" customWidth="1"/>
    <col min="4366" max="4366" width="10.5703125" bestFit="1" customWidth="1"/>
    <col min="4367" max="4367" width="9.28515625" bestFit="1" customWidth="1"/>
    <col min="4609" max="4609" width="17.85546875" customWidth="1"/>
    <col min="4610" max="4610" width="18.7109375" customWidth="1"/>
    <col min="4611" max="4611" width="24.28515625" customWidth="1"/>
    <col min="4612" max="4612" width="12.28515625" customWidth="1"/>
    <col min="4613" max="4613" width="13.85546875" customWidth="1"/>
    <col min="4614" max="4614" width="10" bestFit="1" customWidth="1"/>
    <col min="4615" max="4615" width="8.7109375" bestFit="1" customWidth="1"/>
    <col min="4616" max="4616" width="9.85546875" customWidth="1"/>
    <col min="4617" max="4617" width="8.5703125" bestFit="1" customWidth="1"/>
    <col min="4618" max="4619" width="8" customWidth="1"/>
    <col min="4620" max="4620" width="14.42578125" customWidth="1"/>
    <col min="4621" max="4621" width="10" bestFit="1" customWidth="1"/>
    <col min="4622" max="4622" width="10.5703125" bestFit="1" customWidth="1"/>
    <col min="4623" max="4623" width="9.28515625" bestFit="1" customWidth="1"/>
    <col min="4865" max="4865" width="17.85546875" customWidth="1"/>
    <col min="4866" max="4866" width="18.7109375" customWidth="1"/>
    <col min="4867" max="4867" width="24.28515625" customWidth="1"/>
    <col min="4868" max="4868" width="12.28515625" customWidth="1"/>
    <col min="4869" max="4869" width="13.85546875" customWidth="1"/>
    <col min="4870" max="4870" width="10" bestFit="1" customWidth="1"/>
    <col min="4871" max="4871" width="8.7109375" bestFit="1" customWidth="1"/>
    <col min="4872" max="4872" width="9.85546875" customWidth="1"/>
    <col min="4873" max="4873" width="8.5703125" bestFit="1" customWidth="1"/>
    <col min="4874" max="4875" width="8" customWidth="1"/>
    <col min="4876" max="4876" width="14.42578125" customWidth="1"/>
    <col min="4877" max="4877" width="10" bestFit="1" customWidth="1"/>
    <col min="4878" max="4878" width="10.5703125" bestFit="1" customWidth="1"/>
    <col min="4879" max="4879" width="9.28515625" bestFit="1" customWidth="1"/>
    <col min="5121" max="5121" width="17.85546875" customWidth="1"/>
    <col min="5122" max="5122" width="18.7109375" customWidth="1"/>
    <col min="5123" max="5123" width="24.28515625" customWidth="1"/>
    <col min="5124" max="5124" width="12.28515625" customWidth="1"/>
    <col min="5125" max="5125" width="13.85546875" customWidth="1"/>
    <col min="5126" max="5126" width="10" bestFit="1" customWidth="1"/>
    <col min="5127" max="5127" width="8.7109375" bestFit="1" customWidth="1"/>
    <col min="5128" max="5128" width="9.85546875" customWidth="1"/>
    <col min="5129" max="5129" width="8.5703125" bestFit="1" customWidth="1"/>
    <col min="5130" max="5131" width="8" customWidth="1"/>
    <col min="5132" max="5132" width="14.42578125" customWidth="1"/>
    <col min="5133" max="5133" width="10" bestFit="1" customWidth="1"/>
    <col min="5134" max="5134" width="10.5703125" bestFit="1" customWidth="1"/>
    <col min="5135" max="5135" width="9.28515625" bestFit="1" customWidth="1"/>
    <col min="5377" max="5377" width="17.85546875" customWidth="1"/>
    <col min="5378" max="5378" width="18.7109375" customWidth="1"/>
    <col min="5379" max="5379" width="24.28515625" customWidth="1"/>
    <col min="5380" max="5380" width="12.28515625" customWidth="1"/>
    <col min="5381" max="5381" width="13.85546875" customWidth="1"/>
    <col min="5382" max="5382" width="10" bestFit="1" customWidth="1"/>
    <col min="5383" max="5383" width="8.7109375" bestFit="1" customWidth="1"/>
    <col min="5384" max="5384" width="9.85546875" customWidth="1"/>
    <col min="5385" max="5385" width="8.5703125" bestFit="1" customWidth="1"/>
    <col min="5386" max="5387" width="8" customWidth="1"/>
    <col min="5388" max="5388" width="14.42578125" customWidth="1"/>
    <col min="5389" max="5389" width="10" bestFit="1" customWidth="1"/>
    <col min="5390" max="5390" width="10.5703125" bestFit="1" customWidth="1"/>
    <col min="5391" max="5391" width="9.28515625" bestFit="1" customWidth="1"/>
    <col min="5633" max="5633" width="17.85546875" customWidth="1"/>
    <col min="5634" max="5634" width="18.7109375" customWidth="1"/>
    <col min="5635" max="5635" width="24.28515625" customWidth="1"/>
    <col min="5636" max="5636" width="12.28515625" customWidth="1"/>
    <col min="5637" max="5637" width="13.85546875" customWidth="1"/>
    <col min="5638" max="5638" width="10" bestFit="1" customWidth="1"/>
    <col min="5639" max="5639" width="8.7109375" bestFit="1" customWidth="1"/>
    <col min="5640" max="5640" width="9.85546875" customWidth="1"/>
    <col min="5641" max="5641" width="8.5703125" bestFit="1" customWidth="1"/>
    <col min="5642" max="5643" width="8" customWidth="1"/>
    <col min="5644" max="5644" width="14.42578125" customWidth="1"/>
    <col min="5645" max="5645" width="10" bestFit="1" customWidth="1"/>
    <col min="5646" max="5646" width="10.5703125" bestFit="1" customWidth="1"/>
    <col min="5647" max="5647" width="9.28515625" bestFit="1" customWidth="1"/>
    <col min="5889" max="5889" width="17.85546875" customWidth="1"/>
    <col min="5890" max="5890" width="18.7109375" customWidth="1"/>
    <col min="5891" max="5891" width="24.28515625" customWidth="1"/>
    <col min="5892" max="5892" width="12.28515625" customWidth="1"/>
    <col min="5893" max="5893" width="13.85546875" customWidth="1"/>
    <col min="5894" max="5894" width="10" bestFit="1" customWidth="1"/>
    <col min="5895" max="5895" width="8.7109375" bestFit="1" customWidth="1"/>
    <col min="5896" max="5896" width="9.85546875" customWidth="1"/>
    <col min="5897" max="5897" width="8.5703125" bestFit="1" customWidth="1"/>
    <col min="5898" max="5899" width="8" customWidth="1"/>
    <col min="5900" max="5900" width="14.42578125" customWidth="1"/>
    <col min="5901" max="5901" width="10" bestFit="1" customWidth="1"/>
    <col min="5902" max="5902" width="10.5703125" bestFit="1" customWidth="1"/>
    <col min="5903" max="5903" width="9.28515625" bestFit="1" customWidth="1"/>
    <col min="6145" max="6145" width="17.85546875" customWidth="1"/>
    <col min="6146" max="6146" width="18.7109375" customWidth="1"/>
    <col min="6147" max="6147" width="24.28515625" customWidth="1"/>
    <col min="6148" max="6148" width="12.28515625" customWidth="1"/>
    <col min="6149" max="6149" width="13.85546875" customWidth="1"/>
    <col min="6150" max="6150" width="10" bestFit="1" customWidth="1"/>
    <col min="6151" max="6151" width="8.7109375" bestFit="1" customWidth="1"/>
    <col min="6152" max="6152" width="9.85546875" customWidth="1"/>
    <col min="6153" max="6153" width="8.5703125" bestFit="1" customWidth="1"/>
    <col min="6154" max="6155" width="8" customWidth="1"/>
    <col min="6156" max="6156" width="14.42578125" customWidth="1"/>
    <col min="6157" max="6157" width="10" bestFit="1" customWidth="1"/>
    <col min="6158" max="6158" width="10.5703125" bestFit="1" customWidth="1"/>
    <col min="6159" max="6159" width="9.28515625" bestFit="1" customWidth="1"/>
    <col min="6401" max="6401" width="17.85546875" customWidth="1"/>
    <col min="6402" max="6402" width="18.7109375" customWidth="1"/>
    <col min="6403" max="6403" width="24.28515625" customWidth="1"/>
    <col min="6404" max="6404" width="12.28515625" customWidth="1"/>
    <col min="6405" max="6405" width="13.85546875" customWidth="1"/>
    <col min="6406" max="6406" width="10" bestFit="1" customWidth="1"/>
    <col min="6407" max="6407" width="8.7109375" bestFit="1" customWidth="1"/>
    <col min="6408" max="6408" width="9.85546875" customWidth="1"/>
    <col min="6409" max="6409" width="8.5703125" bestFit="1" customWidth="1"/>
    <col min="6410" max="6411" width="8" customWidth="1"/>
    <col min="6412" max="6412" width="14.42578125" customWidth="1"/>
    <col min="6413" max="6413" width="10" bestFit="1" customWidth="1"/>
    <col min="6414" max="6414" width="10.5703125" bestFit="1" customWidth="1"/>
    <col min="6415" max="6415" width="9.28515625" bestFit="1" customWidth="1"/>
    <col min="6657" max="6657" width="17.85546875" customWidth="1"/>
    <col min="6658" max="6658" width="18.7109375" customWidth="1"/>
    <col min="6659" max="6659" width="24.28515625" customWidth="1"/>
    <col min="6660" max="6660" width="12.28515625" customWidth="1"/>
    <col min="6661" max="6661" width="13.85546875" customWidth="1"/>
    <col min="6662" max="6662" width="10" bestFit="1" customWidth="1"/>
    <col min="6663" max="6663" width="8.7109375" bestFit="1" customWidth="1"/>
    <col min="6664" max="6664" width="9.85546875" customWidth="1"/>
    <col min="6665" max="6665" width="8.5703125" bestFit="1" customWidth="1"/>
    <col min="6666" max="6667" width="8" customWidth="1"/>
    <col min="6668" max="6668" width="14.42578125" customWidth="1"/>
    <col min="6669" max="6669" width="10" bestFit="1" customWidth="1"/>
    <col min="6670" max="6670" width="10.5703125" bestFit="1" customWidth="1"/>
    <col min="6671" max="6671" width="9.28515625" bestFit="1" customWidth="1"/>
    <col min="6913" max="6913" width="17.85546875" customWidth="1"/>
    <col min="6914" max="6914" width="18.7109375" customWidth="1"/>
    <col min="6915" max="6915" width="24.28515625" customWidth="1"/>
    <col min="6916" max="6916" width="12.28515625" customWidth="1"/>
    <col min="6917" max="6917" width="13.85546875" customWidth="1"/>
    <col min="6918" max="6918" width="10" bestFit="1" customWidth="1"/>
    <col min="6919" max="6919" width="8.7109375" bestFit="1" customWidth="1"/>
    <col min="6920" max="6920" width="9.85546875" customWidth="1"/>
    <col min="6921" max="6921" width="8.5703125" bestFit="1" customWidth="1"/>
    <col min="6922" max="6923" width="8" customWidth="1"/>
    <col min="6924" max="6924" width="14.42578125" customWidth="1"/>
    <col min="6925" max="6925" width="10" bestFit="1" customWidth="1"/>
    <col min="6926" max="6926" width="10.5703125" bestFit="1" customWidth="1"/>
    <col min="6927" max="6927" width="9.28515625" bestFit="1" customWidth="1"/>
    <col min="7169" max="7169" width="17.85546875" customWidth="1"/>
    <col min="7170" max="7170" width="18.7109375" customWidth="1"/>
    <col min="7171" max="7171" width="24.28515625" customWidth="1"/>
    <col min="7172" max="7172" width="12.28515625" customWidth="1"/>
    <col min="7173" max="7173" width="13.85546875" customWidth="1"/>
    <col min="7174" max="7174" width="10" bestFit="1" customWidth="1"/>
    <col min="7175" max="7175" width="8.7109375" bestFit="1" customWidth="1"/>
    <col min="7176" max="7176" width="9.85546875" customWidth="1"/>
    <col min="7177" max="7177" width="8.5703125" bestFit="1" customWidth="1"/>
    <col min="7178" max="7179" width="8" customWidth="1"/>
    <col min="7180" max="7180" width="14.42578125" customWidth="1"/>
    <col min="7181" max="7181" width="10" bestFit="1" customWidth="1"/>
    <col min="7182" max="7182" width="10.5703125" bestFit="1" customWidth="1"/>
    <col min="7183" max="7183" width="9.28515625" bestFit="1" customWidth="1"/>
    <col min="7425" max="7425" width="17.85546875" customWidth="1"/>
    <col min="7426" max="7426" width="18.7109375" customWidth="1"/>
    <col min="7427" max="7427" width="24.28515625" customWidth="1"/>
    <col min="7428" max="7428" width="12.28515625" customWidth="1"/>
    <col min="7429" max="7429" width="13.85546875" customWidth="1"/>
    <col min="7430" max="7430" width="10" bestFit="1" customWidth="1"/>
    <col min="7431" max="7431" width="8.7109375" bestFit="1" customWidth="1"/>
    <col min="7432" max="7432" width="9.85546875" customWidth="1"/>
    <col min="7433" max="7433" width="8.5703125" bestFit="1" customWidth="1"/>
    <col min="7434" max="7435" width="8" customWidth="1"/>
    <col min="7436" max="7436" width="14.42578125" customWidth="1"/>
    <col min="7437" max="7437" width="10" bestFit="1" customWidth="1"/>
    <col min="7438" max="7438" width="10.5703125" bestFit="1" customWidth="1"/>
    <col min="7439" max="7439" width="9.28515625" bestFit="1" customWidth="1"/>
    <col min="7681" max="7681" width="17.85546875" customWidth="1"/>
    <col min="7682" max="7682" width="18.7109375" customWidth="1"/>
    <col min="7683" max="7683" width="24.28515625" customWidth="1"/>
    <col min="7684" max="7684" width="12.28515625" customWidth="1"/>
    <col min="7685" max="7685" width="13.85546875" customWidth="1"/>
    <col min="7686" max="7686" width="10" bestFit="1" customWidth="1"/>
    <col min="7687" max="7687" width="8.7109375" bestFit="1" customWidth="1"/>
    <col min="7688" max="7688" width="9.85546875" customWidth="1"/>
    <col min="7689" max="7689" width="8.5703125" bestFit="1" customWidth="1"/>
    <col min="7690" max="7691" width="8" customWidth="1"/>
    <col min="7692" max="7692" width="14.42578125" customWidth="1"/>
    <col min="7693" max="7693" width="10" bestFit="1" customWidth="1"/>
    <col min="7694" max="7694" width="10.5703125" bestFit="1" customWidth="1"/>
    <col min="7695" max="7695" width="9.28515625" bestFit="1" customWidth="1"/>
    <col min="7937" max="7937" width="17.85546875" customWidth="1"/>
    <col min="7938" max="7938" width="18.7109375" customWidth="1"/>
    <col min="7939" max="7939" width="24.28515625" customWidth="1"/>
    <col min="7940" max="7940" width="12.28515625" customWidth="1"/>
    <col min="7941" max="7941" width="13.85546875" customWidth="1"/>
    <col min="7942" max="7942" width="10" bestFit="1" customWidth="1"/>
    <col min="7943" max="7943" width="8.7109375" bestFit="1" customWidth="1"/>
    <col min="7944" max="7944" width="9.85546875" customWidth="1"/>
    <col min="7945" max="7945" width="8.5703125" bestFit="1" customWidth="1"/>
    <col min="7946" max="7947" width="8" customWidth="1"/>
    <col min="7948" max="7948" width="14.42578125" customWidth="1"/>
    <col min="7949" max="7949" width="10" bestFit="1" customWidth="1"/>
    <col min="7950" max="7950" width="10.5703125" bestFit="1" customWidth="1"/>
    <col min="7951" max="7951" width="9.28515625" bestFit="1" customWidth="1"/>
    <col min="8193" max="8193" width="17.85546875" customWidth="1"/>
    <col min="8194" max="8194" width="18.7109375" customWidth="1"/>
    <col min="8195" max="8195" width="24.28515625" customWidth="1"/>
    <col min="8196" max="8196" width="12.28515625" customWidth="1"/>
    <col min="8197" max="8197" width="13.85546875" customWidth="1"/>
    <col min="8198" max="8198" width="10" bestFit="1" customWidth="1"/>
    <col min="8199" max="8199" width="8.7109375" bestFit="1" customWidth="1"/>
    <col min="8200" max="8200" width="9.85546875" customWidth="1"/>
    <col min="8201" max="8201" width="8.5703125" bestFit="1" customWidth="1"/>
    <col min="8202" max="8203" width="8" customWidth="1"/>
    <col min="8204" max="8204" width="14.42578125" customWidth="1"/>
    <col min="8205" max="8205" width="10" bestFit="1" customWidth="1"/>
    <col min="8206" max="8206" width="10.5703125" bestFit="1" customWidth="1"/>
    <col min="8207" max="8207" width="9.28515625" bestFit="1" customWidth="1"/>
    <col min="8449" max="8449" width="17.85546875" customWidth="1"/>
    <col min="8450" max="8450" width="18.7109375" customWidth="1"/>
    <col min="8451" max="8451" width="24.28515625" customWidth="1"/>
    <col min="8452" max="8452" width="12.28515625" customWidth="1"/>
    <col min="8453" max="8453" width="13.85546875" customWidth="1"/>
    <col min="8454" max="8454" width="10" bestFit="1" customWidth="1"/>
    <col min="8455" max="8455" width="8.7109375" bestFit="1" customWidth="1"/>
    <col min="8456" max="8456" width="9.85546875" customWidth="1"/>
    <col min="8457" max="8457" width="8.5703125" bestFit="1" customWidth="1"/>
    <col min="8458" max="8459" width="8" customWidth="1"/>
    <col min="8460" max="8460" width="14.42578125" customWidth="1"/>
    <col min="8461" max="8461" width="10" bestFit="1" customWidth="1"/>
    <col min="8462" max="8462" width="10.5703125" bestFit="1" customWidth="1"/>
    <col min="8463" max="8463" width="9.28515625" bestFit="1" customWidth="1"/>
    <col min="8705" max="8705" width="17.85546875" customWidth="1"/>
    <col min="8706" max="8706" width="18.7109375" customWidth="1"/>
    <col min="8707" max="8707" width="24.28515625" customWidth="1"/>
    <col min="8708" max="8708" width="12.28515625" customWidth="1"/>
    <col min="8709" max="8709" width="13.85546875" customWidth="1"/>
    <col min="8710" max="8710" width="10" bestFit="1" customWidth="1"/>
    <col min="8711" max="8711" width="8.7109375" bestFit="1" customWidth="1"/>
    <col min="8712" max="8712" width="9.85546875" customWidth="1"/>
    <col min="8713" max="8713" width="8.5703125" bestFit="1" customWidth="1"/>
    <col min="8714" max="8715" width="8" customWidth="1"/>
    <col min="8716" max="8716" width="14.42578125" customWidth="1"/>
    <col min="8717" max="8717" width="10" bestFit="1" customWidth="1"/>
    <col min="8718" max="8718" width="10.5703125" bestFit="1" customWidth="1"/>
    <col min="8719" max="8719" width="9.28515625" bestFit="1" customWidth="1"/>
    <col min="8961" max="8961" width="17.85546875" customWidth="1"/>
    <col min="8962" max="8962" width="18.7109375" customWidth="1"/>
    <col min="8963" max="8963" width="24.28515625" customWidth="1"/>
    <col min="8964" max="8964" width="12.28515625" customWidth="1"/>
    <col min="8965" max="8965" width="13.85546875" customWidth="1"/>
    <col min="8966" max="8966" width="10" bestFit="1" customWidth="1"/>
    <col min="8967" max="8967" width="8.7109375" bestFit="1" customWidth="1"/>
    <col min="8968" max="8968" width="9.85546875" customWidth="1"/>
    <col min="8969" max="8969" width="8.5703125" bestFit="1" customWidth="1"/>
    <col min="8970" max="8971" width="8" customWidth="1"/>
    <col min="8972" max="8972" width="14.42578125" customWidth="1"/>
    <col min="8973" max="8973" width="10" bestFit="1" customWidth="1"/>
    <col min="8974" max="8974" width="10.5703125" bestFit="1" customWidth="1"/>
    <col min="8975" max="8975" width="9.28515625" bestFit="1" customWidth="1"/>
    <col min="9217" max="9217" width="17.85546875" customWidth="1"/>
    <col min="9218" max="9218" width="18.7109375" customWidth="1"/>
    <col min="9219" max="9219" width="24.28515625" customWidth="1"/>
    <col min="9220" max="9220" width="12.28515625" customWidth="1"/>
    <col min="9221" max="9221" width="13.85546875" customWidth="1"/>
    <col min="9222" max="9222" width="10" bestFit="1" customWidth="1"/>
    <col min="9223" max="9223" width="8.7109375" bestFit="1" customWidth="1"/>
    <col min="9224" max="9224" width="9.85546875" customWidth="1"/>
    <col min="9225" max="9225" width="8.5703125" bestFit="1" customWidth="1"/>
    <col min="9226" max="9227" width="8" customWidth="1"/>
    <col min="9228" max="9228" width="14.42578125" customWidth="1"/>
    <col min="9229" max="9229" width="10" bestFit="1" customWidth="1"/>
    <col min="9230" max="9230" width="10.5703125" bestFit="1" customWidth="1"/>
    <col min="9231" max="9231" width="9.28515625" bestFit="1" customWidth="1"/>
    <col min="9473" max="9473" width="17.85546875" customWidth="1"/>
    <col min="9474" max="9474" width="18.7109375" customWidth="1"/>
    <col min="9475" max="9475" width="24.28515625" customWidth="1"/>
    <col min="9476" max="9476" width="12.28515625" customWidth="1"/>
    <col min="9477" max="9477" width="13.85546875" customWidth="1"/>
    <col min="9478" max="9478" width="10" bestFit="1" customWidth="1"/>
    <col min="9479" max="9479" width="8.7109375" bestFit="1" customWidth="1"/>
    <col min="9480" max="9480" width="9.85546875" customWidth="1"/>
    <col min="9481" max="9481" width="8.5703125" bestFit="1" customWidth="1"/>
    <col min="9482" max="9483" width="8" customWidth="1"/>
    <col min="9484" max="9484" width="14.42578125" customWidth="1"/>
    <col min="9485" max="9485" width="10" bestFit="1" customWidth="1"/>
    <col min="9486" max="9486" width="10.5703125" bestFit="1" customWidth="1"/>
    <col min="9487" max="9487" width="9.28515625" bestFit="1" customWidth="1"/>
    <col min="9729" max="9729" width="17.85546875" customWidth="1"/>
    <col min="9730" max="9730" width="18.7109375" customWidth="1"/>
    <col min="9731" max="9731" width="24.28515625" customWidth="1"/>
    <col min="9732" max="9732" width="12.28515625" customWidth="1"/>
    <col min="9733" max="9733" width="13.85546875" customWidth="1"/>
    <col min="9734" max="9734" width="10" bestFit="1" customWidth="1"/>
    <col min="9735" max="9735" width="8.7109375" bestFit="1" customWidth="1"/>
    <col min="9736" max="9736" width="9.85546875" customWidth="1"/>
    <col min="9737" max="9737" width="8.5703125" bestFit="1" customWidth="1"/>
    <col min="9738" max="9739" width="8" customWidth="1"/>
    <col min="9740" max="9740" width="14.42578125" customWidth="1"/>
    <col min="9741" max="9741" width="10" bestFit="1" customWidth="1"/>
    <col min="9742" max="9742" width="10.5703125" bestFit="1" customWidth="1"/>
    <col min="9743" max="9743" width="9.28515625" bestFit="1" customWidth="1"/>
    <col min="9985" max="9985" width="17.85546875" customWidth="1"/>
    <col min="9986" max="9986" width="18.7109375" customWidth="1"/>
    <col min="9987" max="9987" width="24.28515625" customWidth="1"/>
    <col min="9988" max="9988" width="12.28515625" customWidth="1"/>
    <col min="9989" max="9989" width="13.85546875" customWidth="1"/>
    <col min="9990" max="9990" width="10" bestFit="1" customWidth="1"/>
    <col min="9991" max="9991" width="8.7109375" bestFit="1" customWidth="1"/>
    <col min="9992" max="9992" width="9.85546875" customWidth="1"/>
    <col min="9993" max="9993" width="8.5703125" bestFit="1" customWidth="1"/>
    <col min="9994" max="9995" width="8" customWidth="1"/>
    <col min="9996" max="9996" width="14.42578125" customWidth="1"/>
    <col min="9997" max="9997" width="10" bestFit="1" customWidth="1"/>
    <col min="9998" max="9998" width="10.5703125" bestFit="1" customWidth="1"/>
    <col min="9999" max="9999" width="9.28515625" bestFit="1" customWidth="1"/>
    <col min="10241" max="10241" width="17.85546875" customWidth="1"/>
    <col min="10242" max="10242" width="18.7109375" customWidth="1"/>
    <col min="10243" max="10243" width="24.28515625" customWidth="1"/>
    <col min="10244" max="10244" width="12.28515625" customWidth="1"/>
    <col min="10245" max="10245" width="13.85546875" customWidth="1"/>
    <col min="10246" max="10246" width="10" bestFit="1" customWidth="1"/>
    <col min="10247" max="10247" width="8.7109375" bestFit="1" customWidth="1"/>
    <col min="10248" max="10248" width="9.85546875" customWidth="1"/>
    <col min="10249" max="10249" width="8.5703125" bestFit="1" customWidth="1"/>
    <col min="10250" max="10251" width="8" customWidth="1"/>
    <col min="10252" max="10252" width="14.42578125" customWidth="1"/>
    <col min="10253" max="10253" width="10" bestFit="1" customWidth="1"/>
    <col min="10254" max="10254" width="10.5703125" bestFit="1" customWidth="1"/>
    <col min="10255" max="10255" width="9.28515625" bestFit="1" customWidth="1"/>
    <col min="10497" max="10497" width="17.85546875" customWidth="1"/>
    <col min="10498" max="10498" width="18.7109375" customWidth="1"/>
    <col min="10499" max="10499" width="24.28515625" customWidth="1"/>
    <col min="10500" max="10500" width="12.28515625" customWidth="1"/>
    <col min="10501" max="10501" width="13.85546875" customWidth="1"/>
    <col min="10502" max="10502" width="10" bestFit="1" customWidth="1"/>
    <col min="10503" max="10503" width="8.7109375" bestFit="1" customWidth="1"/>
    <col min="10504" max="10504" width="9.85546875" customWidth="1"/>
    <col min="10505" max="10505" width="8.5703125" bestFit="1" customWidth="1"/>
    <col min="10506" max="10507" width="8" customWidth="1"/>
    <col min="10508" max="10508" width="14.42578125" customWidth="1"/>
    <col min="10509" max="10509" width="10" bestFit="1" customWidth="1"/>
    <col min="10510" max="10510" width="10.5703125" bestFit="1" customWidth="1"/>
    <col min="10511" max="10511" width="9.28515625" bestFit="1" customWidth="1"/>
    <col min="10753" max="10753" width="17.85546875" customWidth="1"/>
    <col min="10754" max="10754" width="18.7109375" customWidth="1"/>
    <col min="10755" max="10755" width="24.28515625" customWidth="1"/>
    <col min="10756" max="10756" width="12.28515625" customWidth="1"/>
    <col min="10757" max="10757" width="13.85546875" customWidth="1"/>
    <col min="10758" max="10758" width="10" bestFit="1" customWidth="1"/>
    <col min="10759" max="10759" width="8.7109375" bestFit="1" customWidth="1"/>
    <col min="10760" max="10760" width="9.85546875" customWidth="1"/>
    <col min="10761" max="10761" width="8.5703125" bestFit="1" customWidth="1"/>
    <col min="10762" max="10763" width="8" customWidth="1"/>
    <col min="10764" max="10764" width="14.42578125" customWidth="1"/>
    <col min="10765" max="10765" width="10" bestFit="1" customWidth="1"/>
    <col min="10766" max="10766" width="10.5703125" bestFit="1" customWidth="1"/>
    <col min="10767" max="10767" width="9.28515625" bestFit="1" customWidth="1"/>
    <col min="11009" max="11009" width="17.85546875" customWidth="1"/>
    <col min="11010" max="11010" width="18.7109375" customWidth="1"/>
    <col min="11011" max="11011" width="24.28515625" customWidth="1"/>
    <col min="11012" max="11012" width="12.28515625" customWidth="1"/>
    <col min="11013" max="11013" width="13.85546875" customWidth="1"/>
    <col min="11014" max="11014" width="10" bestFit="1" customWidth="1"/>
    <col min="11015" max="11015" width="8.7109375" bestFit="1" customWidth="1"/>
    <col min="11016" max="11016" width="9.85546875" customWidth="1"/>
    <col min="11017" max="11017" width="8.5703125" bestFit="1" customWidth="1"/>
    <col min="11018" max="11019" width="8" customWidth="1"/>
    <col min="11020" max="11020" width="14.42578125" customWidth="1"/>
    <col min="11021" max="11021" width="10" bestFit="1" customWidth="1"/>
    <col min="11022" max="11022" width="10.5703125" bestFit="1" customWidth="1"/>
    <col min="11023" max="11023" width="9.28515625" bestFit="1" customWidth="1"/>
    <col min="11265" max="11265" width="17.85546875" customWidth="1"/>
    <col min="11266" max="11266" width="18.7109375" customWidth="1"/>
    <col min="11267" max="11267" width="24.28515625" customWidth="1"/>
    <col min="11268" max="11268" width="12.28515625" customWidth="1"/>
    <col min="11269" max="11269" width="13.85546875" customWidth="1"/>
    <col min="11270" max="11270" width="10" bestFit="1" customWidth="1"/>
    <col min="11271" max="11271" width="8.7109375" bestFit="1" customWidth="1"/>
    <col min="11272" max="11272" width="9.85546875" customWidth="1"/>
    <col min="11273" max="11273" width="8.5703125" bestFit="1" customWidth="1"/>
    <col min="11274" max="11275" width="8" customWidth="1"/>
    <col min="11276" max="11276" width="14.42578125" customWidth="1"/>
    <col min="11277" max="11277" width="10" bestFit="1" customWidth="1"/>
    <col min="11278" max="11278" width="10.5703125" bestFit="1" customWidth="1"/>
    <col min="11279" max="11279" width="9.28515625" bestFit="1" customWidth="1"/>
    <col min="11521" max="11521" width="17.85546875" customWidth="1"/>
    <col min="11522" max="11522" width="18.7109375" customWidth="1"/>
    <col min="11523" max="11523" width="24.28515625" customWidth="1"/>
    <col min="11524" max="11524" width="12.28515625" customWidth="1"/>
    <col min="11525" max="11525" width="13.85546875" customWidth="1"/>
    <col min="11526" max="11526" width="10" bestFit="1" customWidth="1"/>
    <col min="11527" max="11527" width="8.7109375" bestFit="1" customWidth="1"/>
    <col min="11528" max="11528" width="9.85546875" customWidth="1"/>
    <col min="11529" max="11529" width="8.5703125" bestFit="1" customWidth="1"/>
    <col min="11530" max="11531" width="8" customWidth="1"/>
    <col min="11532" max="11532" width="14.42578125" customWidth="1"/>
    <col min="11533" max="11533" width="10" bestFit="1" customWidth="1"/>
    <col min="11534" max="11534" width="10.5703125" bestFit="1" customWidth="1"/>
    <col min="11535" max="11535" width="9.28515625" bestFit="1" customWidth="1"/>
    <col min="11777" max="11777" width="17.85546875" customWidth="1"/>
    <col min="11778" max="11778" width="18.7109375" customWidth="1"/>
    <col min="11779" max="11779" width="24.28515625" customWidth="1"/>
    <col min="11780" max="11780" width="12.28515625" customWidth="1"/>
    <col min="11781" max="11781" width="13.85546875" customWidth="1"/>
    <col min="11782" max="11782" width="10" bestFit="1" customWidth="1"/>
    <col min="11783" max="11783" width="8.7109375" bestFit="1" customWidth="1"/>
    <col min="11784" max="11784" width="9.85546875" customWidth="1"/>
    <col min="11785" max="11785" width="8.5703125" bestFit="1" customWidth="1"/>
    <col min="11786" max="11787" width="8" customWidth="1"/>
    <col min="11788" max="11788" width="14.42578125" customWidth="1"/>
    <col min="11789" max="11789" width="10" bestFit="1" customWidth="1"/>
    <col min="11790" max="11790" width="10.5703125" bestFit="1" customWidth="1"/>
    <col min="11791" max="11791" width="9.28515625" bestFit="1" customWidth="1"/>
    <col min="12033" max="12033" width="17.85546875" customWidth="1"/>
    <col min="12034" max="12034" width="18.7109375" customWidth="1"/>
    <col min="12035" max="12035" width="24.28515625" customWidth="1"/>
    <col min="12036" max="12036" width="12.28515625" customWidth="1"/>
    <col min="12037" max="12037" width="13.85546875" customWidth="1"/>
    <col min="12038" max="12038" width="10" bestFit="1" customWidth="1"/>
    <col min="12039" max="12039" width="8.7109375" bestFit="1" customWidth="1"/>
    <col min="12040" max="12040" width="9.85546875" customWidth="1"/>
    <col min="12041" max="12041" width="8.5703125" bestFit="1" customWidth="1"/>
    <col min="12042" max="12043" width="8" customWidth="1"/>
    <col min="12044" max="12044" width="14.42578125" customWidth="1"/>
    <col min="12045" max="12045" width="10" bestFit="1" customWidth="1"/>
    <col min="12046" max="12046" width="10.5703125" bestFit="1" customWidth="1"/>
    <col min="12047" max="12047" width="9.28515625" bestFit="1" customWidth="1"/>
    <col min="12289" max="12289" width="17.85546875" customWidth="1"/>
    <col min="12290" max="12290" width="18.7109375" customWidth="1"/>
    <col min="12291" max="12291" width="24.28515625" customWidth="1"/>
    <col min="12292" max="12292" width="12.28515625" customWidth="1"/>
    <col min="12293" max="12293" width="13.85546875" customWidth="1"/>
    <col min="12294" max="12294" width="10" bestFit="1" customWidth="1"/>
    <col min="12295" max="12295" width="8.7109375" bestFit="1" customWidth="1"/>
    <col min="12296" max="12296" width="9.85546875" customWidth="1"/>
    <col min="12297" max="12297" width="8.5703125" bestFit="1" customWidth="1"/>
    <col min="12298" max="12299" width="8" customWidth="1"/>
    <col min="12300" max="12300" width="14.42578125" customWidth="1"/>
    <col min="12301" max="12301" width="10" bestFit="1" customWidth="1"/>
    <col min="12302" max="12302" width="10.5703125" bestFit="1" customWidth="1"/>
    <col min="12303" max="12303" width="9.28515625" bestFit="1" customWidth="1"/>
    <col min="12545" max="12545" width="17.85546875" customWidth="1"/>
    <col min="12546" max="12546" width="18.7109375" customWidth="1"/>
    <col min="12547" max="12547" width="24.28515625" customWidth="1"/>
    <col min="12548" max="12548" width="12.28515625" customWidth="1"/>
    <col min="12549" max="12549" width="13.85546875" customWidth="1"/>
    <col min="12550" max="12550" width="10" bestFit="1" customWidth="1"/>
    <col min="12551" max="12551" width="8.7109375" bestFit="1" customWidth="1"/>
    <col min="12552" max="12552" width="9.85546875" customWidth="1"/>
    <col min="12553" max="12553" width="8.5703125" bestFit="1" customWidth="1"/>
    <col min="12554" max="12555" width="8" customWidth="1"/>
    <col min="12556" max="12556" width="14.42578125" customWidth="1"/>
    <col min="12557" max="12557" width="10" bestFit="1" customWidth="1"/>
    <col min="12558" max="12558" width="10.5703125" bestFit="1" customWidth="1"/>
    <col min="12559" max="12559" width="9.28515625" bestFit="1" customWidth="1"/>
    <col min="12801" max="12801" width="17.85546875" customWidth="1"/>
    <col min="12802" max="12802" width="18.7109375" customWidth="1"/>
    <col min="12803" max="12803" width="24.28515625" customWidth="1"/>
    <col min="12804" max="12804" width="12.28515625" customWidth="1"/>
    <col min="12805" max="12805" width="13.85546875" customWidth="1"/>
    <col min="12806" max="12806" width="10" bestFit="1" customWidth="1"/>
    <col min="12807" max="12807" width="8.7109375" bestFit="1" customWidth="1"/>
    <col min="12808" max="12808" width="9.85546875" customWidth="1"/>
    <col min="12809" max="12809" width="8.5703125" bestFit="1" customWidth="1"/>
    <col min="12810" max="12811" width="8" customWidth="1"/>
    <col min="12812" max="12812" width="14.42578125" customWidth="1"/>
    <col min="12813" max="12813" width="10" bestFit="1" customWidth="1"/>
    <col min="12814" max="12814" width="10.5703125" bestFit="1" customWidth="1"/>
    <col min="12815" max="12815" width="9.28515625" bestFit="1" customWidth="1"/>
    <col min="13057" max="13057" width="17.85546875" customWidth="1"/>
    <col min="13058" max="13058" width="18.7109375" customWidth="1"/>
    <col min="13059" max="13059" width="24.28515625" customWidth="1"/>
    <col min="13060" max="13060" width="12.28515625" customWidth="1"/>
    <col min="13061" max="13061" width="13.85546875" customWidth="1"/>
    <col min="13062" max="13062" width="10" bestFit="1" customWidth="1"/>
    <col min="13063" max="13063" width="8.7109375" bestFit="1" customWidth="1"/>
    <col min="13064" max="13064" width="9.85546875" customWidth="1"/>
    <col min="13065" max="13065" width="8.5703125" bestFit="1" customWidth="1"/>
    <col min="13066" max="13067" width="8" customWidth="1"/>
    <col min="13068" max="13068" width="14.42578125" customWidth="1"/>
    <col min="13069" max="13069" width="10" bestFit="1" customWidth="1"/>
    <col min="13070" max="13070" width="10.5703125" bestFit="1" customWidth="1"/>
    <col min="13071" max="13071" width="9.28515625" bestFit="1" customWidth="1"/>
    <col min="13313" max="13313" width="17.85546875" customWidth="1"/>
    <col min="13314" max="13314" width="18.7109375" customWidth="1"/>
    <col min="13315" max="13315" width="24.28515625" customWidth="1"/>
    <col min="13316" max="13316" width="12.28515625" customWidth="1"/>
    <col min="13317" max="13317" width="13.85546875" customWidth="1"/>
    <col min="13318" max="13318" width="10" bestFit="1" customWidth="1"/>
    <col min="13319" max="13319" width="8.7109375" bestFit="1" customWidth="1"/>
    <col min="13320" max="13320" width="9.85546875" customWidth="1"/>
    <col min="13321" max="13321" width="8.5703125" bestFit="1" customWidth="1"/>
    <col min="13322" max="13323" width="8" customWidth="1"/>
    <col min="13324" max="13324" width="14.42578125" customWidth="1"/>
    <col min="13325" max="13325" width="10" bestFit="1" customWidth="1"/>
    <col min="13326" max="13326" width="10.5703125" bestFit="1" customWidth="1"/>
    <col min="13327" max="13327" width="9.28515625" bestFit="1" customWidth="1"/>
    <col min="13569" max="13569" width="17.85546875" customWidth="1"/>
    <col min="13570" max="13570" width="18.7109375" customWidth="1"/>
    <col min="13571" max="13571" width="24.28515625" customWidth="1"/>
    <col min="13572" max="13572" width="12.28515625" customWidth="1"/>
    <col min="13573" max="13573" width="13.85546875" customWidth="1"/>
    <col min="13574" max="13574" width="10" bestFit="1" customWidth="1"/>
    <col min="13575" max="13575" width="8.7109375" bestFit="1" customWidth="1"/>
    <col min="13576" max="13576" width="9.85546875" customWidth="1"/>
    <col min="13577" max="13577" width="8.5703125" bestFit="1" customWidth="1"/>
    <col min="13578" max="13579" width="8" customWidth="1"/>
    <col min="13580" max="13580" width="14.42578125" customWidth="1"/>
    <col min="13581" max="13581" width="10" bestFit="1" customWidth="1"/>
    <col min="13582" max="13582" width="10.5703125" bestFit="1" customWidth="1"/>
    <col min="13583" max="13583" width="9.28515625" bestFit="1" customWidth="1"/>
    <col min="13825" max="13825" width="17.85546875" customWidth="1"/>
    <col min="13826" max="13826" width="18.7109375" customWidth="1"/>
    <col min="13827" max="13827" width="24.28515625" customWidth="1"/>
    <col min="13828" max="13828" width="12.28515625" customWidth="1"/>
    <col min="13829" max="13829" width="13.85546875" customWidth="1"/>
    <col min="13830" max="13830" width="10" bestFit="1" customWidth="1"/>
    <col min="13831" max="13831" width="8.7109375" bestFit="1" customWidth="1"/>
    <col min="13832" max="13832" width="9.85546875" customWidth="1"/>
    <col min="13833" max="13833" width="8.5703125" bestFit="1" customWidth="1"/>
    <col min="13834" max="13835" width="8" customWidth="1"/>
    <col min="13836" max="13836" width="14.42578125" customWidth="1"/>
    <col min="13837" max="13837" width="10" bestFit="1" customWidth="1"/>
    <col min="13838" max="13838" width="10.5703125" bestFit="1" customWidth="1"/>
    <col min="13839" max="13839" width="9.28515625" bestFit="1" customWidth="1"/>
    <col min="14081" max="14081" width="17.85546875" customWidth="1"/>
    <col min="14082" max="14082" width="18.7109375" customWidth="1"/>
    <col min="14083" max="14083" width="24.28515625" customWidth="1"/>
    <col min="14084" max="14084" width="12.28515625" customWidth="1"/>
    <col min="14085" max="14085" width="13.85546875" customWidth="1"/>
    <col min="14086" max="14086" width="10" bestFit="1" customWidth="1"/>
    <col min="14087" max="14087" width="8.7109375" bestFit="1" customWidth="1"/>
    <col min="14088" max="14088" width="9.85546875" customWidth="1"/>
    <col min="14089" max="14089" width="8.5703125" bestFit="1" customWidth="1"/>
    <col min="14090" max="14091" width="8" customWidth="1"/>
    <col min="14092" max="14092" width="14.42578125" customWidth="1"/>
    <col min="14093" max="14093" width="10" bestFit="1" customWidth="1"/>
    <col min="14094" max="14094" width="10.5703125" bestFit="1" customWidth="1"/>
    <col min="14095" max="14095" width="9.28515625" bestFit="1" customWidth="1"/>
    <col min="14337" max="14337" width="17.85546875" customWidth="1"/>
    <col min="14338" max="14338" width="18.7109375" customWidth="1"/>
    <col min="14339" max="14339" width="24.28515625" customWidth="1"/>
    <col min="14340" max="14340" width="12.28515625" customWidth="1"/>
    <col min="14341" max="14341" width="13.85546875" customWidth="1"/>
    <col min="14342" max="14342" width="10" bestFit="1" customWidth="1"/>
    <col min="14343" max="14343" width="8.7109375" bestFit="1" customWidth="1"/>
    <col min="14344" max="14344" width="9.85546875" customWidth="1"/>
    <col min="14345" max="14345" width="8.5703125" bestFit="1" customWidth="1"/>
    <col min="14346" max="14347" width="8" customWidth="1"/>
    <col min="14348" max="14348" width="14.42578125" customWidth="1"/>
    <col min="14349" max="14349" width="10" bestFit="1" customWidth="1"/>
    <col min="14350" max="14350" width="10.5703125" bestFit="1" customWidth="1"/>
    <col min="14351" max="14351" width="9.28515625" bestFit="1" customWidth="1"/>
    <col min="14593" max="14593" width="17.85546875" customWidth="1"/>
    <col min="14594" max="14594" width="18.7109375" customWidth="1"/>
    <col min="14595" max="14595" width="24.28515625" customWidth="1"/>
    <col min="14596" max="14596" width="12.28515625" customWidth="1"/>
    <col min="14597" max="14597" width="13.85546875" customWidth="1"/>
    <col min="14598" max="14598" width="10" bestFit="1" customWidth="1"/>
    <col min="14599" max="14599" width="8.7109375" bestFit="1" customWidth="1"/>
    <col min="14600" max="14600" width="9.85546875" customWidth="1"/>
    <col min="14601" max="14601" width="8.5703125" bestFit="1" customWidth="1"/>
    <col min="14602" max="14603" width="8" customWidth="1"/>
    <col min="14604" max="14604" width="14.42578125" customWidth="1"/>
    <col min="14605" max="14605" width="10" bestFit="1" customWidth="1"/>
    <col min="14606" max="14606" width="10.5703125" bestFit="1" customWidth="1"/>
    <col min="14607" max="14607" width="9.28515625" bestFit="1" customWidth="1"/>
    <col min="14849" max="14849" width="17.85546875" customWidth="1"/>
    <col min="14850" max="14850" width="18.7109375" customWidth="1"/>
    <col min="14851" max="14851" width="24.28515625" customWidth="1"/>
    <col min="14852" max="14852" width="12.28515625" customWidth="1"/>
    <col min="14853" max="14853" width="13.85546875" customWidth="1"/>
    <col min="14854" max="14854" width="10" bestFit="1" customWidth="1"/>
    <col min="14855" max="14855" width="8.7109375" bestFit="1" customWidth="1"/>
    <col min="14856" max="14856" width="9.85546875" customWidth="1"/>
    <col min="14857" max="14857" width="8.5703125" bestFit="1" customWidth="1"/>
    <col min="14858" max="14859" width="8" customWidth="1"/>
    <col min="14860" max="14860" width="14.42578125" customWidth="1"/>
    <col min="14861" max="14861" width="10" bestFit="1" customWidth="1"/>
    <col min="14862" max="14862" width="10.5703125" bestFit="1" customWidth="1"/>
    <col min="14863" max="14863" width="9.28515625" bestFit="1" customWidth="1"/>
    <col min="15105" max="15105" width="17.85546875" customWidth="1"/>
    <col min="15106" max="15106" width="18.7109375" customWidth="1"/>
    <col min="15107" max="15107" width="24.28515625" customWidth="1"/>
    <col min="15108" max="15108" width="12.28515625" customWidth="1"/>
    <col min="15109" max="15109" width="13.85546875" customWidth="1"/>
    <col min="15110" max="15110" width="10" bestFit="1" customWidth="1"/>
    <col min="15111" max="15111" width="8.7109375" bestFit="1" customWidth="1"/>
    <col min="15112" max="15112" width="9.85546875" customWidth="1"/>
    <col min="15113" max="15113" width="8.5703125" bestFit="1" customWidth="1"/>
    <col min="15114" max="15115" width="8" customWidth="1"/>
    <col min="15116" max="15116" width="14.42578125" customWidth="1"/>
    <col min="15117" max="15117" width="10" bestFit="1" customWidth="1"/>
    <col min="15118" max="15118" width="10.5703125" bestFit="1" customWidth="1"/>
    <col min="15119" max="15119" width="9.28515625" bestFit="1" customWidth="1"/>
    <col min="15361" max="15361" width="17.85546875" customWidth="1"/>
    <col min="15362" max="15362" width="18.7109375" customWidth="1"/>
    <col min="15363" max="15363" width="24.28515625" customWidth="1"/>
    <col min="15364" max="15364" width="12.28515625" customWidth="1"/>
    <col min="15365" max="15365" width="13.85546875" customWidth="1"/>
    <col min="15366" max="15366" width="10" bestFit="1" customWidth="1"/>
    <col min="15367" max="15367" width="8.7109375" bestFit="1" customWidth="1"/>
    <col min="15368" max="15368" width="9.85546875" customWidth="1"/>
    <col min="15369" max="15369" width="8.5703125" bestFit="1" customWidth="1"/>
    <col min="15370" max="15371" width="8" customWidth="1"/>
    <col min="15372" max="15372" width="14.42578125" customWidth="1"/>
    <col min="15373" max="15373" width="10" bestFit="1" customWidth="1"/>
    <col min="15374" max="15374" width="10.5703125" bestFit="1" customWidth="1"/>
    <col min="15375" max="15375" width="9.28515625" bestFit="1" customWidth="1"/>
    <col min="15617" max="15617" width="17.85546875" customWidth="1"/>
    <col min="15618" max="15618" width="18.7109375" customWidth="1"/>
    <col min="15619" max="15619" width="24.28515625" customWidth="1"/>
    <col min="15620" max="15620" width="12.28515625" customWidth="1"/>
    <col min="15621" max="15621" width="13.85546875" customWidth="1"/>
    <col min="15622" max="15622" width="10" bestFit="1" customWidth="1"/>
    <col min="15623" max="15623" width="8.7109375" bestFit="1" customWidth="1"/>
    <col min="15624" max="15624" width="9.85546875" customWidth="1"/>
    <col min="15625" max="15625" width="8.5703125" bestFit="1" customWidth="1"/>
    <col min="15626" max="15627" width="8" customWidth="1"/>
    <col min="15628" max="15628" width="14.42578125" customWidth="1"/>
    <col min="15629" max="15629" width="10" bestFit="1" customWidth="1"/>
    <col min="15630" max="15630" width="10.5703125" bestFit="1" customWidth="1"/>
    <col min="15631" max="15631" width="9.28515625" bestFit="1" customWidth="1"/>
    <col min="15873" max="15873" width="17.85546875" customWidth="1"/>
    <col min="15874" max="15874" width="18.7109375" customWidth="1"/>
    <col min="15875" max="15875" width="24.28515625" customWidth="1"/>
    <col min="15876" max="15876" width="12.28515625" customWidth="1"/>
    <col min="15877" max="15877" width="13.85546875" customWidth="1"/>
    <col min="15878" max="15878" width="10" bestFit="1" customWidth="1"/>
    <col min="15879" max="15879" width="8.7109375" bestFit="1" customWidth="1"/>
    <col min="15880" max="15880" width="9.85546875" customWidth="1"/>
    <col min="15881" max="15881" width="8.5703125" bestFit="1" customWidth="1"/>
    <col min="15882" max="15883" width="8" customWidth="1"/>
    <col min="15884" max="15884" width="14.42578125" customWidth="1"/>
    <col min="15885" max="15885" width="10" bestFit="1" customWidth="1"/>
    <col min="15886" max="15886" width="10.5703125" bestFit="1" customWidth="1"/>
    <col min="15887" max="15887" width="9.28515625" bestFit="1" customWidth="1"/>
    <col min="16129" max="16129" width="17.85546875" customWidth="1"/>
    <col min="16130" max="16130" width="18.7109375" customWidth="1"/>
    <col min="16131" max="16131" width="24.28515625" customWidth="1"/>
    <col min="16132" max="16132" width="12.28515625" customWidth="1"/>
    <col min="16133" max="16133" width="13.85546875" customWidth="1"/>
    <col min="16134" max="16134" width="10" bestFit="1" customWidth="1"/>
    <col min="16135" max="16135" width="8.7109375" bestFit="1" customWidth="1"/>
    <col min="16136" max="16136" width="9.85546875" customWidth="1"/>
    <col min="16137" max="16137" width="8.5703125" bestFit="1" customWidth="1"/>
    <col min="16138" max="16139" width="8" customWidth="1"/>
    <col min="16140" max="16140" width="14.42578125" customWidth="1"/>
    <col min="16141" max="16141" width="10" bestFit="1" customWidth="1"/>
    <col min="16142" max="16142" width="10.5703125" bestFit="1" customWidth="1"/>
    <col min="16143" max="16143" width="9.28515625" bestFit="1" customWidth="1"/>
  </cols>
  <sheetData>
    <row r="1" spans="1:13">
      <c r="B1" s="1019" t="s">
        <v>1216</v>
      </c>
      <c r="C1" s="1019"/>
      <c r="D1" s="1019"/>
      <c r="E1" s="1019"/>
      <c r="F1" s="1019"/>
      <c r="G1" s="1019"/>
    </row>
    <row r="2" spans="1:13">
      <c r="B2" s="1019" t="s">
        <v>1215</v>
      </c>
      <c r="C2" s="1019"/>
      <c r="D2" s="1019"/>
      <c r="E2" s="1019"/>
    </row>
    <row r="3" spans="1:13" ht="48.75">
      <c r="A3" s="112" t="s">
        <v>1214</v>
      </c>
      <c r="B3" s="103" t="s">
        <v>1280</v>
      </c>
      <c r="C3" s="112" t="s">
        <v>1212</v>
      </c>
      <c r="D3" s="104">
        <v>904280201</v>
      </c>
      <c r="E3" s="112" t="s">
        <v>1211</v>
      </c>
      <c r="F3" s="104">
        <v>691.70399999999995</v>
      </c>
      <c r="G3" s="112" t="s">
        <v>1210</v>
      </c>
      <c r="H3" s="103">
        <v>80</v>
      </c>
      <c r="I3" s="111"/>
      <c r="J3" s="111"/>
      <c r="K3" s="111"/>
      <c r="L3" s="111"/>
    </row>
    <row r="4" spans="1:13">
      <c r="A4" s="808" t="s">
        <v>4176</v>
      </c>
      <c r="B4" s="808"/>
      <c r="C4" s="808"/>
      <c r="D4" s="112"/>
      <c r="E4" s="112"/>
      <c r="F4" s="112"/>
      <c r="G4" s="112"/>
      <c r="H4" s="111"/>
      <c r="I4" s="111"/>
      <c r="J4" s="111"/>
      <c r="K4" s="111"/>
      <c r="L4" s="111"/>
    </row>
    <row r="5" spans="1:13" ht="24.75">
      <c r="A5" s="112" t="s">
        <v>832</v>
      </c>
      <c r="B5" s="103" t="s">
        <v>1279</v>
      </c>
      <c r="C5" s="112" t="s">
        <v>1208</v>
      </c>
      <c r="D5" s="104" t="s">
        <v>1278</v>
      </c>
      <c r="E5" s="112"/>
      <c r="F5" s="112"/>
      <c r="G5" s="112"/>
      <c r="H5" s="111"/>
      <c r="I5" s="111"/>
      <c r="J5" s="111"/>
      <c r="K5" s="111"/>
      <c r="L5" s="111"/>
    </row>
    <row r="6" spans="1:13">
      <c r="A6" s="112"/>
      <c r="B6" s="111"/>
      <c r="C6" s="112"/>
      <c r="D6" s="112"/>
      <c r="E6" s="112"/>
      <c r="F6" s="112"/>
      <c r="G6" s="112"/>
      <c r="H6" s="111"/>
      <c r="I6" s="111"/>
      <c r="J6" s="111"/>
      <c r="K6" s="111"/>
      <c r="L6" s="111"/>
    </row>
    <row r="7" spans="1:13" ht="24.75">
      <c r="A7" s="112" t="s">
        <v>618</v>
      </c>
      <c r="B7" s="116" t="s">
        <v>1277</v>
      </c>
      <c r="C7" s="115" t="s">
        <v>1206</v>
      </c>
      <c r="D7" s="104">
        <v>8996722125</v>
      </c>
      <c r="E7" s="112"/>
      <c r="F7" s="112"/>
      <c r="G7" s="115"/>
      <c r="H7" s="111"/>
      <c r="I7" s="111"/>
      <c r="J7" s="111"/>
      <c r="K7" s="111"/>
      <c r="L7" s="111"/>
    </row>
    <row r="8" spans="1:13">
      <c r="A8" s="112"/>
      <c r="B8" s="111"/>
      <c r="C8" s="112"/>
      <c r="D8" s="112"/>
      <c r="E8" s="112"/>
      <c r="F8" s="112"/>
      <c r="G8" s="112"/>
      <c r="H8" s="111"/>
      <c r="I8" s="111"/>
      <c r="J8" s="111"/>
      <c r="K8" s="111"/>
      <c r="L8" s="111"/>
    </row>
    <row r="9" spans="1:13" ht="24.75">
      <c r="A9" s="104" t="s">
        <v>838</v>
      </c>
      <c r="B9" s="103" t="s">
        <v>1270</v>
      </c>
      <c r="C9" s="104"/>
      <c r="D9" s="104"/>
      <c r="E9" s="104"/>
      <c r="F9" s="104"/>
      <c r="G9" s="112"/>
      <c r="H9" s="111"/>
      <c r="I9" s="111"/>
      <c r="J9" s="111"/>
      <c r="K9" s="111"/>
      <c r="L9" s="111"/>
    </row>
    <row r="10" spans="1:13" ht="24.75">
      <c r="A10" s="104" t="s">
        <v>1203</v>
      </c>
      <c r="B10" s="103" t="s">
        <v>1276</v>
      </c>
      <c r="C10" s="104"/>
      <c r="D10" s="104"/>
      <c r="E10" s="104"/>
      <c r="F10" s="104"/>
      <c r="G10" s="112"/>
      <c r="H10" s="111"/>
      <c r="I10" s="111"/>
      <c r="J10" s="111"/>
      <c r="K10" s="111"/>
      <c r="L10" s="111"/>
    </row>
    <row r="11" spans="1:13" ht="24.75">
      <c r="A11" s="104" t="s">
        <v>1202</v>
      </c>
      <c r="B11" s="103" t="s">
        <v>1275</v>
      </c>
      <c r="C11" s="104" t="s">
        <v>1274</v>
      </c>
      <c r="D11" s="104" t="s">
        <v>1273</v>
      </c>
      <c r="E11" s="104" t="s">
        <v>1272</v>
      </c>
      <c r="F11" s="114" t="s">
        <v>1271</v>
      </c>
      <c r="G11" s="112"/>
      <c r="H11" s="111"/>
      <c r="I11" s="111"/>
      <c r="J11" s="111"/>
      <c r="K11" s="111"/>
      <c r="L11" s="111"/>
    </row>
    <row r="12" spans="1:13" ht="24.75">
      <c r="A12" s="104" t="s">
        <v>1196</v>
      </c>
      <c r="B12" s="103" t="s">
        <v>1101</v>
      </c>
      <c r="C12" s="104"/>
      <c r="D12" s="104"/>
      <c r="E12" s="104"/>
      <c r="F12" s="104"/>
      <c r="G12" s="112"/>
      <c r="H12" s="111"/>
      <c r="I12" s="111"/>
      <c r="J12" s="111"/>
      <c r="K12" s="111"/>
      <c r="L12" s="111"/>
    </row>
    <row r="13" spans="1:13">
      <c r="A13" s="112"/>
      <c r="B13" s="111"/>
      <c r="C13" s="112"/>
      <c r="D13" s="112"/>
      <c r="E13" s="112"/>
      <c r="F13" s="112"/>
      <c r="G13" s="112"/>
      <c r="H13" s="111"/>
      <c r="I13" s="111"/>
      <c r="J13" s="111"/>
      <c r="K13" s="111"/>
      <c r="L13" s="111"/>
    </row>
    <row r="14" spans="1:13" ht="24.75">
      <c r="A14" s="112" t="s">
        <v>1194</v>
      </c>
      <c r="B14" s="111" t="s">
        <v>1270</v>
      </c>
      <c r="C14" s="112" t="s">
        <v>1193</v>
      </c>
      <c r="D14" s="104" t="s">
        <v>1269</v>
      </c>
      <c r="E14" s="112" t="s">
        <v>643</v>
      </c>
      <c r="F14" s="104">
        <v>6</v>
      </c>
      <c r="G14" s="112" t="s">
        <v>644</v>
      </c>
      <c r="H14" s="103">
        <v>1</v>
      </c>
      <c r="I14" s="111" t="s">
        <v>645</v>
      </c>
      <c r="J14" s="103">
        <f>240+34+15+4+187</f>
        <v>480</v>
      </c>
      <c r="K14" s="111"/>
      <c r="L14" s="111"/>
    </row>
    <row r="15" spans="1:13" ht="24.75">
      <c r="A15" s="112" t="s">
        <v>1192</v>
      </c>
      <c r="B15" s="111" t="s">
        <v>204</v>
      </c>
      <c r="C15" s="104">
        <v>78</v>
      </c>
      <c r="D15" s="112" t="s">
        <v>205</v>
      </c>
      <c r="E15" s="104">
        <v>0</v>
      </c>
      <c r="F15" s="112" t="s">
        <v>206</v>
      </c>
      <c r="G15" s="104">
        <v>0</v>
      </c>
      <c r="H15" s="111" t="s">
        <v>230</v>
      </c>
      <c r="I15" s="103">
        <f>G15+E15+C15</f>
        <v>78</v>
      </c>
      <c r="J15" s="111" t="s">
        <v>207</v>
      </c>
      <c r="K15" s="103">
        <v>5</v>
      </c>
      <c r="L15" s="112" t="s">
        <v>855</v>
      </c>
      <c r="M15" s="80">
        <v>17</v>
      </c>
    </row>
    <row r="16" spans="1:13" ht="24.75">
      <c r="A16" s="112" t="s">
        <v>1191</v>
      </c>
      <c r="B16" s="111" t="s">
        <v>210</v>
      </c>
      <c r="C16" s="104">
        <v>189</v>
      </c>
      <c r="D16" s="112" t="s">
        <v>211</v>
      </c>
      <c r="E16" s="104"/>
      <c r="F16" s="112" t="s">
        <v>212</v>
      </c>
      <c r="G16" s="104"/>
      <c r="H16" s="111" t="s">
        <v>411</v>
      </c>
      <c r="I16" s="103">
        <f>G16+E16+C16</f>
        <v>189</v>
      </c>
      <c r="J16" s="111"/>
      <c r="K16" s="103"/>
      <c r="L16" s="111"/>
    </row>
    <row r="17" spans="1:14" ht="24.75">
      <c r="A17" s="112"/>
      <c r="B17" s="111" t="s">
        <v>213</v>
      </c>
      <c r="C17" s="104">
        <v>218</v>
      </c>
      <c r="D17" s="112" t="s">
        <v>214</v>
      </c>
      <c r="E17" s="104"/>
      <c r="F17" s="112" t="s">
        <v>215</v>
      </c>
      <c r="G17" s="104"/>
      <c r="H17" s="111" t="s">
        <v>410</v>
      </c>
      <c r="I17" s="103">
        <f>G17+E17+C17</f>
        <v>218</v>
      </c>
      <c r="J17" s="111"/>
      <c r="K17" s="103"/>
      <c r="L17" s="111"/>
    </row>
    <row r="18" spans="1:14">
      <c r="A18" s="112"/>
      <c r="B18" s="111"/>
      <c r="C18" s="112"/>
      <c r="D18" s="112"/>
      <c r="E18" s="112"/>
      <c r="F18" s="112"/>
      <c r="G18" s="112"/>
      <c r="H18" s="111"/>
      <c r="I18" s="111"/>
      <c r="J18" s="111"/>
      <c r="K18" s="111"/>
      <c r="L18" s="111"/>
    </row>
    <row r="19" spans="1:14">
      <c r="A19" s="113" t="s">
        <v>409</v>
      </c>
      <c r="B19" s="111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>
      <c r="A20" s="1020" t="s">
        <v>1190</v>
      </c>
      <c r="B20" s="1021" t="s">
        <v>1189</v>
      </c>
      <c r="C20" s="1020" t="s">
        <v>1188</v>
      </c>
      <c r="D20" s="1020" t="s">
        <v>1187</v>
      </c>
      <c r="E20" s="1020" t="s">
        <v>1186</v>
      </c>
      <c r="F20" s="1022" t="s">
        <v>1185</v>
      </c>
      <c r="G20" s="1023"/>
      <c r="H20" s="1023"/>
      <c r="I20" s="1023"/>
      <c r="J20" s="1023"/>
      <c r="K20" s="1023"/>
      <c r="L20" s="1023"/>
      <c r="M20" s="1023"/>
      <c r="N20" s="1024"/>
    </row>
    <row r="21" spans="1:14">
      <c r="A21" s="1020"/>
      <c r="B21" s="1021"/>
      <c r="C21" s="1020"/>
      <c r="D21" s="1020"/>
      <c r="E21" s="1020"/>
      <c r="F21" s="104" t="s">
        <v>1184</v>
      </c>
      <c r="G21" s="104" t="s">
        <v>1183</v>
      </c>
      <c r="H21" s="104" t="s">
        <v>1182</v>
      </c>
      <c r="I21" s="103" t="s">
        <v>1181</v>
      </c>
      <c r="J21" s="103" t="s">
        <v>1180</v>
      </c>
      <c r="K21" s="103" t="s">
        <v>1179</v>
      </c>
      <c r="L21" s="103" t="s">
        <v>1178</v>
      </c>
      <c r="M21" s="110" t="s">
        <v>230</v>
      </c>
      <c r="N21" s="109" t="s">
        <v>231</v>
      </c>
    </row>
    <row r="22" spans="1:14" ht="24.75">
      <c r="A22" s="104" t="s">
        <v>232</v>
      </c>
      <c r="B22" s="103">
        <v>8000</v>
      </c>
      <c r="C22" s="5" t="s">
        <v>1175</v>
      </c>
      <c r="D22" s="106">
        <f>+B22*F3/100000</f>
        <v>55.336320000000001</v>
      </c>
      <c r="E22" s="108">
        <f>5533632/100000</f>
        <v>55.336320000000001</v>
      </c>
      <c r="F22" s="100">
        <v>0</v>
      </c>
      <c r="G22" s="100">
        <f>11514/100000</f>
        <v>0.11514000000000001</v>
      </c>
      <c r="H22" s="100">
        <f>749478/100000</f>
        <v>7.4947800000000004</v>
      </c>
      <c r="I22" s="100">
        <f>716321/100000</f>
        <v>7.1632100000000003</v>
      </c>
      <c r="J22" s="100">
        <f>2774449/100000</f>
        <v>27.744489999999999</v>
      </c>
      <c r="K22" s="100">
        <f>1281870/100000</f>
        <v>12.8187</v>
      </c>
      <c r="L22" s="100">
        <v>0</v>
      </c>
      <c r="M22" s="99">
        <f>SUM(F22:L22)</f>
        <v>55.336320000000001</v>
      </c>
      <c r="N22" s="98">
        <f>ROUND(M22/E22*100,0)</f>
        <v>100</v>
      </c>
    </row>
    <row r="23" spans="1:14" ht="24.75">
      <c r="A23" s="104" t="s">
        <v>234</v>
      </c>
      <c r="B23" s="103">
        <v>7000</v>
      </c>
      <c r="C23" s="102" t="s">
        <v>1175</v>
      </c>
      <c r="D23" s="106">
        <f>+B23*80/100000</f>
        <v>5.6</v>
      </c>
      <c r="E23" s="108">
        <f>560000/100000</f>
        <v>5.6</v>
      </c>
      <c r="F23" s="100">
        <v>0</v>
      </c>
      <c r="G23" s="100">
        <v>0</v>
      </c>
      <c r="H23" s="100">
        <v>0</v>
      </c>
      <c r="I23" s="100">
        <v>0</v>
      </c>
      <c r="J23" s="100">
        <f>19650/100000</f>
        <v>0.19650000000000001</v>
      </c>
      <c r="K23" s="100">
        <f>254150/100000</f>
        <v>2.5415000000000001</v>
      </c>
      <c r="L23" s="100">
        <f>286200/100000</f>
        <v>2.8620000000000001</v>
      </c>
      <c r="M23" s="105">
        <f t="shared" ref="M23:M29" si="0">SUM(F23:L23)</f>
        <v>5.6</v>
      </c>
      <c r="N23" s="98">
        <f t="shared" ref="N23:N29" si="1">ROUND(M23/E23*100,0)</f>
        <v>100</v>
      </c>
    </row>
    <row r="24" spans="1:14" ht="36.75">
      <c r="A24" s="104" t="s">
        <v>235</v>
      </c>
      <c r="B24" s="103">
        <v>86</v>
      </c>
      <c r="C24" s="102" t="s">
        <v>236</v>
      </c>
      <c r="D24" s="108">
        <v>0.43</v>
      </c>
      <c r="E24" s="108">
        <f>43000/100000</f>
        <v>0.43</v>
      </c>
      <c r="F24" s="100">
        <v>0</v>
      </c>
      <c r="G24" s="100">
        <v>0</v>
      </c>
      <c r="H24" s="100">
        <v>0</v>
      </c>
      <c r="I24" s="100">
        <f>18000/100000</f>
        <v>0.18</v>
      </c>
      <c r="J24" s="100">
        <f>15000/100000</f>
        <v>0.15</v>
      </c>
      <c r="K24" s="100">
        <f>10000/100000</f>
        <v>0.1</v>
      </c>
      <c r="L24" s="100">
        <f>20000/100000</f>
        <v>0.2</v>
      </c>
      <c r="M24" s="105">
        <f t="shared" si="0"/>
        <v>0.62999999999999989</v>
      </c>
      <c r="N24" s="98">
        <f t="shared" si="1"/>
        <v>147</v>
      </c>
    </row>
    <row r="25" spans="1:14" ht="36.75">
      <c r="A25" s="104" t="s">
        <v>237</v>
      </c>
      <c r="B25" s="103">
        <v>68</v>
      </c>
      <c r="C25" s="102" t="s">
        <v>236</v>
      </c>
      <c r="D25" s="108">
        <v>0.34</v>
      </c>
      <c r="E25" s="108">
        <f>34000/100000</f>
        <v>0.34</v>
      </c>
      <c r="F25" s="100">
        <v>0</v>
      </c>
      <c r="G25" s="100">
        <v>0</v>
      </c>
      <c r="H25" s="100">
        <v>0</v>
      </c>
      <c r="I25" s="100">
        <f>16224/100000</f>
        <v>0.16224</v>
      </c>
      <c r="J25" s="100">
        <f>11776/100000</f>
        <v>0.11776</v>
      </c>
      <c r="K25" s="100">
        <f>6000/100000</f>
        <v>0.06</v>
      </c>
      <c r="L25" s="100">
        <v>0</v>
      </c>
      <c r="M25" s="105">
        <f t="shared" si="0"/>
        <v>0.34</v>
      </c>
      <c r="N25" s="98">
        <f t="shared" si="1"/>
        <v>100</v>
      </c>
    </row>
    <row r="26" spans="1:14" ht="24.75">
      <c r="A26" s="104" t="s">
        <v>238</v>
      </c>
      <c r="B26" s="103">
        <v>1200</v>
      </c>
      <c r="C26" s="102" t="s">
        <v>1175</v>
      </c>
      <c r="D26" s="106">
        <f>ROUND((+B26*F3),0)/100000</f>
        <v>8.3004499999999997</v>
      </c>
      <c r="E26" s="108">
        <f>830045/100000</f>
        <v>8.3004499999999997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f>477282/100000</f>
        <v>4.7728200000000003</v>
      </c>
      <c r="L26" s="100">
        <f>291250/100000</f>
        <v>2.9125000000000001</v>
      </c>
      <c r="M26" s="105">
        <f t="shared" si="0"/>
        <v>7.6853200000000008</v>
      </c>
      <c r="N26" s="98">
        <f t="shared" si="1"/>
        <v>93</v>
      </c>
    </row>
    <row r="27" spans="1:14" ht="24.75">
      <c r="A27" s="104" t="s">
        <v>667</v>
      </c>
      <c r="B27" s="103">
        <v>565</v>
      </c>
      <c r="C27" s="102" t="s">
        <v>1175</v>
      </c>
      <c r="D27" s="106">
        <f>ROUND((+B27*F3),0)/100000</f>
        <v>3.9081299999999999</v>
      </c>
      <c r="E27" s="108">
        <f>390813/100000</f>
        <v>3.9081299999999999</v>
      </c>
      <c r="F27" s="100">
        <v>0</v>
      </c>
      <c r="G27" s="100">
        <v>0</v>
      </c>
      <c r="H27" s="100">
        <v>0</v>
      </c>
      <c r="I27" s="100">
        <f>26725/100000</f>
        <v>0.26724999999999999</v>
      </c>
      <c r="J27" s="100">
        <f>364088/100000</f>
        <v>3.6408800000000001</v>
      </c>
      <c r="K27" s="100"/>
      <c r="L27" s="100">
        <v>0</v>
      </c>
      <c r="M27" s="107">
        <f t="shared" si="0"/>
        <v>3.9081299999999999</v>
      </c>
      <c r="N27" s="98">
        <f t="shared" si="1"/>
        <v>100</v>
      </c>
    </row>
    <row r="28" spans="1:14" ht="24.75">
      <c r="A28" s="104" t="s">
        <v>1176</v>
      </c>
      <c r="B28" s="103">
        <v>1000</v>
      </c>
      <c r="C28" s="102" t="s">
        <v>1175</v>
      </c>
      <c r="D28" s="106">
        <f>+B28*F3/100000</f>
        <v>6.9170400000000001</v>
      </c>
      <c r="E28" s="101">
        <f>691704/100000</f>
        <v>6.9170400000000001</v>
      </c>
      <c r="F28" s="100">
        <v>0</v>
      </c>
      <c r="G28" s="100">
        <v>0</v>
      </c>
      <c r="H28" s="100">
        <f>75000/100000</f>
        <v>0.75</v>
      </c>
      <c r="I28" s="100">
        <f>25000/100000</f>
        <v>0.25</v>
      </c>
      <c r="J28" s="100">
        <v>0</v>
      </c>
      <c r="K28" s="100">
        <f>143578/100000</f>
        <v>1.4357800000000001</v>
      </c>
      <c r="L28" s="100">
        <f>403126/100000</f>
        <v>4.0312599999999996</v>
      </c>
      <c r="M28" s="99">
        <f t="shared" si="0"/>
        <v>6.4670399999999999</v>
      </c>
      <c r="N28" s="98">
        <f t="shared" si="1"/>
        <v>93</v>
      </c>
    </row>
    <row r="29" spans="1:14" ht="24.75">
      <c r="A29" s="104" t="s">
        <v>394</v>
      </c>
      <c r="B29" s="103">
        <v>2750</v>
      </c>
      <c r="C29" s="102" t="s">
        <v>242</v>
      </c>
      <c r="D29" s="101">
        <v>1.92</v>
      </c>
      <c r="E29" s="101">
        <f>192000/100000</f>
        <v>1.92</v>
      </c>
      <c r="F29" s="100">
        <v>0</v>
      </c>
      <c r="G29" s="100">
        <v>0</v>
      </c>
      <c r="H29" s="100">
        <f>28540/100000</f>
        <v>0.28539999999999999</v>
      </c>
      <c r="I29" s="100">
        <f>64422/100000</f>
        <v>0.64422000000000001</v>
      </c>
      <c r="J29" s="100">
        <f>30750/100000</f>
        <v>0.3075</v>
      </c>
      <c r="K29" s="100">
        <f>34460/100000</f>
        <v>0.34460000000000002</v>
      </c>
      <c r="L29" s="100">
        <f>17301/100000</f>
        <v>0.17301</v>
      </c>
      <c r="M29" s="99">
        <f t="shared" si="0"/>
        <v>1.7547299999999999</v>
      </c>
      <c r="N29" s="98">
        <f t="shared" si="1"/>
        <v>91</v>
      </c>
    </row>
    <row r="30" spans="1:14">
      <c r="A30" s="104" t="s">
        <v>230</v>
      </c>
      <c r="B30" s="103"/>
      <c r="C30" s="104"/>
      <c r="D30" s="106">
        <f t="shared" ref="D30:M30" si="2">SUM(D22:D29)</f>
        <v>82.751940000000005</v>
      </c>
      <c r="E30" s="106">
        <f t="shared" si="2"/>
        <v>82.751940000000005</v>
      </c>
      <c r="F30" s="136">
        <f t="shared" si="2"/>
        <v>0</v>
      </c>
      <c r="G30" s="136">
        <f t="shared" si="2"/>
        <v>0.11514000000000001</v>
      </c>
      <c r="H30" s="136">
        <f t="shared" si="2"/>
        <v>8.5301799999999997</v>
      </c>
      <c r="I30" s="136">
        <f t="shared" si="2"/>
        <v>8.6669200000000011</v>
      </c>
      <c r="J30" s="136">
        <f t="shared" si="2"/>
        <v>32.157129999999995</v>
      </c>
      <c r="K30" s="136">
        <f t="shared" si="2"/>
        <v>22.073399999999999</v>
      </c>
      <c r="L30" s="136">
        <f t="shared" si="2"/>
        <v>10.17877</v>
      </c>
      <c r="M30" s="136">
        <f t="shared" si="2"/>
        <v>81.721540000000005</v>
      </c>
      <c r="N30" s="98">
        <f>ROUND(M30/E30*100,0)</f>
        <v>99</v>
      </c>
    </row>
    <row r="33" spans="1:14">
      <c r="A33" s="1025" t="s">
        <v>1217</v>
      </c>
      <c r="B33" s="1025"/>
      <c r="C33" s="1025"/>
      <c r="D33" s="1025"/>
      <c r="E33" s="1025"/>
      <c r="F33" s="1025"/>
      <c r="G33" s="1025"/>
      <c r="H33" s="1025"/>
      <c r="I33" s="1025"/>
      <c r="J33" s="1025"/>
      <c r="K33" s="1025"/>
      <c r="L33" s="1025"/>
      <c r="M33" s="1025"/>
      <c r="N33" s="1025"/>
    </row>
  </sheetData>
  <mergeCells count="10">
    <mergeCell ref="A33:N33"/>
    <mergeCell ref="B1:G1"/>
    <mergeCell ref="B2:E2"/>
    <mergeCell ref="A20:A21"/>
    <mergeCell ref="B20:B21"/>
    <mergeCell ref="C20:C21"/>
    <mergeCell ref="D20:D21"/>
    <mergeCell ref="E20:E21"/>
    <mergeCell ref="F20:N20"/>
    <mergeCell ref="A4:C4"/>
  </mergeCells>
  <hyperlinks>
    <hyperlink ref="A4" location="'Fact Sheet of VDC'!A1" display="&lt;&lt;Back"/>
  </hyperlinks>
  <pageMargins left="0.08" right="0.5" top="0.28999999999999998" bottom="0.52" header="0.25" footer="0.5"/>
  <pageSetup scale="72" orientation="landscape" horizontalDpi="300" verticalDpi="3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dimension ref="A2:N32"/>
  <sheetViews>
    <sheetView zoomScale="80" zoomScaleNormal="80" workbookViewId="0">
      <selection activeCell="A5" sqref="A5:C5"/>
    </sheetView>
  </sheetViews>
  <sheetFormatPr defaultRowHeight="15"/>
  <cols>
    <col min="1" max="1" width="25.5703125" customWidth="1"/>
    <col min="2" max="2" width="11.42578125" bestFit="1" customWidth="1"/>
    <col min="3" max="3" width="10.85546875" customWidth="1"/>
    <col min="4" max="4" width="12.85546875" customWidth="1"/>
    <col min="5" max="5" width="13.7109375" customWidth="1"/>
    <col min="6" max="6" width="13.85546875" customWidth="1"/>
    <col min="7" max="7" width="8.5703125" bestFit="1" customWidth="1"/>
    <col min="8" max="8" width="10" bestFit="1" customWidth="1"/>
    <col min="9" max="11" width="8.5703125" bestFit="1" customWidth="1"/>
    <col min="12" max="12" width="10.7109375" customWidth="1"/>
    <col min="13" max="13" width="9.85546875" bestFit="1" customWidth="1"/>
    <col min="14" max="14" width="9.42578125" customWidth="1"/>
    <col min="15" max="15" width="9.28515625" bestFit="1" customWidth="1"/>
    <col min="257" max="257" width="25.5703125" customWidth="1"/>
    <col min="258" max="258" width="11.42578125" bestFit="1" customWidth="1"/>
    <col min="259" max="259" width="10.85546875" customWidth="1"/>
    <col min="260" max="260" width="12.85546875" customWidth="1"/>
    <col min="261" max="261" width="13.7109375" customWidth="1"/>
    <col min="262" max="262" width="13.85546875" customWidth="1"/>
    <col min="263" max="263" width="8.5703125" bestFit="1" customWidth="1"/>
    <col min="264" max="264" width="10" bestFit="1" customWidth="1"/>
    <col min="265" max="267" width="8.5703125" bestFit="1" customWidth="1"/>
    <col min="268" max="268" width="10.7109375" customWidth="1"/>
    <col min="269" max="269" width="9.85546875" bestFit="1" customWidth="1"/>
    <col min="270" max="270" width="9.42578125" customWidth="1"/>
    <col min="271" max="271" width="9.28515625" bestFit="1" customWidth="1"/>
    <col min="513" max="513" width="25.5703125" customWidth="1"/>
    <col min="514" max="514" width="11.42578125" bestFit="1" customWidth="1"/>
    <col min="515" max="515" width="10.85546875" customWidth="1"/>
    <col min="516" max="516" width="12.85546875" customWidth="1"/>
    <col min="517" max="517" width="13.7109375" customWidth="1"/>
    <col min="518" max="518" width="13.85546875" customWidth="1"/>
    <col min="519" max="519" width="8.5703125" bestFit="1" customWidth="1"/>
    <col min="520" max="520" width="10" bestFit="1" customWidth="1"/>
    <col min="521" max="523" width="8.5703125" bestFit="1" customWidth="1"/>
    <col min="524" max="524" width="10.7109375" customWidth="1"/>
    <col min="525" max="525" width="9.85546875" bestFit="1" customWidth="1"/>
    <col min="526" max="526" width="9.42578125" customWidth="1"/>
    <col min="527" max="527" width="9.28515625" bestFit="1" customWidth="1"/>
    <col min="769" max="769" width="25.5703125" customWidth="1"/>
    <col min="770" max="770" width="11.42578125" bestFit="1" customWidth="1"/>
    <col min="771" max="771" width="10.85546875" customWidth="1"/>
    <col min="772" max="772" width="12.85546875" customWidth="1"/>
    <col min="773" max="773" width="13.7109375" customWidth="1"/>
    <col min="774" max="774" width="13.85546875" customWidth="1"/>
    <col min="775" max="775" width="8.5703125" bestFit="1" customWidth="1"/>
    <col min="776" max="776" width="10" bestFit="1" customWidth="1"/>
    <col min="777" max="779" width="8.5703125" bestFit="1" customWidth="1"/>
    <col min="780" max="780" width="10.7109375" customWidth="1"/>
    <col min="781" max="781" width="9.85546875" bestFit="1" customWidth="1"/>
    <col min="782" max="782" width="9.42578125" customWidth="1"/>
    <col min="783" max="783" width="9.28515625" bestFit="1" customWidth="1"/>
    <col min="1025" max="1025" width="25.5703125" customWidth="1"/>
    <col min="1026" max="1026" width="11.42578125" bestFit="1" customWidth="1"/>
    <col min="1027" max="1027" width="10.85546875" customWidth="1"/>
    <col min="1028" max="1028" width="12.85546875" customWidth="1"/>
    <col min="1029" max="1029" width="13.7109375" customWidth="1"/>
    <col min="1030" max="1030" width="13.85546875" customWidth="1"/>
    <col min="1031" max="1031" width="8.5703125" bestFit="1" customWidth="1"/>
    <col min="1032" max="1032" width="10" bestFit="1" customWidth="1"/>
    <col min="1033" max="1035" width="8.5703125" bestFit="1" customWidth="1"/>
    <col min="1036" max="1036" width="10.7109375" customWidth="1"/>
    <col min="1037" max="1037" width="9.85546875" bestFit="1" customWidth="1"/>
    <col min="1038" max="1038" width="9.42578125" customWidth="1"/>
    <col min="1039" max="1039" width="9.28515625" bestFit="1" customWidth="1"/>
    <col min="1281" max="1281" width="25.5703125" customWidth="1"/>
    <col min="1282" max="1282" width="11.42578125" bestFit="1" customWidth="1"/>
    <col min="1283" max="1283" width="10.85546875" customWidth="1"/>
    <col min="1284" max="1284" width="12.85546875" customWidth="1"/>
    <col min="1285" max="1285" width="13.7109375" customWidth="1"/>
    <col min="1286" max="1286" width="13.85546875" customWidth="1"/>
    <col min="1287" max="1287" width="8.5703125" bestFit="1" customWidth="1"/>
    <col min="1288" max="1288" width="10" bestFit="1" customWidth="1"/>
    <col min="1289" max="1291" width="8.5703125" bestFit="1" customWidth="1"/>
    <col min="1292" max="1292" width="10.7109375" customWidth="1"/>
    <col min="1293" max="1293" width="9.85546875" bestFit="1" customWidth="1"/>
    <col min="1294" max="1294" width="9.42578125" customWidth="1"/>
    <col min="1295" max="1295" width="9.28515625" bestFit="1" customWidth="1"/>
    <col min="1537" max="1537" width="25.5703125" customWidth="1"/>
    <col min="1538" max="1538" width="11.42578125" bestFit="1" customWidth="1"/>
    <col min="1539" max="1539" width="10.85546875" customWidth="1"/>
    <col min="1540" max="1540" width="12.85546875" customWidth="1"/>
    <col min="1541" max="1541" width="13.7109375" customWidth="1"/>
    <col min="1542" max="1542" width="13.85546875" customWidth="1"/>
    <col min="1543" max="1543" width="8.5703125" bestFit="1" customWidth="1"/>
    <col min="1544" max="1544" width="10" bestFit="1" customWidth="1"/>
    <col min="1545" max="1547" width="8.5703125" bestFit="1" customWidth="1"/>
    <col min="1548" max="1548" width="10.7109375" customWidth="1"/>
    <col min="1549" max="1549" width="9.85546875" bestFit="1" customWidth="1"/>
    <col min="1550" max="1550" width="9.42578125" customWidth="1"/>
    <col min="1551" max="1551" width="9.28515625" bestFit="1" customWidth="1"/>
    <col min="1793" max="1793" width="25.5703125" customWidth="1"/>
    <col min="1794" max="1794" width="11.42578125" bestFit="1" customWidth="1"/>
    <col min="1795" max="1795" width="10.85546875" customWidth="1"/>
    <col min="1796" max="1796" width="12.85546875" customWidth="1"/>
    <col min="1797" max="1797" width="13.7109375" customWidth="1"/>
    <col min="1798" max="1798" width="13.85546875" customWidth="1"/>
    <col min="1799" max="1799" width="8.5703125" bestFit="1" customWidth="1"/>
    <col min="1800" max="1800" width="10" bestFit="1" customWidth="1"/>
    <col min="1801" max="1803" width="8.5703125" bestFit="1" customWidth="1"/>
    <col min="1804" max="1804" width="10.7109375" customWidth="1"/>
    <col min="1805" max="1805" width="9.85546875" bestFit="1" customWidth="1"/>
    <col min="1806" max="1806" width="9.42578125" customWidth="1"/>
    <col min="1807" max="1807" width="9.28515625" bestFit="1" customWidth="1"/>
    <col min="2049" max="2049" width="25.5703125" customWidth="1"/>
    <col min="2050" max="2050" width="11.42578125" bestFit="1" customWidth="1"/>
    <col min="2051" max="2051" width="10.85546875" customWidth="1"/>
    <col min="2052" max="2052" width="12.85546875" customWidth="1"/>
    <col min="2053" max="2053" width="13.7109375" customWidth="1"/>
    <col min="2054" max="2054" width="13.85546875" customWidth="1"/>
    <col min="2055" max="2055" width="8.5703125" bestFit="1" customWidth="1"/>
    <col min="2056" max="2056" width="10" bestFit="1" customWidth="1"/>
    <col min="2057" max="2059" width="8.5703125" bestFit="1" customWidth="1"/>
    <col min="2060" max="2060" width="10.7109375" customWidth="1"/>
    <col min="2061" max="2061" width="9.85546875" bestFit="1" customWidth="1"/>
    <col min="2062" max="2062" width="9.42578125" customWidth="1"/>
    <col min="2063" max="2063" width="9.28515625" bestFit="1" customWidth="1"/>
    <col min="2305" max="2305" width="25.5703125" customWidth="1"/>
    <col min="2306" max="2306" width="11.42578125" bestFit="1" customWidth="1"/>
    <col min="2307" max="2307" width="10.85546875" customWidth="1"/>
    <col min="2308" max="2308" width="12.85546875" customWidth="1"/>
    <col min="2309" max="2309" width="13.7109375" customWidth="1"/>
    <col min="2310" max="2310" width="13.85546875" customWidth="1"/>
    <col min="2311" max="2311" width="8.5703125" bestFit="1" customWidth="1"/>
    <col min="2312" max="2312" width="10" bestFit="1" customWidth="1"/>
    <col min="2313" max="2315" width="8.5703125" bestFit="1" customWidth="1"/>
    <col min="2316" max="2316" width="10.7109375" customWidth="1"/>
    <col min="2317" max="2317" width="9.85546875" bestFit="1" customWidth="1"/>
    <col min="2318" max="2318" width="9.42578125" customWidth="1"/>
    <col min="2319" max="2319" width="9.28515625" bestFit="1" customWidth="1"/>
    <col min="2561" max="2561" width="25.5703125" customWidth="1"/>
    <col min="2562" max="2562" width="11.42578125" bestFit="1" customWidth="1"/>
    <col min="2563" max="2563" width="10.85546875" customWidth="1"/>
    <col min="2564" max="2564" width="12.85546875" customWidth="1"/>
    <col min="2565" max="2565" width="13.7109375" customWidth="1"/>
    <col min="2566" max="2566" width="13.85546875" customWidth="1"/>
    <col min="2567" max="2567" width="8.5703125" bestFit="1" customWidth="1"/>
    <col min="2568" max="2568" width="10" bestFit="1" customWidth="1"/>
    <col min="2569" max="2571" width="8.5703125" bestFit="1" customWidth="1"/>
    <col min="2572" max="2572" width="10.7109375" customWidth="1"/>
    <col min="2573" max="2573" width="9.85546875" bestFit="1" customWidth="1"/>
    <col min="2574" max="2574" width="9.42578125" customWidth="1"/>
    <col min="2575" max="2575" width="9.28515625" bestFit="1" customWidth="1"/>
    <col min="2817" max="2817" width="25.5703125" customWidth="1"/>
    <col min="2818" max="2818" width="11.42578125" bestFit="1" customWidth="1"/>
    <col min="2819" max="2819" width="10.85546875" customWidth="1"/>
    <col min="2820" max="2820" width="12.85546875" customWidth="1"/>
    <col min="2821" max="2821" width="13.7109375" customWidth="1"/>
    <col min="2822" max="2822" width="13.85546875" customWidth="1"/>
    <col min="2823" max="2823" width="8.5703125" bestFit="1" customWidth="1"/>
    <col min="2824" max="2824" width="10" bestFit="1" customWidth="1"/>
    <col min="2825" max="2827" width="8.5703125" bestFit="1" customWidth="1"/>
    <col min="2828" max="2828" width="10.7109375" customWidth="1"/>
    <col min="2829" max="2829" width="9.85546875" bestFit="1" customWidth="1"/>
    <col min="2830" max="2830" width="9.42578125" customWidth="1"/>
    <col min="2831" max="2831" width="9.28515625" bestFit="1" customWidth="1"/>
    <col min="3073" max="3073" width="25.5703125" customWidth="1"/>
    <col min="3074" max="3074" width="11.42578125" bestFit="1" customWidth="1"/>
    <col min="3075" max="3075" width="10.85546875" customWidth="1"/>
    <col min="3076" max="3076" width="12.85546875" customWidth="1"/>
    <col min="3077" max="3077" width="13.7109375" customWidth="1"/>
    <col min="3078" max="3078" width="13.85546875" customWidth="1"/>
    <col min="3079" max="3079" width="8.5703125" bestFit="1" customWidth="1"/>
    <col min="3080" max="3080" width="10" bestFit="1" customWidth="1"/>
    <col min="3081" max="3083" width="8.5703125" bestFit="1" customWidth="1"/>
    <col min="3084" max="3084" width="10.7109375" customWidth="1"/>
    <col min="3085" max="3085" width="9.85546875" bestFit="1" customWidth="1"/>
    <col min="3086" max="3086" width="9.42578125" customWidth="1"/>
    <col min="3087" max="3087" width="9.28515625" bestFit="1" customWidth="1"/>
    <col min="3329" max="3329" width="25.5703125" customWidth="1"/>
    <col min="3330" max="3330" width="11.42578125" bestFit="1" customWidth="1"/>
    <col min="3331" max="3331" width="10.85546875" customWidth="1"/>
    <col min="3332" max="3332" width="12.85546875" customWidth="1"/>
    <col min="3333" max="3333" width="13.7109375" customWidth="1"/>
    <col min="3334" max="3334" width="13.85546875" customWidth="1"/>
    <col min="3335" max="3335" width="8.5703125" bestFit="1" customWidth="1"/>
    <col min="3336" max="3336" width="10" bestFit="1" customWidth="1"/>
    <col min="3337" max="3339" width="8.5703125" bestFit="1" customWidth="1"/>
    <col min="3340" max="3340" width="10.7109375" customWidth="1"/>
    <col min="3341" max="3341" width="9.85546875" bestFit="1" customWidth="1"/>
    <col min="3342" max="3342" width="9.42578125" customWidth="1"/>
    <col min="3343" max="3343" width="9.28515625" bestFit="1" customWidth="1"/>
    <col min="3585" max="3585" width="25.5703125" customWidth="1"/>
    <col min="3586" max="3586" width="11.42578125" bestFit="1" customWidth="1"/>
    <col min="3587" max="3587" width="10.85546875" customWidth="1"/>
    <col min="3588" max="3588" width="12.85546875" customWidth="1"/>
    <col min="3589" max="3589" width="13.7109375" customWidth="1"/>
    <col min="3590" max="3590" width="13.85546875" customWidth="1"/>
    <col min="3591" max="3591" width="8.5703125" bestFit="1" customWidth="1"/>
    <col min="3592" max="3592" width="10" bestFit="1" customWidth="1"/>
    <col min="3593" max="3595" width="8.5703125" bestFit="1" customWidth="1"/>
    <col min="3596" max="3596" width="10.7109375" customWidth="1"/>
    <col min="3597" max="3597" width="9.85546875" bestFit="1" customWidth="1"/>
    <col min="3598" max="3598" width="9.42578125" customWidth="1"/>
    <col min="3599" max="3599" width="9.28515625" bestFit="1" customWidth="1"/>
    <col min="3841" max="3841" width="25.5703125" customWidth="1"/>
    <col min="3842" max="3842" width="11.42578125" bestFit="1" customWidth="1"/>
    <col min="3843" max="3843" width="10.85546875" customWidth="1"/>
    <col min="3844" max="3844" width="12.85546875" customWidth="1"/>
    <col min="3845" max="3845" width="13.7109375" customWidth="1"/>
    <col min="3846" max="3846" width="13.85546875" customWidth="1"/>
    <col min="3847" max="3847" width="8.5703125" bestFit="1" customWidth="1"/>
    <col min="3848" max="3848" width="10" bestFit="1" customWidth="1"/>
    <col min="3849" max="3851" width="8.5703125" bestFit="1" customWidth="1"/>
    <col min="3852" max="3852" width="10.7109375" customWidth="1"/>
    <col min="3853" max="3853" width="9.85546875" bestFit="1" customWidth="1"/>
    <col min="3854" max="3854" width="9.42578125" customWidth="1"/>
    <col min="3855" max="3855" width="9.28515625" bestFit="1" customWidth="1"/>
    <col min="4097" max="4097" width="25.5703125" customWidth="1"/>
    <col min="4098" max="4098" width="11.42578125" bestFit="1" customWidth="1"/>
    <col min="4099" max="4099" width="10.85546875" customWidth="1"/>
    <col min="4100" max="4100" width="12.85546875" customWidth="1"/>
    <col min="4101" max="4101" width="13.7109375" customWidth="1"/>
    <col min="4102" max="4102" width="13.85546875" customWidth="1"/>
    <col min="4103" max="4103" width="8.5703125" bestFit="1" customWidth="1"/>
    <col min="4104" max="4104" width="10" bestFit="1" customWidth="1"/>
    <col min="4105" max="4107" width="8.5703125" bestFit="1" customWidth="1"/>
    <col min="4108" max="4108" width="10.7109375" customWidth="1"/>
    <col min="4109" max="4109" width="9.85546875" bestFit="1" customWidth="1"/>
    <col min="4110" max="4110" width="9.42578125" customWidth="1"/>
    <col min="4111" max="4111" width="9.28515625" bestFit="1" customWidth="1"/>
    <col min="4353" max="4353" width="25.5703125" customWidth="1"/>
    <col min="4354" max="4354" width="11.42578125" bestFit="1" customWidth="1"/>
    <col min="4355" max="4355" width="10.85546875" customWidth="1"/>
    <col min="4356" max="4356" width="12.85546875" customWidth="1"/>
    <col min="4357" max="4357" width="13.7109375" customWidth="1"/>
    <col min="4358" max="4358" width="13.85546875" customWidth="1"/>
    <col min="4359" max="4359" width="8.5703125" bestFit="1" customWidth="1"/>
    <col min="4360" max="4360" width="10" bestFit="1" customWidth="1"/>
    <col min="4361" max="4363" width="8.5703125" bestFit="1" customWidth="1"/>
    <col min="4364" max="4364" width="10.7109375" customWidth="1"/>
    <col min="4365" max="4365" width="9.85546875" bestFit="1" customWidth="1"/>
    <col min="4366" max="4366" width="9.42578125" customWidth="1"/>
    <col min="4367" max="4367" width="9.28515625" bestFit="1" customWidth="1"/>
    <col min="4609" max="4609" width="25.5703125" customWidth="1"/>
    <col min="4610" max="4610" width="11.42578125" bestFit="1" customWidth="1"/>
    <col min="4611" max="4611" width="10.85546875" customWidth="1"/>
    <col min="4612" max="4612" width="12.85546875" customWidth="1"/>
    <col min="4613" max="4613" width="13.7109375" customWidth="1"/>
    <col min="4614" max="4614" width="13.85546875" customWidth="1"/>
    <col min="4615" max="4615" width="8.5703125" bestFit="1" customWidth="1"/>
    <col min="4616" max="4616" width="10" bestFit="1" customWidth="1"/>
    <col min="4617" max="4619" width="8.5703125" bestFit="1" customWidth="1"/>
    <col min="4620" max="4620" width="10.7109375" customWidth="1"/>
    <col min="4621" max="4621" width="9.85546875" bestFit="1" customWidth="1"/>
    <col min="4622" max="4622" width="9.42578125" customWidth="1"/>
    <col min="4623" max="4623" width="9.28515625" bestFit="1" customWidth="1"/>
    <col min="4865" max="4865" width="25.5703125" customWidth="1"/>
    <col min="4866" max="4866" width="11.42578125" bestFit="1" customWidth="1"/>
    <col min="4867" max="4867" width="10.85546875" customWidth="1"/>
    <col min="4868" max="4868" width="12.85546875" customWidth="1"/>
    <col min="4869" max="4869" width="13.7109375" customWidth="1"/>
    <col min="4870" max="4870" width="13.85546875" customWidth="1"/>
    <col min="4871" max="4871" width="8.5703125" bestFit="1" customWidth="1"/>
    <col min="4872" max="4872" width="10" bestFit="1" customWidth="1"/>
    <col min="4873" max="4875" width="8.5703125" bestFit="1" customWidth="1"/>
    <col min="4876" max="4876" width="10.7109375" customWidth="1"/>
    <col min="4877" max="4877" width="9.85546875" bestFit="1" customWidth="1"/>
    <col min="4878" max="4878" width="9.42578125" customWidth="1"/>
    <col min="4879" max="4879" width="9.28515625" bestFit="1" customWidth="1"/>
    <col min="5121" max="5121" width="25.5703125" customWidth="1"/>
    <col min="5122" max="5122" width="11.42578125" bestFit="1" customWidth="1"/>
    <col min="5123" max="5123" width="10.85546875" customWidth="1"/>
    <col min="5124" max="5124" width="12.85546875" customWidth="1"/>
    <col min="5125" max="5125" width="13.7109375" customWidth="1"/>
    <col min="5126" max="5126" width="13.85546875" customWidth="1"/>
    <col min="5127" max="5127" width="8.5703125" bestFit="1" customWidth="1"/>
    <col min="5128" max="5128" width="10" bestFit="1" customWidth="1"/>
    <col min="5129" max="5131" width="8.5703125" bestFit="1" customWidth="1"/>
    <col min="5132" max="5132" width="10.7109375" customWidth="1"/>
    <col min="5133" max="5133" width="9.85546875" bestFit="1" customWidth="1"/>
    <col min="5134" max="5134" width="9.42578125" customWidth="1"/>
    <col min="5135" max="5135" width="9.28515625" bestFit="1" customWidth="1"/>
    <col min="5377" max="5377" width="25.5703125" customWidth="1"/>
    <col min="5378" max="5378" width="11.42578125" bestFit="1" customWidth="1"/>
    <col min="5379" max="5379" width="10.85546875" customWidth="1"/>
    <col min="5380" max="5380" width="12.85546875" customWidth="1"/>
    <col min="5381" max="5381" width="13.7109375" customWidth="1"/>
    <col min="5382" max="5382" width="13.85546875" customWidth="1"/>
    <col min="5383" max="5383" width="8.5703125" bestFit="1" customWidth="1"/>
    <col min="5384" max="5384" width="10" bestFit="1" customWidth="1"/>
    <col min="5385" max="5387" width="8.5703125" bestFit="1" customWidth="1"/>
    <col min="5388" max="5388" width="10.7109375" customWidth="1"/>
    <col min="5389" max="5389" width="9.85546875" bestFit="1" customWidth="1"/>
    <col min="5390" max="5390" width="9.42578125" customWidth="1"/>
    <col min="5391" max="5391" width="9.28515625" bestFit="1" customWidth="1"/>
    <col min="5633" max="5633" width="25.5703125" customWidth="1"/>
    <col min="5634" max="5634" width="11.42578125" bestFit="1" customWidth="1"/>
    <col min="5635" max="5635" width="10.85546875" customWidth="1"/>
    <col min="5636" max="5636" width="12.85546875" customWidth="1"/>
    <col min="5637" max="5637" width="13.7109375" customWidth="1"/>
    <col min="5638" max="5638" width="13.85546875" customWidth="1"/>
    <col min="5639" max="5639" width="8.5703125" bestFit="1" customWidth="1"/>
    <col min="5640" max="5640" width="10" bestFit="1" customWidth="1"/>
    <col min="5641" max="5643" width="8.5703125" bestFit="1" customWidth="1"/>
    <col min="5644" max="5644" width="10.7109375" customWidth="1"/>
    <col min="5645" max="5645" width="9.85546875" bestFit="1" customWidth="1"/>
    <col min="5646" max="5646" width="9.42578125" customWidth="1"/>
    <col min="5647" max="5647" width="9.28515625" bestFit="1" customWidth="1"/>
    <col min="5889" max="5889" width="25.5703125" customWidth="1"/>
    <col min="5890" max="5890" width="11.42578125" bestFit="1" customWidth="1"/>
    <col min="5891" max="5891" width="10.85546875" customWidth="1"/>
    <col min="5892" max="5892" width="12.85546875" customWidth="1"/>
    <col min="5893" max="5893" width="13.7109375" customWidth="1"/>
    <col min="5894" max="5894" width="13.85546875" customWidth="1"/>
    <col min="5895" max="5895" width="8.5703125" bestFit="1" customWidth="1"/>
    <col min="5896" max="5896" width="10" bestFit="1" customWidth="1"/>
    <col min="5897" max="5899" width="8.5703125" bestFit="1" customWidth="1"/>
    <col min="5900" max="5900" width="10.7109375" customWidth="1"/>
    <col min="5901" max="5901" width="9.85546875" bestFit="1" customWidth="1"/>
    <col min="5902" max="5902" width="9.42578125" customWidth="1"/>
    <col min="5903" max="5903" width="9.28515625" bestFit="1" customWidth="1"/>
    <col min="6145" max="6145" width="25.5703125" customWidth="1"/>
    <col min="6146" max="6146" width="11.42578125" bestFit="1" customWidth="1"/>
    <col min="6147" max="6147" width="10.85546875" customWidth="1"/>
    <col min="6148" max="6148" width="12.85546875" customWidth="1"/>
    <col min="6149" max="6149" width="13.7109375" customWidth="1"/>
    <col min="6150" max="6150" width="13.85546875" customWidth="1"/>
    <col min="6151" max="6151" width="8.5703125" bestFit="1" customWidth="1"/>
    <col min="6152" max="6152" width="10" bestFit="1" customWidth="1"/>
    <col min="6153" max="6155" width="8.5703125" bestFit="1" customWidth="1"/>
    <col min="6156" max="6156" width="10.7109375" customWidth="1"/>
    <col min="6157" max="6157" width="9.85546875" bestFit="1" customWidth="1"/>
    <col min="6158" max="6158" width="9.42578125" customWidth="1"/>
    <col min="6159" max="6159" width="9.28515625" bestFit="1" customWidth="1"/>
    <col min="6401" max="6401" width="25.5703125" customWidth="1"/>
    <col min="6402" max="6402" width="11.42578125" bestFit="1" customWidth="1"/>
    <col min="6403" max="6403" width="10.85546875" customWidth="1"/>
    <col min="6404" max="6404" width="12.85546875" customWidth="1"/>
    <col min="6405" max="6405" width="13.7109375" customWidth="1"/>
    <col min="6406" max="6406" width="13.85546875" customWidth="1"/>
    <col min="6407" max="6407" width="8.5703125" bestFit="1" customWidth="1"/>
    <col min="6408" max="6408" width="10" bestFit="1" customWidth="1"/>
    <col min="6409" max="6411" width="8.5703125" bestFit="1" customWidth="1"/>
    <col min="6412" max="6412" width="10.7109375" customWidth="1"/>
    <col min="6413" max="6413" width="9.85546875" bestFit="1" customWidth="1"/>
    <col min="6414" max="6414" width="9.42578125" customWidth="1"/>
    <col min="6415" max="6415" width="9.28515625" bestFit="1" customWidth="1"/>
    <col min="6657" max="6657" width="25.5703125" customWidth="1"/>
    <col min="6658" max="6658" width="11.42578125" bestFit="1" customWidth="1"/>
    <col min="6659" max="6659" width="10.85546875" customWidth="1"/>
    <col min="6660" max="6660" width="12.85546875" customWidth="1"/>
    <col min="6661" max="6661" width="13.7109375" customWidth="1"/>
    <col min="6662" max="6662" width="13.85546875" customWidth="1"/>
    <col min="6663" max="6663" width="8.5703125" bestFit="1" customWidth="1"/>
    <col min="6664" max="6664" width="10" bestFit="1" customWidth="1"/>
    <col min="6665" max="6667" width="8.5703125" bestFit="1" customWidth="1"/>
    <col min="6668" max="6668" width="10.7109375" customWidth="1"/>
    <col min="6669" max="6669" width="9.85546875" bestFit="1" customWidth="1"/>
    <col min="6670" max="6670" width="9.42578125" customWidth="1"/>
    <col min="6671" max="6671" width="9.28515625" bestFit="1" customWidth="1"/>
    <col min="6913" max="6913" width="25.5703125" customWidth="1"/>
    <col min="6914" max="6914" width="11.42578125" bestFit="1" customWidth="1"/>
    <col min="6915" max="6915" width="10.85546875" customWidth="1"/>
    <col min="6916" max="6916" width="12.85546875" customWidth="1"/>
    <col min="6917" max="6917" width="13.7109375" customWidth="1"/>
    <col min="6918" max="6918" width="13.85546875" customWidth="1"/>
    <col min="6919" max="6919" width="8.5703125" bestFit="1" customWidth="1"/>
    <col min="6920" max="6920" width="10" bestFit="1" customWidth="1"/>
    <col min="6921" max="6923" width="8.5703125" bestFit="1" customWidth="1"/>
    <col min="6924" max="6924" width="10.7109375" customWidth="1"/>
    <col min="6925" max="6925" width="9.85546875" bestFit="1" customWidth="1"/>
    <col min="6926" max="6926" width="9.42578125" customWidth="1"/>
    <col min="6927" max="6927" width="9.28515625" bestFit="1" customWidth="1"/>
    <col min="7169" max="7169" width="25.5703125" customWidth="1"/>
    <col min="7170" max="7170" width="11.42578125" bestFit="1" customWidth="1"/>
    <col min="7171" max="7171" width="10.85546875" customWidth="1"/>
    <col min="7172" max="7172" width="12.85546875" customWidth="1"/>
    <col min="7173" max="7173" width="13.7109375" customWidth="1"/>
    <col min="7174" max="7174" width="13.85546875" customWidth="1"/>
    <col min="7175" max="7175" width="8.5703125" bestFit="1" customWidth="1"/>
    <col min="7176" max="7176" width="10" bestFit="1" customWidth="1"/>
    <col min="7177" max="7179" width="8.5703125" bestFit="1" customWidth="1"/>
    <col min="7180" max="7180" width="10.7109375" customWidth="1"/>
    <col min="7181" max="7181" width="9.85546875" bestFit="1" customWidth="1"/>
    <col min="7182" max="7182" width="9.42578125" customWidth="1"/>
    <col min="7183" max="7183" width="9.28515625" bestFit="1" customWidth="1"/>
    <col min="7425" max="7425" width="25.5703125" customWidth="1"/>
    <col min="7426" max="7426" width="11.42578125" bestFit="1" customWidth="1"/>
    <col min="7427" max="7427" width="10.85546875" customWidth="1"/>
    <col min="7428" max="7428" width="12.85546875" customWidth="1"/>
    <col min="7429" max="7429" width="13.7109375" customWidth="1"/>
    <col min="7430" max="7430" width="13.85546875" customWidth="1"/>
    <col min="7431" max="7431" width="8.5703125" bestFit="1" customWidth="1"/>
    <col min="7432" max="7432" width="10" bestFit="1" customWidth="1"/>
    <col min="7433" max="7435" width="8.5703125" bestFit="1" customWidth="1"/>
    <col min="7436" max="7436" width="10.7109375" customWidth="1"/>
    <col min="7437" max="7437" width="9.85546875" bestFit="1" customWidth="1"/>
    <col min="7438" max="7438" width="9.42578125" customWidth="1"/>
    <col min="7439" max="7439" width="9.28515625" bestFit="1" customWidth="1"/>
    <col min="7681" max="7681" width="25.5703125" customWidth="1"/>
    <col min="7682" max="7682" width="11.42578125" bestFit="1" customWidth="1"/>
    <col min="7683" max="7683" width="10.85546875" customWidth="1"/>
    <col min="7684" max="7684" width="12.85546875" customWidth="1"/>
    <col min="7685" max="7685" width="13.7109375" customWidth="1"/>
    <col min="7686" max="7686" width="13.85546875" customWidth="1"/>
    <col min="7687" max="7687" width="8.5703125" bestFit="1" customWidth="1"/>
    <col min="7688" max="7688" width="10" bestFit="1" customWidth="1"/>
    <col min="7689" max="7691" width="8.5703125" bestFit="1" customWidth="1"/>
    <col min="7692" max="7692" width="10.7109375" customWidth="1"/>
    <col min="7693" max="7693" width="9.85546875" bestFit="1" customWidth="1"/>
    <col min="7694" max="7694" width="9.42578125" customWidth="1"/>
    <col min="7695" max="7695" width="9.28515625" bestFit="1" customWidth="1"/>
    <col min="7937" max="7937" width="25.5703125" customWidth="1"/>
    <col min="7938" max="7938" width="11.42578125" bestFit="1" customWidth="1"/>
    <col min="7939" max="7939" width="10.85546875" customWidth="1"/>
    <col min="7940" max="7940" width="12.85546875" customWidth="1"/>
    <col min="7941" max="7941" width="13.7109375" customWidth="1"/>
    <col min="7942" max="7942" width="13.85546875" customWidth="1"/>
    <col min="7943" max="7943" width="8.5703125" bestFit="1" customWidth="1"/>
    <col min="7944" max="7944" width="10" bestFit="1" customWidth="1"/>
    <col min="7945" max="7947" width="8.5703125" bestFit="1" customWidth="1"/>
    <col min="7948" max="7948" width="10.7109375" customWidth="1"/>
    <col min="7949" max="7949" width="9.85546875" bestFit="1" customWidth="1"/>
    <col min="7950" max="7950" width="9.42578125" customWidth="1"/>
    <col min="7951" max="7951" width="9.28515625" bestFit="1" customWidth="1"/>
    <col min="8193" max="8193" width="25.5703125" customWidth="1"/>
    <col min="8194" max="8194" width="11.42578125" bestFit="1" customWidth="1"/>
    <col min="8195" max="8195" width="10.85546875" customWidth="1"/>
    <col min="8196" max="8196" width="12.85546875" customWidth="1"/>
    <col min="8197" max="8197" width="13.7109375" customWidth="1"/>
    <col min="8198" max="8198" width="13.85546875" customWidth="1"/>
    <col min="8199" max="8199" width="8.5703125" bestFit="1" customWidth="1"/>
    <col min="8200" max="8200" width="10" bestFit="1" customWidth="1"/>
    <col min="8201" max="8203" width="8.5703125" bestFit="1" customWidth="1"/>
    <col min="8204" max="8204" width="10.7109375" customWidth="1"/>
    <col min="8205" max="8205" width="9.85546875" bestFit="1" customWidth="1"/>
    <col min="8206" max="8206" width="9.42578125" customWidth="1"/>
    <col min="8207" max="8207" width="9.28515625" bestFit="1" customWidth="1"/>
    <col min="8449" max="8449" width="25.5703125" customWidth="1"/>
    <col min="8450" max="8450" width="11.42578125" bestFit="1" customWidth="1"/>
    <col min="8451" max="8451" width="10.85546875" customWidth="1"/>
    <col min="8452" max="8452" width="12.85546875" customWidth="1"/>
    <col min="8453" max="8453" width="13.7109375" customWidth="1"/>
    <col min="8454" max="8454" width="13.85546875" customWidth="1"/>
    <col min="8455" max="8455" width="8.5703125" bestFit="1" customWidth="1"/>
    <col min="8456" max="8456" width="10" bestFit="1" customWidth="1"/>
    <col min="8457" max="8459" width="8.5703125" bestFit="1" customWidth="1"/>
    <col min="8460" max="8460" width="10.7109375" customWidth="1"/>
    <col min="8461" max="8461" width="9.85546875" bestFit="1" customWidth="1"/>
    <col min="8462" max="8462" width="9.42578125" customWidth="1"/>
    <col min="8463" max="8463" width="9.28515625" bestFit="1" customWidth="1"/>
    <col min="8705" max="8705" width="25.5703125" customWidth="1"/>
    <col min="8706" max="8706" width="11.42578125" bestFit="1" customWidth="1"/>
    <col min="8707" max="8707" width="10.85546875" customWidth="1"/>
    <col min="8708" max="8708" width="12.85546875" customWidth="1"/>
    <col min="8709" max="8709" width="13.7109375" customWidth="1"/>
    <col min="8710" max="8710" width="13.85546875" customWidth="1"/>
    <col min="8711" max="8711" width="8.5703125" bestFit="1" customWidth="1"/>
    <col min="8712" max="8712" width="10" bestFit="1" customWidth="1"/>
    <col min="8713" max="8715" width="8.5703125" bestFit="1" customWidth="1"/>
    <col min="8716" max="8716" width="10.7109375" customWidth="1"/>
    <col min="8717" max="8717" width="9.85546875" bestFit="1" customWidth="1"/>
    <col min="8718" max="8718" width="9.42578125" customWidth="1"/>
    <col min="8719" max="8719" width="9.28515625" bestFit="1" customWidth="1"/>
    <col min="8961" max="8961" width="25.5703125" customWidth="1"/>
    <col min="8962" max="8962" width="11.42578125" bestFit="1" customWidth="1"/>
    <col min="8963" max="8963" width="10.85546875" customWidth="1"/>
    <col min="8964" max="8964" width="12.85546875" customWidth="1"/>
    <col min="8965" max="8965" width="13.7109375" customWidth="1"/>
    <col min="8966" max="8966" width="13.85546875" customWidth="1"/>
    <col min="8967" max="8967" width="8.5703125" bestFit="1" customWidth="1"/>
    <col min="8968" max="8968" width="10" bestFit="1" customWidth="1"/>
    <col min="8969" max="8971" width="8.5703125" bestFit="1" customWidth="1"/>
    <col min="8972" max="8972" width="10.7109375" customWidth="1"/>
    <col min="8973" max="8973" width="9.85546875" bestFit="1" customWidth="1"/>
    <col min="8974" max="8974" width="9.42578125" customWidth="1"/>
    <col min="8975" max="8975" width="9.28515625" bestFit="1" customWidth="1"/>
    <col min="9217" max="9217" width="25.5703125" customWidth="1"/>
    <col min="9218" max="9218" width="11.42578125" bestFit="1" customWidth="1"/>
    <col min="9219" max="9219" width="10.85546875" customWidth="1"/>
    <col min="9220" max="9220" width="12.85546875" customWidth="1"/>
    <col min="9221" max="9221" width="13.7109375" customWidth="1"/>
    <col min="9222" max="9222" width="13.85546875" customWidth="1"/>
    <col min="9223" max="9223" width="8.5703125" bestFit="1" customWidth="1"/>
    <col min="9224" max="9224" width="10" bestFit="1" customWidth="1"/>
    <col min="9225" max="9227" width="8.5703125" bestFit="1" customWidth="1"/>
    <col min="9228" max="9228" width="10.7109375" customWidth="1"/>
    <col min="9229" max="9229" width="9.85546875" bestFit="1" customWidth="1"/>
    <col min="9230" max="9230" width="9.42578125" customWidth="1"/>
    <col min="9231" max="9231" width="9.28515625" bestFit="1" customWidth="1"/>
    <col min="9473" max="9473" width="25.5703125" customWidth="1"/>
    <col min="9474" max="9474" width="11.42578125" bestFit="1" customWidth="1"/>
    <col min="9475" max="9475" width="10.85546875" customWidth="1"/>
    <col min="9476" max="9476" width="12.85546875" customWidth="1"/>
    <col min="9477" max="9477" width="13.7109375" customWidth="1"/>
    <col min="9478" max="9478" width="13.85546875" customWidth="1"/>
    <col min="9479" max="9479" width="8.5703125" bestFit="1" customWidth="1"/>
    <col min="9480" max="9480" width="10" bestFit="1" customWidth="1"/>
    <col min="9481" max="9483" width="8.5703125" bestFit="1" customWidth="1"/>
    <col min="9484" max="9484" width="10.7109375" customWidth="1"/>
    <col min="9485" max="9485" width="9.85546875" bestFit="1" customWidth="1"/>
    <col min="9486" max="9486" width="9.42578125" customWidth="1"/>
    <col min="9487" max="9487" width="9.28515625" bestFit="1" customWidth="1"/>
    <col min="9729" max="9729" width="25.5703125" customWidth="1"/>
    <col min="9730" max="9730" width="11.42578125" bestFit="1" customWidth="1"/>
    <col min="9731" max="9731" width="10.85546875" customWidth="1"/>
    <col min="9732" max="9732" width="12.85546875" customWidth="1"/>
    <col min="9733" max="9733" width="13.7109375" customWidth="1"/>
    <col min="9734" max="9734" width="13.85546875" customWidth="1"/>
    <col min="9735" max="9735" width="8.5703125" bestFit="1" customWidth="1"/>
    <col min="9736" max="9736" width="10" bestFit="1" customWidth="1"/>
    <col min="9737" max="9739" width="8.5703125" bestFit="1" customWidth="1"/>
    <col min="9740" max="9740" width="10.7109375" customWidth="1"/>
    <col min="9741" max="9741" width="9.85546875" bestFit="1" customWidth="1"/>
    <col min="9742" max="9742" width="9.42578125" customWidth="1"/>
    <col min="9743" max="9743" width="9.28515625" bestFit="1" customWidth="1"/>
    <col min="9985" max="9985" width="25.5703125" customWidth="1"/>
    <col min="9986" max="9986" width="11.42578125" bestFit="1" customWidth="1"/>
    <col min="9987" max="9987" width="10.85546875" customWidth="1"/>
    <col min="9988" max="9988" width="12.85546875" customWidth="1"/>
    <col min="9989" max="9989" width="13.7109375" customWidth="1"/>
    <col min="9990" max="9990" width="13.85546875" customWidth="1"/>
    <col min="9991" max="9991" width="8.5703125" bestFit="1" customWidth="1"/>
    <col min="9992" max="9992" width="10" bestFit="1" customWidth="1"/>
    <col min="9993" max="9995" width="8.5703125" bestFit="1" customWidth="1"/>
    <col min="9996" max="9996" width="10.7109375" customWidth="1"/>
    <col min="9997" max="9997" width="9.85546875" bestFit="1" customWidth="1"/>
    <col min="9998" max="9998" width="9.42578125" customWidth="1"/>
    <col min="9999" max="9999" width="9.28515625" bestFit="1" customWidth="1"/>
    <col min="10241" max="10241" width="25.5703125" customWidth="1"/>
    <col min="10242" max="10242" width="11.42578125" bestFit="1" customWidth="1"/>
    <col min="10243" max="10243" width="10.85546875" customWidth="1"/>
    <col min="10244" max="10244" width="12.85546875" customWidth="1"/>
    <col min="10245" max="10245" width="13.7109375" customWidth="1"/>
    <col min="10246" max="10246" width="13.85546875" customWidth="1"/>
    <col min="10247" max="10247" width="8.5703125" bestFit="1" customWidth="1"/>
    <col min="10248" max="10248" width="10" bestFit="1" customWidth="1"/>
    <col min="10249" max="10251" width="8.5703125" bestFit="1" customWidth="1"/>
    <col min="10252" max="10252" width="10.7109375" customWidth="1"/>
    <col min="10253" max="10253" width="9.85546875" bestFit="1" customWidth="1"/>
    <col min="10254" max="10254" width="9.42578125" customWidth="1"/>
    <col min="10255" max="10255" width="9.28515625" bestFit="1" customWidth="1"/>
    <col min="10497" max="10497" width="25.5703125" customWidth="1"/>
    <col min="10498" max="10498" width="11.42578125" bestFit="1" customWidth="1"/>
    <col min="10499" max="10499" width="10.85546875" customWidth="1"/>
    <col min="10500" max="10500" width="12.85546875" customWidth="1"/>
    <col min="10501" max="10501" width="13.7109375" customWidth="1"/>
    <col min="10502" max="10502" width="13.85546875" customWidth="1"/>
    <col min="10503" max="10503" width="8.5703125" bestFit="1" customWidth="1"/>
    <col min="10504" max="10504" width="10" bestFit="1" customWidth="1"/>
    <col min="10505" max="10507" width="8.5703125" bestFit="1" customWidth="1"/>
    <col min="10508" max="10508" width="10.7109375" customWidth="1"/>
    <col min="10509" max="10509" width="9.85546875" bestFit="1" customWidth="1"/>
    <col min="10510" max="10510" width="9.42578125" customWidth="1"/>
    <col min="10511" max="10511" width="9.28515625" bestFit="1" customWidth="1"/>
    <col min="10753" max="10753" width="25.5703125" customWidth="1"/>
    <col min="10754" max="10754" width="11.42578125" bestFit="1" customWidth="1"/>
    <col min="10755" max="10755" width="10.85546875" customWidth="1"/>
    <col min="10756" max="10756" width="12.85546875" customWidth="1"/>
    <col min="10757" max="10757" width="13.7109375" customWidth="1"/>
    <col min="10758" max="10758" width="13.85546875" customWidth="1"/>
    <col min="10759" max="10759" width="8.5703125" bestFit="1" customWidth="1"/>
    <col min="10760" max="10760" width="10" bestFit="1" customWidth="1"/>
    <col min="10761" max="10763" width="8.5703125" bestFit="1" customWidth="1"/>
    <col min="10764" max="10764" width="10.7109375" customWidth="1"/>
    <col min="10765" max="10765" width="9.85546875" bestFit="1" customWidth="1"/>
    <col min="10766" max="10766" width="9.42578125" customWidth="1"/>
    <col min="10767" max="10767" width="9.28515625" bestFit="1" customWidth="1"/>
    <col min="11009" max="11009" width="25.5703125" customWidth="1"/>
    <col min="11010" max="11010" width="11.42578125" bestFit="1" customWidth="1"/>
    <col min="11011" max="11011" width="10.85546875" customWidth="1"/>
    <col min="11012" max="11012" width="12.85546875" customWidth="1"/>
    <col min="11013" max="11013" width="13.7109375" customWidth="1"/>
    <col min="11014" max="11014" width="13.85546875" customWidth="1"/>
    <col min="11015" max="11015" width="8.5703125" bestFit="1" customWidth="1"/>
    <col min="11016" max="11016" width="10" bestFit="1" customWidth="1"/>
    <col min="11017" max="11019" width="8.5703125" bestFit="1" customWidth="1"/>
    <col min="11020" max="11020" width="10.7109375" customWidth="1"/>
    <col min="11021" max="11021" width="9.85546875" bestFit="1" customWidth="1"/>
    <col min="11022" max="11022" width="9.42578125" customWidth="1"/>
    <col min="11023" max="11023" width="9.28515625" bestFit="1" customWidth="1"/>
    <col min="11265" max="11265" width="25.5703125" customWidth="1"/>
    <col min="11266" max="11266" width="11.42578125" bestFit="1" customWidth="1"/>
    <col min="11267" max="11267" width="10.85546875" customWidth="1"/>
    <col min="11268" max="11268" width="12.85546875" customWidth="1"/>
    <col min="11269" max="11269" width="13.7109375" customWidth="1"/>
    <col min="11270" max="11270" width="13.85546875" customWidth="1"/>
    <col min="11271" max="11271" width="8.5703125" bestFit="1" customWidth="1"/>
    <col min="11272" max="11272" width="10" bestFit="1" customWidth="1"/>
    <col min="11273" max="11275" width="8.5703125" bestFit="1" customWidth="1"/>
    <col min="11276" max="11276" width="10.7109375" customWidth="1"/>
    <col min="11277" max="11277" width="9.85546875" bestFit="1" customWidth="1"/>
    <col min="11278" max="11278" width="9.42578125" customWidth="1"/>
    <col min="11279" max="11279" width="9.28515625" bestFit="1" customWidth="1"/>
    <col min="11521" max="11521" width="25.5703125" customWidth="1"/>
    <col min="11522" max="11522" width="11.42578125" bestFit="1" customWidth="1"/>
    <col min="11523" max="11523" width="10.85546875" customWidth="1"/>
    <col min="11524" max="11524" width="12.85546875" customWidth="1"/>
    <col min="11525" max="11525" width="13.7109375" customWidth="1"/>
    <col min="11526" max="11526" width="13.85546875" customWidth="1"/>
    <col min="11527" max="11527" width="8.5703125" bestFit="1" customWidth="1"/>
    <col min="11528" max="11528" width="10" bestFit="1" customWidth="1"/>
    <col min="11529" max="11531" width="8.5703125" bestFit="1" customWidth="1"/>
    <col min="11532" max="11532" width="10.7109375" customWidth="1"/>
    <col min="11533" max="11533" width="9.85546875" bestFit="1" customWidth="1"/>
    <col min="11534" max="11534" width="9.42578125" customWidth="1"/>
    <col min="11535" max="11535" width="9.28515625" bestFit="1" customWidth="1"/>
    <col min="11777" max="11777" width="25.5703125" customWidth="1"/>
    <col min="11778" max="11778" width="11.42578125" bestFit="1" customWidth="1"/>
    <col min="11779" max="11779" width="10.85546875" customWidth="1"/>
    <col min="11780" max="11780" width="12.85546875" customWidth="1"/>
    <col min="11781" max="11781" width="13.7109375" customWidth="1"/>
    <col min="11782" max="11782" width="13.85546875" customWidth="1"/>
    <col min="11783" max="11783" width="8.5703125" bestFit="1" customWidth="1"/>
    <col min="11784" max="11784" width="10" bestFit="1" customWidth="1"/>
    <col min="11785" max="11787" width="8.5703125" bestFit="1" customWidth="1"/>
    <col min="11788" max="11788" width="10.7109375" customWidth="1"/>
    <col min="11789" max="11789" width="9.85546875" bestFit="1" customWidth="1"/>
    <col min="11790" max="11790" width="9.42578125" customWidth="1"/>
    <col min="11791" max="11791" width="9.28515625" bestFit="1" customWidth="1"/>
    <col min="12033" max="12033" width="25.5703125" customWidth="1"/>
    <col min="12034" max="12034" width="11.42578125" bestFit="1" customWidth="1"/>
    <col min="12035" max="12035" width="10.85546875" customWidth="1"/>
    <col min="12036" max="12036" width="12.85546875" customWidth="1"/>
    <col min="12037" max="12037" width="13.7109375" customWidth="1"/>
    <col min="12038" max="12038" width="13.85546875" customWidth="1"/>
    <col min="12039" max="12039" width="8.5703125" bestFit="1" customWidth="1"/>
    <col min="12040" max="12040" width="10" bestFit="1" customWidth="1"/>
    <col min="12041" max="12043" width="8.5703125" bestFit="1" customWidth="1"/>
    <col min="12044" max="12044" width="10.7109375" customWidth="1"/>
    <col min="12045" max="12045" width="9.85546875" bestFit="1" customWidth="1"/>
    <col min="12046" max="12046" width="9.42578125" customWidth="1"/>
    <col min="12047" max="12047" width="9.28515625" bestFit="1" customWidth="1"/>
    <col min="12289" max="12289" width="25.5703125" customWidth="1"/>
    <col min="12290" max="12290" width="11.42578125" bestFit="1" customWidth="1"/>
    <col min="12291" max="12291" width="10.85546875" customWidth="1"/>
    <col min="12292" max="12292" width="12.85546875" customWidth="1"/>
    <col min="12293" max="12293" width="13.7109375" customWidth="1"/>
    <col min="12294" max="12294" width="13.85546875" customWidth="1"/>
    <col min="12295" max="12295" width="8.5703125" bestFit="1" customWidth="1"/>
    <col min="12296" max="12296" width="10" bestFit="1" customWidth="1"/>
    <col min="12297" max="12299" width="8.5703125" bestFit="1" customWidth="1"/>
    <col min="12300" max="12300" width="10.7109375" customWidth="1"/>
    <col min="12301" max="12301" width="9.85546875" bestFit="1" customWidth="1"/>
    <col min="12302" max="12302" width="9.42578125" customWidth="1"/>
    <col min="12303" max="12303" width="9.28515625" bestFit="1" customWidth="1"/>
    <col min="12545" max="12545" width="25.5703125" customWidth="1"/>
    <col min="12546" max="12546" width="11.42578125" bestFit="1" customWidth="1"/>
    <col min="12547" max="12547" width="10.85546875" customWidth="1"/>
    <col min="12548" max="12548" width="12.85546875" customWidth="1"/>
    <col min="12549" max="12549" width="13.7109375" customWidth="1"/>
    <col min="12550" max="12550" width="13.85546875" customWidth="1"/>
    <col min="12551" max="12551" width="8.5703125" bestFit="1" customWidth="1"/>
    <col min="12552" max="12552" width="10" bestFit="1" customWidth="1"/>
    <col min="12553" max="12555" width="8.5703125" bestFit="1" customWidth="1"/>
    <col min="12556" max="12556" width="10.7109375" customWidth="1"/>
    <col min="12557" max="12557" width="9.85546875" bestFit="1" customWidth="1"/>
    <col min="12558" max="12558" width="9.42578125" customWidth="1"/>
    <col min="12559" max="12559" width="9.28515625" bestFit="1" customWidth="1"/>
    <col min="12801" max="12801" width="25.5703125" customWidth="1"/>
    <col min="12802" max="12802" width="11.42578125" bestFit="1" customWidth="1"/>
    <col min="12803" max="12803" width="10.85546875" customWidth="1"/>
    <col min="12804" max="12804" width="12.85546875" customWidth="1"/>
    <col min="12805" max="12805" width="13.7109375" customWidth="1"/>
    <col min="12806" max="12806" width="13.85546875" customWidth="1"/>
    <col min="12807" max="12807" width="8.5703125" bestFit="1" customWidth="1"/>
    <col min="12808" max="12808" width="10" bestFit="1" customWidth="1"/>
    <col min="12809" max="12811" width="8.5703125" bestFit="1" customWidth="1"/>
    <col min="12812" max="12812" width="10.7109375" customWidth="1"/>
    <col min="12813" max="12813" width="9.85546875" bestFit="1" customWidth="1"/>
    <col min="12814" max="12814" width="9.42578125" customWidth="1"/>
    <col min="12815" max="12815" width="9.28515625" bestFit="1" customWidth="1"/>
    <col min="13057" max="13057" width="25.5703125" customWidth="1"/>
    <col min="13058" max="13058" width="11.42578125" bestFit="1" customWidth="1"/>
    <col min="13059" max="13059" width="10.85546875" customWidth="1"/>
    <col min="13060" max="13060" width="12.85546875" customWidth="1"/>
    <col min="13061" max="13061" width="13.7109375" customWidth="1"/>
    <col min="13062" max="13062" width="13.85546875" customWidth="1"/>
    <col min="13063" max="13063" width="8.5703125" bestFit="1" customWidth="1"/>
    <col min="13064" max="13064" width="10" bestFit="1" customWidth="1"/>
    <col min="13065" max="13067" width="8.5703125" bestFit="1" customWidth="1"/>
    <col min="13068" max="13068" width="10.7109375" customWidth="1"/>
    <col min="13069" max="13069" width="9.85546875" bestFit="1" customWidth="1"/>
    <col min="13070" max="13070" width="9.42578125" customWidth="1"/>
    <col min="13071" max="13071" width="9.28515625" bestFit="1" customWidth="1"/>
    <col min="13313" max="13313" width="25.5703125" customWidth="1"/>
    <col min="13314" max="13314" width="11.42578125" bestFit="1" customWidth="1"/>
    <col min="13315" max="13315" width="10.85546875" customWidth="1"/>
    <col min="13316" max="13316" width="12.85546875" customWidth="1"/>
    <col min="13317" max="13317" width="13.7109375" customWidth="1"/>
    <col min="13318" max="13318" width="13.85546875" customWidth="1"/>
    <col min="13319" max="13319" width="8.5703125" bestFit="1" customWidth="1"/>
    <col min="13320" max="13320" width="10" bestFit="1" customWidth="1"/>
    <col min="13321" max="13323" width="8.5703125" bestFit="1" customWidth="1"/>
    <col min="13324" max="13324" width="10.7109375" customWidth="1"/>
    <col min="13325" max="13325" width="9.85546875" bestFit="1" customWidth="1"/>
    <col min="13326" max="13326" width="9.42578125" customWidth="1"/>
    <col min="13327" max="13327" width="9.28515625" bestFit="1" customWidth="1"/>
    <col min="13569" max="13569" width="25.5703125" customWidth="1"/>
    <col min="13570" max="13570" width="11.42578125" bestFit="1" customWidth="1"/>
    <col min="13571" max="13571" width="10.85546875" customWidth="1"/>
    <col min="13572" max="13572" width="12.85546875" customWidth="1"/>
    <col min="13573" max="13573" width="13.7109375" customWidth="1"/>
    <col min="13574" max="13574" width="13.85546875" customWidth="1"/>
    <col min="13575" max="13575" width="8.5703125" bestFit="1" customWidth="1"/>
    <col min="13576" max="13576" width="10" bestFit="1" customWidth="1"/>
    <col min="13577" max="13579" width="8.5703125" bestFit="1" customWidth="1"/>
    <col min="13580" max="13580" width="10.7109375" customWidth="1"/>
    <col min="13581" max="13581" width="9.85546875" bestFit="1" customWidth="1"/>
    <col min="13582" max="13582" width="9.42578125" customWidth="1"/>
    <col min="13583" max="13583" width="9.28515625" bestFit="1" customWidth="1"/>
    <col min="13825" max="13825" width="25.5703125" customWidth="1"/>
    <col min="13826" max="13826" width="11.42578125" bestFit="1" customWidth="1"/>
    <col min="13827" max="13827" width="10.85546875" customWidth="1"/>
    <col min="13828" max="13828" width="12.85546875" customWidth="1"/>
    <col min="13829" max="13829" width="13.7109375" customWidth="1"/>
    <col min="13830" max="13830" width="13.85546875" customWidth="1"/>
    <col min="13831" max="13831" width="8.5703125" bestFit="1" customWidth="1"/>
    <col min="13832" max="13832" width="10" bestFit="1" customWidth="1"/>
    <col min="13833" max="13835" width="8.5703125" bestFit="1" customWidth="1"/>
    <col min="13836" max="13836" width="10.7109375" customWidth="1"/>
    <col min="13837" max="13837" width="9.85546875" bestFit="1" customWidth="1"/>
    <col min="13838" max="13838" width="9.42578125" customWidth="1"/>
    <col min="13839" max="13839" width="9.28515625" bestFit="1" customWidth="1"/>
    <col min="14081" max="14081" width="25.5703125" customWidth="1"/>
    <col min="14082" max="14082" width="11.42578125" bestFit="1" customWidth="1"/>
    <col min="14083" max="14083" width="10.85546875" customWidth="1"/>
    <col min="14084" max="14084" width="12.85546875" customWidth="1"/>
    <col min="14085" max="14085" width="13.7109375" customWidth="1"/>
    <col min="14086" max="14086" width="13.85546875" customWidth="1"/>
    <col min="14087" max="14087" width="8.5703125" bestFit="1" customWidth="1"/>
    <col min="14088" max="14088" width="10" bestFit="1" customWidth="1"/>
    <col min="14089" max="14091" width="8.5703125" bestFit="1" customWidth="1"/>
    <col min="14092" max="14092" width="10.7109375" customWidth="1"/>
    <col min="14093" max="14093" width="9.85546875" bestFit="1" customWidth="1"/>
    <col min="14094" max="14094" width="9.42578125" customWidth="1"/>
    <col min="14095" max="14095" width="9.28515625" bestFit="1" customWidth="1"/>
    <col min="14337" max="14337" width="25.5703125" customWidth="1"/>
    <col min="14338" max="14338" width="11.42578125" bestFit="1" customWidth="1"/>
    <col min="14339" max="14339" width="10.85546875" customWidth="1"/>
    <col min="14340" max="14340" width="12.85546875" customWidth="1"/>
    <col min="14341" max="14341" width="13.7109375" customWidth="1"/>
    <col min="14342" max="14342" width="13.85546875" customWidth="1"/>
    <col min="14343" max="14343" width="8.5703125" bestFit="1" customWidth="1"/>
    <col min="14344" max="14344" width="10" bestFit="1" customWidth="1"/>
    <col min="14345" max="14347" width="8.5703125" bestFit="1" customWidth="1"/>
    <col min="14348" max="14348" width="10.7109375" customWidth="1"/>
    <col min="14349" max="14349" width="9.85546875" bestFit="1" customWidth="1"/>
    <col min="14350" max="14350" width="9.42578125" customWidth="1"/>
    <col min="14351" max="14351" width="9.28515625" bestFit="1" customWidth="1"/>
    <col min="14593" max="14593" width="25.5703125" customWidth="1"/>
    <col min="14594" max="14594" width="11.42578125" bestFit="1" customWidth="1"/>
    <col min="14595" max="14595" width="10.85546875" customWidth="1"/>
    <col min="14596" max="14596" width="12.85546875" customWidth="1"/>
    <col min="14597" max="14597" width="13.7109375" customWidth="1"/>
    <col min="14598" max="14598" width="13.85546875" customWidth="1"/>
    <col min="14599" max="14599" width="8.5703125" bestFit="1" customWidth="1"/>
    <col min="14600" max="14600" width="10" bestFit="1" customWidth="1"/>
    <col min="14601" max="14603" width="8.5703125" bestFit="1" customWidth="1"/>
    <col min="14604" max="14604" width="10.7109375" customWidth="1"/>
    <col min="14605" max="14605" width="9.85546875" bestFit="1" customWidth="1"/>
    <col min="14606" max="14606" width="9.42578125" customWidth="1"/>
    <col min="14607" max="14607" width="9.28515625" bestFit="1" customWidth="1"/>
    <col min="14849" max="14849" width="25.5703125" customWidth="1"/>
    <col min="14850" max="14850" width="11.42578125" bestFit="1" customWidth="1"/>
    <col min="14851" max="14851" width="10.85546875" customWidth="1"/>
    <col min="14852" max="14852" width="12.85546875" customWidth="1"/>
    <col min="14853" max="14853" width="13.7109375" customWidth="1"/>
    <col min="14854" max="14854" width="13.85546875" customWidth="1"/>
    <col min="14855" max="14855" width="8.5703125" bestFit="1" customWidth="1"/>
    <col min="14856" max="14856" width="10" bestFit="1" customWidth="1"/>
    <col min="14857" max="14859" width="8.5703125" bestFit="1" customWidth="1"/>
    <col min="14860" max="14860" width="10.7109375" customWidth="1"/>
    <col min="14861" max="14861" width="9.85546875" bestFit="1" customWidth="1"/>
    <col min="14862" max="14862" width="9.42578125" customWidth="1"/>
    <col min="14863" max="14863" width="9.28515625" bestFit="1" customWidth="1"/>
    <col min="15105" max="15105" width="25.5703125" customWidth="1"/>
    <col min="15106" max="15106" width="11.42578125" bestFit="1" customWidth="1"/>
    <col min="15107" max="15107" width="10.85546875" customWidth="1"/>
    <col min="15108" max="15108" width="12.85546875" customWidth="1"/>
    <col min="15109" max="15109" width="13.7109375" customWidth="1"/>
    <col min="15110" max="15110" width="13.85546875" customWidth="1"/>
    <col min="15111" max="15111" width="8.5703125" bestFit="1" customWidth="1"/>
    <col min="15112" max="15112" width="10" bestFit="1" customWidth="1"/>
    <col min="15113" max="15115" width="8.5703125" bestFit="1" customWidth="1"/>
    <col min="15116" max="15116" width="10.7109375" customWidth="1"/>
    <col min="15117" max="15117" width="9.85546875" bestFit="1" customWidth="1"/>
    <col min="15118" max="15118" width="9.42578125" customWidth="1"/>
    <col min="15119" max="15119" width="9.28515625" bestFit="1" customWidth="1"/>
    <col min="15361" max="15361" width="25.5703125" customWidth="1"/>
    <col min="15362" max="15362" width="11.42578125" bestFit="1" customWidth="1"/>
    <col min="15363" max="15363" width="10.85546875" customWidth="1"/>
    <col min="15364" max="15364" width="12.85546875" customWidth="1"/>
    <col min="15365" max="15365" width="13.7109375" customWidth="1"/>
    <col min="15366" max="15366" width="13.85546875" customWidth="1"/>
    <col min="15367" max="15367" width="8.5703125" bestFit="1" customWidth="1"/>
    <col min="15368" max="15368" width="10" bestFit="1" customWidth="1"/>
    <col min="15369" max="15371" width="8.5703125" bestFit="1" customWidth="1"/>
    <col min="15372" max="15372" width="10.7109375" customWidth="1"/>
    <col min="15373" max="15373" width="9.85546875" bestFit="1" customWidth="1"/>
    <col min="15374" max="15374" width="9.42578125" customWidth="1"/>
    <col min="15375" max="15375" width="9.28515625" bestFit="1" customWidth="1"/>
    <col min="15617" max="15617" width="25.5703125" customWidth="1"/>
    <col min="15618" max="15618" width="11.42578125" bestFit="1" customWidth="1"/>
    <col min="15619" max="15619" width="10.85546875" customWidth="1"/>
    <col min="15620" max="15620" width="12.85546875" customWidth="1"/>
    <col min="15621" max="15621" width="13.7109375" customWidth="1"/>
    <col min="15622" max="15622" width="13.85546875" customWidth="1"/>
    <col min="15623" max="15623" width="8.5703125" bestFit="1" customWidth="1"/>
    <col min="15624" max="15624" width="10" bestFit="1" customWidth="1"/>
    <col min="15625" max="15627" width="8.5703125" bestFit="1" customWidth="1"/>
    <col min="15628" max="15628" width="10.7109375" customWidth="1"/>
    <col min="15629" max="15629" width="9.85546875" bestFit="1" customWidth="1"/>
    <col min="15630" max="15630" width="9.42578125" customWidth="1"/>
    <col min="15631" max="15631" width="9.28515625" bestFit="1" customWidth="1"/>
    <col min="15873" max="15873" width="25.5703125" customWidth="1"/>
    <col min="15874" max="15874" width="11.42578125" bestFit="1" customWidth="1"/>
    <col min="15875" max="15875" width="10.85546875" customWidth="1"/>
    <col min="15876" max="15876" width="12.85546875" customWidth="1"/>
    <col min="15877" max="15877" width="13.7109375" customWidth="1"/>
    <col min="15878" max="15878" width="13.85546875" customWidth="1"/>
    <col min="15879" max="15879" width="8.5703125" bestFit="1" customWidth="1"/>
    <col min="15880" max="15880" width="10" bestFit="1" customWidth="1"/>
    <col min="15881" max="15883" width="8.5703125" bestFit="1" customWidth="1"/>
    <col min="15884" max="15884" width="10.7109375" customWidth="1"/>
    <col min="15885" max="15885" width="9.85546875" bestFit="1" customWidth="1"/>
    <col min="15886" max="15886" width="9.42578125" customWidth="1"/>
    <col min="15887" max="15887" width="9.28515625" bestFit="1" customWidth="1"/>
    <col min="16129" max="16129" width="25.5703125" customWidth="1"/>
    <col min="16130" max="16130" width="11.42578125" bestFit="1" customWidth="1"/>
    <col min="16131" max="16131" width="10.85546875" customWidth="1"/>
    <col min="16132" max="16132" width="12.85546875" customWidth="1"/>
    <col min="16133" max="16133" width="13.7109375" customWidth="1"/>
    <col min="16134" max="16134" width="13.85546875" customWidth="1"/>
    <col min="16135" max="16135" width="8.5703125" bestFit="1" customWidth="1"/>
    <col min="16136" max="16136" width="10" bestFit="1" customWidth="1"/>
    <col min="16137" max="16139" width="8.5703125" bestFit="1" customWidth="1"/>
    <col min="16140" max="16140" width="10.7109375" customWidth="1"/>
    <col min="16141" max="16141" width="9.85546875" bestFit="1" customWidth="1"/>
    <col min="16142" max="16142" width="9.42578125" customWidth="1"/>
    <col min="16143" max="16143" width="9.28515625" bestFit="1" customWidth="1"/>
  </cols>
  <sheetData>
    <row r="2" spans="1:13">
      <c r="A2" s="117"/>
      <c r="B2" s="1019" t="s">
        <v>1216</v>
      </c>
      <c r="C2" s="1019"/>
      <c r="D2" s="1019"/>
      <c r="E2" s="1019"/>
      <c r="F2" s="1019"/>
      <c r="G2" s="1019"/>
    </row>
    <row r="3" spans="1:13">
      <c r="A3" s="117"/>
      <c r="B3" s="1019" t="s">
        <v>1215</v>
      </c>
      <c r="C3" s="1019"/>
      <c r="D3" s="1019"/>
      <c r="E3" s="1019"/>
      <c r="F3" s="117"/>
      <c r="G3" s="117"/>
    </row>
    <row r="4" spans="1:13" ht="48.75">
      <c r="A4" s="112" t="s">
        <v>1214</v>
      </c>
      <c r="B4" s="104" t="s">
        <v>1294</v>
      </c>
      <c r="C4" s="112" t="s">
        <v>1212</v>
      </c>
      <c r="D4" s="5">
        <v>904250203</v>
      </c>
      <c r="E4" s="112" t="s">
        <v>1211</v>
      </c>
      <c r="F4" s="5">
        <v>840.02300000000002</v>
      </c>
      <c r="G4" s="112" t="s">
        <v>1210</v>
      </c>
      <c r="H4" s="103">
        <v>80</v>
      </c>
      <c r="I4" s="111"/>
      <c r="J4" s="111"/>
      <c r="K4" s="111"/>
      <c r="L4" s="111"/>
    </row>
    <row r="5" spans="1:13">
      <c r="A5" s="808" t="s">
        <v>4176</v>
      </c>
      <c r="B5" s="808"/>
      <c r="C5" s="808"/>
      <c r="D5" s="112"/>
      <c r="E5" s="112"/>
      <c r="F5" s="112"/>
      <c r="G5" s="112"/>
      <c r="H5" s="111"/>
      <c r="I5" s="111"/>
      <c r="J5" s="111"/>
      <c r="K5" s="111"/>
      <c r="L5" s="111"/>
    </row>
    <row r="6" spans="1:13" ht="36.75">
      <c r="A6" s="112" t="s">
        <v>832</v>
      </c>
      <c r="B6" s="104" t="s">
        <v>1293</v>
      </c>
      <c r="C6" s="112" t="s">
        <v>1208</v>
      </c>
      <c r="D6" s="112" t="s">
        <v>1292</v>
      </c>
      <c r="F6" s="112"/>
      <c r="G6" s="112"/>
      <c r="H6" s="111"/>
      <c r="I6" s="111"/>
      <c r="J6" s="111"/>
      <c r="K6" s="111"/>
      <c r="L6" s="111"/>
    </row>
    <row r="7" spans="1:13">
      <c r="A7" s="112"/>
      <c r="B7" s="112"/>
      <c r="C7" s="112"/>
      <c r="D7" s="112"/>
      <c r="E7" s="112"/>
      <c r="F7" s="112"/>
      <c r="G7" s="112"/>
      <c r="H7" s="111"/>
      <c r="I7" s="111"/>
      <c r="J7" s="111"/>
      <c r="K7" s="111"/>
      <c r="L7" s="111"/>
    </row>
    <row r="8" spans="1:13" ht="72.75">
      <c r="A8" s="112" t="s">
        <v>618</v>
      </c>
      <c r="B8" s="129" t="s">
        <v>1281</v>
      </c>
      <c r="C8" s="115" t="s">
        <v>1206</v>
      </c>
      <c r="D8" s="104" t="s">
        <v>1291</v>
      </c>
      <c r="E8" s="112"/>
      <c r="F8" s="112"/>
      <c r="G8" s="115"/>
      <c r="H8" s="111"/>
      <c r="I8" s="111"/>
      <c r="J8" s="111"/>
      <c r="K8" s="111"/>
      <c r="L8" s="111"/>
    </row>
    <row r="9" spans="1:13">
      <c r="A9" s="112"/>
      <c r="B9" s="112"/>
      <c r="C9" s="112"/>
      <c r="D9" s="112"/>
      <c r="E9" s="112"/>
      <c r="F9" s="112"/>
      <c r="G9" s="112"/>
      <c r="H9" s="111"/>
      <c r="I9" s="111"/>
      <c r="J9" s="111"/>
      <c r="K9" s="111"/>
      <c r="L9" s="111"/>
    </row>
    <row r="10" spans="1:13" ht="24.75">
      <c r="A10" s="104" t="s">
        <v>838</v>
      </c>
      <c r="B10" s="104" t="s">
        <v>1290</v>
      </c>
      <c r="C10" s="104" t="s">
        <v>1289</v>
      </c>
      <c r="D10" s="104"/>
      <c r="E10" s="104"/>
      <c r="F10" s="104"/>
      <c r="G10" s="112"/>
      <c r="H10" s="111"/>
      <c r="I10" s="111"/>
      <c r="J10" s="111"/>
      <c r="K10" s="111"/>
      <c r="L10" s="111"/>
    </row>
    <row r="11" spans="1:13" ht="24.75">
      <c r="A11" s="104" t="s">
        <v>1239</v>
      </c>
      <c r="B11" s="135" t="s">
        <v>1288</v>
      </c>
      <c r="C11" s="104" t="s">
        <v>1287</v>
      </c>
      <c r="D11" s="104"/>
      <c r="E11" s="104"/>
      <c r="F11" s="104"/>
      <c r="G11" s="112"/>
      <c r="H11" s="111"/>
      <c r="I11" s="111"/>
      <c r="J11" s="111"/>
      <c r="K11" s="111"/>
      <c r="L11" s="111"/>
    </row>
    <row r="12" spans="1:13" ht="24.75">
      <c r="A12" s="104" t="s">
        <v>1202</v>
      </c>
      <c r="B12" s="104" t="s">
        <v>1286</v>
      </c>
      <c r="C12" s="104" t="s">
        <v>1285</v>
      </c>
      <c r="D12" s="104" t="s">
        <v>1284</v>
      </c>
      <c r="E12" s="104" t="s">
        <v>1283</v>
      </c>
      <c r="F12" s="114" t="s">
        <v>1282</v>
      </c>
      <c r="G12" s="112"/>
      <c r="H12" s="111"/>
      <c r="I12" s="111"/>
      <c r="J12" s="111"/>
      <c r="K12" s="111"/>
      <c r="L12" s="111"/>
    </row>
    <row r="13" spans="1:13" ht="24.75">
      <c r="A13" s="104" t="s">
        <v>1196</v>
      </c>
      <c r="B13" s="129" t="s">
        <v>1281</v>
      </c>
      <c r="C13" s="104"/>
      <c r="D13" s="104"/>
      <c r="E13" s="104"/>
      <c r="F13" s="104"/>
      <c r="G13" s="112"/>
      <c r="H13" s="111"/>
      <c r="I13" s="111"/>
      <c r="J13" s="111"/>
      <c r="K13" s="111"/>
      <c r="L13" s="111"/>
    </row>
    <row r="14" spans="1:13">
      <c r="A14" s="112"/>
      <c r="B14" s="112"/>
      <c r="C14" s="112"/>
      <c r="D14" s="112"/>
      <c r="E14" s="112"/>
      <c r="F14" s="112"/>
      <c r="G14" s="112"/>
      <c r="H14" s="111"/>
      <c r="I14" s="111"/>
      <c r="J14" s="111"/>
      <c r="K14" s="111"/>
      <c r="L14" s="111"/>
    </row>
    <row r="15" spans="1:13" ht="36.75">
      <c r="A15" s="112" t="s">
        <v>1194</v>
      </c>
      <c r="B15" s="104">
        <v>2</v>
      </c>
      <c r="C15" s="112" t="s">
        <v>1193</v>
      </c>
      <c r="D15" s="104">
        <v>2</v>
      </c>
      <c r="E15" s="112" t="s">
        <v>643</v>
      </c>
      <c r="F15" s="104">
        <v>6</v>
      </c>
      <c r="G15" s="112" t="s">
        <v>644</v>
      </c>
      <c r="H15" s="103">
        <v>2</v>
      </c>
      <c r="I15" s="111" t="s">
        <v>645</v>
      </c>
      <c r="J15" s="103">
        <f>124+60+11+15</f>
        <v>210</v>
      </c>
      <c r="K15" s="111"/>
      <c r="L15" s="111"/>
    </row>
    <row r="16" spans="1:13" ht="24.75">
      <c r="A16" s="112" t="s">
        <v>1192</v>
      </c>
      <c r="B16" s="112" t="s">
        <v>204</v>
      </c>
      <c r="C16" s="104">
        <v>94</v>
      </c>
      <c r="D16" s="112" t="s">
        <v>205</v>
      </c>
      <c r="E16" s="104">
        <v>0</v>
      </c>
      <c r="F16" s="112" t="s">
        <v>206</v>
      </c>
      <c r="G16" s="104">
        <v>0</v>
      </c>
      <c r="H16" s="111" t="s">
        <v>230</v>
      </c>
      <c r="I16" s="103">
        <f>G16+E16+C16</f>
        <v>94</v>
      </c>
      <c r="J16" s="111" t="s">
        <v>207</v>
      </c>
      <c r="K16" s="103">
        <v>12</v>
      </c>
      <c r="L16" s="112" t="s">
        <v>855</v>
      </c>
      <c r="M16" s="80">
        <v>24</v>
      </c>
    </row>
    <row r="17" spans="1:14">
      <c r="A17" s="112" t="s">
        <v>1191</v>
      </c>
      <c r="B17" s="112" t="s">
        <v>210</v>
      </c>
      <c r="C17" s="104">
        <v>258</v>
      </c>
      <c r="D17" s="112" t="s">
        <v>211</v>
      </c>
      <c r="E17" s="104">
        <v>0</v>
      </c>
      <c r="F17" s="112" t="s">
        <v>212</v>
      </c>
      <c r="G17" s="104">
        <v>0</v>
      </c>
      <c r="H17" s="111" t="s">
        <v>411</v>
      </c>
      <c r="I17" s="103">
        <f>G17+E17+C17</f>
        <v>258</v>
      </c>
      <c r="J17" s="111"/>
      <c r="K17" s="103"/>
      <c r="L17" s="111"/>
    </row>
    <row r="18" spans="1:14">
      <c r="A18" s="112"/>
      <c r="B18" s="112" t="s">
        <v>213</v>
      </c>
      <c r="C18" s="104">
        <v>211</v>
      </c>
      <c r="D18" s="112" t="s">
        <v>214</v>
      </c>
      <c r="E18" s="104">
        <v>0</v>
      </c>
      <c r="F18" s="112" t="s">
        <v>215</v>
      </c>
      <c r="G18" s="104">
        <v>0</v>
      </c>
      <c r="H18" s="111" t="s">
        <v>410</v>
      </c>
      <c r="I18" s="103">
        <f>G18+E18+C18</f>
        <v>211</v>
      </c>
      <c r="J18" s="111"/>
      <c r="K18" s="103"/>
      <c r="L18" s="111"/>
    </row>
    <row r="19" spans="1:14">
      <c r="A19" s="112"/>
      <c r="B19" s="112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>
      <c r="A20" s="113" t="s">
        <v>409</v>
      </c>
      <c r="B20" s="112"/>
      <c r="C20" s="112"/>
      <c r="D20" s="112"/>
      <c r="E20" s="112"/>
      <c r="F20" s="112"/>
      <c r="G20" s="112"/>
      <c r="H20" s="111"/>
      <c r="I20" s="111"/>
      <c r="J20" s="111"/>
      <c r="K20" s="111"/>
      <c r="L20" s="111"/>
    </row>
    <row r="21" spans="1:14">
      <c r="A21" s="1028" t="s">
        <v>1190</v>
      </c>
      <c r="B21" s="1020" t="s">
        <v>1189</v>
      </c>
      <c r="C21" s="1020" t="s">
        <v>1188</v>
      </c>
      <c r="D21" s="1020" t="s">
        <v>1187</v>
      </c>
      <c r="E21" s="1020" t="s">
        <v>1186</v>
      </c>
      <c r="F21" s="1022" t="s">
        <v>1185</v>
      </c>
      <c r="G21" s="1023"/>
      <c r="H21" s="1023"/>
      <c r="I21" s="1023"/>
      <c r="J21" s="1023"/>
      <c r="K21" s="1023"/>
      <c r="L21" s="1023"/>
      <c r="M21" s="1023"/>
      <c r="N21" s="1024"/>
    </row>
    <row r="22" spans="1:14">
      <c r="A22" s="1029"/>
      <c r="B22" s="1020"/>
      <c r="C22" s="1020"/>
      <c r="D22" s="1020"/>
      <c r="E22" s="1020"/>
      <c r="F22" s="104" t="s">
        <v>1184</v>
      </c>
      <c r="G22" s="104" t="s">
        <v>1183</v>
      </c>
      <c r="H22" s="104" t="s">
        <v>1182</v>
      </c>
      <c r="I22" s="103" t="s">
        <v>1181</v>
      </c>
      <c r="J22" s="103" t="s">
        <v>1180</v>
      </c>
      <c r="K22" s="103" t="s">
        <v>1179</v>
      </c>
      <c r="L22" s="103" t="s">
        <v>1178</v>
      </c>
      <c r="M22" s="110" t="s">
        <v>230</v>
      </c>
      <c r="N22" s="110" t="s">
        <v>231</v>
      </c>
    </row>
    <row r="23" spans="1:14">
      <c r="A23" s="104" t="s">
        <v>232</v>
      </c>
      <c r="B23" s="104">
        <v>8000</v>
      </c>
      <c r="C23" s="5" t="s">
        <v>1177</v>
      </c>
      <c r="D23" s="106">
        <f>ROUND((+B23*F4),0)/100000</f>
        <v>67.201840000000004</v>
      </c>
      <c r="E23" s="108">
        <f>6720183/100000</f>
        <v>67.201830000000001</v>
      </c>
      <c r="F23" s="100">
        <v>0</v>
      </c>
      <c r="G23" s="100">
        <f>19612/100000</f>
        <v>0.19611999999999999</v>
      </c>
      <c r="H23" s="100">
        <f>639394/100000</f>
        <v>6.3939399999999997</v>
      </c>
      <c r="I23" s="132">
        <f>1626565/100000</f>
        <v>16.265650000000001</v>
      </c>
      <c r="J23" s="132">
        <f>2439348/100000</f>
        <v>24.39348</v>
      </c>
      <c r="K23" s="132">
        <f>1945781/100000</f>
        <v>19.457809999999998</v>
      </c>
      <c r="L23" s="132">
        <f>49546/100000</f>
        <v>0.49546000000000001</v>
      </c>
      <c r="M23" s="131">
        <f>SUM(F23:L23)</f>
        <v>67.202459999999988</v>
      </c>
      <c r="N23" s="98">
        <f>ROUND(M23/E23*100,0)</f>
        <v>100</v>
      </c>
    </row>
    <row r="24" spans="1:14" ht="24.75">
      <c r="A24" s="104" t="s">
        <v>234</v>
      </c>
      <c r="B24" s="104">
        <v>7000</v>
      </c>
      <c r="C24" s="102" t="s">
        <v>1175</v>
      </c>
      <c r="D24" s="106">
        <f>+B24*80/100000</f>
        <v>5.6</v>
      </c>
      <c r="E24" s="108">
        <f>560000/100000</f>
        <v>5.6</v>
      </c>
      <c r="F24" s="100">
        <v>0</v>
      </c>
      <c r="G24" s="100">
        <v>0</v>
      </c>
      <c r="H24" s="132">
        <v>0</v>
      </c>
      <c r="I24" s="132"/>
      <c r="J24" s="132">
        <f>31460/100000</f>
        <v>0.31459999999999999</v>
      </c>
      <c r="K24" s="132">
        <f>242745/100000</f>
        <v>2.4274499999999999</v>
      </c>
      <c r="L24" s="132">
        <f>245974/100000</f>
        <v>2.45974</v>
      </c>
      <c r="M24" s="134">
        <f t="shared" ref="M24:M30" si="0">SUM(F24:L24)</f>
        <v>5.2017899999999999</v>
      </c>
      <c r="N24" s="98">
        <f t="shared" ref="N24:N30" si="1">ROUND(M24/E24*100,0)</f>
        <v>93</v>
      </c>
    </row>
    <row r="25" spans="1:14" ht="24.75">
      <c r="A25" s="104" t="s">
        <v>235</v>
      </c>
      <c r="B25" s="102">
        <v>43000</v>
      </c>
      <c r="C25" s="102" t="s">
        <v>236</v>
      </c>
      <c r="D25" s="108">
        <v>0.43</v>
      </c>
      <c r="E25" s="108">
        <f>43000/100000</f>
        <v>0.43</v>
      </c>
      <c r="F25" s="100">
        <v>0</v>
      </c>
      <c r="G25" s="100">
        <v>0</v>
      </c>
      <c r="H25" s="132">
        <v>0</v>
      </c>
      <c r="I25" s="132">
        <f>18000/100000</f>
        <v>0.18</v>
      </c>
      <c r="J25" s="132">
        <f>15000/100000</f>
        <v>0.15</v>
      </c>
      <c r="K25" s="132">
        <f>10000/100000</f>
        <v>0.1</v>
      </c>
      <c r="L25" s="132">
        <v>0</v>
      </c>
      <c r="M25" s="134">
        <f t="shared" si="0"/>
        <v>0.42999999999999994</v>
      </c>
      <c r="N25" s="98">
        <f t="shared" si="1"/>
        <v>100</v>
      </c>
    </row>
    <row r="26" spans="1:14" ht="24.75">
      <c r="A26" s="104" t="s">
        <v>237</v>
      </c>
      <c r="B26" s="102">
        <v>34000</v>
      </c>
      <c r="C26" s="102" t="s">
        <v>236</v>
      </c>
      <c r="D26" s="108">
        <v>0.34</v>
      </c>
      <c r="E26" s="108">
        <f>34000/100000</f>
        <v>0.34</v>
      </c>
      <c r="F26" s="100">
        <v>0</v>
      </c>
      <c r="G26" s="100">
        <v>0</v>
      </c>
      <c r="H26" s="132">
        <v>0</v>
      </c>
      <c r="I26" s="132">
        <f>16224/100000</f>
        <v>0.16224</v>
      </c>
      <c r="J26" s="132">
        <f>11776/100000</f>
        <v>0.11776</v>
      </c>
      <c r="K26" s="132">
        <f>6000/100000</f>
        <v>0.06</v>
      </c>
      <c r="L26" s="132">
        <v>0</v>
      </c>
      <c r="M26" s="134">
        <f t="shared" si="0"/>
        <v>0.34</v>
      </c>
      <c r="N26" s="98">
        <f t="shared" si="1"/>
        <v>100</v>
      </c>
    </row>
    <row r="27" spans="1:14">
      <c r="A27" s="104" t="s">
        <v>238</v>
      </c>
      <c r="B27" s="104">
        <v>1200</v>
      </c>
      <c r="C27" s="102" t="s">
        <v>1175</v>
      </c>
      <c r="D27" s="106">
        <f>ROUND((B27*F4),0)/100000</f>
        <v>10.08028</v>
      </c>
      <c r="E27" s="108">
        <f>1008028/100000</f>
        <v>10.08028</v>
      </c>
      <c r="F27" s="100">
        <v>0</v>
      </c>
      <c r="G27" s="100">
        <v>0</v>
      </c>
      <c r="H27" s="132">
        <v>0</v>
      </c>
      <c r="I27" s="132"/>
      <c r="J27" s="132"/>
      <c r="K27" s="132">
        <f>316012/100000</f>
        <v>3.16012</v>
      </c>
      <c r="L27" s="132">
        <f>90000/100000</f>
        <v>0.9</v>
      </c>
      <c r="M27" s="134">
        <f t="shared" si="0"/>
        <v>4.0601200000000004</v>
      </c>
      <c r="N27" s="98">
        <f t="shared" si="1"/>
        <v>40</v>
      </c>
    </row>
    <row r="28" spans="1:14">
      <c r="A28" s="104" t="s">
        <v>667</v>
      </c>
      <c r="B28" s="104">
        <v>565</v>
      </c>
      <c r="C28" s="102" t="s">
        <v>1175</v>
      </c>
      <c r="D28" s="106">
        <f>ROUND((B28*F4),0)/100000</f>
        <v>4.74613</v>
      </c>
      <c r="E28" s="108">
        <f>474612/100000</f>
        <v>4.7461200000000003</v>
      </c>
      <c r="F28" s="100">
        <v>0</v>
      </c>
      <c r="G28" s="100">
        <v>0</v>
      </c>
      <c r="H28" s="132">
        <v>0</v>
      </c>
      <c r="I28" s="132">
        <f>26725/100000</f>
        <v>0.26724999999999999</v>
      </c>
      <c r="J28" s="132">
        <f>447887/100000</f>
        <v>4.4788699999999997</v>
      </c>
      <c r="K28" s="132"/>
      <c r="L28" s="132">
        <v>0</v>
      </c>
      <c r="M28" s="133">
        <f t="shared" si="0"/>
        <v>4.7461199999999995</v>
      </c>
      <c r="N28" s="98">
        <f t="shared" si="1"/>
        <v>100</v>
      </c>
    </row>
    <row r="29" spans="1:14">
      <c r="A29" s="104" t="s">
        <v>1176</v>
      </c>
      <c r="B29" s="104">
        <v>1000</v>
      </c>
      <c r="C29" s="102" t="s">
        <v>1175</v>
      </c>
      <c r="D29" s="106">
        <f>B29*F4/100000</f>
        <v>8.4002300000000005</v>
      </c>
      <c r="E29" s="101">
        <f>840023/100000</f>
        <v>8.4002300000000005</v>
      </c>
      <c r="F29" s="100">
        <v>0</v>
      </c>
      <c r="G29" s="100">
        <v>0</v>
      </c>
      <c r="H29" s="100">
        <f>100000/100000</f>
        <v>1</v>
      </c>
      <c r="I29" s="132">
        <v>0</v>
      </c>
      <c r="J29" s="132">
        <v>0</v>
      </c>
      <c r="K29" s="132">
        <f>512163/100000</f>
        <v>5.1216299999999997</v>
      </c>
      <c r="L29" s="132">
        <f>267400/100000</f>
        <v>2.6739999999999999</v>
      </c>
      <c r="M29" s="131">
        <f t="shared" si="0"/>
        <v>8.7956299999999992</v>
      </c>
      <c r="N29" s="98">
        <f t="shared" si="1"/>
        <v>105</v>
      </c>
    </row>
    <row r="30" spans="1:14">
      <c r="A30" s="104" t="s">
        <v>394</v>
      </c>
      <c r="B30" s="104">
        <v>2750</v>
      </c>
      <c r="C30" s="102" t="s">
        <v>242</v>
      </c>
      <c r="D30" s="101">
        <v>1.92</v>
      </c>
      <c r="E30" s="101">
        <f>192000/100000</f>
        <v>1.92</v>
      </c>
      <c r="F30" s="100">
        <v>0</v>
      </c>
      <c r="G30" s="100">
        <v>0</v>
      </c>
      <c r="H30" s="100">
        <f>31574/100000</f>
        <v>0.31574000000000002</v>
      </c>
      <c r="I30" s="132">
        <f>61172/100000</f>
        <v>0.61172000000000004</v>
      </c>
      <c r="J30" s="132">
        <f>32100/100000</f>
        <v>0.32100000000000001</v>
      </c>
      <c r="K30" s="132">
        <f>33242/100000</f>
        <v>0.33241999999999999</v>
      </c>
      <c r="L30" s="132">
        <f>56/100000</f>
        <v>5.5999999999999995E-4</v>
      </c>
      <c r="M30" s="131">
        <f t="shared" si="0"/>
        <v>1.58144</v>
      </c>
      <c r="N30" s="98">
        <f t="shared" si="1"/>
        <v>82</v>
      </c>
    </row>
    <row r="31" spans="1:14">
      <c r="A31" s="97" t="s">
        <v>230</v>
      </c>
      <c r="B31" s="104"/>
      <c r="C31" s="104"/>
      <c r="D31" s="94">
        <f>SUM(D23:D30)</f>
        <v>98.718480000000014</v>
      </c>
      <c r="E31" s="94">
        <f t="shared" ref="E31:L31" si="2">SUM(E23:E30)</f>
        <v>98.718460000000007</v>
      </c>
      <c r="F31" s="92">
        <f t="shared" si="2"/>
        <v>0</v>
      </c>
      <c r="G31" s="92">
        <f t="shared" si="2"/>
        <v>0.19611999999999999</v>
      </c>
      <c r="H31" s="92">
        <f t="shared" si="2"/>
        <v>7.7096799999999996</v>
      </c>
      <c r="I31" s="92">
        <f t="shared" si="2"/>
        <v>17.48686</v>
      </c>
      <c r="J31" s="92">
        <f t="shared" si="2"/>
        <v>29.77571</v>
      </c>
      <c r="K31" s="92">
        <f t="shared" si="2"/>
        <v>30.659429999999997</v>
      </c>
      <c r="L31" s="92">
        <f t="shared" si="2"/>
        <v>6.5297599999999996</v>
      </c>
      <c r="M31" s="130">
        <f>SUM(M23:M30)</f>
        <v>92.357560000000007</v>
      </c>
      <c r="N31" s="91">
        <f>ROUND(M31/E31*100,0)</f>
        <v>94</v>
      </c>
    </row>
    <row r="32" spans="1:14">
      <c r="A32" s="1025" t="s">
        <v>1217</v>
      </c>
      <c r="B32" s="1025"/>
      <c r="C32" s="1025"/>
      <c r="D32" s="1025"/>
      <c r="E32" s="1025"/>
      <c r="F32" s="1025"/>
      <c r="G32" s="1025"/>
      <c r="H32" s="1025"/>
      <c r="I32" s="1025"/>
      <c r="J32" s="1025"/>
      <c r="K32" s="1025"/>
      <c r="L32" s="1025"/>
      <c r="M32" s="1025"/>
      <c r="N32" s="1025"/>
    </row>
  </sheetData>
  <mergeCells count="10">
    <mergeCell ref="A32:N32"/>
    <mergeCell ref="B2:G2"/>
    <mergeCell ref="B3:E3"/>
    <mergeCell ref="A21:A22"/>
    <mergeCell ref="B21:B22"/>
    <mergeCell ref="C21:C22"/>
    <mergeCell ref="D21:D22"/>
    <mergeCell ref="E21:E22"/>
    <mergeCell ref="F21:N21"/>
    <mergeCell ref="A5:C5"/>
  </mergeCells>
  <hyperlinks>
    <hyperlink ref="A5" location="'Fact Sheet of VDC'!A1" display="&lt;&lt;Back"/>
  </hyperlinks>
  <pageMargins left="0.83" right="0.25" top="0.14000000000000001" bottom="0.56999999999999995" header="7.0000000000000007E-2" footer="0.5"/>
  <pageSetup scale="63" orientation="landscape" verticalDpi="3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dimension ref="A2:N32"/>
  <sheetViews>
    <sheetView zoomScale="80" zoomScaleNormal="80" workbookViewId="0">
      <selection activeCell="A5" sqref="A5:C5"/>
    </sheetView>
  </sheetViews>
  <sheetFormatPr defaultRowHeight="15"/>
  <cols>
    <col min="1" max="1" width="18.7109375" customWidth="1"/>
    <col min="2" max="2" width="20.42578125" customWidth="1"/>
    <col min="3" max="3" width="14.7109375" customWidth="1"/>
    <col min="4" max="4" width="33.140625" customWidth="1"/>
    <col min="5" max="5" width="9.5703125" bestFit="1" customWidth="1"/>
    <col min="6" max="6" width="12.42578125" customWidth="1"/>
    <col min="7" max="7" width="11" customWidth="1"/>
    <col min="8" max="11" width="9.5703125" bestFit="1" customWidth="1"/>
    <col min="12" max="12" width="11" customWidth="1"/>
    <col min="13" max="13" width="10.5703125" bestFit="1" customWidth="1"/>
    <col min="14" max="14" width="11.5703125" bestFit="1" customWidth="1"/>
    <col min="15" max="15" width="9.28515625" bestFit="1" customWidth="1"/>
    <col min="257" max="257" width="18.7109375" customWidth="1"/>
    <col min="258" max="258" width="20.42578125" customWidth="1"/>
    <col min="259" max="259" width="14.7109375" customWidth="1"/>
    <col min="260" max="260" width="33.140625" customWidth="1"/>
    <col min="261" max="261" width="9.5703125" bestFit="1" customWidth="1"/>
    <col min="262" max="262" width="12.42578125" customWidth="1"/>
    <col min="263" max="263" width="11" customWidth="1"/>
    <col min="264" max="267" width="9.5703125" bestFit="1" customWidth="1"/>
    <col min="268" max="268" width="11" customWidth="1"/>
    <col min="269" max="269" width="10.5703125" bestFit="1" customWidth="1"/>
    <col min="270" max="270" width="11.5703125" bestFit="1" customWidth="1"/>
    <col min="271" max="271" width="9.28515625" bestFit="1" customWidth="1"/>
    <col min="513" max="513" width="18.7109375" customWidth="1"/>
    <col min="514" max="514" width="20.42578125" customWidth="1"/>
    <col min="515" max="515" width="14.7109375" customWidth="1"/>
    <col min="516" max="516" width="33.140625" customWidth="1"/>
    <col min="517" max="517" width="9.5703125" bestFit="1" customWidth="1"/>
    <col min="518" max="518" width="12.42578125" customWidth="1"/>
    <col min="519" max="519" width="11" customWidth="1"/>
    <col min="520" max="523" width="9.5703125" bestFit="1" customWidth="1"/>
    <col min="524" max="524" width="11" customWidth="1"/>
    <col min="525" max="525" width="10.5703125" bestFit="1" customWidth="1"/>
    <col min="526" max="526" width="11.5703125" bestFit="1" customWidth="1"/>
    <col min="527" max="527" width="9.28515625" bestFit="1" customWidth="1"/>
    <col min="769" max="769" width="18.7109375" customWidth="1"/>
    <col min="770" max="770" width="20.42578125" customWidth="1"/>
    <col min="771" max="771" width="14.7109375" customWidth="1"/>
    <col min="772" max="772" width="33.140625" customWidth="1"/>
    <col min="773" max="773" width="9.5703125" bestFit="1" customWidth="1"/>
    <col min="774" max="774" width="12.42578125" customWidth="1"/>
    <col min="775" max="775" width="11" customWidth="1"/>
    <col min="776" max="779" width="9.5703125" bestFit="1" customWidth="1"/>
    <col min="780" max="780" width="11" customWidth="1"/>
    <col min="781" max="781" width="10.5703125" bestFit="1" customWidth="1"/>
    <col min="782" max="782" width="11.5703125" bestFit="1" customWidth="1"/>
    <col min="783" max="783" width="9.28515625" bestFit="1" customWidth="1"/>
    <col min="1025" max="1025" width="18.7109375" customWidth="1"/>
    <col min="1026" max="1026" width="20.42578125" customWidth="1"/>
    <col min="1027" max="1027" width="14.7109375" customWidth="1"/>
    <col min="1028" max="1028" width="33.140625" customWidth="1"/>
    <col min="1029" max="1029" width="9.5703125" bestFit="1" customWidth="1"/>
    <col min="1030" max="1030" width="12.42578125" customWidth="1"/>
    <col min="1031" max="1031" width="11" customWidth="1"/>
    <col min="1032" max="1035" width="9.5703125" bestFit="1" customWidth="1"/>
    <col min="1036" max="1036" width="11" customWidth="1"/>
    <col min="1037" max="1037" width="10.5703125" bestFit="1" customWidth="1"/>
    <col min="1038" max="1038" width="11.5703125" bestFit="1" customWidth="1"/>
    <col min="1039" max="1039" width="9.28515625" bestFit="1" customWidth="1"/>
    <col min="1281" max="1281" width="18.7109375" customWidth="1"/>
    <col min="1282" max="1282" width="20.42578125" customWidth="1"/>
    <col min="1283" max="1283" width="14.7109375" customWidth="1"/>
    <col min="1284" max="1284" width="33.140625" customWidth="1"/>
    <col min="1285" max="1285" width="9.5703125" bestFit="1" customWidth="1"/>
    <col min="1286" max="1286" width="12.42578125" customWidth="1"/>
    <col min="1287" max="1287" width="11" customWidth="1"/>
    <col min="1288" max="1291" width="9.5703125" bestFit="1" customWidth="1"/>
    <col min="1292" max="1292" width="11" customWidth="1"/>
    <col min="1293" max="1293" width="10.5703125" bestFit="1" customWidth="1"/>
    <col min="1294" max="1294" width="11.5703125" bestFit="1" customWidth="1"/>
    <col min="1295" max="1295" width="9.28515625" bestFit="1" customWidth="1"/>
    <col min="1537" max="1537" width="18.7109375" customWidth="1"/>
    <col min="1538" max="1538" width="20.42578125" customWidth="1"/>
    <col min="1539" max="1539" width="14.7109375" customWidth="1"/>
    <col min="1540" max="1540" width="33.140625" customWidth="1"/>
    <col min="1541" max="1541" width="9.5703125" bestFit="1" customWidth="1"/>
    <col min="1542" max="1542" width="12.42578125" customWidth="1"/>
    <col min="1543" max="1543" width="11" customWidth="1"/>
    <col min="1544" max="1547" width="9.5703125" bestFit="1" customWidth="1"/>
    <col min="1548" max="1548" width="11" customWidth="1"/>
    <col min="1549" max="1549" width="10.5703125" bestFit="1" customWidth="1"/>
    <col min="1550" max="1550" width="11.5703125" bestFit="1" customWidth="1"/>
    <col min="1551" max="1551" width="9.28515625" bestFit="1" customWidth="1"/>
    <col min="1793" max="1793" width="18.7109375" customWidth="1"/>
    <col min="1794" max="1794" width="20.42578125" customWidth="1"/>
    <col min="1795" max="1795" width="14.7109375" customWidth="1"/>
    <col min="1796" max="1796" width="33.140625" customWidth="1"/>
    <col min="1797" max="1797" width="9.5703125" bestFit="1" customWidth="1"/>
    <col min="1798" max="1798" width="12.42578125" customWidth="1"/>
    <col min="1799" max="1799" width="11" customWidth="1"/>
    <col min="1800" max="1803" width="9.5703125" bestFit="1" customWidth="1"/>
    <col min="1804" max="1804" width="11" customWidth="1"/>
    <col min="1805" max="1805" width="10.5703125" bestFit="1" customWidth="1"/>
    <col min="1806" max="1806" width="11.5703125" bestFit="1" customWidth="1"/>
    <col min="1807" max="1807" width="9.28515625" bestFit="1" customWidth="1"/>
    <col min="2049" max="2049" width="18.7109375" customWidth="1"/>
    <col min="2050" max="2050" width="20.42578125" customWidth="1"/>
    <col min="2051" max="2051" width="14.7109375" customWidth="1"/>
    <col min="2052" max="2052" width="33.140625" customWidth="1"/>
    <col min="2053" max="2053" width="9.5703125" bestFit="1" customWidth="1"/>
    <col min="2054" max="2054" width="12.42578125" customWidth="1"/>
    <col min="2055" max="2055" width="11" customWidth="1"/>
    <col min="2056" max="2059" width="9.5703125" bestFit="1" customWidth="1"/>
    <col min="2060" max="2060" width="11" customWidth="1"/>
    <col min="2061" max="2061" width="10.5703125" bestFit="1" customWidth="1"/>
    <col min="2062" max="2062" width="11.5703125" bestFit="1" customWidth="1"/>
    <col min="2063" max="2063" width="9.28515625" bestFit="1" customWidth="1"/>
    <col min="2305" max="2305" width="18.7109375" customWidth="1"/>
    <col min="2306" max="2306" width="20.42578125" customWidth="1"/>
    <col min="2307" max="2307" width="14.7109375" customWidth="1"/>
    <col min="2308" max="2308" width="33.140625" customWidth="1"/>
    <col min="2309" max="2309" width="9.5703125" bestFit="1" customWidth="1"/>
    <col min="2310" max="2310" width="12.42578125" customWidth="1"/>
    <col min="2311" max="2311" width="11" customWidth="1"/>
    <col min="2312" max="2315" width="9.5703125" bestFit="1" customWidth="1"/>
    <col min="2316" max="2316" width="11" customWidth="1"/>
    <col min="2317" max="2317" width="10.5703125" bestFit="1" customWidth="1"/>
    <col min="2318" max="2318" width="11.5703125" bestFit="1" customWidth="1"/>
    <col min="2319" max="2319" width="9.28515625" bestFit="1" customWidth="1"/>
    <col min="2561" max="2561" width="18.7109375" customWidth="1"/>
    <col min="2562" max="2562" width="20.42578125" customWidth="1"/>
    <col min="2563" max="2563" width="14.7109375" customWidth="1"/>
    <col min="2564" max="2564" width="33.140625" customWidth="1"/>
    <col min="2565" max="2565" width="9.5703125" bestFit="1" customWidth="1"/>
    <col min="2566" max="2566" width="12.42578125" customWidth="1"/>
    <col min="2567" max="2567" width="11" customWidth="1"/>
    <col min="2568" max="2571" width="9.5703125" bestFit="1" customWidth="1"/>
    <col min="2572" max="2572" width="11" customWidth="1"/>
    <col min="2573" max="2573" width="10.5703125" bestFit="1" customWidth="1"/>
    <col min="2574" max="2574" width="11.5703125" bestFit="1" customWidth="1"/>
    <col min="2575" max="2575" width="9.28515625" bestFit="1" customWidth="1"/>
    <col min="2817" max="2817" width="18.7109375" customWidth="1"/>
    <col min="2818" max="2818" width="20.42578125" customWidth="1"/>
    <col min="2819" max="2819" width="14.7109375" customWidth="1"/>
    <col min="2820" max="2820" width="33.140625" customWidth="1"/>
    <col min="2821" max="2821" width="9.5703125" bestFit="1" customWidth="1"/>
    <col min="2822" max="2822" width="12.42578125" customWidth="1"/>
    <col min="2823" max="2823" width="11" customWidth="1"/>
    <col min="2824" max="2827" width="9.5703125" bestFit="1" customWidth="1"/>
    <col min="2828" max="2828" width="11" customWidth="1"/>
    <col min="2829" max="2829" width="10.5703125" bestFit="1" customWidth="1"/>
    <col min="2830" max="2830" width="11.5703125" bestFit="1" customWidth="1"/>
    <col min="2831" max="2831" width="9.28515625" bestFit="1" customWidth="1"/>
    <col min="3073" max="3073" width="18.7109375" customWidth="1"/>
    <col min="3074" max="3074" width="20.42578125" customWidth="1"/>
    <col min="3075" max="3075" width="14.7109375" customWidth="1"/>
    <col min="3076" max="3076" width="33.140625" customWidth="1"/>
    <col min="3077" max="3077" width="9.5703125" bestFit="1" customWidth="1"/>
    <col min="3078" max="3078" width="12.42578125" customWidth="1"/>
    <col min="3079" max="3079" width="11" customWidth="1"/>
    <col min="3080" max="3083" width="9.5703125" bestFit="1" customWidth="1"/>
    <col min="3084" max="3084" width="11" customWidth="1"/>
    <col min="3085" max="3085" width="10.5703125" bestFit="1" customWidth="1"/>
    <col min="3086" max="3086" width="11.5703125" bestFit="1" customWidth="1"/>
    <col min="3087" max="3087" width="9.28515625" bestFit="1" customWidth="1"/>
    <col min="3329" max="3329" width="18.7109375" customWidth="1"/>
    <col min="3330" max="3330" width="20.42578125" customWidth="1"/>
    <col min="3331" max="3331" width="14.7109375" customWidth="1"/>
    <col min="3332" max="3332" width="33.140625" customWidth="1"/>
    <col min="3333" max="3333" width="9.5703125" bestFit="1" customWidth="1"/>
    <col min="3334" max="3334" width="12.42578125" customWidth="1"/>
    <col min="3335" max="3335" width="11" customWidth="1"/>
    <col min="3336" max="3339" width="9.5703125" bestFit="1" customWidth="1"/>
    <col min="3340" max="3340" width="11" customWidth="1"/>
    <col min="3341" max="3341" width="10.5703125" bestFit="1" customWidth="1"/>
    <col min="3342" max="3342" width="11.5703125" bestFit="1" customWidth="1"/>
    <col min="3343" max="3343" width="9.28515625" bestFit="1" customWidth="1"/>
    <col min="3585" max="3585" width="18.7109375" customWidth="1"/>
    <col min="3586" max="3586" width="20.42578125" customWidth="1"/>
    <col min="3587" max="3587" width="14.7109375" customWidth="1"/>
    <col min="3588" max="3588" width="33.140625" customWidth="1"/>
    <col min="3589" max="3589" width="9.5703125" bestFit="1" customWidth="1"/>
    <col min="3590" max="3590" width="12.42578125" customWidth="1"/>
    <col min="3591" max="3591" width="11" customWidth="1"/>
    <col min="3592" max="3595" width="9.5703125" bestFit="1" customWidth="1"/>
    <col min="3596" max="3596" width="11" customWidth="1"/>
    <col min="3597" max="3597" width="10.5703125" bestFit="1" customWidth="1"/>
    <col min="3598" max="3598" width="11.5703125" bestFit="1" customWidth="1"/>
    <col min="3599" max="3599" width="9.28515625" bestFit="1" customWidth="1"/>
    <col min="3841" max="3841" width="18.7109375" customWidth="1"/>
    <col min="3842" max="3842" width="20.42578125" customWidth="1"/>
    <col min="3843" max="3843" width="14.7109375" customWidth="1"/>
    <col min="3844" max="3844" width="33.140625" customWidth="1"/>
    <col min="3845" max="3845" width="9.5703125" bestFit="1" customWidth="1"/>
    <col min="3846" max="3846" width="12.42578125" customWidth="1"/>
    <col min="3847" max="3847" width="11" customWidth="1"/>
    <col min="3848" max="3851" width="9.5703125" bestFit="1" customWidth="1"/>
    <col min="3852" max="3852" width="11" customWidth="1"/>
    <col min="3853" max="3853" width="10.5703125" bestFit="1" customWidth="1"/>
    <col min="3854" max="3854" width="11.5703125" bestFit="1" customWidth="1"/>
    <col min="3855" max="3855" width="9.28515625" bestFit="1" customWidth="1"/>
    <col min="4097" max="4097" width="18.7109375" customWidth="1"/>
    <col min="4098" max="4098" width="20.42578125" customWidth="1"/>
    <col min="4099" max="4099" width="14.7109375" customWidth="1"/>
    <col min="4100" max="4100" width="33.140625" customWidth="1"/>
    <col min="4101" max="4101" width="9.5703125" bestFit="1" customWidth="1"/>
    <col min="4102" max="4102" width="12.42578125" customWidth="1"/>
    <col min="4103" max="4103" width="11" customWidth="1"/>
    <col min="4104" max="4107" width="9.5703125" bestFit="1" customWidth="1"/>
    <col min="4108" max="4108" width="11" customWidth="1"/>
    <col min="4109" max="4109" width="10.5703125" bestFit="1" customWidth="1"/>
    <col min="4110" max="4110" width="11.5703125" bestFit="1" customWidth="1"/>
    <col min="4111" max="4111" width="9.28515625" bestFit="1" customWidth="1"/>
    <col min="4353" max="4353" width="18.7109375" customWidth="1"/>
    <col min="4354" max="4354" width="20.42578125" customWidth="1"/>
    <col min="4355" max="4355" width="14.7109375" customWidth="1"/>
    <col min="4356" max="4356" width="33.140625" customWidth="1"/>
    <col min="4357" max="4357" width="9.5703125" bestFit="1" customWidth="1"/>
    <col min="4358" max="4358" width="12.42578125" customWidth="1"/>
    <col min="4359" max="4359" width="11" customWidth="1"/>
    <col min="4360" max="4363" width="9.5703125" bestFit="1" customWidth="1"/>
    <col min="4364" max="4364" width="11" customWidth="1"/>
    <col min="4365" max="4365" width="10.5703125" bestFit="1" customWidth="1"/>
    <col min="4366" max="4366" width="11.5703125" bestFit="1" customWidth="1"/>
    <col min="4367" max="4367" width="9.28515625" bestFit="1" customWidth="1"/>
    <col min="4609" max="4609" width="18.7109375" customWidth="1"/>
    <col min="4610" max="4610" width="20.42578125" customWidth="1"/>
    <col min="4611" max="4611" width="14.7109375" customWidth="1"/>
    <col min="4612" max="4612" width="33.140625" customWidth="1"/>
    <col min="4613" max="4613" width="9.5703125" bestFit="1" customWidth="1"/>
    <col min="4614" max="4614" width="12.42578125" customWidth="1"/>
    <col min="4615" max="4615" width="11" customWidth="1"/>
    <col min="4616" max="4619" width="9.5703125" bestFit="1" customWidth="1"/>
    <col min="4620" max="4620" width="11" customWidth="1"/>
    <col min="4621" max="4621" width="10.5703125" bestFit="1" customWidth="1"/>
    <col min="4622" max="4622" width="11.5703125" bestFit="1" customWidth="1"/>
    <col min="4623" max="4623" width="9.28515625" bestFit="1" customWidth="1"/>
    <col min="4865" max="4865" width="18.7109375" customWidth="1"/>
    <col min="4866" max="4866" width="20.42578125" customWidth="1"/>
    <col min="4867" max="4867" width="14.7109375" customWidth="1"/>
    <col min="4868" max="4868" width="33.140625" customWidth="1"/>
    <col min="4869" max="4869" width="9.5703125" bestFit="1" customWidth="1"/>
    <col min="4870" max="4870" width="12.42578125" customWidth="1"/>
    <col min="4871" max="4871" width="11" customWidth="1"/>
    <col min="4872" max="4875" width="9.5703125" bestFit="1" customWidth="1"/>
    <col min="4876" max="4876" width="11" customWidth="1"/>
    <col min="4877" max="4877" width="10.5703125" bestFit="1" customWidth="1"/>
    <col min="4878" max="4878" width="11.5703125" bestFit="1" customWidth="1"/>
    <col min="4879" max="4879" width="9.28515625" bestFit="1" customWidth="1"/>
    <col min="5121" max="5121" width="18.7109375" customWidth="1"/>
    <col min="5122" max="5122" width="20.42578125" customWidth="1"/>
    <col min="5123" max="5123" width="14.7109375" customWidth="1"/>
    <col min="5124" max="5124" width="33.140625" customWidth="1"/>
    <col min="5125" max="5125" width="9.5703125" bestFit="1" customWidth="1"/>
    <col min="5126" max="5126" width="12.42578125" customWidth="1"/>
    <col min="5127" max="5127" width="11" customWidth="1"/>
    <col min="5128" max="5131" width="9.5703125" bestFit="1" customWidth="1"/>
    <col min="5132" max="5132" width="11" customWidth="1"/>
    <col min="5133" max="5133" width="10.5703125" bestFit="1" customWidth="1"/>
    <col min="5134" max="5134" width="11.5703125" bestFit="1" customWidth="1"/>
    <col min="5135" max="5135" width="9.28515625" bestFit="1" customWidth="1"/>
    <col min="5377" max="5377" width="18.7109375" customWidth="1"/>
    <col min="5378" max="5378" width="20.42578125" customWidth="1"/>
    <col min="5379" max="5379" width="14.7109375" customWidth="1"/>
    <col min="5380" max="5380" width="33.140625" customWidth="1"/>
    <col min="5381" max="5381" width="9.5703125" bestFit="1" customWidth="1"/>
    <col min="5382" max="5382" width="12.42578125" customWidth="1"/>
    <col min="5383" max="5383" width="11" customWidth="1"/>
    <col min="5384" max="5387" width="9.5703125" bestFit="1" customWidth="1"/>
    <col min="5388" max="5388" width="11" customWidth="1"/>
    <col min="5389" max="5389" width="10.5703125" bestFit="1" customWidth="1"/>
    <col min="5390" max="5390" width="11.5703125" bestFit="1" customWidth="1"/>
    <col min="5391" max="5391" width="9.28515625" bestFit="1" customWidth="1"/>
    <col min="5633" max="5633" width="18.7109375" customWidth="1"/>
    <col min="5634" max="5634" width="20.42578125" customWidth="1"/>
    <col min="5635" max="5635" width="14.7109375" customWidth="1"/>
    <col min="5636" max="5636" width="33.140625" customWidth="1"/>
    <col min="5637" max="5637" width="9.5703125" bestFit="1" customWidth="1"/>
    <col min="5638" max="5638" width="12.42578125" customWidth="1"/>
    <col min="5639" max="5639" width="11" customWidth="1"/>
    <col min="5640" max="5643" width="9.5703125" bestFit="1" customWidth="1"/>
    <col min="5644" max="5644" width="11" customWidth="1"/>
    <col min="5645" max="5645" width="10.5703125" bestFit="1" customWidth="1"/>
    <col min="5646" max="5646" width="11.5703125" bestFit="1" customWidth="1"/>
    <col min="5647" max="5647" width="9.28515625" bestFit="1" customWidth="1"/>
    <col min="5889" max="5889" width="18.7109375" customWidth="1"/>
    <col min="5890" max="5890" width="20.42578125" customWidth="1"/>
    <col min="5891" max="5891" width="14.7109375" customWidth="1"/>
    <col min="5892" max="5892" width="33.140625" customWidth="1"/>
    <col min="5893" max="5893" width="9.5703125" bestFit="1" customWidth="1"/>
    <col min="5894" max="5894" width="12.42578125" customWidth="1"/>
    <col min="5895" max="5895" width="11" customWidth="1"/>
    <col min="5896" max="5899" width="9.5703125" bestFit="1" customWidth="1"/>
    <col min="5900" max="5900" width="11" customWidth="1"/>
    <col min="5901" max="5901" width="10.5703125" bestFit="1" customWidth="1"/>
    <col min="5902" max="5902" width="11.5703125" bestFit="1" customWidth="1"/>
    <col min="5903" max="5903" width="9.28515625" bestFit="1" customWidth="1"/>
    <col min="6145" max="6145" width="18.7109375" customWidth="1"/>
    <col min="6146" max="6146" width="20.42578125" customWidth="1"/>
    <col min="6147" max="6147" width="14.7109375" customWidth="1"/>
    <col min="6148" max="6148" width="33.140625" customWidth="1"/>
    <col min="6149" max="6149" width="9.5703125" bestFit="1" customWidth="1"/>
    <col min="6150" max="6150" width="12.42578125" customWidth="1"/>
    <col min="6151" max="6151" width="11" customWidth="1"/>
    <col min="6152" max="6155" width="9.5703125" bestFit="1" customWidth="1"/>
    <col min="6156" max="6156" width="11" customWidth="1"/>
    <col min="6157" max="6157" width="10.5703125" bestFit="1" customWidth="1"/>
    <col min="6158" max="6158" width="11.5703125" bestFit="1" customWidth="1"/>
    <col min="6159" max="6159" width="9.28515625" bestFit="1" customWidth="1"/>
    <col min="6401" max="6401" width="18.7109375" customWidth="1"/>
    <col min="6402" max="6402" width="20.42578125" customWidth="1"/>
    <col min="6403" max="6403" width="14.7109375" customWidth="1"/>
    <col min="6404" max="6404" width="33.140625" customWidth="1"/>
    <col min="6405" max="6405" width="9.5703125" bestFit="1" customWidth="1"/>
    <col min="6406" max="6406" width="12.42578125" customWidth="1"/>
    <col min="6407" max="6407" width="11" customWidth="1"/>
    <col min="6408" max="6411" width="9.5703125" bestFit="1" customWidth="1"/>
    <col min="6412" max="6412" width="11" customWidth="1"/>
    <col min="6413" max="6413" width="10.5703125" bestFit="1" customWidth="1"/>
    <col min="6414" max="6414" width="11.5703125" bestFit="1" customWidth="1"/>
    <col min="6415" max="6415" width="9.28515625" bestFit="1" customWidth="1"/>
    <col min="6657" max="6657" width="18.7109375" customWidth="1"/>
    <col min="6658" max="6658" width="20.42578125" customWidth="1"/>
    <col min="6659" max="6659" width="14.7109375" customWidth="1"/>
    <col min="6660" max="6660" width="33.140625" customWidth="1"/>
    <col min="6661" max="6661" width="9.5703125" bestFit="1" customWidth="1"/>
    <col min="6662" max="6662" width="12.42578125" customWidth="1"/>
    <col min="6663" max="6663" width="11" customWidth="1"/>
    <col min="6664" max="6667" width="9.5703125" bestFit="1" customWidth="1"/>
    <col min="6668" max="6668" width="11" customWidth="1"/>
    <col min="6669" max="6669" width="10.5703125" bestFit="1" customWidth="1"/>
    <col min="6670" max="6670" width="11.5703125" bestFit="1" customWidth="1"/>
    <col min="6671" max="6671" width="9.28515625" bestFit="1" customWidth="1"/>
    <col min="6913" max="6913" width="18.7109375" customWidth="1"/>
    <col min="6914" max="6914" width="20.42578125" customWidth="1"/>
    <col min="6915" max="6915" width="14.7109375" customWidth="1"/>
    <col min="6916" max="6916" width="33.140625" customWidth="1"/>
    <col min="6917" max="6917" width="9.5703125" bestFit="1" customWidth="1"/>
    <col min="6918" max="6918" width="12.42578125" customWidth="1"/>
    <col min="6919" max="6919" width="11" customWidth="1"/>
    <col min="6920" max="6923" width="9.5703125" bestFit="1" customWidth="1"/>
    <col min="6924" max="6924" width="11" customWidth="1"/>
    <col min="6925" max="6925" width="10.5703125" bestFit="1" customWidth="1"/>
    <col min="6926" max="6926" width="11.5703125" bestFit="1" customWidth="1"/>
    <col min="6927" max="6927" width="9.28515625" bestFit="1" customWidth="1"/>
    <col min="7169" max="7169" width="18.7109375" customWidth="1"/>
    <col min="7170" max="7170" width="20.42578125" customWidth="1"/>
    <col min="7171" max="7171" width="14.7109375" customWidth="1"/>
    <col min="7172" max="7172" width="33.140625" customWidth="1"/>
    <col min="7173" max="7173" width="9.5703125" bestFit="1" customWidth="1"/>
    <col min="7174" max="7174" width="12.42578125" customWidth="1"/>
    <col min="7175" max="7175" width="11" customWidth="1"/>
    <col min="7176" max="7179" width="9.5703125" bestFit="1" customWidth="1"/>
    <col min="7180" max="7180" width="11" customWidth="1"/>
    <col min="7181" max="7181" width="10.5703125" bestFit="1" customWidth="1"/>
    <col min="7182" max="7182" width="11.5703125" bestFit="1" customWidth="1"/>
    <col min="7183" max="7183" width="9.28515625" bestFit="1" customWidth="1"/>
    <col min="7425" max="7425" width="18.7109375" customWidth="1"/>
    <col min="7426" max="7426" width="20.42578125" customWidth="1"/>
    <col min="7427" max="7427" width="14.7109375" customWidth="1"/>
    <col min="7428" max="7428" width="33.140625" customWidth="1"/>
    <col min="7429" max="7429" width="9.5703125" bestFit="1" customWidth="1"/>
    <col min="7430" max="7430" width="12.42578125" customWidth="1"/>
    <col min="7431" max="7431" width="11" customWidth="1"/>
    <col min="7432" max="7435" width="9.5703125" bestFit="1" customWidth="1"/>
    <col min="7436" max="7436" width="11" customWidth="1"/>
    <col min="7437" max="7437" width="10.5703125" bestFit="1" customWidth="1"/>
    <col min="7438" max="7438" width="11.5703125" bestFit="1" customWidth="1"/>
    <col min="7439" max="7439" width="9.28515625" bestFit="1" customWidth="1"/>
    <col min="7681" max="7681" width="18.7109375" customWidth="1"/>
    <col min="7682" max="7682" width="20.42578125" customWidth="1"/>
    <col min="7683" max="7683" width="14.7109375" customWidth="1"/>
    <col min="7684" max="7684" width="33.140625" customWidth="1"/>
    <col min="7685" max="7685" width="9.5703125" bestFit="1" customWidth="1"/>
    <col min="7686" max="7686" width="12.42578125" customWidth="1"/>
    <col min="7687" max="7687" width="11" customWidth="1"/>
    <col min="7688" max="7691" width="9.5703125" bestFit="1" customWidth="1"/>
    <col min="7692" max="7692" width="11" customWidth="1"/>
    <col min="7693" max="7693" width="10.5703125" bestFit="1" customWidth="1"/>
    <col min="7694" max="7694" width="11.5703125" bestFit="1" customWidth="1"/>
    <col min="7695" max="7695" width="9.28515625" bestFit="1" customWidth="1"/>
    <col min="7937" max="7937" width="18.7109375" customWidth="1"/>
    <col min="7938" max="7938" width="20.42578125" customWidth="1"/>
    <col min="7939" max="7939" width="14.7109375" customWidth="1"/>
    <col min="7940" max="7940" width="33.140625" customWidth="1"/>
    <col min="7941" max="7941" width="9.5703125" bestFit="1" customWidth="1"/>
    <col min="7942" max="7942" width="12.42578125" customWidth="1"/>
    <col min="7943" max="7943" width="11" customWidth="1"/>
    <col min="7944" max="7947" width="9.5703125" bestFit="1" customWidth="1"/>
    <col min="7948" max="7948" width="11" customWidth="1"/>
    <col min="7949" max="7949" width="10.5703125" bestFit="1" customWidth="1"/>
    <col min="7950" max="7950" width="11.5703125" bestFit="1" customWidth="1"/>
    <col min="7951" max="7951" width="9.28515625" bestFit="1" customWidth="1"/>
    <col min="8193" max="8193" width="18.7109375" customWidth="1"/>
    <col min="8194" max="8194" width="20.42578125" customWidth="1"/>
    <col min="8195" max="8195" width="14.7109375" customWidth="1"/>
    <col min="8196" max="8196" width="33.140625" customWidth="1"/>
    <col min="8197" max="8197" width="9.5703125" bestFit="1" customWidth="1"/>
    <col min="8198" max="8198" width="12.42578125" customWidth="1"/>
    <col min="8199" max="8199" width="11" customWidth="1"/>
    <col min="8200" max="8203" width="9.5703125" bestFit="1" customWidth="1"/>
    <col min="8204" max="8204" width="11" customWidth="1"/>
    <col min="8205" max="8205" width="10.5703125" bestFit="1" customWidth="1"/>
    <col min="8206" max="8206" width="11.5703125" bestFit="1" customWidth="1"/>
    <col min="8207" max="8207" width="9.28515625" bestFit="1" customWidth="1"/>
    <col min="8449" max="8449" width="18.7109375" customWidth="1"/>
    <col min="8450" max="8450" width="20.42578125" customWidth="1"/>
    <col min="8451" max="8451" width="14.7109375" customWidth="1"/>
    <col min="8452" max="8452" width="33.140625" customWidth="1"/>
    <col min="8453" max="8453" width="9.5703125" bestFit="1" customWidth="1"/>
    <col min="8454" max="8454" width="12.42578125" customWidth="1"/>
    <col min="8455" max="8455" width="11" customWidth="1"/>
    <col min="8456" max="8459" width="9.5703125" bestFit="1" customWidth="1"/>
    <col min="8460" max="8460" width="11" customWidth="1"/>
    <col min="8461" max="8461" width="10.5703125" bestFit="1" customWidth="1"/>
    <col min="8462" max="8462" width="11.5703125" bestFit="1" customWidth="1"/>
    <col min="8463" max="8463" width="9.28515625" bestFit="1" customWidth="1"/>
    <col min="8705" max="8705" width="18.7109375" customWidth="1"/>
    <col min="8706" max="8706" width="20.42578125" customWidth="1"/>
    <col min="8707" max="8707" width="14.7109375" customWidth="1"/>
    <col min="8708" max="8708" width="33.140625" customWidth="1"/>
    <col min="8709" max="8709" width="9.5703125" bestFit="1" customWidth="1"/>
    <col min="8710" max="8710" width="12.42578125" customWidth="1"/>
    <col min="8711" max="8711" width="11" customWidth="1"/>
    <col min="8712" max="8715" width="9.5703125" bestFit="1" customWidth="1"/>
    <col min="8716" max="8716" width="11" customWidth="1"/>
    <col min="8717" max="8717" width="10.5703125" bestFit="1" customWidth="1"/>
    <col min="8718" max="8718" width="11.5703125" bestFit="1" customWidth="1"/>
    <col min="8719" max="8719" width="9.28515625" bestFit="1" customWidth="1"/>
    <col min="8961" max="8961" width="18.7109375" customWidth="1"/>
    <col min="8962" max="8962" width="20.42578125" customWidth="1"/>
    <col min="8963" max="8963" width="14.7109375" customWidth="1"/>
    <col min="8964" max="8964" width="33.140625" customWidth="1"/>
    <col min="8965" max="8965" width="9.5703125" bestFit="1" customWidth="1"/>
    <col min="8966" max="8966" width="12.42578125" customWidth="1"/>
    <col min="8967" max="8967" width="11" customWidth="1"/>
    <col min="8968" max="8971" width="9.5703125" bestFit="1" customWidth="1"/>
    <col min="8972" max="8972" width="11" customWidth="1"/>
    <col min="8973" max="8973" width="10.5703125" bestFit="1" customWidth="1"/>
    <col min="8974" max="8974" width="11.5703125" bestFit="1" customWidth="1"/>
    <col min="8975" max="8975" width="9.28515625" bestFit="1" customWidth="1"/>
    <col min="9217" max="9217" width="18.7109375" customWidth="1"/>
    <col min="9218" max="9218" width="20.42578125" customWidth="1"/>
    <col min="9219" max="9219" width="14.7109375" customWidth="1"/>
    <col min="9220" max="9220" width="33.140625" customWidth="1"/>
    <col min="9221" max="9221" width="9.5703125" bestFit="1" customWidth="1"/>
    <col min="9222" max="9222" width="12.42578125" customWidth="1"/>
    <col min="9223" max="9223" width="11" customWidth="1"/>
    <col min="9224" max="9227" width="9.5703125" bestFit="1" customWidth="1"/>
    <col min="9228" max="9228" width="11" customWidth="1"/>
    <col min="9229" max="9229" width="10.5703125" bestFit="1" customWidth="1"/>
    <col min="9230" max="9230" width="11.5703125" bestFit="1" customWidth="1"/>
    <col min="9231" max="9231" width="9.28515625" bestFit="1" customWidth="1"/>
    <col min="9473" max="9473" width="18.7109375" customWidth="1"/>
    <col min="9474" max="9474" width="20.42578125" customWidth="1"/>
    <col min="9475" max="9475" width="14.7109375" customWidth="1"/>
    <col min="9476" max="9476" width="33.140625" customWidth="1"/>
    <col min="9477" max="9477" width="9.5703125" bestFit="1" customWidth="1"/>
    <col min="9478" max="9478" width="12.42578125" customWidth="1"/>
    <col min="9479" max="9479" width="11" customWidth="1"/>
    <col min="9480" max="9483" width="9.5703125" bestFit="1" customWidth="1"/>
    <col min="9484" max="9484" width="11" customWidth="1"/>
    <col min="9485" max="9485" width="10.5703125" bestFit="1" customWidth="1"/>
    <col min="9486" max="9486" width="11.5703125" bestFit="1" customWidth="1"/>
    <col min="9487" max="9487" width="9.28515625" bestFit="1" customWidth="1"/>
    <col min="9729" max="9729" width="18.7109375" customWidth="1"/>
    <col min="9730" max="9730" width="20.42578125" customWidth="1"/>
    <col min="9731" max="9731" width="14.7109375" customWidth="1"/>
    <col min="9732" max="9732" width="33.140625" customWidth="1"/>
    <col min="9733" max="9733" width="9.5703125" bestFit="1" customWidth="1"/>
    <col min="9734" max="9734" width="12.42578125" customWidth="1"/>
    <col min="9735" max="9735" width="11" customWidth="1"/>
    <col min="9736" max="9739" width="9.5703125" bestFit="1" customWidth="1"/>
    <col min="9740" max="9740" width="11" customWidth="1"/>
    <col min="9741" max="9741" width="10.5703125" bestFit="1" customWidth="1"/>
    <col min="9742" max="9742" width="11.5703125" bestFit="1" customWidth="1"/>
    <col min="9743" max="9743" width="9.28515625" bestFit="1" customWidth="1"/>
    <col min="9985" max="9985" width="18.7109375" customWidth="1"/>
    <col min="9986" max="9986" width="20.42578125" customWidth="1"/>
    <col min="9987" max="9987" width="14.7109375" customWidth="1"/>
    <col min="9988" max="9988" width="33.140625" customWidth="1"/>
    <col min="9989" max="9989" width="9.5703125" bestFit="1" customWidth="1"/>
    <col min="9990" max="9990" width="12.42578125" customWidth="1"/>
    <col min="9991" max="9991" width="11" customWidth="1"/>
    <col min="9992" max="9995" width="9.5703125" bestFit="1" customWidth="1"/>
    <col min="9996" max="9996" width="11" customWidth="1"/>
    <col min="9997" max="9997" width="10.5703125" bestFit="1" customWidth="1"/>
    <col min="9998" max="9998" width="11.5703125" bestFit="1" customWidth="1"/>
    <col min="9999" max="9999" width="9.28515625" bestFit="1" customWidth="1"/>
    <col min="10241" max="10241" width="18.7109375" customWidth="1"/>
    <col min="10242" max="10242" width="20.42578125" customWidth="1"/>
    <col min="10243" max="10243" width="14.7109375" customWidth="1"/>
    <col min="10244" max="10244" width="33.140625" customWidth="1"/>
    <col min="10245" max="10245" width="9.5703125" bestFit="1" customWidth="1"/>
    <col min="10246" max="10246" width="12.42578125" customWidth="1"/>
    <col min="10247" max="10247" width="11" customWidth="1"/>
    <col min="10248" max="10251" width="9.5703125" bestFit="1" customWidth="1"/>
    <col min="10252" max="10252" width="11" customWidth="1"/>
    <col min="10253" max="10253" width="10.5703125" bestFit="1" customWidth="1"/>
    <col min="10254" max="10254" width="11.5703125" bestFit="1" customWidth="1"/>
    <col min="10255" max="10255" width="9.28515625" bestFit="1" customWidth="1"/>
    <col min="10497" max="10497" width="18.7109375" customWidth="1"/>
    <col min="10498" max="10498" width="20.42578125" customWidth="1"/>
    <col min="10499" max="10499" width="14.7109375" customWidth="1"/>
    <col min="10500" max="10500" width="33.140625" customWidth="1"/>
    <col min="10501" max="10501" width="9.5703125" bestFit="1" customWidth="1"/>
    <col min="10502" max="10502" width="12.42578125" customWidth="1"/>
    <col min="10503" max="10503" width="11" customWidth="1"/>
    <col min="10504" max="10507" width="9.5703125" bestFit="1" customWidth="1"/>
    <col min="10508" max="10508" width="11" customWidth="1"/>
    <col min="10509" max="10509" width="10.5703125" bestFit="1" customWidth="1"/>
    <col min="10510" max="10510" width="11.5703125" bestFit="1" customWidth="1"/>
    <col min="10511" max="10511" width="9.28515625" bestFit="1" customWidth="1"/>
    <col min="10753" max="10753" width="18.7109375" customWidth="1"/>
    <col min="10754" max="10754" width="20.42578125" customWidth="1"/>
    <col min="10755" max="10755" width="14.7109375" customWidth="1"/>
    <col min="10756" max="10756" width="33.140625" customWidth="1"/>
    <col min="10757" max="10757" width="9.5703125" bestFit="1" customWidth="1"/>
    <col min="10758" max="10758" width="12.42578125" customWidth="1"/>
    <col min="10759" max="10759" width="11" customWidth="1"/>
    <col min="10760" max="10763" width="9.5703125" bestFit="1" customWidth="1"/>
    <col min="10764" max="10764" width="11" customWidth="1"/>
    <col min="10765" max="10765" width="10.5703125" bestFit="1" customWidth="1"/>
    <col min="10766" max="10766" width="11.5703125" bestFit="1" customWidth="1"/>
    <col min="10767" max="10767" width="9.28515625" bestFit="1" customWidth="1"/>
    <col min="11009" max="11009" width="18.7109375" customWidth="1"/>
    <col min="11010" max="11010" width="20.42578125" customWidth="1"/>
    <col min="11011" max="11011" width="14.7109375" customWidth="1"/>
    <col min="11012" max="11012" width="33.140625" customWidth="1"/>
    <col min="11013" max="11013" width="9.5703125" bestFit="1" customWidth="1"/>
    <col min="11014" max="11014" width="12.42578125" customWidth="1"/>
    <col min="11015" max="11015" width="11" customWidth="1"/>
    <col min="11016" max="11019" width="9.5703125" bestFit="1" customWidth="1"/>
    <col min="11020" max="11020" width="11" customWidth="1"/>
    <col min="11021" max="11021" width="10.5703125" bestFit="1" customWidth="1"/>
    <col min="11022" max="11022" width="11.5703125" bestFit="1" customWidth="1"/>
    <col min="11023" max="11023" width="9.28515625" bestFit="1" customWidth="1"/>
    <col min="11265" max="11265" width="18.7109375" customWidth="1"/>
    <col min="11266" max="11266" width="20.42578125" customWidth="1"/>
    <col min="11267" max="11267" width="14.7109375" customWidth="1"/>
    <col min="11268" max="11268" width="33.140625" customWidth="1"/>
    <col min="11269" max="11269" width="9.5703125" bestFit="1" customWidth="1"/>
    <col min="11270" max="11270" width="12.42578125" customWidth="1"/>
    <col min="11271" max="11271" width="11" customWidth="1"/>
    <col min="11272" max="11275" width="9.5703125" bestFit="1" customWidth="1"/>
    <col min="11276" max="11276" width="11" customWidth="1"/>
    <col min="11277" max="11277" width="10.5703125" bestFit="1" customWidth="1"/>
    <col min="11278" max="11278" width="11.5703125" bestFit="1" customWidth="1"/>
    <col min="11279" max="11279" width="9.28515625" bestFit="1" customWidth="1"/>
    <col min="11521" max="11521" width="18.7109375" customWidth="1"/>
    <col min="11522" max="11522" width="20.42578125" customWidth="1"/>
    <col min="11523" max="11523" width="14.7109375" customWidth="1"/>
    <col min="11524" max="11524" width="33.140625" customWidth="1"/>
    <col min="11525" max="11525" width="9.5703125" bestFit="1" customWidth="1"/>
    <col min="11526" max="11526" width="12.42578125" customWidth="1"/>
    <col min="11527" max="11527" width="11" customWidth="1"/>
    <col min="11528" max="11531" width="9.5703125" bestFit="1" customWidth="1"/>
    <col min="11532" max="11532" width="11" customWidth="1"/>
    <col min="11533" max="11533" width="10.5703125" bestFit="1" customWidth="1"/>
    <col min="11534" max="11534" width="11.5703125" bestFit="1" customWidth="1"/>
    <col min="11535" max="11535" width="9.28515625" bestFit="1" customWidth="1"/>
    <col min="11777" max="11777" width="18.7109375" customWidth="1"/>
    <col min="11778" max="11778" width="20.42578125" customWidth="1"/>
    <col min="11779" max="11779" width="14.7109375" customWidth="1"/>
    <col min="11780" max="11780" width="33.140625" customWidth="1"/>
    <col min="11781" max="11781" width="9.5703125" bestFit="1" customWidth="1"/>
    <col min="11782" max="11782" width="12.42578125" customWidth="1"/>
    <col min="11783" max="11783" width="11" customWidth="1"/>
    <col min="11784" max="11787" width="9.5703125" bestFit="1" customWidth="1"/>
    <col min="11788" max="11788" width="11" customWidth="1"/>
    <col min="11789" max="11789" width="10.5703125" bestFit="1" customWidth="1"/>
    <col min="11790" max="11790" width="11.5703125" bestFit="1" customWidth="1"/>
    <col min="11791" max="11791" width="9.28515625" bestFit="1" customWidth="1"/>
    <col min="12033" max="12033" width="18.7109375" customWidth="1"/>
    <col min="12034" max="12034" width="20.42578125" customWidth="1"/>
    <col min="12035" max="12035" width="14.7109375" customWidth="1"/>
    <col min="12036" max="12036" width="33.140625" customWidth="1"/>
    <col min="12037" max="12037" width="9.5703125" bestFit="1" customWidth="1"/>
    <col min="12038" max="12038" width="12.42578125" customWidth="1"/>
    <col min="12039" max="12039" width="11" customWidth="1"/>
    <col min="12040" max="12043" width="9.5703125" bestFit="1" customWidth="1"/>
    <col min="12044" max="12044" width="11" customWidth="1"/>
    <col min="12045" max="12045" width="10.5703125" bestFit="1" customWidth="1"/>
    <col min="12046" max="12046" width="11.5703125" bestFit="1" customWidth="1"/>
    <col min="12047" max="12047" width="9.28515625" bestFit="1" customWidth="1"/>
    <col min="12289" max="12289" width="18.7109375" customWidth="1"/>
    <col min="12290" max="12290" width="20.42578125" customWidth="1"/>
    <col min="12291" max="12291" width="14.7109375" customWidth="1"/>
    <col min="12292" max="12292" width="33.140625" customWidth="1"/>
    <col min="12293" max="12293" width="9.5703125" bestFit="1" customWidth="1"/>
    <col min="12294" max="12294" width="12.42578125" customWidth="1"/>
    <col min="12295" max="12295" width="11" customWidth="1"/>
    <col min="12296" max="12299" width="9.5703125" bestFit="1" customWidth="1"/>
    <col min="12300" max="12300" width="11" customWidth="1"/>
    <col min="12301" max="12301" width="10.5703125" bestFit="1" customWidth="1"/>
    <col min="12302" max="12302" width="11.5703125" bestFit="1" customWidth="1"/>
    <col min="12303" max="12303" width="9.28515625" bestFit="1" customWidth="1"/>
    <col min="12545" max="12545" width="18.7109375" customWidth="1"/>
    <col min="12546" max="12546" width="20.42578125" customWidth="1"/>
    <col min="12547" max="12547" width="14.7109375" customWidth="1"/>
    <col min="12548" max="12548" width="33.140625" customWidth="1"/>
    <col min="12549" max="12549" width="9.5703125" bestFit="1" customWidth="1"/>
    <col min="12550" max="12550" width="12.42578125" customWidth="1"/>
    <col min="12551" max="12551" width="11" customWidth="1"/>
    <col min="12552" max="12555" width="9.5703125" bestFit="1" customWidth="1"/>
    <col min="12556" max="12556" width="11" customWidth="1"/>
    <col min="12557" max="12557" width="10.5703125" bestFit="1" customWidth="1"/>
    <col min="12558" max="12558" width="11.5703125" bestFit="1" customWidth="1"/>
    <col min="12559" max="12559" width="9.28515625" bestFit="1" customWidth="1"/>
    <col min="12801" max="12801" width="18.7109375" customWidth="1"/>
    <col min="12802" max="12802" width="20.42578125" customWidth="1"/>
    <col min="12803" max="12803" width="14.7109375" customWidth="1"/>
    <col min="12804" max="12804" width="33.140625" customWidth="1"/>
    <col min="12805" max="12805" width="9.5703125" bestFit="1" customWidth="1"/>
    <col min="12806" max="12806" width="12.42578125" customWidth="1"/>
    <col min="12807" max="12807" width="11" customWidth="1"/>
    <col min="12808" max="12811" width="9.5703125" bestFit="1" customWidth="1"/>
    <col min="12812" max="12812" width="11" customWidth="1"/>
    <col min="12813" max="12813" width="10.5703125" bestFit="1" customWidth="1"/>
    <col min="12814" max="12814" width="11.5703125" bestFit="1" customWidth="1"/>
    <col min="12815" max="12815" width="9.28515625" bestFit="1" customWidth="1"/>
    <col min="13057" max="13057" width="18.7109375" customWidth="1"/>
    <col min="13058" max="13058" width="20.42578125" customWidth="1"/>
    <col min="13059" max="13059" width="14.7109375" customWidth="1"/>
    <col min="13060" max="13060" width="33.140625" customWidth="1"/>
    <col min="13061" max="13061" width="9.5703125" bestFit="1" customWidth="1"/>
    <col min="13062" max="13062" width="12.42578125" customWidth="1"/>
    <col min="13063" max="13063" width="11" customWidth="1"/>
    <col min="13064" max="13067" width="9.5703125" bestFit="1" customWidth="1"/>
    <col min="13068" max="13068" width="11" customWidth="1"/>
    <col min="13069" max="13069" width="10.5703125" bestFit="1" customWidth="1"/>
    <col min="13070" max="13070" width="11.5703125" bestFit="1" customWidth="1"/>
    <col min="13071" max="13071" width="9.28515625" bestFit="1" customWidth="1"/>
    <col min="13313" max="13313" width="18.7109375" customWidth="1"/>
    <col min="13314" max="13314" width="20.42578125" customWidth="1"/>
    <col min="13315" max="13315" width="14.7109375" customWidth="1"/>
    <col min="13316" max="13316" width="33.140625" customWidth="1"/>
    <col min="13317" max="13317" width="9.5703125" bestFit="1" customWidth="1"/>
    <col min="13318" max="13318" width="12.42578125" customWidth="1"/>
    <col min="13319" max="13319" width="11" customWidth="1"/>
    <col min="13320" max="13323" width="9.5703125" bestFit="1" customWidth="1"/>
    <col min="13324" max="13324" width="11" customWidth="1"/>
    <col min="13325" max="13325" width="10.5703125" bestFit="1" customWidth="1"/>
    <col min="13326" max="13326" width="11.5703125" bestFit="1" customWidth="1"/>
    <col min="13327" max="13327" width="9.28515625" bestFit="1" customWidth="1"/>
    <col min="13569" max="13569" width="18.7109375" customWidth="1"/>
    <col min="13570" max="13570" width="20.42578125" customWidth="1"/>
    <col min="13571" max="13571" width="14.7109375" customWidth="1"/>
    <col min="13572" max="13572" width="33.140625" customWidth="1"/>
    <col min="13573" max="13573" width="9.5703125" bestFit="1" customWidth="1"/>
    <col min="13574" max="13574" width="12.42578125" customWidth="1"/>
    <col min="13575" max="13575" width="11" customWidth="1"/>
    <col min="13576" max="13579" width="9.5703125" bestFit="1" customWidth="1"/>
    <col min="13580" max="13580" width="11" customWidth="1"/>
    <col min="13581" max="13581" width="10.5703125" bestFit="1" customWidth="1"/>
    <col min="13582" max="13582" width="11.5703125" bestFit="1" customWidth="1"/>
    <col min="13583" max="13583" width="9.28515625" bestFit="1" customWidth="1"/>
    <col min="13825" max="13825" width="18.7109375" customWidth="1"/>
    <col min="13826" max="13826" width="20.42578125" customWidth="1"/>
    <col min="13827" max="13827" width="14.7109375" customWidth="1"/>
    <col min="13828" max="13828" width="33.140625" customWidth="1"/>
    <col min="13829" max="13829" width="9.5703125" bestFit="1" customWidth="1"/>
    <col min="13830" max="13830" width="12.42578125" customWidth="1"/>
    <col min="13831" max="13831" width="11" customWidth="1"/>
    <col min="13832" max="13835" width="9.5703125" bestFit="1" customWidth="1"/>
    <col min="13836" max="13836" width="11" customWidth="1"/>
    <col min="13837" max="13837" width="10.5703125" bestFit="1" customWidth="1"/>
    <col min="13838" max="13838" width="11.5703125" bestFit="1" customWidth="1"/>
    <col min="13839" max="13839" width="9.28515625" bestFit="1" customWidth="1"/>
    <col min="14081" max="14081" width="18.7109375" customWidth="1"/>
    <col min="14082" max="14082" width="20.42578125" customWidth="1"/>
    <col min="14083" max="14083" width="14.7109375" customWidth="1"/>
    <col min="14084" max="14084" width="33.140625" customWidth="1"/>
    <col min="14085" max="14085" width="9.5703125" bestFit="1" customWidth="1"/>
    <col min="14086" max="14086" width="12.42578125" customWidth="1"/>
    <col min="14087" max="14087" width="11" customWidth="1"/>
    <col min="14088" max="14091" width="9.5703125" bestFit="1" customWidth="1"/>
    <col min="14092" max="14092" width="11" customWidth="1"/>
    <col min="14093" max="14093" width="10.5703125" bestFit="1" customWidth="1"/>
    <col min="14094" max="14094" width="11.5703125" bestFit="1" customWidth="1"/>
    <col min="14095" max="14095" width="9.28515625" bestFit="1" customWidth="1"/>
    <col min="14337" max="14337" width="18.7109375" customWidth="1"/>
    <col min="14338" max="14338" width="20.42578125" customWidth="1"/>
    <col min="14339" max="14339" width="14.7109375" customWidth="1"/>
    <col min="14340" max="14340" width="33.140625" customWidth="1"/>
    <col min="14341" max="14341" width="9.5703125" bestFit="1" customWidth="1"/>
    <col min="14342" max="14342" width="12.42578125" customWidth="1"/>
    <col min="14343" max="14343" width="11" customWidth="1"/>
    <col min="14344" max="14347" width="9.5703125" bestFit="1" customWidth="1"/>
    <col min="14348" max="14348" width="11" customWidth="1"/>
    <col min="14349" max="14349" width="10.5703125" bestFit="1" customWidth="1"/>
    <col min="14350" max="14350" width="11.5703125" bestFit="1" customWidth="1"/>
    <col min="14351" max="14351" width="9.28515625" bestFit="1" customWidth="1"/>
    <col min="14593" max="14593" width="18.7109375" customWidth="1"/>
    <col min="14594" max="14594" width="20.42578125" customWidth="1"/>
    <col min="14595" max="14595" width="14.7109375" customWidth="1"/>
    <col min="14596" max="14596" width="33.140625" customWidth="1"/>
    <col min="14597" max="14597" width="9.5703125" bestFit="1" customWidth="1"/>
    <col min="14598" max="14598" width="12.42578125" customWidth="1"/>
    <col min="14599" max="14599" width="11" customWidth="1"/>
    <col min="14600" max="14603" width="9.5703125" bestFit="1" customWidth="1"/>
    <col min="14604" max="14604" width="11" customWidth="1"/>
    <col min="14605" max="14605" width="10.5703125" bestFit="1" customWidth="1"/>
    <col min="14606" max="14606" width="11.5703125" bestFit="1" customWidth="1"/>
    <col min="14607" max="14607" width="9.28515625" bestFit="1" customWidth="1"/>
    <col min="14849" max="14849" width="18.7109375" customWidth="1"/>
    <col min="14850" max="14850" width="20.42578125" customWidth="1"/>
    <col min="14851" max="14851" width="14.7109375" customWidth="1"/>
    <col min="14852" max="14852" width="33.140625" customWidth="1"/>
    <col min="14853" max="14853" width="9.5703125" bestFit="1" customWidth="1"/>
    <col min="14854" max="14854" width="12.42578125" customWidth="1"/>
    <col min="14855" max="14855" width="11" customWidth="1"/>
    <col min="14856" max="14859" width="9.5703125" bestFit="1" customWidth="1"/>
    <col min="14860" max="14860" width="11" customWidth="1"/>
    <col min="14861" max="14861" width="10.5703125" bestFit="1" customWidth="1"/>
    <col min="14862" max="14862" width="11.5703125" bestFit="1" customWidth="1"/>
    <col min="14863" max="14863" width="9.28515625" bestFit="1" customWidth="1"/>
    <col min="15105" max="15105" width="18.7109375" customWidth="1"/>
    <col min="15106" max="15106" width="20.42578125" customWidth="1"/>
    <col min="15107" max="15107" width="14.7109375" customWidth="1"/>
    <col min="15108" max="15108" width="33.140625" customWidth="1"/>
    <col min="15109" max="15109" width="9.5703125" bestFit="1" customWidth="1"/>
    <col min="15110" max="15110" width="12.42578125" customWidth="1"/>
    <col min="15111" max="15111" width="11" customWidth="1"/>
    <col min="15112" max="15115" width="9.5703125" bestFit="1" customWidth="1"/>
    <col min="15116" max="15116" width="11" customWidth="1"/>
    <col min="15117" max="15117" width="10.5703125" bestFit="1" customWidth="1"/>
    <col min="15118" max="15118" width="11.5703125" bestFit="1" customWidth="1"/>
    <col min="15119" max="15119" width="9.28515625" bestFit="1" customWidth="1"/>
    <col min="15361" max="15361" width="18.7109375" customWidth="1"/>
    <col min="15362" max="15362" width="20.42578125" customWidth="1"/>
    <col min="15363" max="15363" width="14.7109375" customWidth="1"/>
    <col min="15364" max="15364" width="33.140625" customWidth="1"/>
    <col min="15365" max="15365" width="9.5703125" bestFit="1" customWidth="1"/>
    <col min="15366" max="15366" width="12.42578125" customWidth="1"/>
    <col min="15367" max="15367" width="11" customWidth="1"/>
    <col min="15368" max="15371" width="9.5703125" bestFit="1" customWidth="1"/>
    <col min="15372" max="15372" width="11" customWidth="1"/>
    <col min="15373" max="15373" width="10.5703125" bestFit="1" customWidth="1"/>
    <col min="15374" max="15374" width="11.5703125" bestFit="1" customWidth="1"/>
    <col min="15375" max="15375" width="9.28515625" bestFit="1" customWidth="1"/>
    <col min="15617" max="15617" width="18.7109375" customWidth="1"/>
    <col min="15618" max="15618" width="20.42578125" customWidth="1"/>
    <col min="15619" max="15619" width="14.7109375" customWidth="1"/>
    <col min="15620" max="15620" width="33.140625" customWidth="1"/>
    <col min="15621" max="15621" width="9.5703125" bestFit="1" customWidth="1"/>
    <col min="15622" max="15622" width="12.42578125" customWidth="1"/>
    <col min="15623" max="15623" width="11" customWidth="1"/>
    <col min="15624" max="15627" width="9.5703125" bestFit="1" customWidth="1"/>
    <col min="15628" max="15628" width="11" customWidth="1"/>
    <col min="15629" max="15629" width="10.5703125" bestFit="1" customWidth="1"/>
    <col min="15630" max="15630" width="11.5703125" bestFit="1" customWidth="1"/>
    <col min="15631" max="15631" width="9.28515625" bestFit="1" customWidth="1"/>
    <col min="15873" max="15873" width="18.7109375" customWidth="1"/>
    <col min="15874" max="15874" width="20.42578125" customWidth="1"/>
    <col min="15875" max="15875" width="14.7109375" customWidth="1"/>
    <col min="15876" max="15876" width="33.140625" customWidth="1"/>
    <col min="15877" max="15877" width="9.5703125" bestFit="1" customWidth="1"/>
    <col min="15878" max="15878" width="12.42578125" customWidth="1"/>
    <col min="15879" max="15879" width="11" customWidth="1"/>
    <col min="15880" max="15883" width="9.5703125" bestFit="1" customWidth="1"/>
    <col min="15884" max="15884" width="11" customWidth="1"/>
    <col min="15885" max="15885" width="10.5703125" bestFit="1" customWidth="1"/>
    <col min="15886" max="15886" width="11.5703125" bestFit="1" customWidth="1"/>
    <col min="15887" max="15887" width="9.28515625" bestFit="1" customWidth="1"/>
    <col min="16129" max="16129" width="18.7109375" customWidth="1"/>
    <col min="16130" max="16130" width="20.42578125" customWidth="1"/>
    <col min="16131" max="16131" width="14.7109375" customWidth="1"/>
    <col min="16132" max="16132" width="33.140625" customWidth="1"/>
    <col min="16133" max="16133" width="9.5703125" bestFit="1" customWidth="1"/>
    <col min="16134" max="16134" width="12.42578125" customWidth="1"/>
    <col min="16135" max="16135" width="11" customWidth="1"/>
    <col min="16136" max="16139" width="9.5703125" bestFit="1" customWidth="1"/>
    <col min="16140" max="16140" width="11" customWidth="1"/>
    <col min="16141" max="16141" width="10.5703125" bestFit="1" customWidth="1"/>
    <col min="16142" max="16142" width="11.5703125" bestFit="1" customWidth="1"/>
    <col min="16143" max="16143" width="9.28515625" bestFit="1" customWidth="1"/>
  </cols>
  <sheetData>
    <row r="2" spans="1:13">
      <c r="A2" s="117"/>
      <c r="B2" s="1019" t="s">
        <v>1216</v>
      </c>
      <c r="C2" s="1019"/>
      <c r="D2" s="1019"/>
      <c r="E2" s="1019"/>
      <c r="F2" s="1019"/>
      <c r="G2" s="1019"/>
    </row>
    <row r="3" spans="1:13">
      <c r="A3" s="117"/>
      <c r="B3" s="1019" t="s">
        <v>1215</v>
      </c>
      <c r="C3" s="1019"/>
      <c r="D3" s="1019"/>
      <c r="E3" s="1019"/>
      <c r="F3" s="117"/>
      <c r="G3" s="117"/>
    </row>
    <row r="4" spans="1:13" ht="36.75">
      <c r="A4" s="112" t="s">
        <v>1214</v>
      </c>
      <c r="B4" s="104" t="s">
        <v>1306</v>
      </c>
      <c r="C4" s="112" t="s">
        <v>1212</v>
      </c>
      <c r="D4" s="5">
        <v>904270202</v>
      </c>
      <c r="E4" s="112" t="s">
        <v>1211</v>
      </c>
      <c r="F4" s="5">
        <v>369.916</v>
      </c>
      <c r="G4" s="112" t="s">
        <v>1210</v>
      </c>
      <c r="H4" s="103">
        <v>80</v>
      </c>
      <c r="I4" s="111"/>
      <c r="J4" s="111"/>
      <c r="K4" s="111"/>
      <c r="L4" s="111"/>
    </row>
    <row r="5" spans="1:13">
      <c r="A5" s="808" t="s">
        <v>4176</v>
      </c>
      <c r="B5" s="808"/>
      <c r="C5" s="808"/>
      <c r="D5" s="112"/>
      <c r="E5" s="112"/>
      <c r="F5" s="112"/>
      <c r="G5" s="112"/>
      <c r="H5" s="111"/>
      <c r="I5" s="111"/>
      <c r="J5" s="111"/>
      <c r="K5" s="111"/>
      <c r="L5" s="111"/>
    </row>
    <row r="6" spans="1:13" ht="24.75">
      <c r="A6" s="112" t="s">
        <v>832</v>
      </c>
      <c r="B6" s="104" t="s">
        <v>1305</v>
      </c>
      <c r="C6" s="112" t="s">
        <v>1208</v>
      </c>
      <c r="D6" s="112" t="s">
        <v>1304</v>
      </c>
      <c r="F6" s="112"/>
      <c r="G6" s="112"/>
      <c r="H6" s="111"/>
      <c r="I6" s="111"/>
      <c r="J6" s="111"/>
      <c r="K6" s="111"/>
      <c r="L6" s="111"/>
    </row>
    <row r="7" spans="1:13">
      <c r="A7" s="112"/>
      <c r="B7" s="112"/>
      <c r="C7" s="112"/>
      <c r="D7" s="112"/>
      <c r="E7" s="112"/>
      <c r="F7" s="112"/>
      <c r="G7" s="112"/>
      <c r="H7" s="111"/>
      <c r="I7" s="111"/>
      <c r="J7" s="111"/>
      <c r="K7" s="111"/>
      <c r="L7" s="111"/>
    </row>
    <row r="8" spans="1:13" ht="48.75">
      <c r="A8" s="112" t="s">
        <v>618</v>
      </c>
      <c r="B8" s="129" t="s">
        <v>1295</v>
      </c>
      <c r="C8" s="115" t="s">
        <v>1206</v>
      </c>
      <c r="D8" s="104" t="s">
        <v>1303</v>
      </c>
      <c r="E8" s="112"/>
      <c r="F8" s="112"/>
      <c r="G8" s="115"/>
      <c r="H8" s="111"/>
      <c r="I8" s="111"/>
      <c r="J8" s="111"/>
      <c r="K8" s="111"/>
      <c r="L8" s="111"/>
    </row>
    <row r="9" spans="1:13">
      <c r="A9" s="112"/>
      <c r="B9" s="112"/>
      <c r="C9" s="112"/>
      <c r="D9" s="112"/>
      <c r="E9" s="112"/>
      <c r="F9" s="112"/>
      <c r="G9" s="112"/>
      <c r="H9" s="111"/>
      <c r="I9" s="111"/>
      <c r="J9" s="111"/>
      <c r="K9" s="111"/>
      <c r="L9" s="111"/>
    </row>
    <row r="10" spans="1:13" ht="24.75">
      <c r="A10" s="104" t="s">
        <v>838</v>
      </c>
      <c r="B10" s="104" t="s">
        <v>1302</v>
      </c>
      <c r="C10" s="104"/>
      <c r="D10" s="104"/>
      <c r="E10" s="104"/>
      <c r="F10" s="104"/>
      <c r="G10" s="112"/>
      <c r="H10" s="111"/>
      <c r="I10" s="111"/>
      <c r="J10" s="111"/>
      <c r="K10" s="111"/>
      <c r="L10" s="111"/>
    </row>
    <row r="11" spans="1:13">
      <c r="A11" s="104" t="s">
        <v>1239</v>
      </c>
      <c r="B11" s="135" t="s">
        <v>1301</v>
      </c>
      <c r="C11" s="104"/>
      <c r="D11" s="104"/>
      <c r="E11" s="104"/>
      <c r="F11" s="104"/>
      <c r="G11" s="112"/>
      <c r="H11" s="111"/>
      <c r="I11" s="111"/>
      <c r="J11" s="111"/>
      <c r="K11" s="111"/>
      <c r="L11" s="111"/>
    </row>
    <row r="12" spans="1:13" ht="24.75">
      <c r="A12" s="104" t="s">
        <v>1202</v>
      </c>
      <c r="B12" s="104" t="s">
        <v>1300</v>
      </c>
      <c r="C12" s="104" t="s">
        <v>1299</v>
      </c>
      <c r="D12" s="104" t="s">
        <v>1298</v>
      </c>
      <c r="E12" s="104" t="s">
        <v>1297</v>
      </c>
      <c r="F12" s="114" t="s">
        <v>1296</v>
      </c>
      <c r="G12" s="112"/>
      <c r="H12" s="111"/>
      <c r="I12" s="111"/>
      <c r="J12" s="111"/>
      <c r="K12" s="111"/>
      <c r="L12" s="111"/>
    </row>
    <row r="13" spans="1:13" ht="24.75">
      <c r="A13" s="104" t="s">
        <v>1196</v>
      </c>
      <c r="B13" s="129" t="s">
        <v>1295</v>
      </c>
      <c r="C13" s="104"/>
      <c r="D13" s="104"/>
      <c r="E13" s="104"/>
      <c r="F13" s="104"/>
      <c r="G13" s="112"/>
      <c r="H13" s="111"/>
      <c r="I13" s="111"/>
      <c r="J13" s="111"/>
      <c r="K13" s="647"/>
      <c r="L13" s="111"/>
    </row>
    <row r="14" spans="1:13">
      <c r="A14" s="112"/>
      <c r="B14" s="112"/>
      <c r="C14" s="112"/>
      <c r="D14" s="112"/>
      <c r="E14" s="112"/>
      <c r="F14" s="112"/>
      <c r="G14" s="112"/>
      <c r="H14" s="111"/>
      <c r="I14" s="111"/>
      <c r="J14" s="111"/>
      <c r="K14" s="111"/>
      <c r="L14" s="111"/>
    </row>
    <row r="15" spans="1:13" ht="24.75">
      <c r="A15" s="112" t="s">
        <v>1194</v>
      </c>
      <c r="B15" s="112">
        <v>1</v>
      </c>
      <c r="C15" s="112" t="s">
        <v>1193</v>
      </c>
      <c r="D15" s="104">
        <v>1</v>
      </c>
      <c r="E15" s="112" t="s">
        <v>643</v>
      </c>
      <c r="F15" s="104">
        <v>3</v>
      </c>
      <c r="G15" s="112" t="s">
        <v>644</v>
      </c>
      <c r="H15" s="103">
        <v>1</v>
      </c>
      <c r="I15" s="111" t="s">
        <v>645</v>
      </c>
      <c r="J15" s="103">
        <f>59+3+7+31</f>
        <v>100</v>
      </c>
      <c r="K15" s="111"/>
      <c r="L15" s="111"/>
    </row>
    <row r="16" spans="1:13" ht="24.75">
      <c r="A16" s="112" t="s">
        <v>1192</v>
      </c>
      <c r="B16" s="112" t="s">
        <v>204</v>
      </c>
      <c r="C16" s="104">
        <v>32</v>
      </c>
      <c r="D16" s="112" t="s">
        <v>205</v>
      </c>
      <c r="E16" s="104">
        <v>0</v>
      </c>
      <c r="F16" s="112" t="s">
        <v>206</v>
      </c>
      <c r="G16" s="104">
        <v>0</v>
      </c>
      <c r="H16" s="111" t="s">
        <v>230</v>
      </c>
      <c r="I16" s="103">
        <f>G16+E16+C16</f>
        <v>32</v>
      </c>
      <c r="J16" s="111" t="s">
        <v>207</v>
      </c>
      <c r="K16" s="103">
        <v>11</v>
      </c>
      <c r="L16" s="112" t="s">
        <v>855</v>
      </c>
      <c r="M16" s="80">
        <v>14</v>
      </c>
    </row>
    <row r="17" spans="1:14">
      <c r="A17" s="112" t="s">
        <v>1191</v>
      </c>
      <c r="B17" s="112" t="s">
        <v>210</v>
      </c>
      <c r="C17" s="104">
        <v>144</v>
      </c>
      <c r="D17" s="112" t="s">
        <v>211</v>
      </c>
      <c r="E17" s="104">
        <v>0</v>
      </c>
      <c r="F17" s="112" t="s">
        <v>212</v>
      </c>
      <c r="G17" s="104">
        <v>0</v>
      </c>
      <c r="H17" s="111" t="s">
        <v>411</v>
      </c>
      <c r="I17" s="103">
        <f>G17+E17+C17</f>
        <v>144</v>
      </c>
      <c r="J17" s="111"/>
      <c r="K17" s="103"/>
      <c r="L17" s="111"/>
    </row>
    <row r="18" spans="1:14" ht="24.75">
      <c r="A18" s="112"/>
      <c r="B18" s="112" t="s">
        <v>213</v>
      </c>
      <c r="C18" s="104">
        <v>129</v>
      </c>
      <c r="D18" s="112" t="s">
        <v>214</v>
      </c>
      <c r="E18" s="104">
        <v>0</v>
      </c>
      <c r="F18" s="112" t="s">
        <v>215</v>
      </c>
      <c r="G18" s="104">
        <v>0</v>
      </c>
      <c r="H18" s="112" t="s">
        <v>410</v>
      </c>
      <c r="I18" s="103">
        <f>G18+E18+C18</f>
        <v>129</v>
      </c>
      <c r="J18" s="111"/>
      <c r="K18" s="103"/>
      <c r="L18" s="111"/>
    </row>
    <row r="19" spans="1:14">
      <c r="A19" s="112"/>
      <c r="B19" s="112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>
      <c r="A20" s="113" t="s">
        <v>409</v>
      </c>
      <c r="B20" s="112"/>
      <c r="C20" s="112"/>
      <c r="D20" s="112"/>
      <c r="E20" s="112"/>
      <c r="F20" s="112"/>
      <c r="G20" s="112"/>
      <c r="H20" s="111"/>
      <c r="I20" s="111"/>
      <c r="J20" s="111"/>
      <c r="K20" s="111"/>
      <c r="L20" s="111"/>
    </row>
    <row r="21" spans="1:14">
      <c r="A21" s="1020" t="s">
        <v>1190</v>
      </c>
      <c r="B21" s="1020" t="s">
        <v>1189</v>
      </c>
      <c r="C21" s="1020" t="s">
        <v>1188</v>
      </c>
      <c r="D21" s="1020" t="s">
        <v>1187</v>
      </c>
      <c r="E21" s="1020" t="s">
        <v>1186</v>
      </c>
      <c r="F21" s="1022" t="s">
        <v>1185</v>
      </c>
      <c r="G21" s="1023"/>
      <c r="H21" s="1023"/>
      <c r="I21" s="1023"/>
      <c r="J21" s="1023"/>
      <c r="K21" s="1023"/>
      <c r="L21" s="1023"/>
      <c r="M21" s="1023"/>
      <c r="N21" s="1024"/>
    </row>
    <row r="22" spans="1:14">
      <c r="A22" s="1020"/>
      <c r="B22" s="1020"/>
      <c r="C22" s="1020"/>
      <c r="D22" s="1020"/>
      <c r="E22" s="1020"/>
      <c r="F22" s="104" t="s">
        <v>1184</v>
      </c>
      <c r="G22" s="104" t="s">
        <v>1183</v>
      </c>
      <c r="H22" s="104" t="s">
        <v>1182</v>
      </c>
      <c r="I22" s="103" t="s">
        <v>1181</v>
      </c>
      <c r="J22" s="103" t="s">
        <v>1180</v>
      </c>
      <c r="K22" s="103" t="s">
        <v>1179</v>
      </c>
      <c r="L22" s="103" t="s">
        <v>1178</v>
      </c>
      <c r="M22" s="110" t="s">
        <v>230</v>
      </c>
      <c r="N22" s="110" t="s">
        <v>231</v>
      </c>
    </row>
    <row r="23" spans="1:14" ht="24.75">
      <c r="A23" s="104" t="s">
        <v>232</v>
      </c>
      <c r="B23" s="542">
        <v>8000</v>
      </c>
      <c r="C23" s="102" t="s">
        <v>1175</v>
      </c>
      <c r="D23" s="100">
        <f>+B23*F4/100000</f>
        <v>29.59328</v>
      </c>
      <c r="E23" s="136">
        <f>2959328/100000</f>
        <v>29.59328</v>
      </c>
      <c r="F23" s="100">
        <v>0</v>
      </c>
      <c r="G23" s="100">
        <f>9331/100000</f>
        <v>9.3310000000000004E-2</v>
      </c>
      <c r="H23" s="100">
        <f>437832/100000</f>
        <v>4.3783200000000004</v>
      </c>
      <c r="I23" s="132">
        <f>1532663/100000</f>
        <v>15.32663</v>
      </c>
      <c r="J23" s="132">
        <f>944945/100000</f>
        <v>9.4494500000000006</v>
      </c>
      <c r="K23" s="132">
        <f>34557/100000</f>
        <v>0.34556999999999999</v>
      </c>
      <c r="L23" s="132"/>
      <c r="M23" s="134">
        <f>SUM(F23:L23)</f>
        <v>29.593279999999996</v>
      </c>
      <c r="N23" s="98">
        <f>ROUND(M23/E23*100,0)</f>
        <v>100</v>
      </c>
    </row>
    <row r="24" spans="1:14" ht="24.75">
      <c r="A24" s="104" t="s">
        <v>234</v>
      </c>
      <c r="B24" s="542">
        <v>7000</v>
      </c>
      <c r="C24" s="102" t="s">
        <v>1175</v>
      </c>
      <c r="D24" s="100">
        <f>B24*80/100000</f>
        <v>5.6</v>
      </c>
      <c r="E24" s="136">
        <f>560000/100000</f>
        <v>5.6</v>
      </c>
      <c r="F24" s="100">
        <v>0</v>
      </c>
      <c r="G24" s="100">
        <v>0</v>
      </c>
      <c r="H24" s="100"/>
      <c r="I24" s="132"/>
      <c r="J24" s="132">
        <f>19230/100000</f>
        <v>0.1923</v>
      </c>
      <c r="K24" s="132">
        <f>255070/100000</f>
        <v>2.5507</v>
      </c>
      <c r="L24" s="132">
        <f>222644/100000</f>
        <v>2.2264400000000002</v>
      </c>
      <c r="M24" s="134">
        <f t="shared" ref="M24:M30" si="0">SUM(F24:L24)</f>
        <v>4.9694400000000005</v>
      </c>
      <c r="N24" s="98">
        <f t="shared" ref="N24:N30" si="1">ROUND(M24/E24*100,0)</f>
        <v>89</v>
      </c>
    </row>
    <row r="25" spans="1:14" ht="36.75">
      <c r="A25" s="104" t="s">
        <v>235</v>
      </c>
      <c r="B25" s="542">
        <v>86</v>
      </c>
      <c r="C25" s="102" t="s">
        <v>236</v>
      </c>
      <c r="D25" s="136">
        <v>0.43</v>
      </c>
      <c r="E25" s="136">
        <f>43000/100000</f>
        <v>0.43</v>
      </c>
      <c r="F25" s="100">
        <v>0</v>
      </c>
      <c r="G25" s="100">
        <v>0</v>
      </c>
      <c r="H25" s="100">
        <v>0</v>
      </c>
      <c r="I25" s="132">
        <f>18000/100000</f>
        <v>0.18</v>
      </c>
      <c r="J25" s="132">
        <f>15000/100000</f>
        <v>0.15</v>
      </c>
      <c r="K25" s="132">
        <f>10000/100000</f>
        <v>0.1</v>
      </c>
      <c r="L25" s="132">
        <f>16446/100000</f>
        <v>0.16446</v>
      </c>
      <c r="M25" s="134">
        <f t="shared" si="0"/>
        <v>0.59445999999999999</v>
      </c>
      <c r="N25" s="98">
        <f t="shared" si="1"/>
        <v>138</v>
      </c>
    </row>
    <row r="26" spans="1:14" ht="36.75">
      <c r="A26" s="104" t="s">
        <v>237</v>
      </c>
      <c r="B26" s="542">
        <v>68</v>
      </c>
      <c r="C26" s="102" t="s">
        <v>236</v>
      </c>
      <c r="D26" s="136">
        <v>0.34</v>
      </c>
      <c r="E26" s="136">
        <f>34000/100000</f>
        <v>0.34</v>
      </c>
      <c r="F26" s="100">
        <v>0</v>
      </c>
      <c r="G26" s="100">
        <v>0</v>
      </c>
      <c r="H26" s="100">
        <v>0</v>
      </c>
      <c r="I26" s="132">
        <f>16224/100000</f>
        <v>0.16224</v>
      </c>
      <c r="J26" s="132">
        <f>11776/100000</f>
        <v>0.11776</v>
      </c>
      <c r="K26" s="132">
        <f>6000/100000</f>
        <v>0.06</v>
      </c>
      <c r="L26" s="132">
        <v>0</v>
      </c>
      <c r="M26" s="134">
        <f t="shared" si="0"/>
        <v>0.34</v>
      </c>
      <c r="N26" s="98">
        <f t="shared" si="1"/>
        <v>100</v>
      </c>
    </row>
    <row r="27" spans="1:14" ht="24.75">
      <c r="A27" s="104" t="s">
        <v>238</v>
      </c>
      <c r="B27" s="542">
        <v>1200</v>
      </c>
      <c r="C27" s="102" t="s">
        <v>1175</v>
      </c>
      <c r="D27" s="100">
        <f>ROUND((B27*F4),0)/100000</f>
        <v>4.4389900000000004</v>
      </c>
      <c r="E27" s="136">
        <f>443899/100000</f>
        <v>4.4389900000000004</v>
      </c>
      <c r="F27" s="100">
        <v>0</v>
      </c>
      <c r="G27" s="100">
        <v>0</v>
      </c>
      <c r="H27" s="100">
        <v>0</v>
      </c>
      <c r="I27" s="132">
        <v>0</v>
      </c>
      <c r="J27" s="132">
        <v>0</v>
      </c>
      <c r="K27" s="132">
        <f>338189/100000</f>
        <v>3.3818899999999998</v>
      </c>
      <c r="L27" s="132">
        <f>100910/100000</f>
        <v>1.0091000000000001</v>
      </c>
      <c r="M27" s="134">
        <f t="shared" si="0"/>
        <v>4.3909900000000004</v>
      </c>
      <c r="N27" s="98">
        <f t="shared" si="1"/>
        <v>99</v>
      </c>
    </row>
    <row r="28" spans="1:14" ht="24.75">
      <c r="A28" s="104" t="s">
        <v>667</v>
      </c>
      <c r="B28" s="542">
        <v>565</v>
      </c>
      <c r="C28" s="102" t="s">
        <v>1175</v>
      </c>
      <c r="D28" s="100">
        <f>ROUND((B28*F4),0)/100000</f>
        <v>2.0900300000000001</v>
      </c>
      <c r="E28" s="136">
        <f>209003/100000</f>
        <v>2.0900300000000001</v>
      </c>
      <c r="F28" s="100">
        <v>0</v>
      </c>
      <c r="G28" s="100">
        <v>0</v>
      </c>
      <c r="H28" s="100">
        <v>0</v>
      </c>
      <c r="I28" s="132">
        <f>10690/100000</f>
        <v>0.1069</v>
      </c>
      <c r="J28" s="132">
        <f>198313/100000</f>
        <v>1.9831300000000001</v>
      </c>
      <c r="K28" s="132"/>
      <c r="L28" s="132"/>
      <c r="M28" s="133">
        <f t="shared" si="0"/>
        <v>2.0900300000000001</v>
      </c>
      <c r="N28" s="98">
        <f t="shared" si="1"/>
        <v>100</v>
      </c>
    </row>
    <row r="29" spans="1:14" ht="24.75">
      <c r="A29" s="104" t="s">
        <v>1176</v>
      </c>
      <c r="B29" s="542">
        <v>1000</v>
      </c>
      <c r="C29" s="102" t="s">
        <v>1175</v>
      </c>
      <c r="D29" s="100">
        <f>B29*F4/100000</f>
        <v>3.69916</v>
      </c>
      <c r="E29" s="139">
        <f>369916/100000</f>
        <v>3.69916</v>
      </c>
      <c r="F29" s="100">
        <v>0</v>
      </c>
      <c r="G29" s="100">
        <v>0</v>
      </c>
      <c r="H29" s="100">
        <f>25000/100000</f>
        <v>0.25</v>
      </c>
      <c r="I29" s="132">
        <f>75000/100000</f>
        <v>0.75</v>
      </c>
      <c r="J29" s="132"/>
      <c r="K29" s="132">
        <f>138100/100000</f>
        <v>1.381</v>
      </c>
      <c r="L29" s="132">
        <f>79916/100000</f>
        <v>0.79915999999999998</v>
      </c>
      <c r="M29" s="131">
        <f t="shared" si="0"/>
        <v>3.1801600000000003</v>
      </c>
      <c r="N29" s="98">
        <f t="shared" si="1"/>
        <v>86</v>
      </c>
    </row>
    <row r="30" spans="1:14" ht="24.75">
      <c r="A30" s="104" t="s">
        <v>394</v>
      </c>
      <c r="B30" s="542">
        <v>2750</v>
      </c>
      <c r="C30" s="102" t="s">
        <v>242</v>
      </c>
      <c r="D30" s="139">
        <v>1.92</v>
      </c>
      <c r="E30" s="139">
        <f>192000/100000</f>
        <v>1.92</v>
      </c>
      <c r="F30" s="100">
        <v>0</v>
      </c>
      <c r="G30" s="100">
        <v>0</v>
      </c>
      <c r="H30" s="100">
        <f>31566/100000</f>
        <v>0.31566</v>
      </c>
      <c r="I30" s="132">
        <f>61335/100000</f>
        <v>0.61334999999999995</v>
      </c>
      <c r="J30" s="132">
        <f>33074/100000</f>
        <v>0.33073999999999998</v>
      </c>
      <c r="K30" s="132">
        <f>33000/100000</f>
        <v>0.33</v>
      </c>
      <c r="L30" s="132">
        <f>16500/100000</f>
        <v>0.16500000000000001</v>
      </c>
      <c r="M30" s="131">
        <f t="shared" si="0"/>
        <v>1.75475</v>
      </c>
      <c r="N30" s="98">
        <f t="shared" si="1"/>
        <v>91</v>
      </c>
    </row>
    <row r="31" spans="1:14">
      <c r="A31" s="97" t="s">
        <v>230</v>
      </c>
      <c r="B31" s="138"/>
      <c r="C31" s="138"/>
      <c r="D31" s="137">
        <f t="shared" ref="D31:M31" si="2">SUM(D23:D30)</f>
        <v>48.111460000000001</v>
      </c>
      <c r="E31" s="92">
        <f t="shared" si="2"/>
        <v>48.111460000000001</v>
      </c>
      <c r="F31" s="92">
        <f t="shared" si="2"/>
        <v>0</v>
      </c>
      <c r="G31" s="92">
        <f t="shared" si="2"/>
        <v>9.3310000000000004E-2</v>
      </c>
      <c r="H31" s="92">
        <f t="shared" si="2"/>
        <v>4.9439800000000007</v>
      </c>
      <c r="I31" s="92">
        <f t="shared" si="2"/>
        <v>17.139120000000002</v>
      </c>
      <c r="J31" s="92">
        <f t="shared" si="2"/>
        <v>12.223380000000001</v>
      </c>
      <c r="K31" s="92">
        <f t="shared" si="2"/>
        <v>8.1491600000000002</v>
      </c>
      <c r="L31" s="92">
        <f t="shared" si="2"/>
        <v>4.36416</v>
      </c>
      <c r="M31" s="92">
        <f t="shared" si="2"/>
        <v>46.913110000000003</v>
      </c>
      <c r="N31" s="130">
        <f>ROUND(M31/E31*100,0)</f>
        <v>98</v>
      </c>
    </row>
    <row r="32" spans="1:14">
      <c r="A32" s="1025" t="s">
        <v>1217</v>
      </c>
      <c r="B32" s="1025"/>
      <c r="C32" s="1025"/>
      <c r="D32" s="1025"/>
      <c r="E32" s="1025"/>
      <c r="F32" s="1025"/>
      <c r="G32" s="1025"/>
      <c r="H32" s="1025"/>
      <c r="I32" s="1025"/>
      <c r="J32" s="1025"/>
      <c r="K32" s="1025"/>
      <c r="L32" s="1025"/>
      <c r="M32" s="1025"/>
      <c r="N32" s="1025"/>
    </row>
  </sheetData>
  <mergeCells count="10">
    <mergeCell ref="A32:N32"/>
    <mergeCell ref="B2:G2"/>
    <mergeCell ref="B3:E3"/>
    <mergeCell ref="A21:A22"/>
    <mergeCell ref="B21:B22"/>
    <mergeCell ref="C21:C22"/>
    <mergeCell ref="D21:D22"/>
    <mergeCell ref="E21:E22"/>
    <mergeCell ref="F21:N21"/>
    <mergeCell ref="A5:C5"/>
  </mergeCells>
  <hyperlinks>
    <hyperlink ref="A5" location="'Fact Sheet of VDC'!A1" display="&lt;&lt;Back"/>
  </hyperlinks>
  <pageMargins left="0.74" right="0.13" top="1" bottom="0.6" header="0.5" footer="0.5"/>
  <pageSetup paperSize="9" scale="55" orientation="landscape" verticalDpi="3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dimension ref="A2:N34"/>
  <sheetViews>
    <sheetView zoomScale="80" zoomScaleNormal="80" workbookViewId="0">
      <selection activeCell="A5" sqref="A5:C5"/>
    </sheetView>
  </sheetViews>
  <sheetFormatPr defaultRowHeight="15"/>
  <cols>
    <col min="1" max="1" width="19.28515625" bestFit="1" customWidth="1"/>
    <col min="2" max="2" width="12.28515625" bestFit="1" customWidth="1"/>
    <col min="3" max="3" width="12.85546875" bestFit="1" customWidth="1"/>
    <col min="4" max="4" width="19" bestFit="1" customWidth="1"/>
    <col min="5" max="5" width="17.42578125" bestFit="1" customWidth="1"/>
    <col min="6" max="6" width="9.28515625" bestFit="1" customWidth="1"/>
    <col min="7" max="7" width="8.5703125" bestFit="1" customWidth="1"/>
    <col min="8" max="8" width="11.28515625" bestFit="1" customWidth="1"/>
    <col min="9" max="11" width="8.42578125" bestFit="1" customWidth="1"/>
    <col min="12" max="12" width="10.5703125" customWidth="1"/>
    <col min="13" max="13" width="12" customWidth="1"/>
    <col min="14" max="14" width="9.28515625" customWidth="1"/>
    <col min="15" max="15" width="9.28515625" bestFit="1" customWidth="1"/>
    <col min="257" max="257" width="19.28515625" bestFit="1" customWidth="1"/>
    <col min="258" max="258" width="12.28515625" bestFit="1" customWidth="1"/>
    <col min="259" max="259" width="12.85546875" bestFit="1" customWidth="1"/>
    <col min="260" max="260" width="19" bestFit="1" customWidth="1"/>
    <col min="261" max="261" width="17.42578125" bestFit="1" customWidth="1"/>
    <col min="262" max="262" width="9.28515625" bestFit="1" customWidth="1"/>
    <col min="263" max="263" width="8.5703125" bestFit="1" customWidth="1"/>
    <col min="264" max="264" width="11.28515625" bestFit="1" customWidth="1"/>
    <col min="265" max="267" width="8.42578125" bestFit="1" customWidth="1"/>
    <col min="268" max="268" width="10.5703125" customWidth="1"/>
    <col min="269" max="269" width="12" customWidth="1"/>
    <col min="270" max="270" width="9.28515625" customWidth="1"/>
    <col min="271" max="271" width="9.28515625" bestFit="1" customWidth="1"/>
    <col min="513" max="513" width="19.28515625" bestFit="1" customWidth="1"/>
    <col min="514" max="514" width="12.28515625" bestFit="1" customWidth="1"/>
    <col min="515" max="515" width="12.85546875" bestFit="1" customWidth="1"/>
    <col min="516" max="516" width="19" bestFit="1" customWidth="1"/>
    <col min="517" max="517" width="17.42578125" bestFit="1" customWidth="1"/>
    <col min="518" max="518" width="9.28515625" bestFit="1" customWidth="1"/>
    <col min="519" max="519" width="8.5703125" bestFit="1" customWidth="1"/>
    <col min="520" max="520" width="11.28515625" bestFit="1" customWidth="1"/>
    <col min="521" max="523" width="8.42578125" bestFit="1" customWidth="1"/>
    <col min="524" max="524" width="10.5703125" customWidth="1"/>
    <col min="525" max="525" width="12" customWidth="1"/>
    <col min="526" max="526" width="9.28515625" customWidth="1"/>
    <col min="527" max="527" width="9.28515625" bestFit="1" customWidth="1"/>
    <col min="769" max="769" width="19.28515625" bestFit="1" customWidth="1"/>
    <col min="770" max="770" width="12.28515625" bestFit="1" customWidth="1"/>
    <col min="771" max="771" width="12.85546875" bestFit="1" customWidth="1"/>
    <col min="772" max="772" width="19" bestFit="1" customWidth="1"/>
    <col min="773" max="773" width="17.42578125" bestFit="1" customWidth="1"/>
    <col min="774" max="774" width="9.28515625" bestFit="1" customWidth="1"/>
    <col min="775" max="775" width="8.5703125" bestFit="1" customWidth="1"/>
    <col min="776" max="776" width="11.28515625" bestFit="1" customWidth="1"/>
    <col min="777" max="779" width="8.42578125" bestFit="1" customWidth="1"/>
    <col min="780" max="780" width="10.5703125" customWidth="1"/>
    <col min="781" max="781" width="12" customWidth="1"/>
    <col min="782" max="782" width="9.28515625" customWidth="1"/>
    <col min="783" max="783" width="9.28515625" bestFit="1" customWidth="1"/>
    <col min="1025" max="1025" width="19.28515625" bestFit="1" customWidth="1"/>
    <col min="1026" max="1026" width="12.28515625" bestFit="1" customWidth="1"/>
    <col min="1027" max="1027" width="12.85546875" bestFit="1" customWidth="1"/>
    <col min="1028" max="1028" width="19" bestFit="1" customWidth="1"/>
    <col min="1029" max="1029" width="17.42578125" bestFit="1" customWidth="1"/>
    <col min="1030" max="1030" width="9.28515625" bestFit="1" customWidth="1"/>
    <col min="1031" max="1031" width="8.5703125" bestFit="1" customWidth="1"/>
    <col min="1032" max="1032" width="11.28515625" bestFit="1" customWidth="1"/>
    <col min="1033" max="1035" width="8.42578125" bestFit="1" customWidth="1"/>
    <col min="1036" max="1036" width="10.5703125" customWidth="1"/>
    <col min="1037" max="1037" width="12" customWidth="1"/>
    <col min="1038" max="1038" width="9.28515625" customWidth="1"/>
    <col min="1039" max="1039" width="9.28515625" bestFit="1" customWidth="1"/>
    <col min="1281" max="1281" width="19.28515625" bestFit="1" customWidth="1"/>
    <col min="1282" max="1282" width="12.28515625" bestFit="1" customWidth="1"/>
    <col min="1283" max="1283" width="12.85546875" bestFit="1" customWidth="1"/>
    <col min="1284" max="1284" width="19" bestFit="1" customWidth="1"/>
    <col min="1285" max="1285" width="17.42578125" bestFit="1" customWidth="1"/>
    <col min="1286" max="1286" width="9.28515625" bestFit="1" customWidth="1"/>
    <col min="1287" max="1287" width="8.5703125" bestFit="1" customWidth="1"/>
    <col min="1288" max="1288" width="11.28515625" bestFit="1" customWidth="1"/>
    <col min="1289" max="1291" width="8.42578125" bestFit="1" customWidth="1"/>
    <col min="1292" max="1292" width="10.5703125" customWidth="1"/>
    <col min="1293" max="1293" width="12" customWidth="1"/>
    <col min="1294" max="1294" width="9.28515625" customWidth="1"/>
    <col min="1295" max="1295" width="9.28515625" bestFit="1" customWidth="1"/>
    <col min="1537" max="1537" width="19.28515625" bestFit="1" customWidth="1"/>
    <col min="1538" max="1538" width="12.28515625" bestFit="1" customWidth="1"/>
    <col min="1539" max="1539" width="12.85546875" bestFit="1" customWidth="1"/>
    <col min="1540" max="1540" width="19" bestFit="1" customWidth="1"/>
    <col min="1541" max="1541" width="17.42578125" bestFit="1" customWidth="1"/>
    <col min="1542" max="1542" width="9.28515625" bestFit="1" customWidth="1"/>
    <col min="1543" max="1543" width="8.5703125" bestFit="1" customWidth="1"/>
    <col min="1544" max="1544" width="11.28515625" bestFit="1" customWidth="1"/>
    <col min="1545" max="1547" width="8.42578125" bestFit="1" customWidth="1"/>
    <col min="1548" max="1548" width="10.5703125" customWidth="1"/>
    <col min="1549" max="1549" width="12" customWidth="1"/>
    <col min="1550" max="1550" width="9.28515625" customWidth="1"/>
    <col min="1551" max="1551" width="9.28515625" bestFit="1" customWidth="1"/>
    <col min="1793" max="1793" width="19.28515625" bestFit="1" customWidth="1"/>
    <col min="1794" max="1794" width="12.28515625" bestFit="1" customWidth="1"/>
    <col min="1795" max="1795" width="12.85546875" bestFit="1" customWidth="1"/>
    <col min="1796" max="1796" width="19" bestFit="1" customWidth="1"/>
    <col min="1797" max="1797" width="17.42578125" bestFit="1" customWidth="1"/>
    <col min="1798" max="1798" width="9.28515625" bestFit="1" customWidth="1"/>
    <col min="1799" max="1799" width="8.5703125" bestFit="1" customWidth="1"/>
    <col min="1800" max="1800" width="11.28515625" bestFit="1" customWidth="1"/>
    <col min="1801" max="1803" width="8.42578125" bestFit="1" customWidth="1"/>
    <col min="1804" max="1804" width="10.5703125" customWidth="1"/>
    <col min="1805" max="1805" width="12" customWidth="1"/>
    <col min="1806" max="1806" width="9.28515625" customWidth="1"/>
    <col min="1807" max="1807" width="9.28515625" bestFit="1" customWidth="1"/>
    <col min="2049" max="2049" width="19.28515625" bestFit="1" customWidth="1"/>
    <col min="2050" max="2050" width="12.28515625" bestFit="1" customWidth="1"/>
    <col min="2051" max="2051" width="12.85546875" bestFit="1" customWidth="1"/>
    <col min="2052" max="2052" width="19" bestFit="1" customWidth="1"/>
    <col min="2053" max="2053" width="17.42578125" bestFit="1" customWidth="1"/>
    <col min="2054" max="2054" width="9.28515625" bestFit="1" customWidth="1"/>
    <col min="2055" max="2055" width="8.5703125" bestFit="1" customWidth="1"/>
    <col min="2056" max="2056" width="11.28515625" bestFit="1" customWidth="1"/>
    <col min="2057" max="2059" width="8.42578125" bestFit="1" customWidth="1"/>
    <col min="2060" max="2060" width="10.5703125" customWidth="1"/>
    <col min="2061" max="2061" width="12" customWidth="1"/>
    <col min="2062" max="2062" width="9.28515625" customWidth="1"/>
    <col min="2063" max="2063" width="9.28515625" bestFit="1" customWidth="1"/>
    <col min="2305" max="2305" width="19.28515625" bestFit="1" customWidth="1"/>
    <col min="2306" max="2306" width="12.28515625" bestFit="1" customWidth="1"/>
    <col min="2307" max="2307" width="12.85546875" bestFit="1" customWidth="1"/>
    <col min="2308" max="2308" width="19" bestFit="1" customWidth="1"/>
    <col min="2309" max="2309" width="17.42578125" bestFit="1" customWidth="1"/>
    <col min="2310" max="2310" width="9.28515625" bestFit="1" customWidth="1"/>
    <col min="2311" max="2311" width="8.5703125" bestFit="1" customWidth="1"/>
    <col min="2312" max="2312" width="11.28515625" bestFit="1" customWidth="1"/>
    <col min="2313" max="2315" width="8.42578125" bestFit="1" customWidth="1"/>
    <col min="2316" max="2316" width="10.5703125" customWidth="1"/>
    <col min="2317" max="2317" width="12" customWidth="1"/>
    <col min="2318" max="2318" width="9.28515625" customWidth="1"/>
    <col min="2319" max="2319" width="9.28515625" bestFit="1" customWidth="1"/>
    <col min="2561" max="2561" width="19.28515625" bestFit="1" customWidth="1"/>
    <col min="2562" max="2562" width="12.28515625" bestFit="1" customWidth="1"/>
    <col min="2563" max="2563" width="12.85546875" bestFit="1" customWidth="1"/>
    <col min="2564" max="2564" width="19" bestFit="1" customWidth="1"/>
    <col min="2565" max="2565" width="17.42578125" bestFit="1" customWidth="1"/>
    <col min="2566" max="2566" width="9.28515625" bestFit="1" customWidth="1"/>
    <col min="2567" max="2567" width="8.5703125" bestFit="1" customWidth="1"/>
    <col min="2568" max="2568" width="11.28515625" bestFit="1" customWidth="1"/>
    <col min="2569" max="2571" width="8.42578125" bestFit="1" customWidth="1"/>
    <col min="2572" max="2572" width="10.5703125" customWidth="1"/>
    <col min="2573" max="2573" width="12" customWidth="1"/>
    <col min="2574" max="2574" width="9.28515625" customWidth="1"/>
    <col min="2575" max="2575" width="9.28515625" bestFit="1" customWidth="1"/>
    <col min="2817" max="2817" width="19.28515625" bestFit="1" customWidth="1"/>
    <col min="2818" max="2818" width="12.28515625" bestFit="1" customWidth="1"/>
    <col min="2819" max="2819" width="12.85546875" bestFit="1" customWidth="1"/>
    <col min="2820" max="2820" width="19" bestFit="1" customWidth="1"/>
    <col min="2821" max="2821" width="17.42578125" bestFit="1" customWidth="1"/>
    <col min="2822" max="2822" width="9.28515625" bestFit="1" customWidth="1"/>
    <col min="2823" max="2823" width="8.5703125" bestFit="1" customWidth="1"/>
    <col min="2824" max="2824" width="11.28515625" bestFit="1" customWidth="1"/>
    <col min="2825" max="2827" width="8.42578125" bestFit="1" customWidth="1"/>
    <col min="2828" max="2828" width="10.5703125" customWidth="1"/>
    <col min="2829" max="2829" width="12" customWidth="1"/>
    <col min="2830" max="2830" width="9.28515625" customWidth="1"/>
    <col min="2831" max="2831" width="9.28515625" bestFit="1" customWidth="1"/>
    <col min="3073" max="3073" width="19.28515625" bestFit="1" customWidth="1"/>
    <col min="3074" max="3074" width="12.28515625" bestFit="1" customWidth="1"/>
    <col min="3075" max="3075" width="12.85546875" bestFit="1" customWidth="1"/>
    <col min="3076" max="3076" width="19" bestFit="1" customWidth="1"/>
    <col min="3077" max="3077" width="17.42578125" bestFit="1" customWidth="1"/>
    <col min="3078" max="3078" width="9.28515625" bestFit="1" customWidth="1"/>
    <col min="3079" max="3079" width="8.5703125" bestFit="1" customWidth="1"/>
    <col min="3080" max="3080" width="11.28515625" bestFit="1" customWidth="1"/>
    <col min="3081" max="3083" width="8.42578125" bestFit="1" customWidth="1"/>
    <col min="3084" max="3084" width="10.5703125" customWidth="1"/>
    <col min="3085" max="3085" width="12" customWidth="1"/>
    <col min="3086" max="3086" width="9.28515625" customWidth="1"/>
    <col min="3087" max="3087" width="9.28515625" bestFit="1" customWidth="1"/>
    <col min="3329" max="3329" width="19.28515625" bestFit="1" customWidth="1"/>
    <col min="3330" max="3330" width="12.28515625" bestFit="1" customWidth="1"/>
    <col min="3331" max="3331" width="12.85546875" bestFit="1" customWidth="1"/>
    <col min="3332" max="3332" width="19" bestFit="1" customWidth="1"/>
    <col min="3333" max="3333" width="17.42578125" bestFit="1" customWidth="1"/>
    <col min="3334" max="3334" width="9.28515625" bestFit="1" customWidth="1"/>
    <col min="3335" max="3335" width="8.5703125" bestFit="1" customWidth="1"/>
    <col min="3336" max="3336" width="11.28515625" bestFit="1" customWidth="1"/>
    <col min="3337" max="3339" width="8.42578125" bestFit="1" customWidth="1"/>
    <col min="3340" max="3340" width="10.5703125" customWidth="1"/>
    <col min="3341" max="3341" width="12" customWidth="1"/>
    <col min="3342" max="3342" width="9.28515625" customWidth="1"/>
    <col min="3343" max="3343" width="9.28515625" bestFit="1" customWidth="1"/>
    <col min="3585" max="3585" width="19.28515625" bestFit="1" customWidth="1"/>
    <col min="3586" max="3586" width="12.28515625" bestFit="1" customWidth="1"/>
    <col min="3587" max="3587" width="12.85546875" bestFit="1" customWidth="1"/>
    <col min="3588" max="3588" width="19" bestFit="1" customWidth="1"/>
    <col min="3589" max="3589" width="17.42578125" bestFit="1" customWidth="1"/>
    <col min="3590" max="3590" width="9.28515625" bestFit="1" customWidth="1"/>
    <col min="3591" max="3591" width="8.5703125" bestFit="1" customWidth="1"/>
    <col min="3592" max="3592" width="11.28515625" bestFit="1" customWidth="1"/>
    <col min="3593" max="3595" width="8.42578125" bestFit="1" customWidth="1"/>
    <col min="3596" max="3596" width="10.5703125" customWidth="1"/>
    <col min="3597" max="3597" width="12" customWidth="1"/>
    <col min="3598" max="3598" width="9.28515625" customWidth="1"/>
    <col min="3599" max="3599" width="9.28515625" bestFit="1" customWidth="1"/>
    <col min="3841" max="3841" width="19.28515625" bestFit="1" customWidth="1"/>
    <col min="3842" max="3842" width="12.28515625" bestFit="1" customWidth="1"/>
    <col min="3843" max="3843" width="12.85546875" bestFit="1" customWidth="1"/>
    <col min="3844" max="3844" width="19" bestFit="1" customWidth="1"/>
    <col min="3845" max="3845" width="17.42578125" bestFit="1" customWidth="1"/>
    <col min="3846" max="3846" width="9.28515625" bestFit="1" customWidth="1"/>
    <col min="3847" max="3847" width="8.5703125" bestFit="1" customWidth="1"/>
    <col min="3848" max="3848" width="11.28515625" bestFit="1" customWidth="1"/>
    <col min="3849" max="3851" width="8.42578125" bestFit="1" customWidth="1"/>
    <col min="3852" max="3852" width="10.5703125" customWidth="1"/>
    <col min="3853" max="3853" width="12" customWidth="1"/>
    <col min="3854" max="3854" width="9.28515625" customWidth="1"/>
    <col min="3855" max="3855" width="9.28515625" bestFit="1" customWidth="1"/>
    <col min="4097" max="4097" width="19.28515625" bestFit="1" customWidth="1"/>
    <col min="4098" max="4098" width="12.28515625" bestFit="1" customWidth="1"/>
    <col min="4099" max="4099" width="12.85546875" bestFit="1" customWidth="1"/>
    <col min="4100" max="4100" width="19" bestFit="1" customWidth="1"/>
    <col min="4101" max="4101" width="17.42578125" bestFit="1" customWidth="1"/>
    <col min="4102" max="4102" width="9.28515625" bestFit="1" customWidth="1"/>
    <col min="4103" max="4103" width="8.5703125" bestFit="1" customWidth="1"/>
    <col min="4104" max="4104" width="11.28515625" bestFit="1" customWidth="1"/>
    <col min="4105" max="4107" width="8.42578125" bestFit="1" customWidth="1"/>
    <col min="4108" max="4108" width="10.5703125" customWidth="1"/>
    <col min="4109" max="4109" width="12" customWidth="1"/>
    <col min="4110" max="4110" width="9.28515625" customWidth="1"/>
    <col min="4111" max="4111" width="9.28515625" bestFit="1" customWidth="1"/>
    <col min="4353" max="4353" width="19.28515625" bestFit="1" customWidth="1"/>
    <col min="4354" max="4354" width="12.28515625" bestFit="1" customWidth="1"/>
    <col min="4355" max="4355" width="12.85546875" bestFit="1" customWidth="1"/>
    <col min="4356" max="4356" width="19" bestFit="1" customWidth="1"/>
    <col min="4357" max="4357" width="17.42578125" bestFit="1" customWidth="1"/>
    <col min="4358" max="4358" width="9.28515625" bestFit="1" customWidth="1"/>
    <col min="4359" max="4359" width="8.5703125" bestFit="1" customWidth="1"/>
    <col min="4360" max="4360" width="11.28515625" bestFit="1" customWidth="1"/>
    <col min="4361" max="4363" width="8.42578125" bestFit="1" customWidth="1"/>
    <col min="4364" max="4364" width="10.5703125" customWidth="1"/>
    <col min="4365" max="4365" width="12" customWidth="1"/>
    <col min="4366" max="4366" width="9.28515625" customWidth="1"/>
    <col min="4367" max="4367" width="9.28515625" bestFit="1" customWidth="1"/>
    <col min="4609" max="4609" width="19.28515625" bestFit="1" customWidth="1"/>
    <col min="4610" max="4610" width="12.28515625" bestFit="1" customWidth="1"/>
    <col min="4611" max="4611" width="12.85546875" bestFit="1" customWidth="1"/>
    <col min="4612" max="4612" width="19" bestFit="1" customWidth="1"/>
    <col min="4613" max="4613" width="17.42578125" bestFit="1" customWidth="1"/>
    <col min="4614" max="4614" width="9.28515625" bestFit="1" customWidth="1"/>
    <col min="4615" max="4615" width="8.5703125" bestFit="1" customWidth="1"/>
    <col min="4616" max="4616" width="11.28515625" bestFit="1" customWidth="1"/>
    <col min="4617" max="4619" width="8.42578125" bestFit="1" customWidth="1"/>
    <col min="4620" max="4620" width="10.5703125" customWidth="1"/>
    <col min="4621" max="4621" width="12" customWidth="1"/>
    <col min="4622" max="4622" width="9.28515625" customWidth="1"/>
    <col min="4623" max="4623" width="9.28515625" bestFit="1" customWidth="1"/>
    <col min="4865" max="4865" width="19.28515625" bestFit="1" customWidth="1"/>
    <col min="4866" max="4866" width="12.28515625" bestFit="1" customWidth="1"/>
    <col min="4867" max="4867" width="12.85546875" bestFit="1" customWidth="1"/>
    <col min="4868" max="4868" width="19" bestFit="1" customWidth="1"/>
    <col min="4869" max="4869" width="17.42578125" bestFit="1" customWidth="1"/>
    <col min="4870" max="4870" width="9.28515625" bestFit="1" customWidth="1"/>
    <col min="4871" max="4871" width="8.5703125" bestFit="1" customWidth="1"/>
    <col min="4872" max="4872" width="11.28515625" bestFit="1" customWidth="1"/>
    <col min="4873" max="4875" width="8.42578125" bestFit="1" customWidth="1"/>
    <col min="4876" max="4876" width="10.5703125" customWidth="1"/>
    <col min="4877" max="4877" width="12" customWidth="1"/>
    <col min="4878" max="4878" width="9.28515625" customWidth="1"/>
    <col min="4879" max="4879" width="9.28515625" bestFit="1" customWidth="1"/>
    <col min="5121" max="5121" width="19.28515625" bestFit="1" customWidth="1"/>
    <col min="5122" max="5122" width="12.28515625" bestFit="1" customWidth="1"/>
    <col min="5123" max="5123" width="12.85546875" bestFit="1" customWidth="1"/>
    <col min="5124" max="5124" width="19" bestFit="1" customWidth="1"/>
    <col min="5125" max="5125" width="17.42578125" bestFit="1" customWidth="1"/>
    <col min="5126" max="5126" width="9.28515625" bestFit="1" customWidth="1"/>
    <col min="5127" max="5127" width="8.5703125" bestFit="1" customWidth="1"/>
    <col min="5128" max="5128" width="11.28515625" bestFit="1" customWidth="1"/>
    <col min="5129" max="5131" width="8.42578125" bestFit="1" customWidth="1"/>
    <col min="5132" max="5132" width="10.5703125" customWidth="1"/>
    <col min="5133" max="5133" width="12" customWidth="1"/>
    <col min="5134" max="5134" width="9.28515625" customWidth="1"/>
    <col min="5135" max="5135" width="9.28515625" bestFit="1" customWidth="1"/>
    <col min="5377" max="5377" width="19.28515625" bestFit="1" customWidth="1"/>
    <col min="5378" max="5378" width="12.28515625" bestFit="1" customWidth="1"/>
    <col min="5379" max="5379" width="12.85546875" bestFit="1" customWidth="1"/>
    <col min="5380" max="5380" width="19" bestFit="1" customWidth="1"/>
    <col min="5381" max="5381" width="17.42578125" bestFit="1" customWidth="1"/>
    <col min="5382" max="5382" width="9.28515625" bestFit="1" customWidth="1"/>
    <col min="5383" max="5383" width="8.5703125" bestFit="1" customWidth="1"/>
    <col min="5384" max="5384" width="11.28515625" bestFit="1" customWidth="1"/>
    <col min="5385" max="5387" width="8.42578125" bestFit="1" customWidth="1"/>
    <col min="5388" max="5388" width="10.5703125" customWidth="1"/>
    <col min="5389" max="5389" width="12" customWidth="1"/>
    <col min="5390" max="5390" width="9.28515625" customWidth="1"/>
    <col min="5391" max="5391" width="9.28515625" bestFit="1" customWidth="1"/>
    <col min="5633" max="5633" width="19.28515625" bestFit="1" customWidth="1"/>
    <col min="5634" max="5634" width="12.28515625" bestFit="1" customWidth="1"/>
    <col min="5635" max="5635" width="12.85546875" bestFit="1" customWidth="1"/>
    <col min="5636" max="5636" width="19" bestFit="1" customWidth="1"/>
    <col min="5637" max="5637" width="17.42578125" bestFit="1" customWidth="1"/>
    <col min="5638" max="5638" width="9.28515625" bestFit="1" customWidth="1"/>
    <col min="5639" max="5639" width="8.5703125" bestFit="1" customWidth="1"/>
    <col min="5640" max="5640" width="11.28515625" bestFit="1" customWidth="1"/>
    <col min="5641" max="5643" width="8.42578125" bestFit="1" customWidth="1"/>
    <col min="5644" max="5644" width="10.5703125" customWidth="1"/>
    <col min="5645" max="5645" width="12" customWidth="1"/>
    <col min="5646" max="5646" width="9.28515625" customWidth="1"/>
    <col min="5647" max="5647" width="9.28515625" bestFit="1" customWidth="1"/>
    <col min="5889" max="5889" width="19.28515625" bestFit="1" customWidth="1"/>
    <col min="5890" max="5890" width="12.28515625" bestFit="1" customWidth="1"/>
    <col min="5891" max="5891" width="12.85546875" bestFit="1" customWidth="1"/>
    <col min="5892" max="5892" width="19" bestFit="1" customWidth="1"/>
    <col min="5893" max="5893" width="17.42578125" bestFit="1" customWidth="1"/>
    <col min="5894" max="5894" width="9.28515625" bestFit="1" customWidth="1"/>
    <col min="5895" max="5895" width="8.5703125" bestFit="1" customWidth="1"/>
    <col min="5896" max="5896" width="11.28515625" bestFit="1" customWidth="1"/>
    <col min="5897" max="5899" width="8.42578125" bestFit="1" customWidth="1"/>
    <col min="5900" max="5900" width="10.5703125" customWidth="1"/>
    <col min="5901" max="5901" width="12" customWidth="1"/>
    <col min="5902" max="5902" width="9.28515625" customWidth="1"/>
    <col min="5903" max="5903" width="9.28515625" bestFit="1" customWidth="1"/>
    <col min="6145" max="6145" width="19.28515625" bestFit="1" customWidth="1"/>
    <col min="6146" max="6146" width="12.28515625" bestFit="1" customWidth="1"/>
    <col min="6147" max="6147" width="12.85546875" bestFit="1" customWidth="1"/>
    <col min="6148" max="6148" width="19" bestFit="1" customWidth="1"/>
    <col min="6149" max="6149" width="17.42578125" bestFit="1" customWidth="1"/>
    <col min="6150" max="6150" width="9.28515625" bestFit="1" customWidth="1"/>
    <col min="6151" max="6151" width="8.5703125" bestFit="1" customWidth="1"/>
    <col min="6152" max="6152" width="11.28515625" bestFit="1" customWidth="1"/>
    <col min="6153" max="6155" width="8.42578125" bestFit="1" customWidth="1"/>
    <col min="6156" max="6156" width="10.5703125" customWidth="1"/>
    <col min="6157" max="6157" width="12" customWidth="1"/>
    <col min="6158" max="6158" width="9.28515625" customWidth="1"/>
    <col min="6159" max="6159" width="9.28515625" bestFit="1" customWidth="1"/>
    <col min="6401" max="6401" width="19.28515625" bestFit="1" customWidth="1"/>
    <col min="6402" max="6402" width="12.28515625" bestFit="1" customWidth="1"/>
    <col min="6403" max="6403" width="12.85546875" bestFit="1" customWidth="1"/>
    <col min="6404" max="6404" width="19" bestFit="1" customWidth="1"/>
    <col min="6405" max="6405" width="17.42578125" bestFit="1" customWidth="1"/>
    <col min="6406" max="6406" width="9.28515625" bestFit="1" customWidth="1"/>
    <col min="6407" max="6407" width="8.5703125" bestFit="1" customWidth="1"/>
    <col min="6408" max="6408" width="11.28515625" bestFit="1" customWidth="1"/>
    <col min="6409" max="6411" width="8.42578125" bestFit="1" customWidth="1"/>
    <col min="6412" max="6412" width="10.5703125" customWidth="1"/>
    <col min="6413" max="6413" width="12" customWidth="1"/>
    <col min="6414" max="6414" width="9.28515625" customWidth="1"/>
    <col min="6415" max="6415" width="9.28515625" bestFit="1" customWidth="1"/>
    <col min="6657" max="6657" width="19.28515625" bestFit="1" customWidth="1"/>
    <col min="6658" max="6658" width="12.28515625" bestFit="1" customWidth="1"/>
    <col min="6659" max="6659" width="12.85546875" bestFit="1" customWidth="1"/>
    <col min="6660" max="6660" width="19" bestFit="1" customWidth="1"/>
    <col min="6661" max="6661" width="17.42578125" bestFit="1" customWidth="1"/>
    <col min="6662" max="6662" width="9.28515625" bestFit="1" customWidth="1"/>
    <col min="6663" max="6663" width="8.5703125" bestFit="1" customWidth="1"/>
    <col min="6664" max="6664" width="11.28515625" bestFit="1" customWidth="1"/>
    <col min="6665" max="6667" width="8.42578125" bestFit="1" customWidth="1"/>
    <col min="6668" max="6668" width="10.5703125" customWidth="1"/>
    <col min="6669" max="6669" width="12" customWidth="1"/>
    <col min="6670" max="6670" width="9.28515625" customWidth="1"/>
    <col min="6671" max="6671" width="9.28515625" bestFit="1" customWidth="1"/>
    <col min="6913" max="6913" width="19.28515625" bestFit="1" customWidth="1"/>
    <col min="6914" max="6914" width="12.28515625" bestFit="1" customWidth="1"/>
    <col min="6915" max="6915" width="12.85546875" bestFit="1" customWidth="1"/>
    <col min="6916" max="6916" width="19" bestFit="1" customWidth="1"/>
    <col min="6917" max="6917" width="17.42578125" bestFit="1" customWidth="1"/>
    <col min="6918" max="6918" width="9.28515625" bestFit="1" customWidth="1"/>
    <col min="6919" max="6919" width="8.5703125" bestFit="1" customWidth="1"/>
    <col min="6920" max="6920" width="11.28515625" bestFit="1" customWidth="1"/>
    <col min="6921" max="6923" width="8.42578125" bestFit="1" customWidth="1"/>
    <col min="6924" max="6924" width="10.5703125" customWidth="1"/>
    <col min="6925" max="6925" width="12" customWidth="1"/>
    <col min="6926" max="6926" width="9.28515625" customWidth="1"/>
    <col min="6927" max="6927" width="9.28515625" bestFit="1" customWidth="1"/>
    <col min="7169" max="7169" width="19.28515625" bestFit="1" customWidth="1"/>
    <col min="7170" max="7170" width="12.28515625" bestFit="1" customWidth="1"/>
    <col min="7171" max="7171" width="12.85546875" bestFit="1" customWidth="1"/>
    <col min="7172" max="7172" width="19" bestFit="1" customWidth="1"/>
    <col min="7173" max="7173" width="17.42578125" bestFit="1" customWidth="1"/>
    <col min="7174" max="7174" width="9.28515625" bestFit="1" customWidth="1"/>
    <col min="7175" max="7175" width="8.5703125" bestFit="1" customWidth="1"/>
    <col min="7176" max="7176" width="11.28515625" bestFit="1" customWidth="1"/>
    <col min="7177" max="7179" width="8.42578125" bestFit="1" customWidth="1"/>
    <col min="7180" max="7180" width="10.5703125" customWidth="1"/>
    <col min="7181" max="7181" width="12" customWidth="1"/>
    <col min="7182" max="7182" width="9.28515625" customWidth="1"/>
    <col min="7183" max="7183" width="9.28515625" bestFit="1" customWidth="1"/>
    <col min="7425" max="7425" width="19.28515625" bestFit="1" customWidth="1"/>
    <col min="7426" max="7426" width="12.28515625" bestFit="1" customWidth="1"/>
    <col min="7427" max="7427" width="12.85546875" bestFit="1" customWidth="1"/>
    <col min="7428" max="7428" width="19" bestFit="1" customWidth="1"/>
    <col min="7429" max="7429" width="17.42578125" bestFit="1" customWidth="1"/>
    <col min="7430" max="7430" width="9.28515625" bestFit="1" customWidth="1"/>
    <col min="7431" max="7431" width="8.5703125" bestFit="1" customWidth="1"/>
    <col min="7432" max="7432" width="11.28515625" bestFit="1" customWidth="1"/>
    <col min="7433" max="7435" width="8.42578125" bestFit="1" customWidth="1"/>
    <col min="7436" max="7436" width="10.5703125" customWidth="1"/>
    <col min="7437" max="7437" width="12" customWidth="1"/>
    <col min="7438" max="7438" width="9.28515625" customWidth="1"/>
    <col min="7439" max="7439" width="9.28515625" bestFit="1" customWidth="1"/>
    <col min="7681" max="7681" width="19.28515625" bestFit="1" customWidth="1"/>
    <col min="7682" max="7682" width="12.28515625" bestFit="1" customWidth="1"/>
    <col min="7683" max="7683" width="12.85546875" bestFit="1" customWidth="1"/>
    <col min="7684" max="7684" width="19" bestFit="1" customWidth="1"/>
    <col min="7685" max="7685" width="17.42578125" bestFit="1" customWidth="1"/>
    <col min="7686" max="7686" width="9.28515625" bestFit="1" customWidth="1"/>
    <col min="7687" max="7687" width="8.5703125" bestFit="1" customWidth="1"/>
    <col min="7688" max="7688" width="11.28515625" bestFit="1" customWidth="1"/>
    <col min="7689" max="7691" width="8.42578125" bestFit="1" customWidth="1"/>
    <col min="7692" max="7692" width="10.5703125" customWidth="1"/>
    <col min="7693" max="7693" width="12" customWidth="1"/>
    <col min="7694" max="7694" width="9.28515625" customWidth="1"/>
    <col min="7695" max="7695" width="9.28515625" bestFit="1" customWidth="1"/>
    <col min="7937" max="7937" width="19.28515625" bestFit="1" customWidth="1"/>
    <col min="7938" max="7938" width="12.28515625" bestFit="1" customWidth="1"/>
    <col min="7939" max="7939" width="12.85546875" bestFit="1" customWidth="1"/>
    <col min="7940" max="7940" width="19" bestFit="1" customWidth="1"/>
    <col min="7941" max="7941" width="17.42578125" bestFit="1" customWidth="1"/>
    <col min="7942" max="7942" width="9.28515625" bestFit="1" customWidth="1"/>
    <col min="7943" max="7943" width="8.5703125" bestFit="1" customWidth="1"/>
    <col min="7944" max="7944" width="11.28515625" bestFit="1" customWidth="1"/>
    <col min="7945" max="7947" width="8.42578125" bestFit="1" customWidth="1"/>
    <col min="7948" max="7948" width="10.5703125" customWidth="1"/>
    <col min="7949" max="7949" width="12" customWidth="1"/>
    <col min="7950" max="7950" width="9.28515625" customWidth="1"/>
    <col min="7951" max="7951" width="9.28515625" bestFit="1" customWidth="1"/>
    <col min="8193" max="8193" width="19.28515625" bestFit="1" customWidth="1"/>
    <col min="8194" max="8194" width="12.28515625" bestFit="1" customWidth="1"/>
    <col min="8195" max="8195" width="12.85546875" bestFit="1" customWidth="1"/>
    <col min="8196" max="8196" width="19" bestFit="1" customWidth="1"/>
    <col min="8197" max="8197" width="17.42578125" bestFit="1" customWidth="1"/>
    <col min="8198" max="8198" width="9.28515625" bestFit="1" customWidth="1"/>
    <col min="8199" max="8199" width="8.5703125" bestFit="1" customWidth="1"/>
    <col min="8200" max="8200" width="11.28515625" bestFit="1" customWidth="1"/>
    <col min="8201" max="8203" width="8.42578125" bestFit="1" customWidth="1"/>
    <col min="8204" max="8204" width="10.5703125" customWidth="1"/>
    <col min="8205" max="8205" width="12" customWidth="1"/>
    <col min="8206" max="8206" width="9.28515625" customWidth="1"/>
    <col min="8207" max="8207" width="9.28515625" bestFit="1" customWidth="1"/>
    <col min="8449" max="8449" width="19.28515625" bestFit="1" customWidth="1"/>
    <col min="8450" max="8450" width="12.28515625" bestFit="1" customWidth="1"/>
    <col min="8451" max="8451" width="12.85546875" bestFit="1" customWidth="1"/>
    <col min="8452" max="8452" width="19" bestFit="1" customWidth="1"/>
    <col min="8453" max="8453" width="17.42578125" bestFit="1" customWidth="1"/>
    <col min="8454" max="8454" width="9.28515625" bestFit="1" customWidth="1"/>
    <col min="8455" max="8455" width="8.5703125" bestFit="1" customWidth="1"/>
    <col min="8456" max="8456" width="11.28515625" bestFit="1" customWidth="1"/>
    <col min="8457" max="8459" width="8.42578125" bestFit="1" customWidth="1"/>
    <col min="8460" max="8460" width="10.5703125" customWidth="1"/>
    <col min="8461" max="8461" width="12" customWidth="1"/>
    <col min="8462" max="8462" width="9.28515625" customWidth="1"/>
    <col min="8463" max="8463" width="9.28515625" bestFit="1" customWidth="1"/>
    <col min="8705" max="8705" width="19.28515625" bestFit="1" customWidth="1"/>
    <col min="8706" max="8706" width="12.28515625" bestFit="1" customWidth="1"/>
    <col min="8707" max="8707" width="12.85546875" bestFit="1" customWidth="1"/>
    <col min="8708" max="8708" width="19" bestFit="1" customWidth="1"/>
    <col min="8709" max="8709" width="17.42578125" bestFit="1" customWidth="1"/>
    <col min="8710" max="8710" width="9.28515625" bestFit="1" customWidth="1"/>
    <col min="8711" max="8711" width="8.5703125" bestFit="1" customWidth="1"/>
    <col min="8712" max="8712" width="11.28515625" bestFit="1" customWidth="1"/>
    <col min="8713" max="8715" width="8.42578125" bestFit="1" customWidth="1"/>
    <col min="8716" max="8716" width="10.5703125" customWidth="1"/>
    <col min="8717" max="8717" width="12" customWidth="1"/>
    <col min="8718" max="8718" width="9.28515625" customWidth="1"/>
    <col min="8719" max="8719" width="9.28515625" bestFit="1" customWidth="1"/>
    <col min="8961" max="8961" width="19.28515625" bestFit="1" customWidth="1"/>
    <col min="8962" max="8962" width="12.28515625" bestFit="1" customWidth="1"/>
    <col min="8963" max="8963" width="12.85546875" bestFit="1" customWidth="1"/>
    <col min="8964" max="8964" width="19" bestFit="1" customWidth="1"/>
    <col min="8965" max="8965" width="17.42578125" bestFit="1" customWidth="1"/>
    <col min="8966" max="8966" width="9.28515625" bestFit="1" customWidth="1"/>
    <col min="8967" max="8967" width="8.5703125" bestFit="1" customWidth="1"/>
    <col min="8968" max="8968" width="11.28515625" bestFit="1" customWidth="1"/>
    <col min="8969" max="8971" width="8.42578125" bestFit="1" customWidth="1"/>
    <col min="8972" max="8972" width="10.5703125" customWidth="1"/>
    <col min="8973" max="8973" width="12" customWidth="1"/>
    <col min="8974" max="8974" width="9.28515625" customWidth="1"/>
    <col min="8975" max="8975" width="9.28515625" bestFit="1" customWidth="1"/>
    <col min="9217" max="9217" width="19.28515625" bestFit="1" customWidth="1"/>
    <col min="9218" max="9218" width="12.28515625" bestFit="1" customWidth="1"/>
    <col min="9219" max="9219" width="12.85546875" bestFit="1" customWidth="1"/>
    <col min="9220" max="9220" width="19" bestFit="1" customWidth="1"/>
    <col min="9221" max="9221" width="17.42578125" bestFit="1" customWidth="1"/>
    <col min="9222" max="9222" width="9.28515625" bestFit="1" customWidth="1"/>
    <col min="9223" max="9223" width="8.5703125" bestFit="1" customWidth="1"/>
    <col min="9224" max="9224" width="11.28515625" bestFit="1" customWidth="1"/>
    <col min="9225" max="9227" width="8.42578125" bestFit="1" customWidth="1"/>
    <col min="9228" max="9228" width="10.5703125" customWidth="1"/>
    <col min="9229" max="9229" width="12" customWidth="1"/>
    <col min="9230" max="9230" width="9.28515625" customWidth="1"/>
    <col min="9231" max="9231" width="9.28515625" bestFit="1" customWidth="1"/>
    <col min="9473" max="9473" width="19.28515625" bestFit="1" customWidth="1"/>
    <col min="9474" max="9474" width="12.28515625" bestFit="1" customWidth="1"/>
    <col min="9475" max="9475" width="12.85546875" bestFit="1" customWidth="1"/>
    <col min="9476" max="9476" width="19" bestFit="1" customWidth="1"/>
    <col min="9477" max="9477" width="17.42578125" bestFit="1" customWidth="1"/>
    <col min="9478" max="9478" width="9.28515625" bestFit="1" customWidth="1"/>
    <col min="9479" max="9479" width="8.5703125" bestFit="1" customWidth="1"/>
    <col min="9480" max="9480" width="11.28515625" bestFit="1" customWidth="1"/>
    <col min="9481" max="9483" width="8.42578125" bestFit="1" customWidth="1"/>
    <col min="9484" max="9484" width="10.5703125" customWidth="1"/>
    <col min="9485" max="9485" width="12" customWidth="1"/>
    <col min="9486" max="9486" width="9.28515625" customWidth="1"/>
    <col min="9487" max="9487" width="9.28515625" bestFit="1" customWidth="1"/>
    <col min="9729" max="9729" width="19.28515625" bestFit="1" customWidth="1"/>
    <col min="9730" max="9730" width="12.28515625" bestFit="1" customWidth="1"/>
    <col min="9731" max="9731" width="12.85546875" bestFit="1" customWidth="1"/>
    <col min="9732" max="9732" width="19" bestFit="1" customWidth="1"/>
    <col min="9733" max="9733" width="17.42578125" bestFit="1" customWidth="1"/>
    <col min="9734" max="9734" width="9.28515625" bestFit="1" customWidth="1"/>
    <col min="9735" max="9735" width="8.5703125" bestFit="1" customWidth="1"/>
    <col min="9736" max="9736" width="11.28515625" bestFit="1" customWidth="1"/>
    <col min="9737" max="9739" width="8.42578125" bestFit="1" customWidth="1"/>
    <col min="9740" max="9740" width="10.5703125" customWidth="1"/>
    <col min="9741" max="9741" width="12" customWidth="1"/>
    <col min="9742" max="9742" width="9.28515625" customWidth="1"/>
    <col min="9743" max="9743" width="9.28515625" bestFit="1" customWidth="1"/>
    <col min="9985" max="9985" width="19.28515625" bestFit="1" customWidth="1"/>
    <col min="9986" max="9986" width="12.28515625" bestFit="1" customWidth="1"/>
    <col min="9987" max="9987" width="12.85546875" bestFit="1" customWidth="1"/>
    <col min="9988" max="9988" width="19" bestFit="1" customWidth="1"/>
    <col min="9989" max="9989" width="17.42578125" bestFit="1" customWidth="1"/>
    <col min="9990" max="9990" width="9.28515625" bestFit="1" customWidth="1"/>
    <col min="9991" max="9991" width="8.5703125" bestFit="1" customWidth="1"/>
    <col min="9992" max="9992" width="11.28515625" bestFit="1" customWidth="1"/>
    <col min="9993" max="9995" width="8.42578125" bestFit="1" customWidth="1"/>
    <col min="9996" max="9996" width="10.5703125" customWidth="1"/>
    <col min="9997" max="9997" width="12" customWidth="1"/>
    <col min="9998" max="9998" width="9.28515625" customWidth="1"/>
    <col min="9999" max="9999" width="9.28515625" bestFit="1" customWidth="1"/>
    <col min="10241" max="10241" width="19.28515625" bestFit="1" customWidth="1"/>
    <col min="10242" max="10242" width="12.28515625" bestFit="1" customWidth="1"/>
    <col min="10243" max="10243" width="12.85546875" bestFit="1" customWidth="1"/>
    <col min="10244" max="10244" width="19" bestFit="1" customWidth="1"/>
    <col min="10245" max="10245" width="17.42578125" bestFit="1" customWidth="1"/>
    <col min="10246" max="10246" width="9.28515625" bestFit="1" customWidth="1"/>
    <col min="10247" max="10247" width="8.5703125" bestFit="1" customWidth="1"/>
    <col min="10248" max="10248" width="11.28515625" bestFit="1" customWidth="1"/>
    <col min="10249" max="10251" width="8.42578125" bestFit="1" customWidth="1"/>
    <col min="10252" max="10252" width="10.5703125" customWidth="1"/>
    <col min="10253" max="10253" width="12" customWidth="1"/>
    <col min="10254" max="10254" width="9.28515625" customWidth="1"/>
    <col min="10255" max="10255" width="9.28515625" bestFit="1" customWidth="1"/>
    <col min="10497" max="10497" width="19.28515625" bestFit="1" customWidth="1"/>
    <col min="10498" max="10498" width="12.28515625" bestFit="1" customWidth="1"/>
    <col min="10499" max="10499" width="12.85546875" bestFit="1" customWidth="1"/>
    <col min="10500" max="10500" width="19" bestFit="1" customWidth="1"/>
    <col min="10501" max="10501" width="17.42578125" bestFit="1" customWidth="1"/>
    <col min="10502" max="10502" width="9.28515625" bestFit="1" customWidth="1"/>
    <col min="10503" max="10503" width="8.5703125" bestFit="1" customWidth="1"/>
    <col min="10504" max="10504" width="11.28515625" bestFit="1" customWidth="1"/>
    <col min="10505" max="10507" width="8.42578125" bestFit="1" customWidth="1"/>
    <col min="10508" max="10508" width="10.5703125" customWidth="1"/>
    <col min="10509" max="10509" width="12" customWidth="1"/>
    <col min="10510" max="10510" width="9.28515625" customWidth="1"/>
    <col min="10511" max="10511" width="9.28515625" bestFit="1" customWidth="1"/>
    <col min="10753" max="10753" width="19.28515625" bestFit="1" customWidth="1"/>
    <col min="10754" max="10754" width="12.28515625" bestFit="1" customWidth="1"/>
    <col min="10755" max="10755" width="12.85546875" bestFit="1" customWidth="1"/>
    <col min="10756" max="10756" width="19" bestFit="1" customWidth="1"/>
    <col min="10757" max="10757" width="17.42578125" bestFit="1" customWidth="1"/>
    <col min="10758" max="10758" width="9.28515625" bestFit="1" customWidth="1"/>
    <col min="10759" max="10759" width="8.5703125" bestFit="1" customWidth="1"/>
    <col min="10760" max="10760" width="11.28515625" bestFit="1" customWidth="1"/>
    <col min="10761" max="10763" width="8.42578125" bestFit="1" customWidth="1"/>
    <col min="10764" max="10764" width="10.5703125" customWidth="1"/>
    <col min="10765" max="10765" width="12" customWidth="1"/>
    <col min="10766" max="10766" width="9.28515625" customWidth="1"/>
    <col min="10767" max="10767" width="9.28515625" bestFit="1" customWidth="1"/>
    <col min="11009" max="11009" width="19.28515625" bestFit="1" customWidth="1"/>
    <col min="11010" max="11010" width="12.28515625" bestFit="1" customWidth="1"/>
    <col min="11011" max="11011" width="12.85546875" bestFit="1" customWidth="1"/>
    <col min="11012" max="11012" width="19" bestFit="1" customWidth="1"/>
    <col min="11013" max="11013" width="17.42578125" bestFit="1" customWidth="1"/>
    <col min="11014" max="11014" width="9.28515625" bestFit="1" customWidth="1"/>
    <col min="11015" max="11015" width="8.5703125" bestFit="1" customWidth="1"/>
    <col min="11016" max="11016" width="11.28515625" bestFit="1" customWidth="1"/>
    <col min="11017" max="11019" width="8.42578125" bestFit="1" customWidth="1"/>
    <col min="11020" max="11020" width="10.5703125" customWidth="1"/>
    <col min="11021" max="11021" width="12" customWidth="1"/>
    <col min="11022" max="11022" width="9.28515625" customWidth="1"/>
    <col min="11023" max="11023" width="9.28515625" bestFit="1" customWidth="1"/>
    <col min="11265" max="11265" width="19.28515625" bestFit="1" customWidth="1"/>
    <col min="11266" max="11266" width="12.28515625" bestFit="1" customWidth="1"/>
    <col min="11267" max="11267" width="12.85546875" bestFit="1" customWidth="1"/>
    <col min="11268" max="11268" width="19" bestFit="1" customWidth="1"/>
    <col min="11269" max="11269" width="17.42578125" bestFit="1" customWidth="1"/>
    <col min="11270" max="11270" width="9.28515625" bestFit="1" customWidth="1"/>
    <col min="11271" max="11271" width="8.5703125" bestFit="1" customWidth="1"/>
    <col min="11272" max="11272" width="11.28515625" bestFit="1" customWidth="1"/>
    <col min="11273" max="11275" width="8.42578125" bestFit="1" customWidth="1"/>
    <col min="11276" max="11276" width="10.5703125" customWidth="1"/>
    <col min="11277" max="11277" width="12" customWidth="1"/>
    <col min="11278" max="11278" width="9.28515625" customWidth="1"/>
    <col min="11279" max="11279" width="9.28515625" bestFit="1" customWidth="1"/>
    <col min="11521" max="11521" width="19.28515625" bestFit="1" customWidth="1"/>
    <col min="11522" max="11522" width="12.28515625" bestFit="1" customWidth="1"/>
    <col min="11523" max="11523" width="12.85546875" bestFit="1" customWidth="1"/>
    <col min="11524" max="11524" width="19" bestFit="1" customWidth="1"/>
    <col min="11525" max="11525" width="17.42578125" bestFit="1" customWidth="1"/>
    <col min="11526" max="11526" width="9.28515625" bestFit="1" customWidth="1"/>
    <col min="11527" max="11527" width="8.5703125" bestFit="1" customWidth="1"/>
    <col min="11528" max="11528" width="11.28515625" bestFit="1" customWidth="1"/>
    <col min="11529" max="11531" width="8.42578125" bestFit="1" customWidth="1"/>
    <col min="11532" max="11532" width="10.5703125" customWidth="1"/>
    <col min="11533" max="11533" width="12" customWidth="1"/>
    <col min="11534" max="11534" width="9.28515625" customWidth="1"/>
    <col min="11535" max="11535" width="9.28515625" bestFit="1" customWidth="1"/>
    <col min="11777" max="11777" width="19.28515625" bestFit="1" customWidth="1"/>
    <col min="11778" max="11778" width="12.28515625" bestFit="1" customWidth="1"/>
    <col min="11779" max="11779" width="12.85546875" bestFit="1" customWidth="1"/>
    <col min="11780" max="11780" width="19" bestFit="1" customWidth="1"/>
    <col min="11781" max="11781" width="17.42578125" bestFit="1" customWidth="1"/>
    <col min="11782" max="11782" width="9.28515625" bestFit="1" customWidth="1"/>
    <col min="11783" max="11783" width="8.5703125" bestFit="1" customWidth="1"/>
    <col min="11784" max="11784" width="11.28515625" bestFit="1" customWidth="1"/>
    <col min="11785" max="11787" width="8.42578125" bestFit="1" customWidth="1"/>
    <col min="11788" max="11788" width="10.5703125" customWidth="1"/>
    <col min="11789" max="11789" width="12" customWidth="1"/>
    <col min="11790" max="11790" width="9.28515625" customWidth="1"/>
    <col min="11791" max="11791" width="9.28515625" bestFit="1" customWidth="1"/>
    <col min="12033" max="12033" width="19.28515625" bestFit="1" customWidth="1"/>
    <col min="12034" max="12034" width="12.28515625" bestFit="1" customWidth="1"/>
    <col min="12035" max="12035" width="12.85546875" bestFit="1" customWidth="1"/>
    <col min="12036" max="12036" width="19" bestFit="1" customWidth="1"/>
    <col min="12037" max="12037" width="17.42578125" bestFit="1" customWidth="1"/>
    <col min="12038" max="12038" width="9.28515625" bestFit="1" customWidth="1"/>
    <col min="12039" max="12039" width="8.5703125" bestFit="1" customWidth="1"/>
    <col min="12040" max="12040" width="11.28515625" bestFit="1" customWidth="1"/>
    <col min="12041" max="12043" width="8.42578125" bestFit="1" customWidth="1"/>
    <col min="12044" max="12044" width="10.5703125" customWidth="1"/>
    <col min="12045" max="12045" width="12" customWidth="1"/>
    <col min="12046" max="12046" width="9.28515625" customWidth="1"/>
    <col min="12047" max="12047" width="9.28515625" bestFit="1" customWidth="1"/>
    <col min="12289" max="12289" width="19.28515625" bestFit="1" customWidth="1"/>
    <col min="12290" max="12290" width="12.28515625" bestFit="1" customWidth="1"/>
    <col min="12291" max="12291" width="12.85546875" bestFit="1" customWidth="1"/>
    <col min="12292" max="12292" width="19" bestFit="1" customWidth="1"/>
    <col min="12293" max="12293" width="17.42578125" bestFit="1" customWidth="1"/>
    <col min="12294" max="12294" width="9.28515625" bestFit="1" customWidth="1"/>
    <col min="12295" max="12295" width="8.5703125" bestFit="1" customWidth="1"/>
    <col min="12296" max="12296" width="11.28515625" bestFit="1" customWidth="1"/>
    <col min="12297" max="12299" width="8.42578125" bestFit="1" customWidth="1"/>
    <col min="12300" max="12300" width="10.5703125" customWidth="1"/>
    <col min="12301" max="12301" width="12" customWidth="1"/>
    <col min="12302" max="12302" width="9.28515625" customWidth="1"/>
    <col min="12303" max="12303" width="9.28515625" bestFit="1" customWidth="1"/>
    <col min="12545" max="12545" width="19.28515625" bestFit="1" customWidth="1"/>
    <col min="12546" max="12546" width="12.28515625" bestFit="1" customWidth="1"/>
    <col min="12547" max="12547" width="12.85546875" bestFit="1" customWidth="1"/>
    <col min="12548" max="12548" width="19" bestFit="1" customWidth="1"/>
    <col min="12549" max="12549" width="17.42578125" bestFit="1" customWidth="1"/>
    <col min="12550" max="12550" width="9.28515625" bestFit="1" customWidth="1"/>
    <col min="12551" max="12551" width="8.5703125" bestFit="1" customWidth="1"/>
    <col min="12552" max="12552" width="11.28515625" bestFit="1" customWidth="1"/>
    <col min="12553" max="12555" width="8.42578125" bestFit="1" customWidth="1"/>
    <col min="12556" max="12556" width="10.5703125" customWidth="1"/>
    <col min="12557" max="12557" width="12" customWidth="1"/>
    <col min="12558" max="12558" width="9.28515625" customWidth="1"/>
    <col min="12559" max="12559" width="9.28515625" bestFit="1" customWidth="1"/>
    <col min="12801" max="12801" width="19.28515625" bestFit="1" customWidth="1"/>
    <col min="12802" max="12802" width="12.28515625" bestFit="1" customWidth="1"/>
    <col min="12803" max="12803" width="12.85546875" bestFit="1" customWidth="1"/>
    <col min="12804" max="12804" width="19" bestFit="1" customWidth="1"/>
    <col min="12805" max="12805" width="17.42578125" bestFit="1" customWidth="1"/>
    <col min="12806" max="12806" width="9.28515625" bestFit="1" customWidth="1"/>
    <col min="12807" max="12807" width="8.5703125" bestFit="1" customWidth="1"/>
    <col min="12808" max="12808" width="11.28515625" bestFit="1" customWidth="1"/>
    <col min="12809" max="12811" width="8.42578125" bestFit="1" customWidth="1"/>
    <col min="12812" max="12812" width="10.5703125" customWidth="1"/>
    <col min="12813" max="12813" width="12" customWidth="1"/>
    <col min="12814" max="12814" width="9.28515625" customWidth="1"/>
    <col min="12815" max="12815" width="9.28515625" bestFit="1" customWidth="1"/>
    <col min="13057" max="13057" width="19.28515625" bestFit="1" customWidth="1"/>
    <col min="13058" max="13058" width="12.28515625" bestFit="1" customWidth="1"/>
    <col min="13059" max="13059" width="12.85546875" bestFit="1" customWidth="1"/>
    <col min="13060" max="13060" width="19" bestFit="1" customWidth="1"/>
    <col min="13061" max="13061" width="17.42578125" bestFit="1" customWidth="1"/>
    <col min="13062" max="13062" width="9.28515625" bestFit="1" customWidth="1"/>
    <col min="13063" max="13063" width="8.5703125" bestFit="1" customWidth="1"/>
    <col min="13064" max="13064" width="11.28515625" bestFit="1" customWidth="1"/>
    <col min="13065" max="13067" width="8.42578125" bestFit="1" customWidth="1"/>
    <col min="13068" max="13068" width="10.5703125" customWidth="1"/>
    <col min="13069" max="13069" width="12" customWidth="1"/>
    <col min="13070" max="13070" width="9.28515625" customWidth="1"/>
    <col min="13071" max="13071" width="9.28515625" bestFit="1" customWidth="1"/>
    <col min="13313" max="13313" width="19.28515625" bestFit="1" customWidth="1"/>
    <col min="13314" max="13314" width="12.28515625" bestFit="1" customWidth="1"/>
    <col min="13315" max="13315" width="12.85546875" bestFit="1" customWidth="1"/>
    <col min="13316" max="13316" width="19" bestFit="1" customWidth="1"/>
    <col min="13317" max="13317" width="17.42578125" bestFit="1" customWidth="1"/>
    <col min="13318" max="13318" width="9.28515625" bestFit="1" customWidth="1"/>
    <col min="13319" max="13319" width="8.5703125" bestFit="1" customWidth="1"/>
    <col min="13320" max="13320" width="11.28515625" bestFit="1" customWidth="1"/>
    <col min="13321" max="13323" width="8.42578125" bestFit="1" customWidth="1"/>
    <col min="13324" max="13324" width="10.5703125" customWidth="1"/>
    <col min="13325" max="13325" width="12" customWidth="1"/>
    <col min="13326" max="13326" width="9.28515625" customWidth="1"/>
    <col min="13327" max="13327" width="9.28515625" bestFit="1" customWidth="1"/>
    <col min="13569" max="13569" width="19.28515625" bestFit="1" customWidth="1"/>
    <col min="13570" max="13570" width="12.28515625" bestFit="1" customWidth="1"/>
    <col min="13571" max="13571" width="12.85546875" bestFit="1" customWidth="1"/>
    <col min="13572" max="13572" width="19" bestFit="1" customWidth="1"/>
    <col min="13573" max="13573" width="17.42578125" bestFit="1" customWidth="1"/>
    <col min="13574" max="13574" width="9.28515625" bestFit="1" customWidth="1"/>
    <col min="13575" max="13575" width="8.5703125" bestFit="1" customWidth="1"/>
    <col min="13576" max="13576" width="11.28515625" bestFit="1" customWidth="1"/>
    <col min="13577" max="13579" width="8.42578125" bestFit="1" customWidth="1"/>
    <col min="13580" max="13580" width="10.5703125" customWidth="1"/>
    <col min="13581" max="13581" width="12" customWidth="1"/>
    <col min="13582" max="13582" width="9.28515625" customWidth="1"/>
    <col min="13583" max="13583" width="9.28515625" bestFit="1" customWidth="1"/>
    <col min="13825" max="13825" width="19.28515625" bestFit="1" customWidth="1"/>
    <col min="13826" max="13826" width="12.28515625" bestFit="1" customWidth="1"/>
    <col min="13827" max="13827" width="12.85546875" bestFit="1" customWidth="1"/>
    <col min="13828" max="13828" width="19" bestFit="1" customWidth="1"/>
    <col min="13829" max="13829" width="17.42578125" bestFit="1" customWidth="1"/>
    <col min="13830" max="13830" width="9.28515625" bestFit="1" customWidth="1"/>
    <col min="13831" max="13831" width="8.5703125" bestFit="1" customWidth="1"/>
    <col min="13832" max="13832" width="11.28515625" bestFit="1" customWidth="1"/>
    <col min="13833" max="13835" width="8.42578125" bestFit="1" customWidth="1"/>
    <col min="13836" max="13836" width="10.5703125" customWidth="1"/>
    <col min="13837" max="13837" width="12" customWidth="1"/>
    <col min="13838" max="13838" width="9.28515625" customWidth="1"/>
    <col min="13839" max="13839" width="9.28515625" bestFit="1" customWidth="1"/>
    <col min="14081" max="14081" width="19.28515625" bestFit="1" customWidth="1"/>
    <col min="14082" max="14082" width="12.28515625" bestFit="1" customWidth="1"/>
    <col min="14083" max="14083" width="12.85546875" bestFit="1" customWidth="1"/>
    <col min="14084" max="14084" width="19" bestFit="1" customWidth="1"/>
    <col min="14085" max="14085" width="17.42578125" bestFit="1" customWidth="1"/>
    <col min="14086" max="14086" width="9.28515625" bestFit="1" customWidth="1"/>
    <col min="14087" max="14087" width="8.5703125" bestFit="1" customWidth="1"/>
    <col min="14088" max="14088" width="11.28515625" bestFit="1" customWidth="1"/>
    <col min="14089" max="14091" width="8.42578125" bestFit="1" customWidth="1"/>
    <col min="14092" max="14092" width="10.5703125" customWidth="1"/>
    <col min="14093" max="14093" width="12" customWidth="1"/>
    <col min="14094" max="14094" width="9.28515625" customWidth="1"/>
    <col min="14095" max="14095" width="9.28515625" bestFit="1" customWidth="1"/>
    <col min="14337" max="14337" width="19.28515625" bestFit="1" customWidth="1"/>
    <col min="14338" max="14338" width="12.28515625" bestFit="1" customWidth="1"/>
    <col min="14339" max="14339" width="12.85546875" bestFit="1" customWidth="1"/>
    <col min="14340" max="14340" width="19" bestFit="1" customWidth="1"/>
    <col min="14341" max="14341" width="17.42578125" bestFit="1" customWidth="1"/>
    <col min="14342" max="14342" width="9.28515625" bestFit="1" customWidth="1"/>
    <col min="14343" max="14343" width="8.5703125" bestFit="1" customWidth="1"/>
    <col min="14344" max="14344" width="11.28515625" bestFit="1" customWidth="1"/>
    <col min="14345" max="14347" width="8.42578125" bestFit="1" customWidth="1"/>
    <col min="14348" max="14348" width="10.5703125" customWidth="1"/>
    <col min="14349" max="14349" width="12" customWidth="1"/>
    <col min="14350" max="14350" width="9.28515625" customWidth="1"/>
    <col min="14351" max="14351" width="9.28515625" bestFit="1" customWidth="1"/>
    <col min="14593" max="14593" width="19.28515625" bestFit="1" customWidth="1"/>
    <col min="14594" max="14594" width="12.28515625" bestFit="1" customWidth="1"/>
    <col min="14595" max="14595" width="12.85546875" bestFit="1" customWidth="1"/>
    <col min="14596" max="14596" width="19" bestFit="1" customWidth="1"/>
    <col min="14597" max="14597" width="17.42578125" bestFit="1" customWidth="1"/>
    <col min="14598" max="14598" width="9.28515625" bestFit="1" customWidth="1"/>
    <col min="14599" max="14599" width="8.5703125" bestFit="1" customWidth="1"/>
    <col min="14600" max="14600" width="11.28515625" bestFit="1" customWidth="1"/>
    <col min="14601" max="14603" width="8.42578125" bestFit="1" customWidth="1"/>
    <col min="14604" max="14604" width="10.5703125" customWidth="1"/>
    <col min="14605" max="14605" width="12" customWidth="1"/>
    <col min="14606" max="14606" width="9.28515625" customWidth="1"/>
    <col min="14607" max="14607" width="9.28515625" bestFit="1" customWidth="1"/>
    <col min="14849" max="14849" width="19.28515625" bestFit="1" customWidth="1"/>
    <col min="14850" max="14850" width="12.28515625" bestFit="1" customWidth="1"/>
    <col min="14851" max="14851" width="12.85546875" bestFit="1" customWidth="1"/>
    <col min="14852" max="14852" width="19" bestFit="1" customWidth="1"/>
    <col min="14853" max="14853" width="17.42578125" bestFit="1" customWidth="1"/>
    <col min="14854" max="14854" width="9.28515625" bestFit="1" customWidth="1"/>
    <col min="14855" max="14855" width="8.5703125" bestFit="1" customWidth="1"/>
    <col min="14856" max="14856" width="11.28515625" bestFit="1" customWidth="1"/>
    <col min="14857" max="14859" width="8.42578125" bestFit="1" customWidth="1"/>
    <col min="14860" max="14860" width="10.5703125" customWidth="1"/>
    <col min="14861" max="14861" width="12" customWidth="1"/>
    <col min="14862" max="14862" width="9.28515625" customWidth="1"/>
    <col min="14863" max="14863" width="9.28515625" bestFit="1" customWidth="1"/>
    <col min="15105" max="15105" width="19.28515625" bestFit="1" customWidth="1"/>
    <col min="15106" max="15106" width="12.28515625" bestFit="1" customWidth="1"/>
    <col min="15107" max="15107" width="12.85546875" bestFit="1" customWidth="1"/>
    <col min="15108" max="15108" width="19" bestFit="1" customWidth="1"/>
    <col min="15109" max="15109" width="17.42578125" bestFit="1" customWidth="1"/>
    <col min="15110" max="15110" width="9.28515625" bestFit="1" customWidth="1"/>
    <col min="15111" max="15111" width="8.5703125" bestFit="1" customWidth="1"/>
    <col min="15112" max="15112" width="11.28515625" bestFit="1" customWidth="1"/>
    <col min="15113" max="15115" width="8.42578125" bestFit="1" customWidth="1"/>
    <col min="15116" max="15116" width="10.5703125" customWidth="1"/>
    <col min="15117" max="15117" width="12" customWidth="1"/>
    <col min="15118" max="15118" width="9.28515625" customWidth="1"/>
    <col min="15119" max="15119" width="9.28515625" bestFit="1" customWidth="1"/>
    <col min="15361" max="15361" width="19.28515625" bestFit="1" customWidth="1"/>
    <col min="15362" max="15362" width="12.28515625" bestFit="1" customWidth="1"/>
    <col min="15363" max="15363" width="12.85546875" bestFit="1" customWidth="1"/>
    <col min="15364" max="15364" width="19" bestFit="1" customWidth="1"/>
    <col min="15365" max="15365" width="17.42578125" bestFit="1" customWidth="1"/>
    <col min="15366" max="15366" width="9.28515625" bestFit="1" customWidth="1"/>
    <col min="15367" max="15367" width="8.5703125" bestFit="1" customWidth="1"/>
    <col min="15368" max="15368" width="11.28515625" bestFit="1" customWidth="1"/>
    <col min="15369" max="15371" width="8.42578125" bestFit="1" customWidth="1"/>
    <col min="15372" max="15372" width="10.5703125" customWidth="1"/>
    <col min="15373" max="15373" width="12" customWidth="1"/>
    <col min="15374" max="15374" width="9.28515625" customWidth="1"/>
    <col min="15375" max="15375" width="9.28515625" bestFit="1" customWidth="1"/>
    <col min="15617" max="15617" width="19.28515625" bestFit="1" customWidth="1"/>
    <col min="15618" max="15618" width="12.28515625" bestFit="1" customWidth="1"/>
    <col min="15619" max="15619" width="12.85546875" bestFit="1" customWidth="1"/>
    <col min="15620" max="15620" width="19" bestFit="1" customWidth="1"/>
    <col min="15621" max="15621" width="17.42578125" bestFit="1" customWidth="1"/>
    <col min="15622" max="15622" width="9.28515625" bestFit="1" customWidth="1"/>
    <col min="15623" max="15623" width="8.5703125" bestFit="1" customWidth="1"/>
    <col min="15624" max="15624" width="11.28515625" bestFit="1" customWidth="1"/>
    <col min="15625" max="15627" width="8.42578125" bestFit="1" customWidth="1"/>
    <col min="15628" max="15628" width="10.5703125" customWidth="1"/>
    <col min="15629" max="15629" width="12" customWidth="1"/>
    <col min="15630" max="15630" width="9.28515625" customWidth="1"/>
    <col min="15631" max="15631" width="9.28515625" bestFit="1" customWidth="1"/>
    <col min="15873" max="15873" width="19.28515625" bestFit="1" customWidth="1"/>
    <col min="15874" max="15874" width="12.28515625" bestFit="1" customWidth="1"/>
    <col min="15875" max="15875" width="12.85546875" bestFit="1" customWidth="1"/>
    <col min="15876" max="15876" width="19" bestFit="1" customWidth="1"/>
    <col min="15877" max="15877" width="17.42578125" bestFit="1" customWidth="1"/>
    <col min="15878" max="15878" width="9.28515625" bestFit="1" customWidth="1"/>
    <col min="15879" max="15879" width="8.5703125" bestFit="1" customWidth="1"/>
    <col min="15880" max="15880" width="11.28515625" bestFit="1" customWidth="1"/>
    <col min="15881" max="15883" width="8.42578125" bestFit="1" customWidth="1"/>
    <col min="15884" max="15884" width="10.5703125" customWidth="1"/>
    <col min="15885" max="15885" width="12" customWidth="1"/>
    <col min="15886" max="15886" width="9.28515625" customWidth="1"/>
    <col min="15887" max="15887" width="9.28515625" bestFit="1" customWidth="1"/>
    <col min="16129" max="16129" width="19.28515625" bestFit="1" customWidth="1"/>
    <col min="16130" max="16130" width="12.28515625" bestFit="1" customWidth="1"/>
    <col min="16131" max="16131" width="12.85546875" bestFit="1" customWidth="1"/>
    <col min="16132" max="16132" width="19" bestFit="1" customWidth="1"/>
    <col min="16133" max="16133" width="17.42578125" bestFit="1" customWidth="1"/>
    <col min="16134" max="16134" width="9.28515625" bestFit="1" customWidth="1"/>
    <col min="16135" max="16135" width="8.5703125" bestFit="1" customWidth="1"/>
    <col min="16136" max="16136" width="11.28515625" bestFit="1" customWidth="1"/>
    <col min="16137" max="16139" width="8.42578125" bestFit="1" customWidth="1"/>
    <col min="16140" max="16140" width="10.5703125" customWidth="1"/>
    <col min="16141" max="16141" width="12" customWidth="1"/>
    <col min="16142" max="16142" width="9.28515625" customWidth="1"/>
    <col min="16143" max="16143" width="9.28515625" bestFit="1" customWidth="1"/>
  </cols>
  <sheetData>
    <row r="2" spans="1:13">
      <c r="A2" s="117"/>
      <c r="B2" s="1019" t="s">
        <v>1216</v>
      </c>
      <c r="C2" s="1019"/>
      <c r="D2" s="1019"/>
      <c r="E2" s="1019"/>
      <c r="F2" s="1019"/>
      <c r="G2" s="1019"/>
    </row>
    <row r="3" spans="1:13">
      <c r="A3" s="117"/>
      <c r="B3" s="1019" t="s">
        <v>1215</v>
      </c>
      <c r="C3" s="1019"/>
      <c r="D3" s="1019"/>
      <c r="E3" s="1019"/>
      <c r="F3" s="117"/>
      <c r="G3" s="117"/>
    </row>
    <row r="4" spans="1:13" ht="48.75">
      <c r="A4" s="112" t="s">
        <v>1214</v>
      </c>
      <c r="B4" s="104" t="s">
        <v>1323</v>
      </c>
      <c r="C4" s="112" t="s">
        <v>1212</v>
      </c>
      <c r="D4" s="5">
        <v>905200102</v>
      </c>
      <c r="E4" s="112" t="s">
        <v>1211</v>
      </c>
      <c r="F4" s="141">
        <v>523.14099999999996</v>
      </c>
      <c r="G4" s="112" t="s">
        <v>1210</v>
      </c>
      <c r="H4" s="103">
        <v>80</v>
      </c>
      <c r="I4" s="111"/>
      <c r="J4" s="111"/>
      <c r="K4" s="111"/>
      <c r="L4" s="111"/>
    </row>
    <row r="5" spans="1:13">
      <c r="A5" s="808" t="s">
        <v>4176</v>
      </c>
      <c r="B5" s="808"/>
      <c r="C5" s="808"/>
      <c r="D5" s="112"/>
      <c r="E5" s="112"/>
      <c r="F5" s="112"/>
      <c r="G5" s="112"/>
      <c r="H5" s="111"/>
      <c r="I5" s="111"/>
      <c r="J5" s="111"/>
      <c r="K5" s="111"/>
      <c r="L5" s="111"/>
    </row>
    <row r="6" spans="1:13" ht="24.75">
      <c r="A6" s="112" t="s">
        <v>832</v>
      </c>
      <c r="B6" s="104" t="s">
        <v>1322</v>
      </c>
      <c r="C6" s="112" t="s">
        <v>1208</v>
      </c>
      <c r="D6" s="112" t="s">
        <v>1321</v>
      </c>
      <c r="F6" s="112"/>
      <c r="G6" s="112"/>
      <c r="H6" s="111"/>
      <c r="I6" s="111"/>
      <c r="J6" s="111"/>
      <c r="K6" s="111"/>
      <c r="L6" s="111"/>
    </row>
    <row r="7" spans="1:13">
      <c r="A7" s="112"/>
      <c r="B7" s="112"/>
      <c r="C7" s="112"/>
      <c r="D7" s="112"/>
      <c r="E7" s="112"/>
      <c r="F7" s="112"/>
      <c r="G7" s="112"/>
      <c r="H7" s="111"/>
      <c r="I7" s="111"/>
      <c r="J7" s="111"/>
      <c r="K7" s="111"/>
      <c r="L7" s="111"/>
    </row>
    <row r="8" spans="1:13" ht="60.75">
      <c r="A8" s="112" t="s">
        <v>618</v>
      </c>
      <c r="B8" s="129" t="s">
        <v>1320</v>
      </c>
      <c r="C8" s="115" t="s">
        <v>1206</v>
      </c>
      <c r="D8" s="104" t="s">
        <v>1319</v>
      </c>
      <c r="E8" s="112"/>
      <c r="F8" s="112"/>
      <c r="G8" s="115"/>
      <c r="H8" s="111"/>
      <c r="I8" s="111"/>
      <c r="J8" s="111"/>
      <c r="K8" s="111"/>
      <c r="L8" s="111"/>
    </row>
    <row r="9" spans="1:13">
      <c r="A9" s="112"/>
      <c r="B9" s="112"/>
      <c r="C9" s="112"/>
      <c r="D9" s="112"/>
      <c r="E9" s="112"/>
      <c r="F9" s="112"/>
      <c r="G9" s="112"/>
      <c r="H9" s="111"/>
      <c r="I9" s="111"/>
      <c r="J9" s="111"/>
      <c r="K9" s="111"/>
      <c r="L9" s="111"/>
    </row>
    <row r="10" spans="1:13" ht="24.75">
      <c r="A10" s="104" t="s">
        <v>838</v>
      </c>
      <c r="B10" s="104" t="s">
        <v>1318</v>
      </c>
      <c r="C10" s="104" t="s">
        <v>1317</v>
      </c>
      <c r="D10" s="104" t="s">
        <v>1316</v>
      </c>
      <c r="E10" s="104"/>
      <c r="F10" s="104"/>
      <c r="G10" s="112"/>
      <c r="H10" s="111"/>
      <c r="I10" s="111"/>
      <c r="J10" s="111"/>
      <c r="K10" s="111"/>
      <c r="L10" s="111"/>
    </row>
    <row r="11" spans="1:13" ht="24.75">
      <c r="A11" s="104" t="s">
        <v>1239</v>
      </c>
      <c r="B11" s="135" t="s">
        <v>1315</v>
      </c>
      <c r="C11" s="104" t="s">
        <v>1314</v>
      </c>
      <c r="D11" s="104" t="s">
        <v>1313</v>
      </c>
      <c r="E11" s="104"/>
      <c r="F11" s="104"/>
      <c r="G11" s="112"/>
      <c r="H11" s="111"/>
      <c r="I11" s="111"/>
      <c r="J11" s="111"/>
      <c r="K11" s="111"/>
      <c r="L11" s="111"/>
    </row>
    <row r="12" spans="1:13" ht="36.75">
      <c r="A12" s="104" t="s">
        <v>1202</v>
      </c>
      <c r="B12" s="104" t="s">
        <v>1312</v>
      </c>
      <c r="C12" s="104" t="s">
        <v>1311</v>
      </c>
      <c r="D12" s="104" t="s">
        <v>1310</v>
      </c>
      <c r="E12" s="104" t="s">
        <v>1307</v>
      </c>
      <c r="F12" s="114" t="s">
        <v>1308</v>
      </c>
      <c r="G12" s="112"/>
      <c r="H12" s="111"/>
      <c r="I12" s="111"/>
      <c r="J12" s="111"/>
      <c r="K12" s="111"/>
      <c r="L12" s="111"/>
    </row>
    <row r="13" spans="1:13" ht="24.75">
      <c r="A13" s="104" t="s">
        <v>1196</v>
      </c>
      <c r="B13" s="129" t="s">
        <v>1309</v>
      </c>
      <c r="C13" s="104" t="s">
        <v>1308</v>
      </c>
      <c r="D13" s="104" t="s">
        <v>1307</v>
      </c>
      <c r="E13" s="104"/>
      <c r="F13" s="104"/>
      <c r="G13" s="112"/>
      <c r="H13" s="111"/>
      <c r="I13" s="111"/>
      <c r="J13" s="111"/>
      <c r="K13" s="111"/>
      <c r="L13" s="111"/>
    </row>
    <row r="14" spans="1:13">
      <c r="A14" s="112"/>
      <c r="B14" s="112"/>
      <c r="C14" s="112"/>
      <c r="D14" s="112"/>
      <c r="E14" s="112"/>
      <c r="F14" s="112"/>
      <c r="G14" s="112"/>
      <c r="H14" s="111"/>
      <c r="I14" s="111"/>
      <c r="J14" s="111"/>
      <c r="K14" s="111"/>
      <c r="L14" s="111"/>
    </row>
    <row r="15" spans="1:13" ht="36.75">
      <c r="A15" s="112" t="s">
        <v>1194</v>
      </c>
      <c r="B15" s="104">
        <v>3</v>
      </c>
      <c r="C15" s="112" t="s">
        <v>1193</v>
      </c>
      <c r="D15" s="104">
        <v>3</v>
      </c>
      <c r="E15" s="112" t="s">
        <v>643</v>
      </c>
      <c r="F15" s="104">
        <v>5</v>
      </c>
      <c r="G15" s="112" t="s">
        <v>644</v>
      </c>
      <c r="H15" s="103">
        <v>3</v>
      </c>
      <c r="I15" s="111" t="s">
        <v>645</v>
      </c>
      <c r="J15" s="103">
        <f>85+15+15+11+18+6</f>
        <v>150</v>
      </c>
      <c r="K15" s="111"/>
      <c r="L15" s="111"/>
    </row>
    <row r="16" spans="1:13" ht="24.75">
      <c r="A16" s="112" t="s">
        <v>1192</v>
      </c>
      <c r="B16" s="112" t="s">
        <v>204</v>
      </c>
      <c r="C16" s="104">
        <f>14+28+22</f>
        <v>64</v>
      </c>
      <c r="D16" s="112" t="s">
        <v>205</v>
      </c>
      <c r="E16" s="104">
        <v>0</v>
      </c>
      <c r="F16" s="112" t="s">
        <v>206</v>
      </c>
      <c r="G16" s="104">
        <v>0</v>
      </c>
      <c r="H16" s="111" t="s">
        <v>230</v>
      </c>
      <c r="I16" s="103">
        <f>G16+E16+C16</f>
        <v>64</v>
      </c>
      <c r="J16" s="111" t="s">
        <v>207</v>
      </c>
      <c r="K16" s="103">
        <v>20</v>
      </c>
      <c r="L16" s="112" t="s">
        <v>855</v>
      </c>
      <c r="M16" s="80">
        <v>9</v>
      </c>
    </row>
    <row r="17" spans="1:14" ht="24.75">
      <c r="A17" s="112" t="s">
        <v>1191</v>
      </c>
      <c r="B17" s="112" t="s">
        <v>210</v>
      </c>
      <c r="C17" s="104">
        <f>34+82+75</f>
        <v>191</v>
      </c>
      <c r="D17" s="112" t="s">
        <v>211</v>
      </c>
      <c r="E17" s="104">
        <v>0</v>
      </c>
      <c r="F17" s="112" t="s">
        <v>212</v>
      </c>
      <c r="G17" s="104">
        <v>0</v>
      </c>
      <c r="H17" s="111" t="s">
        <v>411</v>
      </c>
      <c r="I17" s="103">
        <f>G17+E17+C17</f>
        <v>191</v>
      </c>
      <c r="J17" s="111"/>
      <c r="K17" s="103"/>
      <c r="L17" s="111"/>
    </row>
    <row r="18" spans="1:14" ht="24.75">
      <c r="A18" s="112"/>
      <c r="B18" s="112" t="s">
        <v>213</v>
      </c>
      <c r="C18" s="104">
        <f>32+77+69</f>
        <v>178</v>
      </c>
      <c r="D18" s="112" t="s">
        <v>214</v>
      </c>
      <c r="E18" s="104">
        <v>0</v>
      </c>
      <c r="F18" s="112" t="s">
        <v>215</v>
      </c>
      <c r="G18" s="104">
        <v>0</v>
      </c>
      <c r="H18" s="111" t="s">
        <v>410</v>
      </c>
      <c r="I18" s="103">
        <f>G18+E18+C18</f>
        <v>178</v>
      </c>
      <c r="J18" s="111"/>
      <c r="K18" s="103"/>
      <c r="L18" s="111"/>
    </row>
    <row r="19" spans="1:14">
      <c r="A19" s="112"/>
      <c r="B19" s="112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>
      <c r="A20" s="113" t="s">
        <v>409</v>
      </c>
      <c r="B20" s="112"/>
      <c r="C20" s="112"/>
      <c r="D20" s="112"/>
      <c r="E20" s="112"/>
      <c r="F20" s="112"/>
      <c r="G20" s="112"/>
      <c r="H20" s="111"/>
      <c r="I20" s="111"/>
      <c r="J20" s="111"/>
      <c r="K20" s="111"/>
      <c r="L20" s="111"/>
    </row>
    <row r="21" spans="1:14">
      <c r="A21" s="1020" t="s">
        <v>1190</v>
      </c>
      <c r="B21" s="1020" t="s">
        <v>1189</v>
      </c>
      <c r="C21" s="1020" t="s">
        <v>1188</v>
      </c>
      <c r="D21" s="1020" t="s">
        <v>1187</v>
      </c>
      <c r="E21" s="1020" t="s">
        <v>1186</v>
      </c>
      <c r="F21" s="1022" t="s">
        <v>1185</v>
      </c>
      <c r="G21" s="1023"/>
      <c r="H21" s="1023"/>
      <c r="I21" s="1023"/>
      <c r="J21" s="1023"/>
      <c r="K21" s="1023"/>
      <c r="L21" s="1023"/>
      <c r="M21" s="1023"/>
      <c r="N21" s="1024"/>
    </row>
    <row r="22" spans="1:14">
      <c r="A22" s="1020"/>
      <c r="B22" s="1020"/>
      <c r="C22" s="1020"/>
      <c r="D22" s="1020"/>
      <c r="E22" s="1020"/>
      <c r="F22" s="104" t="s">
        <v>1184</v>
      </c>
      <c r="G22" s="104" t="s">
        <v>1183</v>
      </c>
      <c r="H22" s="104" t="s">
        <v>1182</v>
      </c>
      <c r="I22" s="103" t="s">
        <v>1181</v>
      </c>
      <c r="J22" s="103" t="s">
        <v>1180</v>
      </c>
      <c r="K22" s="103" t="s">
        <v>1179</v>
      </c>
      <c r="L22" s="103" t="s">
        <v>1178</v>
      </c>
      <c r="M22" s="110" t="s">
        <v>230</v>
      </c>
      <c r="N22" s="110" t="s">
        <v>231</v>
      </c>
    </row>
    <row r="23" spans="1:14" ht="24.75">
      <c r="A23" s="104" t="s">
        <v>232</v>
      </c>
      <c r="B23" s="104">
        <v>8000</v>
      </c>
      <c r="C23" s="102" t="s">
        <v>1175</v>
      </c>
      <c r="D23" s="106">
        <f>+B23*F4/100000</f>
        <v>41.851279999999996</v>
      </c>
      <c r="E23" s="108">
        <f>4185128/100000</f>
        <v>41.851280000000003</v>
      </c>
      <c r="F23" s="100">
        <v>0</v>
      </c>
      <c r="G23" s="100">
        <v>0.22700000000000001</v>
      </c>
      <c r="H23" s="100">
        <f>865347/100000</f>
        <v>8.6534700000000004</v>
      </c>
      <c r="I23" s="100">
        <f>2036889/100000</f>
        <v>20.36889</v>
      </c>
      <c r="J23" s="132">
        <f>1183498/100000</f>
        <v>11.83498</v>
      </c>
      <c r="K23" s="132">
        <f>34184/100000</f>
        <v>0.34183999999999998</v>
      </c>
      <c r="L23" s="132">
        <f>42480/100000</f>
        <v>0.42480000000000001</v>
      </c>
      <c r="M23" s="134">
        <f>SUM(F23:L23)</f>
        <v>41.85098</v>
      </c>
      <c r="N23" s="107">
        <f>ROUND(M23/E23*100,0)</f>
        <v>100</v>
      </c>
    </row>
    <row r="24" spans="1:14" ht="24.75">
      <c r="A24" s="104" t="s">
        <v>234</v>
      </c>
      <c r="B24" s="104">
        <v>7000</v>
      </c>
      <c r="C24" s="102" t="s">
        <v>1175</v>
      </c>
      <c r="D24" s="106">
        <f>+B24*80/100000</f>
        <v>5.6</v>
      </c>
      <c r="E24" s="108">
        <f>560000/100000</f>
        <v>5.6</v>
      </c>
      <c r="F24" s="100">
        <v>0</v>
      </c>
      <c r="G24" s="100">
        <v>0</v>
      </c>
      <c r="H24" s="100">
        <v>0</v>
      </c>
      <c r="I24" s="132">
        <v>0</v>
      </c>
      <c r="J24" s="132"/>
      <c r="K24" s="132">
        <f>232800/100000</f>
        <v>2.3279999999999998</v>
      </c>
      <c r="L24" s="132">
        <f>275211/100000</f>
        <v>2.7521100000000001</v>
      </c>
      <c r="M24" s="134">
        <f t="shared" ref="M24:M30" si="0">SUM(F24:L24)</f>
        <v>5.0801099999999995</v>
      </c>
      <c r="N24" s="107">
        <f t="shared" ref="N24:N30" si="1">ROUND(M24/E24*100,0)</f>
        <v>91</v>
      </c>
    </row>
    <row r="25" spans="1:14" ht="24.75">
      <c r="A25" s="104" t="s">
        <v>235</v>
      </c>
      <c r="B25" s="104">
        <v>86</v>
      </c>
      <c r="C25" s="102" t="s">
        <v>236</v>
      </c>
      <c r="D25" s="108">
        <v>0.43</v>
      </c>
      <c r="E25" s="108">
        <f>43000/100000</f>
        <v>0.43</v>
      </c>
      <c r="F25" s="100">
        <v>0</v>
      </c>
      <c r="G25" s="100">
        <v>0</v>
      </c>
      <c r="H25" s="100">
        <v>0</v>
      </c>
      <c r="I25" s="132">
        <f>18000/100000</f>
        <v>0.18</v>
      </c>
      <c r="J25" s="132">
        <f>15000/100000</f>
        <v>0.15</v>
      </c>
      <c r="K25" s="132">
        <f>10000/100000</f>
        <v>0.1</v>
      </c>
      <c r="L25" s="132">
        <f>20000/100000</f>
        <v>0.2</v>
      </c>
      <c r="M25" s="134">
        <f t="shared" si="0"/>
        <v>0.62999999999999989</v>
      </c>
      <c r="N25" s="107">
        <f t="shared" si="1"/>
        <v>147</v>
      </c>
    </row>
    <row r="26" spans="1:14" ht="36.75">
      <c r="A26" s="104" t="s">
        <v>237</v>
      </c>
      <c r="B26" s="104">
        <v>68</v>
      </c>
      <c r="C26" s="102" t="s">
        <v>236</v>
      </c>
      <c r="D26" s="108">
        <v>0.34</v>
      </c>
      <c r="E26" s="108">
        <f>34000/100000</f>
        <v>0.34</v>
      </c>
      <c r="F26" s="100">
        <v>0</v>
      </c>
      <c r="G26" s="100">
        <v>0</v>
      </c>
      <c r="H26" s="100">
        <v>0</v>
      </c>
      <c r="I26" s="132">
        <f>16224/100000</f>
        <v>0.16224</v>
      </c>
      <c r="J26" s="132">
        <f>11776/100000</f>
        <v>0.11776</v>
      </c>
      <c r="K26" s="132">
        <f>6000/100000</f>
        <v>0.06</v>
      </c>
      <c r="L26" s="132">
        <v>0</v>
      </c>
      <c r="M26" s="134">
        <f t="shared" si="0"/>
        <v>0.34</v>
      </c>
      <c r="N26" s="107">
        <f t="shared" si="1"/>
        <v>100</v>
      </c>
    </row>
    <row r="27" spans="1:14" ht="24.75">
      <c r="A27" s="104" t="s">
        <v>238</v>
      </c>
      <c r="B27" s="104">
        <v>1200</v>
      </c>
      <c r="C27" s="102" t="s">
        <v>1175</v>
      </c>
      <c r="D27" s="106">
        <f>ROUND((B27*F4),0)/100000</f>
        <v>6.2776899999999998</v>
      </c>
      <c r="E27" s="108">
        <f>627769/100000</f>
        <v>6.2776899999999998</v>
      </c>
      <c r="F27" s="100">
        <v>0</v>
      </c>
      <c r="G27" s="100">
        <v>0</v>
      </c>
      <c r="H27" s="100">
        <v>0</v>
      </c>
      <c r="I27" s="132">
        <v>0</v>
      </c>
      <c r="J27" s="132"/>
      <c r="K27" s="132">
        <f>290759/100000</f>
        <v>2.9075899999999999</v>
      </c>
      <c r="L27" s="132">
        <f>311300/100000</f>
        <v>3.113</v>
      </c>
      <c r="M27" s="134">
        <f t="shared" si="0"/>
        <v>6.0205900000000003</v>
      </c>
      <c r="N27" s="107">
        <f t="shared" si="1"/>
        <v>96</v>
      </c>
    </row>
    <row r="28" spans="1:14" ht="24.75">
      <c r="A28" s="104" t="s">
        <v>667</v>
      </c>
      <c r="B28" s="104">
        <v>565</v>
      </c>
      <c r="C28" s="102" t="s">
        <v>1175</v>
      </c>
      <c r="D28" s="106">
        <f>ROUND((B28*F4),0)/100000</f>
        <v>2.9557500000000001</v>
      </c>
      <c r="E28" s="108">
        <f>295574/100000</f>
        <v>2.95574</v>
      </c>
      <c r="F28" s="100">
        <v>0</v>
      </c>
      <c r="G28" s="100">
        <v>0</v>
      </c>
      <c r="H28" s="100">
        <v>0</v>
      </c>
      <c r="I28" s="132">
        <f>26725/100000</f>
        <v>0.26724999999999999</v>
      </c>
      <c r="J28" s="132">
        <f>268849/100000</f>
        <v>2.6884899999999998</v>
      </c>
      <c r="K28" s="132">
        <v>0</v>
      </c>
      <c r="L28" s="132">
        <v>0</v>
      </c>
      <c r="M28" s="133">
        <f t="shared" si="0"/>
        <v>2.9557399999999996</v>
      </c>
      <c r="N28" s="107">
        <f t="shared" si="1"/>
        <v>100</v>
      </c>
    </row>
    <row r="29" spans="1:14" ht="24.75">
      <c r="A29" s="104" t="s">
        <v>1176</v>
      </c>
      <c r="B29" s="104">
        <v>1000</v>
      </c>
      <c r="C29" s="102" t="s">
        <v>1175</v>
      </c>
      <c r="D29" s="106">
        <f>B29*F4/100000</f>
        <v>5.2314099999999994</v>
      </c>
      <c r="E29" s="101">
        <f>523141/100000</f>
        <v>5.2314100000000003</v>
      </c>
      <c r="F29" s="100">
        <v>0</v>
      </c>
      <c r="G29" s="100">
        <v>0</v>
      </c>
      <c r="H29" s="100">
        <f>60000/100000</f>
        <v>0.6</v>
      </c>
      <c r="I29" s="132">
        <f>40000/100000</f>
        <v>0.4</v>
      </c>
      <c r="J29" s="132">
        <v>0</v>
      </c>
      <c r="K29" s="132">
        <f>168475/100000</f>
        <v>1.68475</v>
      </c>
      <c r="L29" s="132">
        <f>184909/100000</f>
        <v>1.8490899999999999</v>
      </c>
      <c r="M29" s="140">
        <f t="shared" si="0"/>
        <v>4.5338399999999996</v>
      </c>
      <c r="N29" s="107">
        <f t="shared" si="1"/>
        <v>87</v>
      </c>
    </row>
    <row r="30" spans="1:14" ht="24.75">
      <c r="A30" s="104" t="s">
        <v>394</v>
      </c>
      <c r="B30" s="104">
        <f>250*5+750+500</f>
        <v>2500</v>
      </c>
      <c r="C30" s="102" t="s">
        <v>242</v>
      </c>
      <c r="D30" s="101">
        <v>1.92</v>
      </c>
      <c r="E30" s="101">
        <f>192000/100000</f>
        <v>1.92</v>
      </c>
      <c r="F30" s="100">
        <v>0</v>
      </c>
      <c r="G30" s="100">
        <v>0</v>
      </c>
      <c r="H30" s="100">
        <f>33168/100000</f>
        <v>0.33167999999999997</v>
      </c>
      <c r="I30" s="132">
        <f>54627/100000</f>
        <v>0.54627000000000003</v>
      </c>
      <c r="J30" s="132">
        <f>38205/100000</f>
        <v>0.38205</v>
      </c>
      <c r="K30" s="132">
        <f>32289/100000</f>
        <v>0.32289000000000001</v>
      </c>
      <c r="L30" s="132">
        <f>30250/100000</f>
        <v>0.30249999999999999</v>
      </c>
      <c r="M30" s="131">
        <f t="shared" si="0"/>
        <v>1.8853899999999999</v>
      </c>
      <c r="N30" s="107">
        <f t="shared" si="1"/>
        <v>98</v>
      </c>
    </row>
    <row r="31" spans="1:14">
      <c r="A31" s="95" t="s">
        <v>230</v>
      </c>
      <c r="B31" s="95"/>
      <c r="C31" s="95"/>
      <c r="D31" s="94">
        <f t="shared" ref="D31:M31" si="2">SUM(D23:D30)</f>
        <v>64.606129999999993</v>
      </c>
      <c r="E31" s="93">
        <f t="shared" si="2"/>
        <v>64.606120000000004</v>
      </c>
      <c r="F31" s="92">
        <f t="shared" si="2"/>
        <v>0</v>
      </c>
      <c r="G31" s="92">
        <f t="shared" si="2"/>
        <v>0.22700000000000001</v>
      </c>
      <c r="H31" s="92">
        <f t="shared" si="2"/>
        <v>9.5851500000000005</v>
      </c>
      <c r="I31" s="92">
        <f t="shared" si="2"/>
        <v>21.92465</v>
      </c>
      <c r="J31" s="92">
        <f t="shared" si="2"/>
        <v>15.17328</v>
      </c>
      <c r="K31" s="92">
        <f t="shared" si="2"/>
        <v>7.7450700000000001</v>
      </c>
      <c r="L31" s="92">
        <f t="shared" si="2"/>
        <v>8.6415000000000006</v>
      </c>
      <c r="M31" s="130">
        <f t="shared" si="2"/>
        <v>63.29665</v>
      </c>
      <c r="N31" s="105">
        <f>ROUND(M31/E31*100,0)</f>
        <v>98</v>
      </c>
    </row>
    <row r="33" spans="1:14">
      <c r="A33" s="1025"/>
      <c r="B33" s="1025"/>
      <c r="C33" s="1025"/>
      <c r="D33" s="1025"/>
      <c r="E33" s="1025"/>
      <c r="F33" s="1025"/>
      <c r="G33" s="1025"/>
    </row>
    <row r="34" spans="1:14">
      <c r="A34" s="1025" t="s">
        <v>1217</v>
      </c>
      <c r="B34" s="1025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5"/>
      <c r="N34" s="1025"/>
    </row>
  </sheetData>
  <mergeCells count="11">
    <mergeCell ref="A33:G33"/>
    <mergeCell ref="A34:N34"/>
    <mergeCell ref="B2:G2"/>
    <mergeCell ref="B3:E3"/>
    <mergeCell ref="A21:A22"/>
    <mergeCell ref="B21:B22"/>
    <mergeCell ref="C21:C22"/>
    <mergeCell ref="D21:D22"/>
    <mergeCell ref="E21:E22"/>
    <mergeCell ref="F21:N21"/>
    <mergeCell ref="A5:C5"/>
  </mergeCells>
  <hyperlinks>
    <hyperlink ref="A5" location="'Fact Sheet of VDC'!A1" display="&lt;&lt;Back"/>
  </hyperlinks>
  <pageMargins left="0.66" right="0.13" top="0.15" bottom="0.57999999999999996" header="0.09" footer="0.5"/>
  <pageSetup paperSize="9" scale="63" orientation="landscape" verticalDpi="3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dimension ref="A2:N88"/>
  <sheetViews>
    <sheetView workbookViewId="0">
      <selection activeCell="A5" sqref="A5:C5"/>
    </sheetView>
  </sheetViews>
  <sheetFormatPr defaultRowHeight="15"/>
  <cols>
    <col min="1" max="1" width="17.85546875" bestFit="1" customWidth="1"/>
    <col min="2" max="2" width="15" bestFit="1" customWidth="1"/>
    <col min="3" max="3" width="21.85546875" customWidth="1"/>
    <col min="4" max="4" width="12.140625" customWidth="1"/>
    <col min="5" max="5" width="14.140625" customWidth="1"/>
    <col min="6" max="7" width="8.7109375" bestFit="1" customWidth="1"/>
    <col min="8" max="8" width="10.140625" bestFit="1" customWidth="1"/>
    <col min="9" max="12" width="9.42578125" bestFit="1" customWidth="1"/>
    <col min="13" max="13" width="10" bestFit="1" customWidth="1"/>
    <col min="14" max="14" width="10.5703125" bestFit="1" customWidth="1"/>
    <col min="257" max="257" width="17.85546875" bestFit="1" customWidth="1"/>
    <col min="258" max="258" width="15" bestFit="1" customWidth="1"/>
    <col min="259" max="259" width="21.85546875" customWidth="1"/>
    <col min="260" max="260" width="12.140625" customWidth="1"/>
    <col min="261" max="261" width="14.140625" customWidth="1"/>
    <col min="262" max="263" width="8.7109375" bestFit="1" customWidth="1"/>
    <col min="264" max="264" width="10.140625" bestFit="1" customWidth="1"/>
    <col min="265" max="268" width="9.42578125" bestFit="1" customWidth="1"/>
    <col min="269" max="269" width="10" bestFit="1" customWidth="1"/>
    <col min="270" max="270" width="10.5703125" bestFit="1" customWidth="1"/>
    <col min="513" max="513" width="17.85546875" bestFit="1" customWidth="1"/>
    <col min="514" max="514" width="15" bestFit="1" customWidth="1"/>
    <col min="515" max="515" width="21.85546875" customWidth="1"/>
    <col min="516" max="516" width="12.140625" customWidth="1"/>
    <col min="517" max="517" width="14.140625" customWidth="1"/>
    <col min="518" max="519" width="8.7109375" bestFit="1" customWidth="1"/>
    <col min="520" max="520" width="10.140625" bestFit="1" customWidth="1"/>
    <col min="521" max="524" width="9.42578125" bestFit="1" customWidth="1"/>
    <col min="525" max="525" width="10" bestFit="1" customWidth="1"/>
    <col min="526" max="526" width="10.5703125" bestFit="1" customWidth="1"/>
    <col min="769" max="769" width="17.85546875" bestFit="1" customWidth="1"/>
    <col min="770" max="770" width="15" bestFit="1" customWidth="1"/>
    <col min="771" max="771" width="21.85546875" customWidth="1"/>
    <col min="772" max="772" width="12.140625" customWidth="1"/>
    <col min="773" max="773" width="14.140625" customWidth="1"/>
    <col min="774" max="775" width="8.7109375" bestFit="1" customWidth="1"/>
    <col min="776" max="776" width="10.140625" bestFit="1" customWidth="1"/>
    <col min="777" max="780" width="9.42578125" bestFit="1" customWidth="1"/>
    <col min="781" max="781" width="10" bestFit="1" customWidth="1"/>
    <col min="782" max="782" width="10.5703125" bestFit="1" customWidth="1"/>
    <col min="1025" max="1025" width="17.85546875" bestFit="1" customWidth="1"/>
    <col min="1026" max="1026" width="15" bestFit="1" customWidth="1"/>
    <col min="1027" max="1027" width="21.85546875" customWidth="1"/>
    <col min="1028" max="1028" width="12.140625" customWidth="1"/>
    <col min="1029" max="1029" width="14.140625" customWidth="1"/>
    <col min="1030" max="1031" width="8.7109375" bestFit="1" customWidth="1"/>
    <col min="1032" max="1032" width="10.140625" bestFit="1" customWidth="1"/>
    <col min="1033" max="1036" width="9.42578125" bestFit="1" customWidth="1"/>
    <col min="1037" max="1037" width="10" bestFit="1" customWidth="1"/>
    <col min="1038" max="1038" width="10.5703125" bestFit="1" customWidth="1"/>
    <col min="1281" max="1281" width="17.85546875" bestFit="1" customWidth="1"/>
    <col min="1282" max="1282" width="15" bestFit="1" customWidth="1"/>
    <col min="1283" max="1283" width="21.85546875" customWidth="1"/>
    <col min="1284" max="1284" width="12.140625" customWidth="1"/>
    <col min="1285" max="1285" width="14.140625" customWidth="1"/>
    <col min="1286" max="1287" width="8.7109375" bestFit="1" customWidth="1"/>
    <col min="1288" max="1288" width="10.140625" bestFit="1" customWidth="1"/>
    <col min="1289" max="1292" width="9.42578125" bestFit="1" customWidth="1"/>
    <col min="1293" max="1293" width="10" bestFit="1" customWidth="1"/>
    <col min="1294" max="1294" width="10.5703125" bestFit="1" customWidth="1"/>
    <col min="1537" max="1537" width="17.85546875" bestFit="1" customWidth="1"/>
    <col min="1538" max="1538" width="15" bestFit="1" customWidth="1"/>
    <col min="1539" max="1539" width="21.85546875" customWidth="1"/>
    <col min="1540" max="1540" width="12.140625" customWidth="1"/>
    <col min="1541" max="1541" width="14.140625" customWidth="1"/>
    <col min="1542" max="1543" width="8.7109375" bestFit="1" customWidth="1"/>
    <col min="1544" max="1544" width="10.140625" bestFit="1" customWidth="1"/>
    <col min="1545" max="1548" width="9.42578125" bestFit="1" customWidth="1"/>
    <col min="1549" max="1549" width="10" bestFit="1" customWidth="1"/>
    <col min="1550" max="1550" width="10.5703125" bestFit="1" customWidth="1"/>
    <col min="1793" max="1793" width="17.85546875" bestFit="1" customWidth="1"/>
    <col min="1794" max="1794" width="15" bestFit="1" customWidth="1"/>
    <col min="1795" max="1795" width="21.85546875" customWidth="1"/>
    <col min="1796" max="1796" width="12.140625" customWidth="1"/>
    <col min="1797" max="1797" width="14.140625" customWidth="1"/>
    <col min="1798" max="1799" width="8.7109375" bestFit="1" customWidth="1"/>
    <col min="1800" max="1800" width="10.140625" bestFit="1" customWidth="1"/>
    <col min="1801" max="1804" width="9.42578125" bestFit="1" customWidth="1"/>
    <col min="1805" max="1805" width="10" bestFit="1" customWidth="1"/>
    <col min="1806" max="1806" width="10.5703125" bestFit="1" customWidth="1"/>
    <col min="2049" max="2049" width="17.85546875" bestFit="1" customWidth="1"/>
    <col min="2050" max="2050" width="15" bestFit="1" customWidth="1"/>
    <col min="2051" max="2051" width="21.85546875" customWidth="1"/>
    <col min="2052" max="2052" width="12.140625" customWidth="1"/>
    <col min="2053" max="2053" width="14.140625" customWidth="1"/>
    <col min="2054" max="2055" width="8.7109375" bestFit="1" customWidth="1"/>
    <col min="2056" max="2056" width="10.140625" bestFit="1" customWidth="1"/>
    <col min="2057" max="2060" width="9.42578125" bestFit="1" customWidth="1"/>
    <col min="2061" max="2061" width="10" bestFit="1" customWidth="1"/>
    <col min="2062" max="2062" width="10.5703125" bestFit="1" customWidth="1"/>
    <col min="2305" max="2305" width="17.85546875" bestFit="1" customWidth="1"/>
    <col min="2306" max="2306" width="15" bestFit="1" customWidth="1"/>
    <col min="2307" max="2307" width="21.85546875" customWidth="1"/>
    <col min="2308" max="2308" width="12.140625" customWidth="1"/>
    <col min="2309" max="2309" width="14.140625" customWidth="1"/>
    <col min="2310" max="2311" width="8.7109375" bestFit="1" customWidth="1"/>
    <col min="2312" max="2312" width="10.140625" bestFit="1" customWidth="1"/>
    <col min="2313" max="2316" width="9.42578125" bestFit="1" customWidth="1"/>
    <col min="2317" max="2317" width="10" bestFit="1" customWidth="1"/>
    <col min="2318" max="2318" width="10.5703125" bestFit="1" customWidth="1"/>
    <col min="2561" max="2561" width="17.85546875" bestFit="1" customWidth="1"/>
    <col min="2562" max="2562" width="15" bestFit="1" customWidth="1"/>
    <col min="2563" max="2563" width="21.85546875" customWidth="1"/>
    <col min="2564" max="2564" width="12.140625" customWidth="1"/>
    <col min="2565" max="2565" width="14.140625" customWidth="1"/>
    <col min="2566" max="2567" width="8.7109375" bestFit="1" customWidth="1"/>
    <col min="2568" max="2568" width="10.140625" bestFit="1" customWidth="1"/>
    <col min="2569" max="2572" width="9.42578125" bestFit="1" customWidth="1"/>
    <col min="2573" max="2573" width="10" bestFit="1" customWidth="1"/>
    <col min="2574" max="2574" width="10.5703125" bestFit="1" customWidth="1"/>
    <col min="2817" max="2817" width="17.85546875" bestFit="1" customWidth="1"/>
    <col min="2818" max="2818" width="15" bestFit="1" customWidth="1"/>
    <col min="2819" max="2819" width="21.85546875" customWidth="1"/>
    <col min="2820" max="2820" width="12.140625" customWidth="1"/>
    <col min="2821" max="2821" width="14.140625" customWidth="1"/>
    <col min="2822" max="2823" width="8.7109375" bestFit="1" customWidth="1"/>
    <col min="2824" max="2824" width="10.140625" bestFit="1" customWidth="1"/>
    <col min="2825" max="2828" width="9.42578125" bestFit="1" customWidth="1"/>
    <col min="2829" max="2829" width="10" bestFit="1" customWidth="1"/>
    <col min="2830" max="2830" width="10.5703125" bestFit="1" customWidth="1"/>
    <col min="3073" max="3073" width="17.85546875" bestFit="1" customWidth="1"/>
    <col min="3074" max="3074" width="15" bestFit="1" customWidth="1"/>
    <col min="3075" max="3075" width="21.85546875" customWidth="1"/>
    <col min="3076" max="3076" width="12.140625" customWidth="1"/>
    <col min="3077" max="3077" width="14.140625" customWidth="1"/>
    <col min="3078" max="3079" width="8.7109375" bestFit="1" customWidth="1"/>
    <col min="3080" max="3080" width="10.140625" bestFit="1" customWidth="1"/>
    <col min="3081" max="3084" width="9.42578125" bestFit="1" customWidth="1"/>
    <col min="3085" max="3085" width="10" bestFit="1" customWidth="1"/>
    <col min="3086" max="3086" width="10.5703125" bestFit="1" customWidth="1"/>
    <col min="3329" max="3329" width="17.85546875" bestFit="1" customWidth="1"/>
    <col min="3330" max="3330" width="15" bestFit="1" customWidth="1"/>
    <col min="3331" max="3331" width="21.85546875" customWidth="1"/>
    <col min="3332" max="3332" width="12.140625" customWidth="1"/>
    <col min="3333" max="3333" width="14.140625" customWidth="1"/>
    <col min="3334" max="3335" width="8.7109375" bestFit="1" customWidth="1"/>
    <col min="3336" max="3336" width="10.140625" bestFit="1" customWidth="1"/>
    <col min="3337" max="3340" width="9.42578125" bestFit="1" customWidth="1"/>
    <col min="3341" max="3341" width="10" bestFit="1" customWidth="1"/>
    <col min="3342" max="3342" width="10.5703125" bestFit="1" customWidth="1"/>
    <col min="3585" max="3585" width="17.85546875" bestFit="1" customWidth="1"/>
    <col min="3586" max="3586" width="15" bestFit="1" customWidth="1"/>
    <col min="3587" max="3587" width="21.85546875" customWidth="1"/>
    <col min="3588" max="3588" width="12.140625" customWidth="1"/>
    <col min="3589" max="3589" width="14.140625" customWidth="1"/>
    <col min="3590" max="3591" width="8.7109375" bestFit="1" customWidth="1"/>
    <col min="3592" max="3592" width="10.140625" bestFit="1" customWidth="1"/>
    <col min="3593" max="3596" width="9.42578125" bestFit="1" customWidth="1"/>
    <col min="3597" max="3597" width="10" bestFit="1" customWidth="1"/>
    <col min="3598" max="3598" width="10.5703125" bestFit="1" customWidth="1"/>
    <col min="3841" max="3841" width="17.85546875" bestFit="1" customWidth="1"/>
    <col min="3842" max="3842" width="15" bestFit="1" customWidth="1"/>
    <col min="3843" max="3843" width="21.85546875" customWidth="1"/>
    <col min="3844" max="3844" width="12.140625" customWidth="1"/>
    <col min="3845" max="3845" width="14.140625" customWidth="1"/>
    <col min="3846" max="3847" width="8.7109375" bestFit="1" customWidth="1"/>
    <col min="3848" max="3848" width="10.140625" bestFit="1" customWidth="1"/>
    <col min="3849" max="3852" width="9.42578125" bestFit="1" customWidth="1"/>
    <col min="3853" max="3853" width="10" bestFit="1" customWidth="1"/>
    <col min="3854" max="3854" width="10.5703125" bestFit="1" customWidth="1"/>
    <col min="4097" max="4097" width="17.85546875" bestFit="1" customWidth="1"/>
    <col min="4098" max="4098" width="15" bestFit="1" customWidth="1"/>
    <col min="4099" max="4099" width="21.85546875" customWidth="1"/>
    <col min="4100" max="4100" width="12.140625" customWidth="1"/>
    <col min="4101" max="4101" width="14.140625" customWidth="1"/>
    <col min="4102" max="4103" width="8.7109375" bestFit="1" customWidth="1"/>
    <col min="4104" max="4104" width="10.140625" bestFit="1" customWidth="1"/>
    <col min="4105" max="4108" width="9.42578125" bestFit="1" customWidth="1"/>
    <col min="4109" max="4109" width="10" bestFit="1" customWidth="1"/>
    <col min="4110" max="4110" width="10.5703125" bestFit="1" customWidth="1"/>
    <col min="4353" max="4353" width="17.85546875" bestFit="1" customWidth="1"/>
    <col min="4354" max="4354" width="15" bestFit="1" customWidth="1"/>
    <col min="4355" max="4355" width="21.85546875" customWidth="1"/>
    <col min="4356" max="4356" width="12.140625" customWidth="1"/>
    <col min="4357" max="4357" width="14.140625" customWidth="1"/>
    <col min="4358" max="4359" width="8.7109375" bestFit="1" customWidth="1"/>
    <col min="4360" max="4360" width="10.140625" bestFit="1" customWidth="1"/>
    <col min="4361" max="4364" width="9.42578125" bestFit="1" customWidth="1"/>
    <col min="4365" max="4365" width="10" bestFit="1" customWidth="1"/>
    <col min="4366" max="4366" width="10.5703125" bestFit="1" customWidth="1"/>
    <col min="4609" max="4609" width="17.85546875" bestFit="1" customWidth="1"/>
    <col min="4610" max="4610" width="15" bestFit="1" customWidth="1"/>
    <col min="4611" max="4611" width="21.85546875" customWidth="1"/>
    <col min="4612" max="4612" width="12.140625" customWidth="1"/>
    <col min="4613" max="4613" width="14.140625" customWidth="1"/>
    <col min="4614" max="4615" width="8.7109375" bestFit="1" customWidth="1"/>
    <col min="4616" max="4616" width="10.140625" bestFit="1" customWidth="1"/>
    <col min="4617" max="4620" width="9.42578125" bestFit="1" customWidth="1"/>
    <col min="4621" max="4621" width="10" bestFit="1" customWidth="1"/>
    <col min="4622" max="4622" width="10.5703125" bestFit="1" customWidth="1"/>
    <col min="4865" max="4865" width="17.85546875" bestFit="1" customWidth="1"/>
    <col min="4866" max="4866" width="15" bestFit="1" customWidth="1"/>
    <col min="4867" max="4867" width="21.85546875" customWidth="1"/>
    <col min="4868" max="4868" width="12.140625" customWidth="1"/>
    <col min="4869" max="4869" width="14.140625" customWidth="1"/>
    <col min="4870" max="4871" width="8.7109375" bestFit="1" customWidth="1"/>
    <col min="4872" max="4872" width="10.140625" bestFit="1" customWidth="1"/>
    <col min="4873" max="4876" width="9.42578125" bestFit="1" customWidth="1"/>
    <col min="4877" max="4877" width="10" bestFit="1" customWidth="1"/>
    <col min="4878" max="4878" width="10.5703125" bestFit="1" customWidth="1"/>
    <col min="5121" max="5121" width="17.85546875" bestFit="1" customWidth="1"/>
    <col min="5122" max="5122" width="15" bestFit="1" customWidth="1"/>
    <col min="5123" max="5123" width="21.85546875" customWidth="1"/>
    <col min="5124" max="5124" width="12.140625" customWidth="1"/>
    <col min="5125" max="5125" width="14.140625" customWidth="1"/>
    <col min="5126" max="5127" width="8.7109375" bestFit="1" customWidth="1"/>
    <col min="5128" max="5128" width="10.140625" bestFit="1" customWidth="1"/>
    <col min="5129" max="5132" width="9.42578125" bestFit="1" customWidth="1"/>
    <col min="5133" max="5133" width="10" bestFit="1" customWidth="1"/>
    <col min="5134" max="5134" width="10.5703125" bestFit="1" customWidth="1"/>
    <col min="5377" max="5377" width="17.85546875" bestFit="1" customWidth="1"/>
    <col min="5378" max="5378" width="15" bestFit="1" customWidth="1"/>
    <col min="5379" max="5379" width="21.85546875" customWidth="1"/>
    <col min="5380" max="5380" width="12.140625" customWidth="1"/>
    <col min="5381" max="5381" width="14.140625" customWidth="1"/>
    <col min="5382" max="5383" width="8.7109375" bestFit="1" customWidth="1"/>
    <col min="5384" max="5384" width="10.140625" bestFit="1" customWidth="1"/>
    <col min="5385" max="5388" width="9.42578125" bestFit="1" customWidth="1"/>
    <col min="5389" max="5389" width="10" bestFit="1" customWidth="1"/>
    <col min="5390" max="5390" width="10.5703125" bestFit="1" customWidth="1"/>
    <col min="5633" max="5633" width="17.85546875" bestFit="1" customWidth="1"/>
    <col min="5634" max="5634" width="15" bestFit="1" customWidth="1"/>
    <col min="5635" max="5635" width="21.85546875" customWidth="1"/>
    <col min="5636" max="5636" width="12.140625" customWidth="1"/>
    <col min="5637" max="5637" width="14.140625" customWidth="1"/>
    <col min="5638" max="5639" width="8.7109375" bestFit="1" customWidth="1"/>
    <col min="5640" max="5640" width="10.140625" bestFit="1" customWidth="1"/>
    <col min="5641" max="5644" width="9.42578125" bestFit="1" customWidth="1"/>
    <col min="5645" max="5645" width="10" bestFit="1" customWidth="1"/>
    <col min="5646" max="5646" width="10.5703125" bestFit="1" customWidth="1"/>
    <col min="5889" max="5889" width="17.85546875" bestFit="1" customWidth="1"/>
    <col min="5890" max="5890" width="15" bestFit="1" customWidth="1"/>
    <col min="5891" max="5891" width="21.85546875" customWidth="1"/>
    <col min="5892" max="5892" width="12.140625" customWidth="1"/>
    <col min="5893" max="5893" width="14.140625" customWidth="1"/>
    <col min="5894" max="5895" width="8.7109375" bestFit="1" customWidth="1"/>
    <col min="5896" max="5896" width="10.140625" bestFit="1" customWidth="1"/>
    <col min="5897" max="5900" width="9.42578125" bestFit="1" customWidth="1"/>
    <col min="5901" max="5901" width="10" bestFit="1" customWidth="1"/>
    <col min="5902" max="5902" width="10.5703125" bestFit="1" customWidth="1"/>
    <col min="6145" max="6145" width="17.85546875" bestFit="1" customWidth="1"/>
    <col min="6146" max="6146" width="15" bestFit="1" customWidth="1"/>
    <col min="6147" max="6147" width="21.85546875" customWidth="1"/>
    <col min="6148" max="6148" width="12.140625" customWidth="1"/>
    <col min="6149" max="6149" width="14.140625" customWidth="1"/>
    <col min="6150" max="6151" width="8.7109375" bestFit="1" customWidth="1"/>
    <col min="6152" max="6152" width="10.140625" bestFit="1" customWidth="1"/>
    <col min="6153" max="6156" width="9.42578125" bestFit="1" customWidth="1"/>
    <col min="6157" max="6157" width="10" bestFit="1" customWidth="1"/>
    <col min="6158" max="6158" width="10.5703125" bestFit="1" customWidth="1"/>
    <col min="6401" max="6401" width="17.85546875" bestFit="1" customWidth="1"/>
    <col min="6402" max="6402" width="15" bestFit="1" customWidth="1"/>
    <col min="6403" max="6403" width="21.85546875" customWidth="1"/>
    <col min="6404" max="6404" width="12.140625" customWidth="1"/>
    <col min="6405" max="6405" width="14.140625" customWidth="1"/>
    <col min="6406" max="6407" width="8.7109375" bestFit="1" customWidth="1"/>
    <col min="6408" max="6408" width="10.140625" bestFit="1" customWidth="1"/>
    <col min="6409" max="6412" width="9.42578125" bestFit="1" customWidth="1"/>
    <col min="6413" max="6413" width="10" bestFit="1" customWidth="1"/>
    <col min="6414" max="6414" width="10.5703125" bestFit="1" customWidth="1"/>
    <col min="6657" max="6657" width="17.85546875" bestFit="1" customWidth="1"/>
    <col min="6658" max="6658" width="15" bestFit="1" customWidth="1"/>
    <col min="6659" max="6659" width="21.85546875" customWidth="1"/>
    <col min="6660" max="6660" width="12.140625" customWidth="1"/>
    <col min="6661" max="6661" width="14.140625" customWidth="1"/>
    <col min="6662" max="6663" width="8.7109375" bestFit="1" customWidth="1"/>
    <col min="6664" max="6664" width="10.140625" bestFit="1" customWidth="1"/>
    <col min="6665" max="6668" width="9.42578125" bestFit="1" customWidth="1"/>
    <col min="6669" max="6669" width="10" bestFit="1" customWidth="1"/>
    <col min="6670" max="6670" width="10.5703125" bestFit="1" customWidth="1"/>
    <col min="6913" max="6913" width="17.85546875" bestFit="1" customWidth="1"/>
    <col min="6914" max="6914" width="15" bestFit="1" customWidth="1"/>
    <col min="6915" max="6915" width="21.85546875" customWidth="1"/>
    <col min="6916" max="6916" width="12.140625" customWidth="1"/>
    <col min="6917" max="6917" width="14.140625" customWidth="1"/>
    <col min="6918" max="6919" width="8.7109375" bestFit="1" customWidth="1"/>
    <col min="6920" max="6920" width="10.140625" bestFit="1" customWidth="1"/>
    <col min="6921" max="6924" width="9.42578125" bestFit="1" customWidth="1"/>
    <col min="6925" max="6925" width="10" bestFit="1" customWidth="1"/>
    <col min="6926" max="6926" width="10.5703125" bestFit="1" customWidth="1"/>
    <col min="7169" max="7169" width="17.85546875" bestFit="1" customWidth="1"/>
    <col min="7170" max="7170" width="15" bestFit="1" customWidth="1"/>
    <col min="7171" max="7171" width="21.85546875" customWidth="1"/>
    <col min="7172" max="7172" width="12.140625" customWidth="1"/>
    <col min="7173" max="7173" width="14.140625" customWidth="1"/>
    <col min="7174" max="7175" width="8.7109375" bestFit="1" customWidth="1"/>
    <col min="7176" max="7176" width="10.140625" bestFit="1" customWidth="1"/>
    <col min="7177" max="7180" width="9.42578125" bestFit="1" customWidth="1"/>
    <col min="7181" max="7181" width="10" bestFit="1" customWidth="1"/>
    <col min="7182" max="7182" width="10.5703125" bestFit="1" customWidth="1"/>
    <col min="7425" max="7425" width="17.85546875" bestFit="1" customWidth="1"/>
    <col min="7426" max="7426" width="15" bestFit="1" customWidth="1"/>
    <col min="7427" max="7427" width="21.85546875" customWidth="1"/>
    <col min="7428" max="7428" width="12.140625" customWidth="1"/>
    <col min="7429" max="7429" width="14.140625" customWidth="1"/>
    <col min="7430" max="7431" width="8.7109375" bestFit="1" customWidth="1"/>
    <col min="7432" max="7432" width="10.140625" bestFit="1" customWidth="1"/>
    <col min="7433" max="7436" width="9.42578125" bestFit="1" customWidth="1"/>
    <col min="7437" max="7437" width="10" bestFit="1" customWidth="1"/>
    <col min="7438" max="7438" width="10.5703125" bestFit="1" customWidth="1"/>
    <col min="7681" max="7681" width="17.85546875" bestFit="1" customWidth="1"/>
    <col min="7682" max="7682" width="15" bestFit="1" customWidth="1"/>
    <col min="7683" max="7683" width="21.85546875" customWidth="1"/>
    <col min="7684" max="7684" width="12.140625" customWidth="1"/>
    <col min="7685" max="7685" width="14.140625" customWidth="1"/>
    <col min="7686" max="7687" width="8.7109375" bestFit="1" customWidth="1"/>
    <col min="7688" max="7688" width="10.140625" bestFit="1" customWidth="1"/>
    <col min="7689" max="7692" width="9.42578125" bestFit="1" customWidth="1"/>
    <col min="7693" max="7693" width="10" bestFit="1" customWidth="1"/>
    <col min="7694" max="7694" width="10.5703125" bestFit="1" customWidth="1"/>
    <col min="7937" max="7937" width="17.85546875" bestFit="1" customWidth="1"/>
    <col min="7938" max="7938" width="15" bestFit="1" customWidth="1"/>
    <col min="7939" max="7939" width="21.85546875" customWidth="1"/>
    <col min="7940" max="7940" width="12.140625" customWidth="1"/>
    <col min="7941" max="7941" width="14.140625" customWidth="1"/>
    <col min="7942" max="7943" width="8.7109375" bestFit="1" customWidth="1"/>
    <col min="7944" max="7944" width="10.140625" bestFit="1" customWidth="1"/>
    <col min="7945" max="7948" width="9.42578125" bestFit="1" customWidth="1"/>
    <col min="7949" max="7949" width="10" bestFit="1" customWidth="1"/>
    <col min="7950" max="7950" width="10.5703125" bestFit="1" customWidth="1"/>
    <col min="8193" max="8193" width="17.85546875" bestFit="1" customWidth="1"/>
    <col min="8194" max="8194" width="15" bestFit="1" customWidth="1"/>
    <col min="8195" max="8195" width="21.85546875" customWidth="1"/>
    <col min="8196" max="8196" width="12.140625" customWidth="1"/>
    <col min="8197" max="8197" width="14.140625" customWidth="1"/>
    <col min="8198" max="8199" width="8.7109375" bestFit="1" customWidth="1"/>
    <col min="8200" max="8200" width="10.140625" bestFit="1" customWidth="1"/>
    <col min="8201" max="8204" width="9.42578125" bestFit="1" customWidth="1"/>
    <col min="8205" max="8205" width="10" bestFit="1" customWidth="1"/>
    <col min="8206" max="8206" width="10.5703125" bestFit="1" customWidth="1"/>
    <col min="8449" max="8449" width="17.85546875" bestFit="1" customWidth="1"/>
    <col min="8450" max="8450" width="15" bestFit="1" customWidth="1"/>
    <col min="8451" max="8451" width="21.85546875" customWidth="1"/>
    <col min="8452" max="8452" width="12.140625" customWidth="1"/>
    <col min="8453" max="8453" width="14.140625" customWidth="1"/>
    <col min="8454" max="8455" width="8.7109375" bestFit="1" customWidth="1"/>
    <col min="8456" max="8456" width="10.140625" bestFit="1" customWidth="1"/>
    <col min="8457" max="8460" width="9.42578125" bestFit="1" customWidth="1"/>
    <col min="8461" max="8461" width="10" bestFit="1" customWidth="1"/>
    <col min="8462" max="8462" width="10.5703125" bestFit="1" customWidth="1"/>
    <col min="8705" max="8705" width="17.85546875" bestFit="1" customWidth="1"/>
    <col min="8706" max="8706" width="15" bestFit="1" customWidth="1"/>
    <col min="8707" max="8707" width="21.85546875" customWidth="1"/>
    <col min="8708" max="8708" width="12.140625" customWidth="1"/>
    <col min="8709" max="8709" width="14.140625" customWidth="1"/>
    <col min="8710" max="8711" width="8.7109375" bestFit="1" customWidth="1"/>
    <col min="8712" max="8712" width="10.140625" bestFit="1" customWidth="1"/>
    <col min="8713" max="8716" width="9.42578125" bestFit="1" customWidth="1"/>
    <col min="8717" max="8717" width="10" bestFit="1" customWidth="1"/>
    <col min="8718" max="8718" width="10.5703125" bestFit="1" customWidth="1"/>
    <col min="8961" max="8961" width="17.85546875" bestFit="1" customWidth="1"/>
    <col min="8962" max="8962" width="15" bestFit="1" customWidth="1"/>
    <col min="8963" max="8963" width="21.85546875" customWidth="1"/>
    <col min="8964" max="8964" width="12.140625" customWidth="1"/>
    <col min="8965" max="8965" width="14.140625" customWidth="1"/>
    <col min="8966" max="8967" width="8.7109375" bestFit="1" customWidth="1"/>
    <col min="8968" max="8968" width="10.140625" bestFit="1" customWidth="1"/>
    <col min="8969" max="8972" width="9.42578125" bestFit="1" customWidth="1"/>
    <col min="8973" max="8973" width="10" bestFit="1" customWidth="1"/>
    <col min="8974" max="8974" width="10.5703125" bestFit="1" customWidth="1"/>
    <col min="9217" max="9217" width="17.85546875" bestFit="1" customWidth="1"/>
    <col min="9218" max="9218" width="15" bestFit="1" customWidth="1"/>
    <col min="9219" max="9219" width="21.85546875" customWidth="1"/>
    <col min="9220" max="9220" width="12.140625" customWidth="1"/>
    <col min="9221" max="9221" width="14.140625" customWidth="1"/>
    <col min="9222" max="9223" width="8.7109375" bestFit="1" customWidth="1"/>
    <col min="9224" max="9224" width="10.140625" bestFit="1" customWidth="1"/>
    <col min="9225" max="9228" width="9.42578125" bestFit="1" customWidth="1"/>
    <col min="9229" max="9229" width="10" bestFit="1" customWidth="1"/>
    <col min="9230" max="9230" width="10.5703125" bestFit="1" customWidth="1"/>
    <col min="9473" max="9473" width="17.85546875" bestFit="1" customWidth="1"/>
    <col min="9474" max="9474" width="15" bestFit="1" customWidth="1"/>
    <col min="9475" max="9475" width="21.85546875" customWidth="1"/>
    <col min="9476" max="9476" width="12.140625" customWidth="1"/>
    <col min="9477" max="9477" width="14.140625" customWidth="1"/>
    <col min="9478" max="9479" width="8.7109375" bestFit="1" customWidth="1"/>
    <col min="9480" max="9480" width="10.140625" bestFit="1" customWidth="1"/>
    <col min="9481" max="9484" width="9.42578125" bestFit="1" customWidth="1"/>
    <col min="9485" max="9485" width="10" bestFit="1" customWidth="1"/>
    <col min="9486" max="9486" width="10.5703125" bestFit="1" customWidth="1"/>
    <col min="9729" max="9729" width="17.85546875" bestFit="1" customWidth="1"/>
    <col min="9730" max="9730" width="15" bestFit="1" customWidth="1"/>
    <col min="9731" max="9731" width="21.85546875" customWidth="1"/>
    <col min="9732" max="9732" width="12.140625" customWidth="1"/>
    <col min="9733" max="9733" width="14.140625" customWidth="1"/>
    <col min="9734" max="9735" width="8.7109375" bestFit="1" customWidth="1"/>
    <col min="9736" max="9736" width="10.140625" bestFit="1" customWidth="1"/>
    <col min="9737" max="9740" width="9.42578125" bestFit="1" customWidth="1"/>
    <col min="9741" max="9741" width="10" bestFit="1" customWidth="1"/>
    <col min="9742" max="9742" width="10.5703125" bestFit="1" customWidth="1"/>
    <col min="9985" max="9985" width="17.85546875" bestFit="1" customWidth="1"/>
    <col min="9986" max="9986" width="15" bestFit="1" customWidth="1"/>
    <col min="9987" max="9987" width="21.85546875" customWidth="1"/>
    <col min="9988" max="9988" width="12.140625" customWidth="1"/>
    <col min="9989" max="9989" width="14.140625" customWidth="1"/>
    <col min="9990" max="9991" width="8.7109375" bestFit="1" customWidth="1"/>
    <col min="9992" max="9992" width="10.140625" bestFit="1" customWidth="1"/>
    <col min="9993" max="9996" width="9.42578125" bestFit="1" customWidth="1"/>
    <col min="9997" max="9997" width="10" bestFit="1" customWidth="1"/>
    <col min="9998" max="9998" width="10.5703125" bestFit="1" customWidth="1"/>
    <col min="10241" max="10241" width="17.85546875" bestFit="1" customWidth="1"/>
    <col min="10242" max="10242" width="15" bestFit="1" customWidth="1"/>
    <col min="10243" max="10243" width="21.85546875" customWidth="1"/>
    <col min="10244" max="10244" width="12.140625" customWidth="1"/>
    <col min="10245" max="10245" width="14.140625" customWidth="1"/>
    <col min="10246" max="10247" width="8.7109375" bestFit="1" customWidth="1"/>
    <col min="10248" max="10248" width="10.140625" bestFit="1" customWidth="1"/>
    <col min="10249" max="10252" width="9.42578125" bestFit="1" customWidth="1"/>
    <col min="10253" max="10253" width="10" bestFit="1" customWidth="1"/>
    <col min="10254" max="10254" width="10.5703125" bestFit="1" customWidth="1"/>
    <col min="10497" max="10497" width="17.85546875" bestFit="1" customWidth="1"/>
    <col min="10498" max="10498" width="15" bestFit="1" customWidth="1"/>
    <col min="10499" max="10499" width="21.85546875" customWidth="1"/>
    <col min="10500" max="10500" width="12.140625" customWidth="1"/>
    <col min="10501" max="10501" width="14.140625" customWidth="1"/>
    <col min="10502" max="10503" width="8.7109375" bestFit="1" customWidth="1"/>
    <col min="10504" max="10504" width="10.140625" bestFit="1" customWidth="1"/>
    <col min="10505" max="10508" width="9.42578125" bestFit="1" customWidth="1"/>
    <col min="10509" max="10509" width="10" bestFit="1" customWidth="1"/>
    <col min="10510" max="10510" width="10.5703125" bestFit="1" customWidth="1"/>
    <col min="10753" max="10753" width="17.85546875" bestFit="1" customWidth="1"/>
    <col min="10754" max="10754" width="15" bestFit="1" customWidth="1"/>
    <col min="10755" max="10755" width="21.85546875" customWidth="1"/>
    <col min="10756" max="10756" width="12.140625" customWidth="1"/>
    <col min="10757" max="10757" width="14.140625" customWidth="1"/>
    <col min="10758" max="10759" width="8.7109375" bestFit="1" customWidth="1"/>
    <col min="10760" max="10760" width="10.140625" bestFit="1" customWidth="1"/>
    <col min="10761" max="10764" width="9.42578125" bestFit="1" customWidth="1"/>
    <col min="10765" max="10765" width="10" bestFit="1" customWidth="1"/>
    <col min="10766" max="10766" width="10.5703125" bestFit="1" customWidth="1"/>
    <col min="11009" max="11009" width="17.85546875" bestFit="1" customWidth="1"/>
    <col min="11010" max="11010" width="15" bestFit="1" customWidth="1"/>
    <col min="11011" max="11011" width="21.85546875" customWidth="1"/>
    <col min="11012" max="11012" width="12.140625" customWidth="1"/>
    <col min="11013" max="11013" width="14.140625" customWidth="1"/>
    <col min="11014" max="11015" width="8.7109375" bestFit="1" customWidth="1"/>
    <col min="11016" max="11016" width="10.140625" bestFit="1" customWidth="1"/>
    <col min="11017" max="11020" width="9.42578125" bestFit="1" customWidth="1"/>
    <col min="11021" max="11021" width="10" bestFit="1" customWidth="1"/>
    <col min="11022" max="11022" width="10.5703125" bestFit="1" customWidth="1"/>
    <col min="11265" max="11265" width="17.85546875" bestFit="1" customWidth="1"/>
    <col min="11266" max="11266" width="15" bestFit="1" customWidth="1"/>
    <col min="11267" max="11267" width="21.85546875" customWidth="1"/>
    <col min="11268" max="11268" width="12.140625" customWidth="1"/>
    <col min="11269" max="11269" width="14.140625" customWidth="1"/>
    <col min="11270" max="11271" width="8.7109375" bestFit="1" customWidth="1"/>
    <col min="11272" max="11272" width="10.140625" bestFit="1" customWidth="1"/>
    <col min="11273" max="11276" width="9.42578125" bestFit="1" customWidth="1"/>
    <col min="11277" max="11277" width="10" bestFit="1" customWidth="1"/>
    <col min="11278" max="11278" width="10.5703125" bestFit="1" customWidth="1"/>
    <col min="11521" max="11521" width="17.85546875" bestFit="1" customWidth="1"/>
    <col min="11522" max="11522" width="15" bestFit="1" customWidth="1"/>
    <col min="11523" max="11523" width="21.85546875" customWidth="1"/>
    <col min="11524" max="11524" width="12.140625" customWidth="1"/>
    <col min="11525" max="11525" width="14.140625" customWidth="1"/>
    <col min="11526" max="11527" width="8.7109375" bestFit="1" customWidth="1"/>
    <col min="11528" max="11528" width="10.140625" bestFit="1" customWidth="1"/>
    <col min="11529" max="11532" width="9.42578125" bestFit="1" customWidth="1"/>
    <col min="11533" max="11533" width="10" bestFit="1" customWidth="1"/>
    <col min="11534" max="11534" width="10.5703125" bestFit="1" customWidth="1"/>
    <col min="11777" max="11777" width="17.85546875" bestFit="1" customWidth="1"/>
    <col min="11778" max="11778" width="15" bestFit="1" customWidth="1"/>
    <col min="11779" max="11779" width="21.85546875" customWidth="1"/>
    <col min="11780" max="11780" width="12.140625" customWidth="1"/>
    <col min="11781" max="11781" width="14.140625" customWidth="1"/>
    <col min="11782" max="11783" width="8.7109375" bestFit="1" customWidth="1"/>
    <col min="11784" max="11784" width="10.140625" bestFit="1" customWidth="1"/>
    <col min="11785" max="11788" width="9.42578125" bestFit="1" customWidth="1"/>
    <col min="11789" max="11789" width="10" bestFit="1" customWidth="1"/>
    <col min="11790" max="11790" width="10.5703125" bestFit="1" customWidth="1"/>
    <col min="12033" max="12033" width="17.85546875" bestFit="1" customWidth="1"/>
    <col min="12034" max="12034" width="15" bestFit="1" customWidth="1"/>
    <col min="12035" max="12035" width="21.85546875" customWidth="1"/>
    <col min="12036" max="12036" width="12.140625" customWidth="1"/>
    <col min="12037" max="12037" width="14.140625" customWidth="1"/>
    <col min="12038" max="12039" width="8.7109375" bestFit="1" customWidth="1"/>
    <col min="12040" max="12040" width="10.140625" bestFit="1" customWidth="1"/>
    <col min="12041" max="12044" width="9.42578125" bestFit="1" customWidth="1"/>
    <col min="12045" max="12045" width="10" bestFit="1" customWidth="1"/>
    <col min="12046" max="12046" width="10.5703125" bestFit="1" customWidth="1"/>
    <col min="12289" max="12289" width="17.85546875" bestFit="1" customWidth="1"/>
    <col min="12290" max="12290" width="15" bestFit="1" customWidth="1"/>
    <col min="12291" max="12291" width="21.85546875" customWidth="1"/>
    <col min="12292" max="12292" width="12.140625" customWidth="1"/>
    <col min="12293" max="12293" width="14.140625" customWidth="1"/>
    <col min="12294" max="12295" width="8.7109375" bestFit="1" customWidth="1"/>
    <col min="12296" max="12296" width="10.140625" bestFit="1" customWidth="1"/>
    <col min="12297" max="12300" width="9.42578125" bestFit="1" customWidth="1"/>
    <col min="12301" max="12301" width="10" bestFit="1" customWidth="1"/>
    <col min="12302" max="12302" width="10.5703125" bestFit="1" customWidth="1"/>
    <col min="12545" max="12545" width="17.85546875" bestFit="1" customWidth="1"/>
    <col min="12546" max="12546" width="15" bestFit="1" customWidth="1"/>
    <col min="12547" max="12547" width="21.85546875" customWidth="1"/>
    <col min="12548" max="12548" width="12.140625" customWidth="1"/>
    <col min="12549" max="12549" width="14.140625" customWidth="1"/>
    <col min="12550" max="12551" width="8.7109375" bestFit="1" customWidth="1"/>
    <col min="12552" max="12552" width="10.140625" bestFit="1" customWidth="1"/>
    <col min="12553" max="12556" width="9.42578125" bestFit="1" customWidth="1"/>
    <col min="12557" max="12557" width="10" bestFit="1" customWidth="1"/>
    <col min="12558" max="12558" width="10.5703125" bestFit="1" customWidth="1"/>
    <col min="12801" max="12801" width="17.85546875" bestFit="1" customWidth="1"/>
    <col min="12802" max="12802" width="15" bestFit="1" customWidth="1"/>
    <col min="12803" max="12803" width="21.85546875" customWidth="1"/>
    <col min="12804" max="12804" width="12.140625" customWidth="1"/>
    <col min="12805" max="12805" width="14.140625" customWidth="1"/>
    <col min="12806" max="12807" width="8.7109375" bestFit="1" customWidth="1"/>
    <col min="12808" max="12808" width="10.140625" bestFit="1" customWidth="1"/>
    <col min="12809" max="12812" width="9.42578125" bestFit="1" customWidth="1"/>
    <col min="12813" max="12813" width="10" bestFit="1" customWidth="1"/>
    <col min="12814" max="12814" width="10.5703125" bestFit="1" customWidth="1"/>
    <col min="13057" max="13057" width="17.85546875" bestFit="1" customWidth="1"/>
    <col min="13058" max="13058" width="15" bestFit="1" customWidth="1"/>
    <col min="13059" max="13059" width="21.85546875" customWidth="1"/>
    <col min="13060" max="13060" width="12.140625" customWidth="1"/>
    <col min="13061" max="13061" width="14.140625" customWidth="1"/>
    <col min="13062" max="13063" width="8.7109375" bestFit="1" customWidth="1"/>
    <col min="13064" max="13064" width="10.140625" bestFit="1" customWidth="1"/>
    <col min="13065" max="13068" width="9.42578125" bestFit="1" customWidth="1"/>
    <col min="13069" max="13069" width="10" bestFit="1" customWidth="1"/>
    <col min="13070" max="13070" width="10.5703125" bestFit="1" customWidth="1"/>
    <col min="13313" max="13313" width="17.85546875" bestFit="1" customWidth="1"/>
    <col min="13314" max="13314" width="15" bestFit="1" customWidth="1"/>
    <col min="13315" max="13315" width="21.85546875" customWidth="1"/>
    <col min="13316" max="13316" width="12.140625" customWidth="1"/>
    <col min="13317" max="13317" width="14.140625" customWidth="1"/>
    <col min="13318" max="13319" width="8.7109375" bestFit="1" customWidth="1"/>
    <col min="13320" max="13320" width="10.140625" bestFit="1" customWidth="1"/>
    <col min="13321" max="13324" width="9.42578125" bestFit="1" customWidth="1"/>
    <col min="13325" max="13325" width="10" bestFit="1" customWidth="1"/>
    <col min="13326" max="13326" width="10.5703125" bestFit="1" customWidth="1"/>
    <col min="13569" max="13569" width="17.85546875" bestFit="1" customWidth="1"/>
    <col min="13570" max="13570" width="15" bestFit="1" customWidth="1"/>
    <col min="13571" max="13571" width="21.85546875" customWidth="1"/>
    <col min="13572" max="13572" width="12.140625" customWidth="1"/>
    <col min="13573" max="13573" width="14.140625" customWidth="1"/>
    <col min="13574" max="13575" width="8.7109375" bestFit="1" customWidth="1"/>
    <col min="13576" max="13576" width="10.140625" bestFit="1" customWidth="1"/>
    <col min="13577" max="13580" width="9.42578125" bestFit="1" customWidth="1"/>
    <col min="13581" max="13581" width="10" bestFit="1" customWidth="1"/>
    <col min="13582" max="13582" width="10.5703125" bestFit="1" customWidth="1"/>
    <col min="13825" max="13825" width="17.85546875" bestFit="1" customWidth="1"/>
    <col min="13826" max="13826" width="15" bestFit="1" customWidth="1"/>
    <col min="13827" max="13827" width="21.85546875" customWidth="1"/>
    <col min="13828" max="13828" width="12.140625" customWidth="1"/>
    <col min="13829" max="13829" width="14.140625" customWidth="1"/>
    <col min="13830" max="13831" width="8.7109375" bestFit="1" customWidth="1"/>
    <col min="13832" max="13832" width="10.140625" bestFit="1" customWidth="1"/>
    <col min="13833" max="13836" width="9.42578125" bestFit="1" customWidth="1"/>
    <col min="13837" max="13837" width="10" bestFit="1" customWidth="1"/>
    <col min="13838" max="13838" width="10.5703125" bestFit="1" customWidth="1"/>
    <col min="14081" max="14081" width="17.85546875" bestFit="1" customWidth="1"/>
    <col min="14082" max="14082" width="15" bestFit="1" customWidth="1"/>
    <col min="14083" max="14083" width="21.85546875" customWidth="1"/>
    <col min="14084" max="14084" width="12.140625" customWidth="1"/>
    <col min="14085" max="14085" width="14.140625" customWidth="1"/>
    <col min="14086" max="14087" width="8.7109375" bestFit="1" customWidth="1"/>
    <col min="14088" max="14088" width="10.140625" bestFit="1" customWidth="1"/>
    <col min="14089" max="14092" width="9.42578125" bestFit="1" customWidth="1"/>
    <col min="14093" max="14093" width="10" bestFit="1" customWidth="1"/>
    <col min="14094" max="14094" width="10.5703125" bestFit="1" customWidth="1"/>
    <col min="14337" max="14337" width="17.85546875" bestFit="1" customWidth="1"/>
    <col min="14338" max="14338" width="15" bestFit="1" customWidth="1"/>
    <col min="14339" max="14339" width="21.85546875" customWidth="1"/>
    <col min="14340" max="14340" width="12.140625" customWidth="1"/>
    <col min="14341" max="14341" width="14.140625" customWidth="1"/>
    <col min="14342" max="14343" width="8.7109375" bestFit="1" customWidth="1"/>
    <col min="14344" max="14344" width="10.140625" bestFit="1" customWidth="1"/>
    <col min="14345" max="14348" width="9.42578125" bestFit="1" customWidth="1"/>
    <col min="14349" max="14349" width="10" bestFit="1" customWidth="1"/>
    <col min="14350" max="14350" width="10.5703125" bestFit="1" customWidth="1"/>
    <col min="14593" max="14593" width="17.85546875" bestFit="1" customWidth="1"/>
    <col min="14594" max="14594" width="15" bestFit="1" customWidth="1"/>
    <col min="14595" max="14595" width="21.85546875" customWidth="1"/>
    <col min="14596" max="14596" width="12.140625" customWidth="1"/>
    <col min="14597" max="14597" width="14.140625" customWidth="1"/>
    <col min="14598" max="14599" width="8.7109375" bestFit="1" customWidth="1"/>
    <col min="14600" max="14600" width="10.140625" bestFit="1" customWidth="1"/>
    <col min="14601" max="14604" width="9.42578125" bestFit="1" customWidth="1"/>
    <col min="14605" max="14605" width="10" bestFit="1" customWidth="1"/>
    <col min="14606" max="14606" width="10.5703125" bestFit="1" customWidth="1"/>
    <col min="14849" max="14849" width="17.85546875" bestFit="1" customWidth="1"/>
    <col min="14850" max="14850" width="15" bestFit="1" customWidth="1"/>
    <col min="14851" max="14851" width="21.85546875" customWidth="1"/>
    <col min="14852" max="14852" width="12.140625" customWidth="1"/>
    <col min="14853" max="14853" width="14.140625" customWidth="1"/>
    <col min="14854" max="14855" width="8.7109375" bestFit="1" customWidth="1"/>
    <col min="14856" max="14856" width="10.140625" bestFit="1" customWidth="1"/>
    <col min="14857" max="14860" width="9.42578125" bestFit="1" customWidth="1"/>
    <col min="14861" max="14861" width="10" bestFit="1" customWidth="1"/>
    <col min="14862" max="14862" width="10.5703125" bestFit="1" customWidth="1"/>
    <col min="15105" max="15105" width="17.85546875" bestFit="1" customWidth="1"/>
    <col min="15106" max="15106" width="15" bestFit="1" customWidth="1"/>
    <col min="15107" max="15107" width="21.85546875" customWidth="1"/>
    <col min="15108" max="15108" width="12.140625" customWidth="1"/>
    <col min="15109" max="15109" width="14.140625" customWidth="1"/>
    <col min="15110" max="15111" width="8.7109375" bestFit="1" customWidth="1"/>
    <col min="15112" max="15112" width="10.140625" bestFit="1" customWidth="1"/>
    <col min="15113" max="15116" width="9.42578125" bestFit="1" customWidth="1"/>
    <col min="15117" max="15117" width="10" bestFit="1" customWidth="1"/>
    <col min="15118" max="15118" width="10.5703125" bestFit="1" customWidth="1"/>
    <col min="15361" max="15361" width="17.85546875" bestFit="1" customWidth="1"/>
    <col min="15362" max="15362" width="15" bestFit="1" customWidth="1"/>
    <col min="15363" max="15363" width="21.85546875" customWidth="1"/>
    <col min="15364" max="15364" width="12.140625" customWidth="1"/>
    <col min="15365" max="15365" width="14.140625" customWidth="1"/>
    <col min="15366" max="15367" width="8.7109375" bestFit="1" customWidth="1"/>
    <col min="15368" max="15368" width="10.140625" bestFit="1" customWidth="1"/>
    <col min="15369" max="15372" width="9.42578125" bestFit="1" customWidth="1"/>
    <col min="15373" max="15373" width="10" bestFit="1" customWidth="1"/>
    <col min="15374" max="15374" width="10.5703125" bestFit="1" customWidth="1"/>
    <col min="15617" max="15617" width="17.85546875" bestFit="1" customWidth="1"/>
    <col min="15618" max="15618" width="15" bestFit="1" customWidth="1"/>
    <col min="15619" max="15619" width="21.85546875" customWidth="1"/>
    <col min="15620" max="15620" width="12.140625" customWidth="1"/>
    <col min="15621" max="15621" width="14.140625" customWidth="1"/>
    <col min="15622" max="15623" width="8.7109375" bestFit="1" customWidth="1"/>
    <col min="15624" max="15624" width="10.140625" bestFit="1" customWidth="1"/>
    <col min="15625" max="15628" width="9.42578125" bestFit="1" customWidth="1"/>
    <col min="15629" max="15629" width="10" bestFit="1" customWidth="1"/>
    <col min="15630" max="15630" width="10.5703125" bestFit="1" customWidth="1"/>
    <col min="15873" max="15873" width="17.85546875" bestFit="1" customWidth="1"/>
    <col min="15874" max="15874" width="15" bestFit="1" customWidth="1"/>
    <col min="15875" max="15875" width="21.85546875" customWidth="1"/>
    <col min="15876" max="15876" width="12.140625" customWidth="1"/>
    <col min="15877" max="15877" width="14.140625" customWidth="1"/>
    <col min="15878" max="15879" width="8.7109375" bestFit="1" customWidth="1"/>
    <col min="15880" max="15880" width="10.140625" bestFit="1" customWidth="1"/>
    <col min="15881" max="15884" width="9.42578125" bestFit="1" customWidth="1"/>
    <col min="15885" max="15885" width="10" bestFit="1" customWidth="1"/>
    <col min="15886" max="15886" width="10.5703125" bestFit="1" customWidth="1"/>
    <col min="16129" max="16129" width="17.85546875" bestFit="1" customWidth="1"/>
    <col min="16130" max="16130" width="15" bestFit="1" customWidth="1"/>
    <col min="16131" max="16131" width="21.85546875" customWidth="1"/>
    <col min="16132" max="16132" width="12.140625" customWidth="1"/>
    <col min="16133" max="16133" width="14.140625" customWidth="1"/>
    <col min="16134" max="16135" width="8.7109375" bestFit="1" customWidth="1"/>
    <col min="16136" max="16136" width="10.140625" bestFit="1" customWidth="1"/>
    <col min="16137" max="16140" width="9.42578125" bestFit="1" customWidth="1"/>
    <col min="16141" max="16141" width="10" bestFit="1" customWidth="1"/>
    <col min="16142" max="16142" width="10.5703125" bestFit="1" customWidth="1"/>
  </cols>
  <sheetData>
    <row r="2" spans="1:13">
      <c r="A2" s="117"/>
      <c r="B2" s="1019" t="s">
        <v>1216</v>
      </c>
      <c r="C2" s="1019"/>
      <c r="D2" s="1019"/>
      <c r="E2" s="1019"/>
      <c r="F2" s="1019"/>
      <c r="G2" s="1019"/>
    </row>
    <row r="3" spans="1:13">
      <c r="A3" s="117"/>
      <c r="B3" s="1019" t="s">
        <v>1215</v>
      </c>
      <c r="C3" s="1019"/>
      <c r="D3" s="1019"/>
      <c r="E3" s="1019"/>
      <c r="F3" s="117"/>
      <c r="G3" s="117"/>
    </row>
    <row r="4" spans="1:13" ht="48.75">
      <c r="A4" s="112" t="s">
        <v>1214</v>
      </c>
      <c r="B4" s="103" t="s">
        <v>1332</v>
      </c>
      <c r="C4" s="112" t="s">
        <v>1212</v>
      </c>
      <c r="D4" s="104">
        <v>905200101</v>
      </c>
      <c r="E4" s="112" t="s">
        <v>1211</v>
      </c>
      <c r="F4" s="104">
        <v>704.39</v>
      </c>
      <c r="G4" s="112" t="s">
        <v>1210</v>
      </c>
      <c r="H4" s="103">
        <v>80</v>
      </c>
      <c r="I4" s="111"/>
      <c r="J4" s="111"/>
      <c r="K4" s="111"/>
      <c r="L4" s="111"/>
    </row>
    <row r="5" spans="1:13">
      <c r="A5" s="808" t="s">
        <v>4176</v>
      </c>
      <c r="B5" s="808"/>
      <c r="C5" s="808"/>
      <c r="D5" s="112"/>
      <c r="E5" s="112"/>
      <c r="F5" s="112"/>
      <c r="G5" s="112"/>
      <c r="H5" s="111"/>
      <c r="I5" s="111"/>
      <c r="J5" s="111"/>
      <c r="K5" s="111"/>
      <c r="L5" s="111"/>
    </row>
    <row r="6" spans="1:13" ht="24.75">
      <c r="A6" s="112" t="s">
        <v>832</v>
      </c>
      <c r="B6" s="103" t="s">
        <v>1334</v>
      </c>
      <c r="C6" s="112" t="s">
        <v>1208</v>
      </c>
      <c r="D6" s="104" t="s">
        <v>1333</v>
      </c>
      <c r="E6" s="112"/>
      <c r="F6" s="112"/>
      <c r="G6" s="112"/>
      <c r="H6" s="111"/>
      <c r="I6" s="111"/>
      <c r="J6" s="111"/>
      <c r="K6" s="111"/>
      <c r="L6" s="111"/>
    </row>
    <row r="7" spans="1:13">
      <c r="A7" s="112"/>
      <c r="B7" s="111"/>
      <c r="C7" s="112"/>
      <c r="D7" s="112"/>
      <c r="E7" s="112"/>
      <c r="F7" s="112"/>
      <c r="G7" s="112"/>
      <c r="H7" s="111"/>
      <c r="I7" s="111"/>
      <c r="J7" s="111"/>
      <c r="K7" s="111"/>
      <c r="L7" s="111"/>
    </row>
    <row r="8" spans="1:13" ht="36.75">
      <c r="A8" s="112" t="s">
        <v>618</v>
      </c>
      <c r="B8" s="116" t="s">
        <v>1330</v>
      </c>
      <c r="C8" s="115" t="s">
        <v>1206</v>
      </c>
      <c r="D8" s="104"/>
      <c r="E8" s="112"/>
      <c r="F8" s="112"/>
      <c r="G8" s="115"/>
      <c r="H8" s="111"/>
      <c r="I8" s="111"/>
      <c r="J8" s="111"/>
      <c r="K8" s="111"/>
      <c r="L8" s="111"/>
    </row>
    <row r="9" spans="1:13">
      <c r="A9" s="112"/>
      <c r="B9" s="111"/>
      <c r="C9" s="112"/>
      <c r="D9" s="112"/>
      <c r="E9" s="112"/>
      <c r="F9" s="112"/>
      <c r="G9" s="112"/>
      <c r="H9" s="111"/>
      <c r="I9" s="111"/>
      <c r="J9" s="111"/>
      <c r="K9" s="111"/>
      <c r="L9" s="111"/>
    </row>
    <row r="10" spans="1:13" ht="24.75">
      <c r="A10" s="104" t="s">
        <v>838</v>
      </c>
      <c r="B10" s="103" t="s">
        <v>1332</v>
      </c>
      <c r="C10" s="104" t="s">
        <v>1331</v>
      </c>
      <c r="D10" s="104"/>
      <c r="E10" s="104"/>
      <c r="F10" s="104"/>
      <c r="G10" s="112"/>
      <c r="H10" s="111"/>
      <c r="I10" s="111"/>
      <c r="J10" s="111"/>
      <c r="K10" s="111"/>
      <c r="L10" s="111"/>
    </row>
    <row r="11" spans="1:13" ht="24.75">
      <c r="A11" s="104" t="s">
        <v>1203</v>
      </c>
      <c r="B11" s="103" t="s">
        <v>1330</v>
      </c>
      <c r="C11" s="104" t="s">
        <v>1329</v>
      </c>
      <c r="D11" s="104"/>
      <c r="E11" s="104"/>
      <c r="F11" s="104"/>
      <c r="G11" s="112"/>
      <c r="H11" s="111"/>
      <c r="I11" s="111"/>
      <c r="J11" s="111"/>
      <c r="K11" s="111"/>
      <c r="L11" s="111"/>
    </row>
    <row r="12" spans="1:13" ht="24.75">
      <c r="A12" s="104" t="s">
        <v>1202</v>
      </c>
      <c r="B12" s="103" t="s">
        <v>1328</v>
      </c>
      <c r="C12" s="104" t="s">
        <v>1327</v>
      </c>
      <c r="D12" s="104" t="s">
        <v>1326</v>
      </c>
      <c r="E12" s="104" t="s">
        <v>1315</v>
      </c>
      <c r="F12" s="114" t="s">
        <v>1325</v>
      </c>
      <c r="G12" s="112"/>
      <c r="H12" s="111"/>
      <c r="I12" s="111"/>
      <c r="J12" s="111"/>
      <c r="K12" s="111"/>
      <c r="L12" s="111"/>
    </row>
    <row r="13" spans="1:13" ht="24.75">
      <c r="A13" s="104" t="s">
        <v>1196</v>
      </c>
      <c r="B13" s="103" t="s">
        <v>1324</v>
      </c>
      <c r="C13" s="104"/>
      <c r="D13" s="104"/>
      <c r="E13" s="104"/>
      <c r="F13" s="104"/>
      <c r="G13" s="112"/>
      <c r="H13" s="111"/>
      <c r="I13" s="111"/>
      <c r="J13" s="111"/>
      <c r="K13" s="111"/>
      <c r="L13" s="111"/>
    </row>
    <row r="14" spans="1:13">
      <c r="A14" s="112"/>
      <c r="B14" s="111"/>
      <c r="C14" s="112"/>
      <c r="D14" s="112"/>
      <c r="E14" s="112"/>
      <c r="F14" s="112"/>
      <c r="G14" s="112"/>
      <c r="H14" s="111"/>
      <c r="I14" s="111"/>
      <c r="J14" s="111"/>
      <c r="K14" s="111"/>
      <c r="L14" s="111"/>
    </row>
    <row r="15" spans="1:13" ht="24.75">
      <c r="A15" s="112" t="s">
        <v>1194</v>
      </c>
      <c r="B15" s="104">
        <v>2</v>
      </c>
      <c r="C15" s="112" t="s">
        <v>1193</v>
      </c>
      <c r="D15" s="104">
        <v>2</v>
      </c>
      <c r="E15" s="112" t="s">
        <v>643</v>
      </c>
      <c r="F15" s="104">
        <v>3</v>
      </c>
      <c r="G15" s="112" t="s">
        <v>644</v>
      </c>
      <c r="H15" s="103">
        <v>2</v>
      </c>
      <c r="I15" s="111" t="s">
        <v>645</v>
      </c>
      <c r="J15" s="103">
        <f>41+11+13+64+62+13</f>
        <v>204</v>
      </c>
      <c r="K15" s="111"/>
      <c r="L15" s="111"/>
    </row>
    <row r="16" spans="1:13" ht="36.75">
      <c r="A16" s="112" t="s">
        <v>1192</v>
      </c>
      <c r="B16" s="111" t="s">
        <v>204</v>
      </c>
      <c r="C16" s="104">
        <v>44</v>
      </c>
      <c r="D16" s="112" t="s">
        <v>205</v>
      </c>
      <c r="E16" s="104">
        <v>0</v>
      </c>
      <c r="F16" s="112" t="s">
        <v>206</v>
      </c>
      <c r="G16" s="104">
        <v>1</v>
      </c>
      <c r="H16" s="111" t="s">
        <v>230</v>
      </c>
      <c r="I16" s="103">
        <f>G16+E16+C16</f>
        <v>45</v>
      </c>
      <c r="J16" s="111" t="s">
        <v>207</v>
      </c>
      <c r="K16" s="103"/>
      <c r="L16" s="112" t="s">
        <v>855</v>
      </c>
      <c r="M16" s="80">
        <v>17</v>
      </c>
    </row>
    <row r="17" spans="1:14" ht="24.75">
      <c r="A17" s="112" t="s">
        <v>1191</v>
      </c>
      <c r="B17" s="111" t="s">
        <v>210</v>
      </c>
      <c r="C17" s="104">
        <v>113</v>
      </c>
      <c r="D17" s="112" t="s">
        <v>211</v>
      </c>
      <c r="E17" s="104">
        <v>0</v>
      </c>
      <c r="F17" s="112" t="s">
        <v>212</v>
      </c>
      <c r="G17" s="104">
        <v>2</v>
      </c>
      <c r="H17" s="111" t="s">
        <v>411</v>
      </c>
      <c r="I17" s="103">
        <f>G17+E17+C17</f>
        <v>115</v>
      </c>
      <c r="J17" s="111"/>
      <c r="K17" s="103"/>
      <c r="L17" s="111"/>
    </row>
    <row r="18" spans="1:14" ht="24.75">
      <c r="A18" s="112"/>
      <c r="B18" s="111" t="s">
        <v>213</v>
      </c>
      <c r="C18" s="104">
        <v>105</v>
      </c>
      <c r="D18" s="112" t="s">
        <v>214</v>
      </c>
      <c r="E18" s="104">
        <v>0</v>
      </c>
      <c r="F18" s="112" t="s">
        <v>215</v>
      </c>
      <c r="G18" s="104">
        <v>2</v>
      </c>
      <c r="H18" s="111" t="s">
        <v>410</v>
      </c>
      <c r="I18" s="103">
        <f>G18+E18+C18</f>
        <v>107</v>
      </c>
      <c r="J18" s="111"/>
      <c r="K18" s="103"/>
      <c r="L18" s="111"/>
    </row>
    <row r="19" spans="1:14">
      <c r="A19" s="112"/>
      <c r="B19" s="111"/>
      <c r="C19" s="112"/>
      <c r="D19" s="112"/>
      <c r="E19" s="112"/>
      <c r="F19" s="112"/>
      <c r="G19" s="112"/>
      <c r="H19" s="111"/>
      <c r="I19" s="111"/>
      <c r="J19" s="111"/>
      <c r="K19" s="111"/>
      <c r="L19" s="111"/>
    </row>
    <row r="20" spans="1:14">
      <c r="A20" s="113" t="s">
        <v>409</v>
      </c>
      <c r="B20" s="111"/>
      <c r="C20" s="112"/>
      <c r="D20" s="112"/>
      <c r="E20" s="112"/>
      <c r="F20" s="112"/>
      <c r="G20" s="112"/>
      <c r="H20" s="111"/>
      <c r="I20" s="111"/>
      <c r="J20" s="111"/>
      <c r="K20" s="111"/>
      <c r="L20" s="111"/>
    </row>
    <row r="21" spans="1:14" ht="15" customHeight="1">
      <c r="A21" s="1020" t="s">
        <v>1190</v>
      </c>
      <c r="B21" s="1021" t="s">
        <v>1189</v>
      </c>
      <c r="C21" s="1020" t="s">
        <v>1188</v>
      </c>
      <c r="D21" s="1020" t="s">
        <v>1187</v>
      </c>
      <c r="E21" s="1020" t="s">
        <v>1186</v>
      </c>
      <c r="F21" s="1022" t="s">
        <v>1185</v>
      </c>
      <c r="G21" s="1023"/>
      <c r="H21" s="1023"/>
      <c r="I21" s="1023"/>
      <c r="J21" s="1023"/>
      <c r="K21" s="1023"/>
      <c r="L21" s="1023"/>
      <c r="M21" s="1023"/>
      <c r="N21" s="1024"/>
    </row>
    <row r="22" spans="1:14">
      <c r="A22" s="1020"/>
      <c r="B22" s="1021"/>
      <c r="C22" s="1020"/>
      <c r="D22" s="1020"/>
      <c r="E22" s="1020"/>
      <c r="F22" s="104" t="s">
        <v>1184</v>
      </c>
      <c r="G22" s="104" t="s">
        <v>1183</v>
      </c>
      <c r="H22" s="104" t="s">
        <v>1182</v>
      </c>
      <c r="I22" s="103" t="s">
        <v>1181</v>
      </c>
      <c r="J22" s="103" t="s">
        <v>1180</v>
      </c>
      <c r="K22" s="103" t="s">
        <v>1179</v>
      </c>
      <c r="L22" s="103" t="s">
        <v>1178</v>
      </c>
      <c r="M22" s="110" t="s">
        <v>230</v>
      </c>
      <c r="N22" s="109" t="s">
        <v>231</v>
      </c>
    </row>
    <row r="23" spans="1:14" ht="24.75">
      <c r="A23" s="104" t="s">
        <v>232</v>
      </c>
      <c r="B23" s="103">
        <v>8000</v>
      </c>
      <c r="C23" s="5" t="s">
        <v>1175</v>
      </c>
      <c r="D23" s="106">
        <f>ROUND((+B23*F4),0)/100000</f>
        <v>56.351199999999999</v>
      </c>
      <c r="E23" s="101">
        <f>5635119/100000</f>
        <v>56.351190000000003</v>
      </c>
      <c r="F23" s="100">
        <v>0</v>
      </c>
      <c r="G23" s="100">
        <f>14307/100000</f>
        <v>0.14307</v>
      </c>
      <c r="H23" s="100">
        <f>636536/100000</f>
        <v>6.3653599999999999</v>
      </c>
      <c r="I23" s="100">
        <f>1698674/100000</f>
        <v>16.986740000000001</v>
      </c>
      <c r="J23" s="100">
        <f>2120304/100000</f>
        <v>21.203040000000001</v>
      </c>
      <c r="K23" s="100">
        <f>1156885/100000</f>
        <v>11.568849999999999</v>
      </c>
      <c r="L23" s="100">
        <v>0</v>
      </c>
      <c r="M23" s="99">
        <f>SUM(F23:L23)</f>
        <v>56.267060000000001</v>
      </c>
      <c r="N23" s="98">
        <f>ROUND(M23/E23*100,0)</f>
        <v>100</v>
      </c>
    </row>
    <row r="24" spans="1:14" ht="24.75">
      <c r="A24" s="104" t="s">
        <v>234</v>
      </c>
      <c r="B24" s="103">
        <v>7000</v>
      </c>
      <c r="C24" s="102" t="s">
        <v>1175</v>
      </c>
      <c r="D24" s="106">
        <f>B24*80/100000</f>
        <v>5.6</v>
      </c>
      <c r="E24" s="108">
        <f>560000/100000</f>
        <v>5.6</v>
      </c>
      <c r="F24" s="100">
        <v>0</v>
      </c>
      <c r="G24" s="100">
        <v>0</v>
      </c>
      <c r="H24" s="100">
        <v>0</v>
      </c>
      <c r="I24" s="100">
        <v>0</v>
      </c>
      <c r="J24" s="100"/>
      <c r="K24" s="100">
        <f>232800/100000</f>
        <v>2.3279999999999998</v>
      </c>
      <c r="L24" s="100">
        <f>286294/100000</f>
        <v>2.86294</v>
      </c>
      <c r="M24" s="105">
        <f t="shared" ref="M24:M30" si="0">SUM(F24:L24)</f>
        <v>5.1909399999999994</v>
      </c>
      <c r="N24" s="98">
        <f t="shared" ref="N24:N30" si="1">ROUND(M24/E24*100,0)</f>
        <v>93</v>
      </c>
    </row>
    <row r="25" spans="1:14" ht="36.75">
      <c r="A25" s="104" t="s">
        <v>235</v>
      </c>
      <c r="B25" s="103">
        <v>86</v>
      </c>
      <c r="C25" s="102" t="s">
        <v>236</v>
      </c>
      <c r="D25" s="108">
        <v>0.43</v>
      </c>
      <c r="E25" s="108">
        <f>43000/100000</f>
        <v>0.43</v>
      </c>
      <c r="F25" s="100">
        <v>0</v>
      </c>
      <c r="G25" s="100">
        <v>0</v>
      </c>
      <c r="H25" s="100">
        <v>0</v>
      </c>
      <c r="I25" s="100">
        <f>18000/100000</f>
        <v>0.18</v>
      </c>
      <c r="J25" s="100">
        <f>15000/100000</f>
        <v>0.15</v>
      </c>
      <c r="K25" s="100">
        <f>22000/100000</f>
        <v>0.22</v>
      </c>
      <c r="L25" s="100">
        <f>20000/100000</f>
        <v>0.2</v>
      </c>
      <c r="M25" s="105">
        <f t="shared" si="0"/>
        <v>0.75</v>
      </c>
      <c r="N25" s="98">
        <f t="shared" si="1"/>
        <v>174</v>
      </c>
    </row>
    <row r="26" spans="1:14" ht="36.75">
      <c r="A26" s="104" t="s">
        <v>237</v>
      </c>
      <c r="B26" s="103">
        <v>68</v>
      </c>
      <c r="C26" s="102" t="s">
        <v>236</v>
      </c>
      <c r="D26" s="108">
        <v>0.34</v>
      </c>
      <c r="E26" s="108">
        <f>34000/100000</f>
        <v>0.34</v>
      </c>
      <c r="F26" s="100">
        <v>0</v>
      </c>
      <c r="G26" s="100">
        <v>0</v>
      </c>
      <c r="H26" s="100">
        <v>0</v>
      </c>
      <c r="I26" s="100">
        <f>16224/100000</f>
        <v>0.16224</v>
      </c>
      <c r="J26" s="100">
        <f>11776/100000</f>
        <v>0.11776</v>
      </c>
      <c r="K26" s="100">
        <f>6000/100000</f>
        <v>0.06</v>
      </c>
      <c r="L26" s="100">
        <v>0</v>
      </c>
      <c r="M26" s="105">
        <f t="shared" si="0"/>
        <v>0.34</v>
      </c>
      <c r="N26" s="98">
        <f t="shared" si="1"/>
        <v>100</v>
      </c>
    </row>
    <row r="27" spans="1:14" ht="24.75">
      <c r="A27" s="104" t="s">
        <v>238</v>
      </c>
      <c r="B27" s="103">
        <v>1200</v>
      </c>
      <c r="C27" s="102" t="s">
        <v>1175</v>
      </c>
      <c r="D27" s="106">
        <f>B27*F4/100000</f>
        <v>8.4526800000000009</v>
      </c>
      <c r="E27" s="108">
        <f>845268/100000</f>
        <v>8.4526800000000009</v>
      </c>
      <c r="F27" s="100">
        <v>0</v>
      </c>
      <c r="G27" s="100">
        <v>0</v>
      </c>
      <c r="H27" s="100">
        <v>0</v>
      </c>
      <c r="I27" s="100">
        <v>0</v>
      </c>
      <c r="J27" s="100"/>
      <c r="K27" s="100">
        <f>101250/100000</f>
        <v>1.0125</v>
      </c>
      <c r="L27" s="100">
        <f>217778/100000</f>
        <v>2.1777799999999998</v>
      </c>
      <c r="M27" s="105">
        <f t="shared" si="0"/>
        <v>3.1902799999999996</v>
      </c>
      <c r="N27" s="98">
        <f t="shared" si="1"/>
        <v>38</v>
      </c>
    </row>
    <row r="28" spans="1:14" ht="24.75">
      <c r="A28" s="104" t="s">
        <v>667</v>
      </c>
      <c r="B28" s="103">
        <v>565</v>
      </c>
      <c r="C28" s="102" t="s">
        <v>1175</v>
      </c>
      <c r="D28" s="106">
        <f>ROUND((B28*F4),0)/100000</f>
        <v>3.9798</v>
      </c>
      <c r="E28" s="108">
        <f>397981/100000</f>
        <v>3.9798100000000001</v>
      </c>
      <c r="F28" s="100">
        <v>0</v>
      </c>
      <c r="G28" s="100">
        <v>0</v>
      </c>
      <c r="H28" s="100">
        <v>0</v>
      </c>
      <c r="I28" s="100">
        <f>16035/100000</f>
        <v>0.16034999999999999</v>
      </c>
      <c r="J28" s="100">
        <f>381946/100000</f>
        <v>3.8194599999999999</v>
      </c>
      <c r="K28" s="100">
        <v>0</v>
      </c>
      <c r="L28" s="100">
        <v>0</v>
      </c>
      <c r="M28" s="107">
        <f t="shared" si="0"/>
        <v>3.9798099999999996</v>
      </c>
      <c r="N28" s="98">
        <f t="shared" si="1"/>
        <v>100</v>
      </c>
    </row>
    <row r="29" spans="1:14" ht="24.75">
      <c r="A29" s="104" t="s">
        <v>1176</v>
      </c>
      <c r="B29" s="103">
        <v>1000</v>
      </c>
      <c r="C29" s="102" t="s">
        <v>1175</v>
      </c>
      <c r="D29" s="106">
        <f>B29*F4/100000</f>
        <v>7.0438999999999998</v>
      </c>
      <c r="E29" s="101">
        <f>704390/100000</f>
        <v>7.0438999999999998</v>
      </c>
      <c r="F29" s="100">
        <v>0</v>
      </c>
      <c r="G29" s="100">
        <v>0</v>
      </c>
      <c r="H29" s="100">
        <f>100000/100000</f>
        <v>1</v>
      </c>
      <c r="I29" s="100">
        <v>0</v>
      </c>
      <c r="J29" s="100">
        <v>0</v>
      </c>
      <c r="K29" s="100">
        <f>175000/100000</f>
        <v>1.75</v>
      </c>
      <c r="L29" s="100">
        <f>383438/100000</f>
        <v>3.8343799999999999</v>
      </c>
      <c r="M29" s="99">
        <f t="shared" si="0"/>
        <v>6.5843799999999995</v>
      </c>
      <c r="N29" s="98">
        <f t="shared" si="1"/>
        <v>93</v>
      </c>
    </row>
    <row r="30" spans="1:14" ht="24.75">
      <c r="A30" s="104" t="s">
        <v>394</v>
      </c>
      <c r="B30" s="103">
        <f>250*5+750+500</f>
        <v>2500</v>
      </c>
      <c r="C30" s="102" t="s">
        <v>242</v>
      </c>
      <c r="D30" s="101">
        <v>1.92</v>
      </c>
      <c r="E30" s="101">
        <f>192000/100000</f>
        <v>1.92</v>
      </c>
      <c r="F30" s="100">
        <v>0</v>
      </c>
      <c r="G30" s="100">
        <v>0</v>
      </c>
      <c r="H30" s="100">
        <f>28225/100000</f>
        <v>0.28225</v>
      </c>
      <c r="I30" s="100">
        <f>64440/100000</f>
        <v>0.64439999999999997</v>
      </c>
      <c r="J30" s="100">
        <f>33335/100000</f>
        <v>0.33334999999999998</v>
      </c>
      <c r="K30" s="100">
        <f>32720/100000</f>
        <v>0.32719999999999999</v>
      </c>
      <c r="L30" s="100">
        <f>56/100000</f>
        <v>5.5999999999999995E-4</v>
      </c>
      <c r="M30" s="99">
        <f t="shared" si="0"/>
        <v>1.5877599999999998</v>
      </c>
      <c r="N30" s="98">
        <f t="shared" si="1"/>
        <v>83</v>
      </c>
    </row>
    <row r="31" spans="1:14">
      <c r="A31" s="97" t="s">
        <v>230</v>
      </c>
      <c r="B31" s="96"/>
      <c r="C31" s="95"/>
      <c r="D31" s="94">
        <f t="shared" ref="D31:M31" si="2">SUM(D23:D30)</f>
        <v>84.11757999999999</v>
      </c>
      <c r="E31" s="94">
        <f t="shared" si="2"/>
        <v>84.117580000000004</v>
      </c>
      <c r="F31" s="92">
        <f t="shared" si="2"/>
        <v>0</v>
      </c>
      <c r="G31" s="92">
        <f t="shared" si="2"/>
        <v>0.14307</v>
      </c>
      <c r="H31" s="92">
        <f t="shared" si="2"/>
        <v>7.6476100000000002</v>
      </c>
      <c r="I31" s="92">
        <f t="shared" si="2"/>
        <v>18.133730000000003</v>
      </c>
      <c r="J31" s="92">
        <f t="shared" si="2"/>
        <v>25.623609999999999</v>
      </c>
      <c r="K31" s="92">
        <f t="shared" si="2"/>
        <v>17.266549999999999</v>
      </c>
      <c r="L31" s="92">
        <f t="shared" si="2"/>
        <v>9.0756599999999992</v>
      </c>
      <c r="M31" s="92">
        <f t="shared" si="2"/>
        <v>77.890230000000003</v>
      </c>
      <c r="N31" s="91">
        <f>ROUND(M31/E31*100,0)</f>
        <v>93</v>
      </c>
    </row>
    <row r="32" spans="1:14" ht="18.75" customHeight="1">
      <c r="A32" s="117"/>
      <c r="C32" s="117"/>
      <c r="D32" s="117"/>
      <c r="E32" s="117"/>
      <c r="F32" s="117"/>
      <c r="G32" s="117"/>
    </row>
    <row r="33" spans="1:14">
      <c r="A33" s="1025" t="s">
        <v>1217</v>
      </c>
      <c r="B33" s="1025"/>
      <c r="C33" s="1025"/>
      <c r="D33" s="1025"/>
      <c r="E33" s="1025"/>
      <c r="F33" s="1025"/>
      <c r="G33" s="1025"/>
      <c r="H33" s="1025"/>
      <c r="I33" s="1025"/>
      <c r="J33" s="1025"/>
      <c r="K33" s="1025"/>
      <c r="L33" s="1025"/>
      <c r="M33" s="1025"/>
      <c r="N33" s="1025"/>
    </row>
    <row r="34" spans="1:14">
      <c r="A34" s="117"/>
      <c r="C34" s="117"/>
      <c r="D34" s="117"/>
      <c r="E34" s="117"/>
      <c r="F34" s="117"/>
      <c r="G34" s="117"/>
    </row>
    <row r="35" spans="1:14">
      <c r="A35" s="117"/>
      <c r="C35" s="117"/>
      <c r="D35" s="117"/>
      <c r="E35" s="117"/>
      <c r="F35" s="117"/>
      <c r="G35" s="117"/>
    </row>
    <row r="36" spans="1:14">
      <c r="A36" s="117"/>
      <c r="C36" s="117"/>
      <c r="D36" s="117"/>
      <c r="E36" s="117"/>
      <c r="F36" s="117"/>
      <c r="G36" s="117"/>
    </row>
    <row r="37" spans="1:14">
      <c r="A37" s="117"/>
      <c r="C37" s="117"/>
      <c r="D37" s="117"/>
      <c r="E37" s="117"/>
      <c r="F37" s="117"/>
      <c r="G37" s="117"/>
    </row>
    <row r="38" spans="1:14">
      <c r="A38" s="117"/>
      <c r="C38" s="117"/>
      <c r="D38" s="117"/>
      <c r="E38" s="117"/>
      <c r="F38" s="117"/>
      <c r="G38" s="117"/>
    </row>
    <row r="39" spans="1:14">
      <c r="A39" s="117"/>
      <c r="C39" s="117"/>
      <c r="D39" s="117"/>
      <c r="E39" s="117"/>
      <c r="F39" s="117"/>
      <c r="G39" s="117"/>
    </row>
    <row r="40" spans="1:14">
      <c r="A40" s="117"/>
      <c r="C40" s="117"/>
      <c r="D40" s="117"/>
      <c r="E40" s="117"/>
      <c r="F40" s="117"/>
      <c r="G40" s="117"/>
    </row>
    <row r="41" spans="1:14">
      <c r="A41" s="117"/>
      <c r="C41" s="117"/>
      <c r="D41" s="117"/>
      <c r="E41" s="117"/>
      <c r="F41" s="117"/>
      <c r="G41" s="117"/>
    </row>
    <row r="42" spans="1:14">
      <c r="A42" s="117"/>
      <c r="C42" s="117"/>
      <c r="D42" s="117"/>
      <c r="E42" s="117"/>
      <c r="F42" s="117"/>
      <c r="G42" s="117"/>
    </row>
    <row r="43" spans="1:14">
      <c r="A43" s="117"/>
      <c r="C43" s="117"/>
      <c r="D43" s="117"/>
      <c r="E43" s="117"/>
      <c r="F43" s="117"/>
      <c r="G43" s="117"/>
    </row>
    <row r="44" spans="1:14">
      <c r="A44" s="117"/>
      <c r="C44" s="117"/>
      <c r="D44" s="117"/>
      <c r="E44" s="117"/>
      <c r="F44" s="117"/>
      <c r="G44" s="117"/>
    </row>
    <row r="45" spans="1:14">
      <c r="A45" s="117"/>
      <c r="C45" s="117"/>
      <c r="D45" s="117"/>
      <c r="E45" s="117"/>
      <c r="F45" s="117"/>
      <c r="G45" s="117"/>
    </row>
    <row r="46" spans="1:14">
      <c r="A46" s="117"/>
      <c r="C46" s="117"/>
      <c r="D46" s="117"/>
      <c r="E46" s="117"/>
      <c r="F46" s="117"/>
      <c r="G46" s="117"/>
    </row>
    <row r="47" spans="1:14">
      <c r="A47" s="117"/>
      <c r="C47" s="117"/>
      <c r="D47" s="117"/>
      <c r="E47" s="117"/>
      <c r="F47" s="117"/>
      <c r="G47" s="117"/>
    </row>
    <row r="48" spans="1:14">
      <c r="A48" s="117"/>
      <c r="C48" s="117"/>
      <c r="D48" s="117"/>
      <c r="E48" s="117"/>
      <c r="F48" s="117"/>
      <c r="G48" s="117"/>
    </row>
    <row r="49" spans="1:7">
      <c r="A49" s="117"/>
      <c r="C49" s="117"/>
      <c r="D49" s="117"/>
      <c r="E49" s="117"/>
      <c r="F49" s="117"/>
      <c r="G49" s="117"/>
    </row>
    <row r="50" spans="1:7">
      <c r="A50" s="117"/>
      <c r="C50" s="117"/>
      <c r="D50" s="117"/>
      <c r="E50" s="117"/>
      <c r="F50" s="117"/>
      <c r="G50" s="117"/>
    </row>
    <row r="51" spans="1:7">
      <c r="A51" s="117"/>
      <c r="C51" s="117"/>
      <c r="D51" s="117"/>
      <c r="E51" s="117"/>
      <c r="F51" s="117"/>
      <c r="G51" s="117"/>
    </row>
    <row r="52" spans="1:7">
      <c r="A52" s="117"/>
      <c r="C52" s="117"/>
      <c r="D52" s="117"/>
      <c r="E52" s="117"/>
      <c r="F52" s="117"/>
      <c r="G52" s="117"/>
    </row>
    <row r="53" spans="1:7">
      <c r="A53" s="117"/>
      <c r="C53" s="117"/>
      <c r="D53" s="117"/>
      <c r="E53" s="117"/>
      <c r="F53" s="117"/>
      <c r="G53" s="117"/>
    </row>
    <row r="54" spans="1:7">
      <c r="A54" s="117"/>
      <c r="C54" s="117"/>
      <c r="D54" s="117"/>
      <c r="E54" s="117"/>
      <c r="F54" s="117"/>
      <c r="G54" s="117"/>
    </row>
    <row r="55" spans="1:7">
      <c r="A55" s="117"/>
      <c r="C55" s="117"/>
      <c r="D55" s="117"/>
      <c r="E55" s="117"/>
      <c r="F55" s="117"/>
      <c r="G55" s="117"/>
    </row>
    <row r="56" spans="1:7">
      <c r="A56" s="117"/>
      <c r="C56" s="117"/>
      <c r="D56" s="117"/>
      <c r="E56" s="117"/>
      <c r="F56" s="117"/>
      <c r="G56" s="117"/>
    </row>
    <row r="57" spans="1:7">
      <c r="A57" s="117"/>
      <c r="C57" s="117"/>
      <c r="D57" s="117"/>
      <c r="E57" s="117"/>
      <c r="F57" s="117"/>
      <c r="G57" s="117"/>
    </row>
    <row r="58" spans="1:7">
      <c r="A58" s="117"/>
      <c r="C58" s="117"/>
      <c r="D58" s="117"/>
      <c r="E58" s="117"/>
      <c r="F58" s="117"/>
      <c r="G58" s="117"/>
    </row>
    <row r="59" spans="1:7">
      <c r="A59" s="117"/>
      <c r="C59" s="117"/>
      <c r="D59" s="117"/>
      <c r="E59" s="117"/>
      <c r="F59" s="117"/>
      <c r="G59" s="117"/>
    </row>
    <row r="60" spans="1:7">
      <c r="A60" s="117"/>
      <c r="C60" s="117"/>
      <c r="D60" s="117"/>
      <c r="E60" s="117"/>
      <c r="F60" s="117"/>
      <c r="G60" s="117"/>
    </row>
    <row r="61" spans="1:7">
      <c r="A61" s="117"/>
      <c r="C61" s="117"/>
      <c r="D61" s="117"/>
      <c r="E61" s="117"/>
      <c r="F61" s="117"/>
      <c r="G61" s="117"/>
    </row>
    <row r="62" spans="1:7">
      <c r="A62" s="117"/>
      <c r="C62" s="117"/>
      <c r="D62" s="117"/>
      <c r="E62" s="117"/>
      <c r="F62" s="117"/>
      <c r="G62" s="117"/>
    </row>
    <row r="63" spans="1:7">
      <c r="A63" s="117"/>
      <c r="C63" s="117"/>
      <c r="D63" s="117"/>
      <c r="E63" s="117"/>
      <c r="F63" s="117"/>
      <c r="G63" s="117"/>
    </row>
    <row r="64" spans="1:7">
      <c r="A64" s="117"/>
      <c r="C64" s="117"/>
      <c r="D64" s="117"/>
      <c r="E64" s="117"/>
      <c r="F64" s="117"/>
      <c r="G64" s="117"/>
    </row>
    <row r="65" spans="1:7">
      <c r="A65" s="117"/>
      <c r="C65" s="117"/>
      <c r="D65" s="117"/>
      <c r="E65" s="117"/>
      <c r="F65" s="117"/>
      <c r="G65" s="117"/>
    </row>
    <row r="66" spans="1:7">
      <c r="A66" s="117"/>
      <c r="C66" s="117"/>
      <c r="D66" s="117"/>
      <c r="E66" s="117"/>
      <c r="F66" s="117"/>
      <c r="G66" s="117"/>
    </row>
    <row r="67" spans="1:7">
      <c r="A67" s="117"/>
      <c r="C67" s="117"/>
      <c r="D67" s="117"/>
      <c r="E67" s="117"/>
      <c r="F67" s="117"/>
      <c r="G67" s="117"/>
    </row>
    <row r="68" spans="1:7">
      <c r="A68" s="117"/>
      <c r="C68" s="117"/>
      <c r="D68" s="117"/>
      <c r="E68" s="117"/>
      <c r="F68" s="117"/>
      <c r="G68" s="117"/>
    </row>
    <row r="69" spans="1:7">
      <c r="A69" s="117"/>
      <c r="C69" s="117"/>
      <c r="D69" s="117"/>
      <c r="E69" s="117"/>
      <c r="F69" s="117"/>
      <c r="G69" s="117"/>
    </row>
    <row r="70" spans="1:7">
      <c r="A70" s="117"/>
      <c r="C70" s="117"/>
      <c r="D70" s="117"/>
      <c r="E70" s="117"/>
      <c r="F70" s="117"/>
      <c r="G70" s="117"/>
    </row>
    <row r="71" spans="1:7">
      <c r="A71" s="117"/>
      <c r="C71" s="117"/>
      <c r="D71" s="117"/>
      <c r="E71" s="117"/>
      <c r="F71" s="117"/>
      <c r="G71" s="117"/>
    </row>
    <row r="72" spans="1:7">
      <c r="A72" s="117"/>
      <c r="C72" s="117"/>
      <c r="D72" s="117"/>
      <c r="E72" s="117"/>
      <c r="F72" s="117"/>
      <c r="G72" s="117"/>
    </row>
    <row r="73" spans="1:7">
      <c r="A73" s="117"/>
      <c r="C73" s="117"/>
      <c r="D73" s="117"/>
      <c r="E73" s="117"/>
      <c r="F73" s="117"/>
      <c r="G73" s="117"/>
    </row>
    <row r="74" spans="1:7">
      <c r="A74" s="117"/>
      <c r="C74" s="117"/>
      <c r="D74" s="117"/>
      <c r="E74" s="117"/>
      <c r="F74" s="117"/>
      <c r="G74" s="117"/>
    </row>
    <row r="75" spans="1:7">
      <c r="A75" s="117"/>
      <c r="C75" s="117"/>
      <c r="D75" s="117"/>
      <c r="E75" s="117"/>
      <c r="F75" s="117"/>
      <c r="G75" s="117"/>
    </row>
    <row r="76" spans="1:7">
      <c r="A76" s="117"/>
      <c r="C76" s="117"/>
      <c r="D76" s="117"/>
      <c r="E76" s="117"/>
      <c r="F76" s="117"/>
      <c r="G76" s="117"/>
    </row>
    <row r="77" spans="1:7">
      <c r="A77" s="117"/>
      <c r="C77" s="117"/>
      <c r="D77" s="117"/>
      <c r="E77" s="117"/>
      <c r="F77" s="117"/>
      <c r="G77" s="117"/>
    </row>
    <row r="78" spans="1:7">
      <c r="A78" s="117"/>
      <c r="C78" s="117"/>
      <c r="D78" s="117"/>
      <c r="E78" s="117"/>
      <c r="F78" s="117"/>
      <c r="G78" s="117"/>
    </row>
    <row r="79" spans="1:7">
      <c r="A79" s="117"/>
      <c r="C79" s="117"/>
      <c r="D79" s="117"/>
      <c r="E79" s="117"/>
      <c r="F79" s="117"/>
      <c r="G79" s="117"/>
    </row>
    <row r="80" spans="1:7">
      <c r="A80" s="117"/>
      <c r="C80" s="117"/>
      <c r="D80" s="117"/>
      <c r="E80" s="117"/>
      <c r="F80" s="117"/>
      <c r="G80" s="117"/>
    </row>
    <row r="81" spans="1:7">
      <c r="A81" s="117"/>
      <c r="C81" s="117"/>
      <c r="D81" s="117"/>
      <c r="E81" s="117"/>
      <c r="F81" s="117"/>
      <c r="G81" s="117"/>
    </row>
    <row r="82" spans="1:7">
      <c r="A82" s="117"/>
      <c r="C82" s="117"/>
      <c r="D82" s="117"/>
      <c r="E82" s="117"/>
      <c r="F82" s="117"/>
      <c r="G82" s="117"/>
    </row>
    <row r="83" spans="1:7">
      <c r="A83" s="117"/>
      <c r="C83" s="117"/>
      <c r="D83" s="117"/>
      <c r="E83" s="117"/>
      <c r="F83" s="117"/>
      <c r="G83" s="117"/>
    </row>
    <row r="84" spans="1:7">
      <c r="A84" s="117"/>
      <c r="C84" s="117"/>
      <c r="D84" s="117"/>
      <c r="E84" s="117"/>
      <c r="F84" s="117"/>
      <c r="G84" s="117"/>
    </row>
    <row r="85" spans="1:7">
      <c r="A85" s="117"/>
      <c r="C85" s="117"/>
      <c r="D85" s="117"/>
      <c r="E85" s="117"/>
      <c r="F85" s="117"/>
      <c r="G85" s="117"/>
    </row>
    <row r="86" spans="1:7">
      <c r="A86" s="117"/>
      <c r="C86" s="117"/>
      <c r="D86" s="117"/>
      <c r="E86" s="117"/>
      <c r="F86" s="117"/>
      <c r="G86" s="117"/>
    </row>
    <row r="87" spans="1:7">
      <c r="A87" s="117"/>
      <c r="C87" s="117"/>
      <c r="D87" s="117"/>
      <c r="E87" s="117"/>
      <c r="F87" s="117"/>
      <c r="G87" s="117"/>
    </row>
    <row r="88" spans="1:7">
      <c r="A88" s="117"/>
      <c r="C88" s="117"/>
      <c r="D88" s="117"/>
      <c r="E88" s="117"/>
      <c r="F88" s="117"/>
      <c r="G88" s="117"/>
    </row>
  </sheetData>
  <mergeCells count="10">
    <mergeCell ref="A33:N33"/>
    <mergeCell ref="B2:G2"/>
    <mergeCell ref="B3:E3"/>
    <mergeCell ref="A21:A22"/>
    <mergeCell ref="B21:B22"/>
    <mergeCell ref="C21:C22"/>
    <mergeCell ref="D21:D22"/>
    <mergeCell ref="E21:E22"/>
    <mergeCell ref="F21:N21"/>
    <mergeCell ref="A5:C5"/>
  </mergeCells>
  <hyperlinks>
    <hyperlink ref="A5" location="'Fact Sheet of VDC'!A1" display="&lt;&lt;Back"/>
  </hyperlinks>
  <pageMargins left="0.96" right="0.25" top="0.11" bottom="0.52" header="7.0000000000000007E-2" footer="0.5"/>
  <pageSetup scale="62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471</v>
      </c>
      <c r="H6" t="s">
        <v>437</v>
      </c>
      <c r="K6" t="s">
        <v>5713</v>
      </c>
      <c r="R6" t="s">
        <v>172</v>
      </c>
      <c r="T6">
        <v>523</v>
      </c>
      <c r="U6" t="s">
        <v>436</v>
      </c>
      <c r="W6">
        <v>40</v>
      </c>
    </row>
    <row r="9" spans="1:23">
      <c r="A9" t="s">
        <v>435</v>
      </c>
      <c r="D9" t="s">
        <v>470</v>
      </c>
      <c r="H9" t="s">
        <v>176</v>
      </c>
      <c r="K9" t="s">
        <v>469</v>
      </c>
    </row>
    <row r="12" spans="1:23">
      <c r="A12" t="s">
        <v>432</v>
      </c>
      <c r="H12" t="s">
        <v>431</v>
      </c>
      <c r="K12" t="s">
        <v>468</v>
      </c>
    </row>
    <row r="13" spans="1:23">
      <c r="H13" t="s">
        <v>429</v>
      </c>
    </row>
    <row r="17" spans="1:24">
      <c r="A17" t="s">
        <v>428</v>
      </c>
      <c r="D17" t="s">
        <v>467</v>
      </c>
      <c r="G17" t="s">
        <v>466</v>
      </c>
      <c r="K17" t="s">
        <v>465</v>
      </c>
    </row>
    <row r="18" spans="1:24">
      <c r="A18" t="s">
        <v>425</v>
      </c>
      <c r="D18" t="s">
        <v>464</v>
      </c>
      <c r="G18" t="s">
        <v>463</v>
      </c>
      <c r="K18" t="s">
        <v>462</v>
      </c>
    </row>
    <row r="19" spans="1:24">
      <c r="A19" t="s">
        <v>192</v>
      </c>
      <c r="D19" t="s">
        <v>461</v>
      </c>
      <c r="G19" t="s">
        <v>460</v>
      </c>
      <c r="K19" t="s">
        <v>459</v>
      </c>
    </row>
    <row r="20" spans="1:24">
      <c r="A20" t="s">
        <v>420</v>
      </c>
      <c r="D20" t="s">
        <v>458</v>
      </c>
      <c r="G20" t="s">
        <v>419</v>
      </c>
      <c r="K20" t="s">
        <v>457</v>
      </c>
      <c r="O20" t="s">
        <v>419</v>
      </c>
    </row>
    <row r="23" spans="1:24">
      <c r="A23" t="s">
        <v>198</v>
      </c>
      <c r="E23">
        <v>3</v>
      </c>
      <c r="G23" t="s">
        <v>418</v>
      </c>
      <c r="J23">
        <v>3</v>
      </c>
      <c r="L23" t="s">
        <v>200</v>
      </c>
      <c r="N23">
        <v>9</v>
      </c>
      <c r="S23" t="s">
        <v>417</v>
      </c>
      <c r="U23">
        <v>1</v>
      </c>
      <c r="W23" t="s">
        <v>202</v>
      </c>
      <c r="X23">
        <v>25</v>
      </c>
    </row>
    <row r="26" spans="1:24">
      <c r="A26" t="s">
        <v>416</v>
      </c>
      <c r="D26" t="s">
        <v>204</v>
      </c>
      <c r="E26">
        <v>85</v>
      </c>
      <c r="G26" t="s">
        <v>205</v>
      </c>
      <c r="H26">
        <v>31</v>
      </c>
      <c r="J26" t="s">
        <v>415</v>
      </c>
      <c r="K26">
        <v>13</v>
      </c>
      <c r="M26" t="s">
        <v>230</v>
      </c>
      <c r="N26">
        <f>E26+H26+K26</f>
        <v>129</v>
      </c>
      <c r="S26" t="s">
        <v>414</v>
      </c>
      <c r="T26">
        <v>23</v>
      </c>
      <c r="V26" t="s">
        <v>456</v>
      </c>
    </row>
    <row r="27" spans="1:24">
      <c r="A27" t="s">
        <v>412</v>
      </c>
      <c r="D27" t="s">
        <v>210</v>
      </c>
      <c r="E27">
        <v>162</v>
      </c>
      <c r="G27" t="s">
        <v>211</v>
      </c>
      <c r="H27">
        <v>67</v>
      </c>
      <c r="J27" t="s">
        <v>212</v>
      </c>
      <c r="K27">
        <v>31</v>
      </c>
      <c r="M27" t="s">
        <v>411</v>
      </c>
      <c r="N27">
        <f>E27+H27+K27</f>
        <v>260</v>
      </c>
    </row>
    <row r="28" spans="1:24">
      <c r="D28" t="s">
        <v>213</v>
      </c>
      <c r="E28">
        <v>228</v>
      </c>
      <c r="G28" t="s">
        <v>214</v>
      </c>
      <c r="H28">
        <v>74</v>
      </c>
      <c r="J28" t="s">
        <v>215</v>
      </c>
      <c r="K28">
        <v>25</v>
      </c>
      <c r="M28" t="s">
        <v>410</v>
      </c>
      <c r="N28">
        <f>E28+H28+K28</f>
        <v>327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41.84</v>
      </c>
      <c r="G37">
        <v>4184000</v>
      </c>
      <c r="J37">
        <f>134132+9094</f>
        <v>143226</v>
      </c>
      <c r="L37">
        <v>2233288</v>
      </c>
      <c r="N37">
        <v>815337</v>
      </c>
      <c r="S37">
        <v>205424</v>
      </c>
      <c r="U37">
        <v>322938</v>
      </c>
      <c r="X37">
        <f t="shared" ref="X37:X45" si="0">J37+L37+N37+S37+U37+W37</f>
        <v>3720213</v>
      </c>
      <c r="Y37">
        <f t="shared" ref="Y37:Y44" si="1">X37*100/G37</f>
        <v>88.915224665391975</v>
      </c>
    </row>
    <row r="38" spans="1:25">
      <c r="A38" t="s">
        <v>234</v>
      </c>
      <c r="D38">
        <v>7000</v>
      </c>
      <c r="E38" t="str">
        <f>+E37</f>
        <v>Hectare</v>
      </c>
      <c r="F38">
        <v>2.8</v>
      </c>
      <c r="G38">
        <v>250000</v>
      </c>
      <c r="J38">
        <v>0</v>
      </c>
      <c r="L38">
        <v>24561</v>
      </c>
      <c r="N38">
        <v>98778</v>
      </c>
      <c r="S38">
        <v>116696</v>
      </c>
      <c r="U38">
        <v>0</v>
      </c>
      <c r="X38">
        <f t="shared" si="0"/>
        <v>240035</v>
      </c>
      <c r="Y38">
        <f t="shared" si="1"/>
        <v>96.013999999999996</v>
      </c>
    </row>
    <row r="39" spans="1:25">
      <c r="A39" t="s">
        <v>397</v>
      </c>
      <c r="D39">
        <v>86</v>
      </c>
      <c r="E39" t="str">
        <f>+E38</f>
        <v>Hectare</v>
      </c>
      <c r="F39">
        <v>0.45</v>
      </c>
      <c r="G39">
        <v>43000</v>
      </c>
      <c r="J39">
        <v>2627</v>
      </c>
      <c r="L39">
        <v>570</v>
      </c>
      <c r="N39">
        <v>34800</v>
      </c>
      <c r="S39">
        <v>5355</v>
      </c>
      <c r="U39">
        <v>0</v>
      </c>
      <c r="X39">
        <f t="shared" si="0"/>
        <v>43352</v>
      </c>
      <c r="Y39">
        <f t="shared" si="1"/>
        <v>100.81860465116279</v>
      </c>
    </row>
    <row r="40" spans="1:25">
      <c r="A40" t="s">
        <v>396</v>
      </c>
      <c r="D40">
        <v>68</v>
      </c>
      <c r="E40" t="str">
        <f>+E39</f>
        <v>Hectare</v>
      </c>
      <c r="F40">
        <v>0.36</v>
      </c>
      <c r="G40">
        <v>34000</v>
      </c>
      <c r="J40">
        <v>1244</v>
      </c>
      <c r="L40">
        <v>16084</v>
      </c>
      <c r="N40">
        <v>2137</v>
      </c>
      <c r="S40">
        <v>12937</v>
      </c>
      <c r="U40">
        <v>976</v>
      </c>
      <c r="X40">
        <f t="shared" si="0"/>
        <v>33378</v>
      </c>
      <c r="Y40">
        <f t="shared" si="1"/>
        <v>98.170588235294119</v>
      </c>
    </row>
    <row r="41" spans="1:25">
      <c r="A41" t="s">
        <v>238</v>
      </c>
      <c r="D41">
        <v>1200</v>
      </c>
      <c r="E41" t="str">
        <f>+E38</f>
        <v>Hectare</v>
      </c>
      <c r="F41">
        <v>6.28</v>
      </c>
      <c r="G41">
        <v>510000</v>
      </c>
      <c r="J41">
        <v>0</v>
      </c>
      <c r="L41">
        <v>24400</v>
      </c>
      <c r="N41">
        <v>25236</v>
      </c>
      <c r="S41">
        <v>120462</v>
      </c>
      <c r="U41">
        <v>267545</v>
      </c>
      <c r="X41">
        <f t="shared" si="0"/>
        <v>437643</v>
      </c>
      <c r="Y41">
        <f t="shared" si="1"/>
        <v>85.812352941176471</v>
      </c>
    </row>
    <row r="42" spans="1:25">
      <c r="A42" t="s">
        <v>395</v>
      </c>
      <c r="D42">
        <v>565</v>
      </c>
      <c r="E42" t="str">
        <f>+E38</f>
        <v>Hectare</v>
      </c>
      <c r="F42">
        <v>2.83</v>
      </c>
      <c r="G42">
        <v>235000</v>
      </c>
      <c r="J42">
        <v>0</v>
      </c>
      <c r="L42">
        <v>0</v>
      </c>
      <c r="N42">
        <v>108400</v>
      </c>
      <c r="S42">
        <v>126600</v>
      </c>
      <c r="X42">
        <f t="shared" si="0"/>
        <v>235000</v>
      </c>
      <c r="Y42">
        <f t="shared" si="1"/>
        <v>100</v>
      </c>
    </row>
    <row r="43" spans="1:25">
      <c r="A43" t="s">
        <v>240</v>
      </c>
      <c r="D43">
        <v>1000</v>
      </c>
      <c r="E43" t="str">
        <f>+E41</f>
        <v>Hectare</v>
      </c>
      <c r="F43">
        <v>5.23</v>
      </c>
      <c r="G43">
        <v>523000</v>
      </c>
      <c r="J43">
        <v>68525</v>
      </c>
      <c r="L43">
        <v>28264</v>
      </c>
      <c r="N43">
        <v>114378</v>
      </c>
      <c r="S43">
        <v>65376</v>
      </c>
      <c r="U43">
        <v>0</v>
      </c>
      <c r="X43">
        <f t="shared" si="0"/>
        <v>276543</v>
      </c>
      <c r="Y43">
        <f t="shared" si="1"/>
        <v>52.876290630975141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132000</v>
      </c>
      <c r="J44">
        <v>23842</v>
      </c>
      <c r="L44">
        <v>33414</v>
      </c>
      <c r="N44">
        <v>14775</v>
      </c>
      <c r="S44">
        <v>38075</v>
      </c>
      <c r="U44">
        <v>1140</v>
      </c>
      <c r="X44">
        <f t="shared" si="0"/>
        <v>111246</v>
      </c>
      <c r="Y44">
        <f t="shared" si="1"/>
        <v>84.277272727272731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62.20000000000001</v>
      </c>
      <c r="G46">
        <f>SUM(G37:G45)</f>
        <v>5911000</v>
      </c>
      <c r="J46">
        <f>SUM(J37:J45)</f>
        <v>239464</v>
      </c>
      <c r="L46">
        <f>SUM(L37:L45)</f>
        <v>2360581</v>
      </c>
      <c r="N46">
        <f>SUM(N37:N45)</f>
        <v>1213841</v>
      </c>
      <c r="S46">
        <f>SUM(S37:S45)</f>
        <v>690925</v>
      </c>
      <c r="U46">
        <f>SUM(U37:U45)</f>
        <v>592599</v>
      </c>
      <c r="X46">
        <f>SUM(X37:X45)</f>
        <v>5097410</v>
      </c>
      <c r="Y46">
        <f>SUM(Y37:Y45)</f>
        <v>706.88433385127325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U33"/>
  <sheetViews>
    <sheetView workbookViewId="0">
      <selection activeCell="A5" sqref="A5:C5"/>
    </sheetView>
  </sheetViews>
  <sheetFormatPr defaultRowHeight="15"/>
  <cols>
    <col min="6" max="6" width="4.85546875" customWidth="1"/>
    <col min="9" max="9" width="10.140625" customWidth="1"/>
    <col min="10" max="10" width="10.28515625" customWidth="1"/>
    <col min="18" max="18" width="10.28515625" bestFit="1" customWidth="1"/>
    <col min="19" max="19" width="12.28515625" customWidth="1"/>
    <col min="262" max="262" width="4.85546875" customWidth="1"/>
    <col min="265" max="265" width="10.140625" customWidth="1"/>
    <col min="266" max="266" width="10.28515625" customWidth="1"/>
    <col min="274" max="274" width="10.28515625" bestFit="1" customWidth="1"/>
    <col min="275" max="275" width="12.28515625" customWidth="1"/>
    <col min="518" max="518" width="4.85546875" customWidth="1"/>
    <col min="521" max="521" width="10.140625" customWidth="1"/>
    <col min="522" max="522" width="10.28515625" customWidth="1"/>
    <col min="530" max="530" width="10.28515625" bestFit="1" customWidth="1"/>
    <col min="531" max="531" width="12.28515625" customWidth="1"/>
    <col min="774" max="774" width="4.85546875" customWidth="1"/>
    <col min="777" max="777" width="10.140625" customWidth="1"/>
    <col min="778" max="778" width="10.28515625" customWidth="1"/>
    <col min="786" max="786" width="10.28515625" bestFit="1" customWidth="1"/>
    <col min="787" max="787" width="12.28515625" customWidth="1"/>
    <col min="1030" max="1030" width="4.85546875" customWidth="1"/>
    <col min="1033" max="1033" width="10.140625" customWidth="1"/>
    <col min="1034" max="1034" width="10.28515625" customWidth="1"/>
    <col min="1042" max="1042" width="10.28515625" bestFit="1" customWidth="1"/>
    <col min="1043" max="1043" width="12.28515625" customWidth="1"/>
    <col min="1286" max="1286" width="4.85546875" customWidth="1"/>
    <col min="1289" max="1289" width="10.140625" customWidth="1"/>
    <col min="1290" max="1290" width="10.28515625" customWidth="1"/>
    <col min="1298" max="1298" width="10.28515625" bestFit="1" customWidth="1"/>
    <col min="1299" max="1299" width="12.28515625" customWidth="1"/>
    <col min="1542" max="1542" width="4.85546875" customWidth="1"/>
    <col min="1545" max="1545" width="10.140625" customWidth="1"/>
    <col min="1546" max="1546" width="10.28515625" customWidth="1"/>
    <col min="1554" max="1554" width="10.28515625" bestFit="1" customWidth="1"/>
    <col min="1555" max="1555" width="12.28515625" customWidth="1"/>
    <col min="1798" max="1798" width="4.85546875" customWidth="1"/>
    <col min="1801" max="1801" width="10.140625" customWidth="1"/>
    <col min="1802" max="1802" width="10.28515625" customWidth="1"/>
    <col min="1810" max="1810" width="10.28515625" bestFit="1" customWidth="1"/>
    <col min="1811" max="1811" width="12.28515625" customWidth="1"/>
    <col min="2054" max="2054" width="4.85546875" customWidth="1"/>
    <col min="2057" max="2057" width="10.140625" customWidth="1"/>
    <col min="2058" max="2058" width="10.28515625" customWidth="1"/>
    <col min="2066" max="2066" width="10.28515625" bestFit="1" customWidth="1"/>
    <col min="2067" max="2067" width="12.28515625" customWidth="1"/>
    <col min="2310" max="2310" width="4.85546875" customWidth="1"/>
    <col min="2313" max="2313" width="10.140625" customWidth="1"/>
    <col min="2314" max="2314" width="10.28515625" customWidth="1"/>
    <col min="2322" max="2322" width="10.28515625" bestFit="1" customWidth="1"/>
    <col min="2323" max="2323" width="12.28515625" customWidth="1"/>
    <col min="2566" max="2566" width="4.85546875" customWidth="1"/>
    <col min="2569" max="2569" width="10.140625" customWidth="1"/>
    <col min="2570" max="2570" width="10.28515625" customWidth="1"/>
    <col min="2578" max="2578" width="10.28515625" bestFit="1" customWidth="1"/>
    <col min="2579" max="2579" width="12.28515625" customWidth="1"/>
    <col min="2822" max="2822" width="4.85546875" customWidth="1"/>
    <col min="2825" max="2825" width="10.140625" customWidth="1"/>
    <col min="2826" max="2826" width="10.28515625" customWidth="1"/>
    <col min="2834" max="2834" width="10.28515625" bestFit="1" customWidth="1"/>
    <col min="2835" max="2835" width="12.28515625" customWidth="1"/>
    <col min="3078" max="3078" width="4.85546875" customWidth="1"/>
    <col min="3081" max="3081" width="10.140625" customWidth="1"/>
    <col min="3082" max="3082" width="10.28515625" customWidth="1"/>
    <col min="3090" max="3090" width="10.28515625" bestFit="1" customWidth="1"/>
    <col min="3091" max="3091" width="12.28515625" customWidth="1"/>
    <col min="3334" max="3334" width="4.85546875" customWidth="1"/>
    <col min="3337" max="3337" width="10.140625" customWidth="1"/>
    <col min="3338" max="3338" width="10.28515625" customWidth="1"/>
    <col min="3346" max="3346" width="10.28515625" bestFit="1" customWidth="1"/>
    <col min="3347" max="3347" width="12.28515625" customWidth="1"/>
    <col min="3590" max="3590" width="4.85546875" customWidth="1"/>
    <col min="3593" max="3593" width="10.140625" customWidth="1"/>
    <col min="3594" max="3594" width="10.28515625" customWidth="1"/>
    <col min="3602" max="3602" width="10.28515625" bestFit="1" customWidth="1"/>
    <col min="3603" max="3603" width="12.28515625" customWidth="1"/>
    <col min="3846" max="3846" width="4.85546875" customWidth="1"/>
    <col min="3849" max="3849" width="10.140625" customWidth="1"/>
    <col min="3850" max="3850" width="10.28515625" customWidth="1"/>
    <col min="3858" max="3858" width="10.28515625" bestFit="1" customWidth="1"/>
    <col min="3859" max="3859" width="12.28515625" customWidth="1"/>
    <col min="4102" max="4102" width="4.85546875" customWidth="1"/>
    <col min="4105" max="4105" width="10.140625" customWidth="1"/>
    <col min="4106" max="4106" width="10.28515625" customWidth="1"/>
    <col min="4114" max="4114" width="10.28515625" bestFit="1" customWidth="1"/>
    <col min="4115" max="4115" width="12.28515625" customWidth="1"/>
    <col min="4358" max="4358" width="4.85546875" customWidth="1"/>
    <col min="4361" max="4361" width="10.140625" customWidth="1"/>
    <col min="4362" max="4362" width="10.28515625" customWidth="1"/>
    <col min="4370" max="4370" width="10.28515625" bestFit="1" customWidth="1"/>
    <col min="4371" max="4371" width="12.28515625" customWidth="1"/>
    <col min="4614" max="4614" width="4.85546875" customWidth="1"/>
    <col min="4617" max="4617" width="10.140625" customWidth="1"/>
    <col min="4618" max="4618" width="10.28515625" customWidth="1"/>
    <col min="4626" max="4626" width="10.28515625" bestFit="1" customWidth="1"/>
    <col min="4627" max="4627" width="12.28515625" customWidth="1"/>
    <col min="4870" max="4870" width="4.85546875" customWidth="1"/>
    <col min="4873" max="4873" width="10.140625" customWidth="1"/>
    <col min="4874" max="4874" width="10.28515625" customWidth="1"/>
    <col min="4882" max="4882" width="10.28515625" bestFit="1" customWidth="1"/>
    <col min="4883" max="4883" width="12.28515625" customWidth="1"/>
    <col min="5126" max="5126" width="4.85546875" customWidth="1"/>
    <col min="5129" max="5129" width="10.140625" customWidth="1"/>
    <col min="5130" max="5130" width="10.28515625" customWidth="1"/>
    <col min="5138" max="5138" width="10.28515625" bestFit="1" customWidth="1"/>
    <col min="5139" max="5139" width="12.28515625" customWidth="1"/>
    <col min="5382" max="5382" width="4.85546875" customWidth="1"/>
    <col min="5385" max="5385" width="10.140625" customWidth="1"/>
    <col min="5386" max="5386" width="10.28515625" customWidth="1"/>
    <col min="5394" max="5394" width="10.28515625" bestFit="1" customWidth="1"/>
    <col min="5395" max="5395" width="12.28515625" customWidth="1"/>
    <col min="5638" max="5638" width="4.85546875" customWidth="1"/>
    <col min="5641" max="5641" width="10.140625" customWidth="1"/>
    <col min="5642" max="5642" width="10.28515625" customWidth="1"/>
    <col min="5650" max="5650" width="10.28515625" bestFit="1" customWidth="1"/>
    <col min="5651" max="5651" width="12.28515625" customWidth="1"/>
    <col min="5894" max="5894" width="4.85546875" customWidth="1"/>
    <col min="5897" max="5897" width="10.140625" customWidth="1"/>
    <col min="5898" max="5898" width="10.28515625" customWidth="1"/>
    <col min="5906" max="5906" width="10.28515625" bestFit="1" customWidth="1"/>
    <col min="5907" max="5907" width="12.28515625" customWidth="1"/>
    <col min="6150" max="6150" width="4.85546875" customWidth="1"/>
    <col min="6153" max="6153" width="10.140625" customWidth="1"/>
    <col min="6154" max="6154" width="10.28515625" customWidth="1"/>
    <col min="6162" max="6162" width="10.28515625" bestFit="1" customWidth="1"/>
    <col min="6163" max="6163" width="12.28515625" customWidth="1"/>
    <col min="6406" max="6406" width="4.85546875" customWidth="1"/>
    <col min="6409" max="6409" width="10.140625" customWidth="1"/>
    <col min="6410" max="6410" width="10.28515625" customWidth="1"/>
    <col min="6418" max="6418" width="10.28515625" bestFit="1" customWidth="1"/>
    <col min="6419" max="6419" width="12.28515625" customWidth="1"/>
    <col min="6662" max="6662" width="4.85546875" customWidth="1"/>
    <col min="6665" max="6665" width="10.140625" customWidth="1"/>
    <col min="6666" max="6666" width="10.28515625" customWidth="1"/>
    <col min="6674" max="6674" width="10.28515625" bestFit="1" customWidth="1"/>
    <col min="6675" max="6675" width="12.28515625" customWidth="1"/>
    <col min="6918" max="6918" width="4.85546875" customWidth="1"/>
    <col min="6921" max="6921" width="10.140625" customWidth="1"/>
    <col min="6922" max="6922" width="10.28515625" customWidth="1"/>
    <col min="6930" max="6930" width="10.28515625" bestFit="1" customWidth="1"/>
    <col min="6931" max="6931" width="12.28515625" customWidth="1"/>
    <col min="7174" max="7174" width="4.85546875" customWidth="1"/>
    <col min="7177" max="7177" width="10.140625" customWidth="1"/>
    <col min="7178" max="7178" width="10.28515625" customWidth="1"/>
    <col min="7186" max="7186" width="10.28515625" bestFit="1" customWidth="1"/>
    <col min="7187" max="7187" width="12.28515625" customWidth="1"/>
    <col min="7430" max="7430" width="4.85546875" customWidth="1"/>
    <col min="7433" max="7433" width="10.140625" customWidth="1"/>
    <col min="7434" max="7434" width="10.28515625" customWidth="1"/>
    <col min="7442" max="7442" width="10.28515625" bestFit="1" customWidth="1"/>
    <col min="7443" max="7443" width="12.28515625" customWidth="1"/>
    <col min="7686" max="7686" width="4.85546875" customWidth="1"/>
    <col min="7689" max="7689" width="10.140625" customWidth="1"/>
    <col min="7690" max="7690" width="10.28515625" customWidth="1"/>
    <col min="7698" max="7698" width="10.28515625" bestFit="1" customWidth="1"/>
    <col min="7699" max="7699" width="12.28515625" customWidth="1"/>
    <col min="7942" max="7942" width="4.85546875" customWidth="1"/>
    <col min="7945" max="7945" width="10.140625" customWidth="1"/>
    <col min="7946" max="7946" width="10.28515625" customWidth="1"/>
    <col min="7954" max="7954" width="10.28515625" bestFit="1" customWidth="1"/>
    <col min="7955" max="7955" width="12.28515625" customWidth="1"/>
    <col min="8198" max="8198" width="4.85546875" customWidth="1"/>
    <col min="8201" max="8201" width="10.140625" customWidth="1"/>
    <col min="8202" max="8202" width="10.28515625" customWidth="1"/>
    <col min="8210" max="8210" width="10.28515625" bestFit="1" customWidth="1"/>
    <col min="8211" max="8211" width="12.28515625" customWidth="1"/>
    <col min="8454" max="8454" width="4.85546875" customWidth="1"/>
    <col min="8457" max="8457" width="10.140625" customWidth="1"/>
    <col min="8458" max="8458" width="10.28515625" customWidth="1"/>
    <col min="8466" max="8466" width="10.28515625" bestFit="1" customWidth="1"/>
    <col min="8467" max="8467" width="12.28515625" customWidth="1"/>
    <col min="8710" max="8710" width="4.85546875" customWidth="1"/>
    <col min="8713" max="8713" width="10.140625" customWidth="1"/>
    <col min="8714" max="8714" width="10.28515625" customWidth="1"/>
    <col min="8722" max="8722" width="10.28515625" bestFit="1" customWidth="1"/>
    <col min="8723" max="8723" width="12.28515625" customWidth="1"/>
    <col min="8966" max="8966" width="4.85546875" customWidth="1"/>
    <col min="8969" max="8969" width="10.140625" customWidth="1"/>
    <col min="8970" max="8970" width="10.28515625" customWidth="1"/>
    <col min="8978" max="8978" width="10.28515625" bestFit="1" customWidth="1"/>
    <col min="8979" max="8979" width="12.28515625" customWidth="1"/>
    <col min="9222" max="9222" width="4.85546875" customWidth="1"/>
    <col min="9225" max="9225" width="10.140625" customWidth="1"/>
    <col min="9226" max="9226" width="10.28515625" customWidth="1"/>
    <col min="9234" max="9234" width="10.28515625" bestFit="1" customWidth="1"/>
    <col min="9235" max="9235" width="12.28515625" customWidth="1"/>
    <col min="9478" max="9478" width="4.85546875" customWidth="1"/>
    <col min="9481" max="9481" width="10.140625" customWidth="1"/>
    <col min="9482" max="9482" width="10.28515625" customWidth="1"/>
    <col min="9490" max="9490" width="10.28515625" bestFit="1" customWidth="1"/>
    <col min="9491" max="9491" width="12.28515625" customWidth="1"/>
    <col min="9734" max="9734" width="4.85546875" customWidth="1"/>
    <col min="9737" max="9737" width="10.140625" customWidth="1"/>
    <col min="9738" max="9738" width="10.28515625" customWidth="1"/>
    <col min="9746" max="9746" width="10.28515625" bestFit="1" customWidth="1"/>
    <col min="9747" max="9747" width="12.28515625" customWidth="1"/>
    <col min="9990" max="9990" width="4.85546875" customWidth="1"/>
    <col min="9993" max="9993" width="10.140625" customWidth="1"/>
    <col min="9994" max="9994" width="10.28515625" customWidth="1"/>
    <col min="10002" max="10002" width="10.28515625" bestFit="1" customWidth="1"/>
    <col min="10003" max="10003" width="12.28515625" customWidth="1"/>
    <col min="10246" max="10246" width="4.85546875" customWidth="1"/>
    <col min="10249" max="10249" width="10.140625" customWidth="1"/>
    <col min="10250" max="10250" width="10.28515625" customWidth="1"/>
    <col min="10258" max="10258" width="10.28515625" bestFit="1" customWidth="1"/>
    <col min="10259" max="10259" width="12.28515625" customWidth="1"/>
    <col min="10502" max="10502" width="4.85546875" customWidth="1"/>
    <col min="10505" max="10505" width="10.140625" customWidth="1"/>
    <col min="10506" max="10506" width="10.28515625" customWidth="1"/>
    <col min="10514" max="10514" width="10.28515625" bestFit="1" customWidth="1"/>
    <col min="10515" max="10515" width="12.28515625" customWidth="1"/>
    <col min="10758" max="10758" width="4.85546875" customWidth="1"/>
    <col min="10761" max="10761" width="10.140625" customWidth="1"/>
    <col min="10762" max="10762" width="10.28515625" customWidth="1"/>
    <col min="10770" max="10770" width="10.28515625" bestFit="1" customWidth="1"/>
    <col min="10771" max="10771" width="12.28515625" customWidth="1"/>
    <col min="11014" max="11014" width="4.85546875" customWidth="1"/>
    <col min="11017" max="11017" width="10.140625" customWidth="1"/>
    <col min="11018" max="11018" width="10.28515625" customWidth="1"/>
    <col min="11026" max="11026" width="10.28515625" bestFit="1" customWidth="1"/>
    <col min="11027" max="11027" width="12.28515625" customWidth="1"/>
    <col min="11270" max="11270" width="4.85546875" customWidth="1"/>
    <col min="11273" max="11273" width="10.140625" customWidth="1"/>
    <col min="11274" max="11274" width="10.28515625" customWidth="1"/>
    <col min="11282" max="11282" width="10.28515625" bestFit="1" customWidth="1"/>
    <col min="11283" max="11283" width="12.28515625" customWidth="1"/>
    <col min="11526" max="11526" width="4.85546875" customWidth="1"/>
    <col min="11529" max="11529" width="10.140625" customWidth="1"/>
    <col min="11530" max="11530" width="10.28515625" customWidth="1"/>
    <col min="11538" max="11538" width="10.28515625" bestFit="1" customWidth="1"/>
    <col min="11539" max="11539" width="12.28515625" customWidth="1"/>
    <col min="11782" max="11782" width="4.85546875" customWidth="1"/>
    <col min="11785" max="11785" width="10.140625" customWidth="1"/>
    <col min="11786" max="11786" width="10.28515625" customWidth="1"/>
    <col min="11794" max="11794" width="10.28515625" bestFit="1" customWidth="1"/>
    <col min="11795" max="11795" width="12.28515625" customWidth="1"/>
    <col min="12038" max="12038" width="4.85546875" customWidth="1"/>
    <col min="12041" max="12041" width="10.140625" customWidth="1"/>
    <col min="12042" max="12042" width="10.28515625" customWidth="1"/>
    <col min="12050" max="12050" width="10.28515625" bestFit="1" customWidth="1"/>
    <col min="12051" max="12051" width="12.28515625" customWidth="1"/>
    <col min="12294" max="12294" width="4.85546875" customWidth="1"/>
    <col min="12297" max="12297" width="10.140625" customWidth="1"/>
    <col min="12298" max="12298" width="10.28515625" customWidth="1"/>
    <col min="12306" max="12306" width="10.28515625" bestFit="1" customWidth="1"/>
    <col min="12307" max="12307" width="12.28515625" customWidth="1"/>
    <col min="12550" max="12550" width="4.85546875" customWidth="1"/>
    <col min="12553" max="12553" width="10.140625" customWidth="1"/>
    <col min="12554" max="12554" width="10.28515625" customWidth="1"/>
    <col min="12562" max="12562" width="10.28515625" bestFit="1" customWidth="1"/>
    <col min="12563" max="12563" width="12.28515625" customWidth="1"/>
    <col min="12806" max="12806" width="4.85546875" customWidth="1"/>
    <col min="12809" max="12809" width="10.140625" customWidth="1"/>
    <col min="12810" max="12810" width="10.28515625" customWidth="1"/>
    <col min="12818" max="12818" width="10.28515625" bestFit="1" customWidth="1"/>
    <col min="12819" max="12819" width="12.28515625" customWidth="1"/>
    <col min="13062" max="13062" width="4.85546875" customWidth="1"/>
    <col min="13065" max="13065" width="10.140625" customWidth="1"/>
    <col min="13066" max="13066" width="10.28515625" customWidth="1"/>
    <col min="13074" max="13074" width="10.28515625" bestFit="1" customWidth="1"/>
    <col min="13075" max="13075" width="12.28515625" customWidth="1"/>
    <col min="13318" max="13318" width="4.85546875" customWidth="1"/>
    <col min="13321" max="13321" width="10.140625" customWidth="1"/>
    <col min="13322" max="13322" width="10.28515625" customWidth="1"/>
    <col min="13330" max="13330" width="10.28515625" bestFit="1" customWidth="1"/>
    <col min="13331" max="13331" width="12.28515625" customWidth="1"/>
    <col min="13574" max="13574" width="4.85546875" customWidth="1"/>
    <col min="13577" max="13577" width="10.140625" customWidth="1"/>
    <col min="13578" max="13578" width="10.28515625" customWidth="1"/>
    <col min="13586" max="13586" width="10.28515625" bestFit="1" customWidth="1"/>
    <col min="13587" max="13587" width="12.28515625" customWidth="1"/>
    <col min="13830" max="13830" width="4.85546875" customWidth="1"/>
    <col min="13833" max="13833" width="10.140625" customWidth="1"/>
    <col min="13834" max="13834" width="10.28515625" customWidth="1"/>
    <col min="13842" max="13842" width="10.28515625" bestFit="1" customWidth="1"/>
    <col min="13843" max="13843" width="12.28515625" customWidth="1"/>
    <col min="14086" max="14086" width="4.85546875" customWidth="1"/>
    <col min="14089" max="14089" width="10.140625" customWidth="1"/>
    <col min="14090" max="14090" width="10.28515625" customWidth="1"/>
    <col min="14098" max="14098" width="10.28515625" bestFit="1" customWidth="1"/>
    <col min="14099" max="14099" width="12.28515625" customWidth="1"/>
    <col min="14342" max="14342" width="4.85546875" customWidth="1"/>
    <col min="14345" max="14345" width="10.140625" customWidth="1"/>
    <col min="14346" max="14346" width="10.28515625" customWidth="1"/>
    <col min="14354" max="14354" width="10.28515625" bestFit="1" customWidth="1"/>
    <col min="14355" max="14355" width="12.28515625" customWidth="1"/>
    <col min="14598" max="14598" width="4.85546875" customWidth="1"/>
    <col min="14601" max="14601" width="10.140625" customWidth="1"/>
    <col min="14602" max="14602" width="10.28515625" customWidth="1"/>
    <col min="14610" max="14610" width="10.28515625" bestFit="1" customWidth="1"/>
    <col min="14611" max="14611" width="12.28515625" customWidth="1"/>
    <col min="14854" max="14854" width="4.85546875" customWidth="1"/>
    <col min="14857" max="14857" width="10.140625" customWidth="1"/>
    <col min="14858" max="14858" width="10.28515625" customWidth="1"/>
    <col min="14866" max="14866" width="10.28515625" bestFit="1" customWidth="1"/>
    <col min="14867" max="14867" width="12.28515625" customWidth="1"/>
    <col min="15110" max="15110" width="4.85546875" customWidth="1"/>
    <col min="15113" max="15113" width="10.140625" customWidth="1"/>
    <col min="15114" max="15114" width="10.28515625" customWidth="1"/>
    <col min="15122" max="15122" width="10.28515625" bestFit="1" customWidth="1"/>
    <col min="15123" max="15123" width="12.28515625" customWidth="1"/>
    <col min="15366" max="15366" width="4.85546875" customWidth="1"/>
    <col min="15369" max="15369" width="10.140625" customWidth="1"/>
    <col min="15370" max="15370" width="10.28515625" customWidth="1"/>
    <col min="15378" max="15378" width="10.28515625" bestFit="1" customWidth="1"/>
    <col min="15379" max="15379" width="12.28515625" customWidth="1"/>
    <col min="15622" max="15622" width="4.85546875" customWidth="1"/>
    <col min="15625" max="15625" width="10.140625" customWidth="1"/>
    <col min="15626" max="15626" width="10.28515625" customWidth="1"/>
    <col min="15634" max="15634" width="10.28515625" bestFit="1" customWidth="1"/>
    <col min="15635" max="15635" width="12.28515625" customWidth="1"/>
    <col min="15878" max="15878" width="4.85546875" customWidth="1"/>
    <col min="15881" max="15881" width="10.140625" customWidth="1"/>
    <col min="15882" max="15882" width="10.28515625" customWidth="1"/>
    <col min="15890" max="15890" width="10.28515625" bestFit="1" customWidth="1"/>
    <col min="15891" max="15891" width="12.28515625" customWidth="1"/>
    <col min="16134" max="16134" width="4.85546875" customWidth="1"/>
    <col min="16137" max="16137" width="10.140625" customWidth="1"/>
    <col min="16138" max="16138" width="10.28515625" customWidth="1"/>
    <col min="16146" max="16146" width="10.28515625" bestFit="1" customWidth="1"/>
    <col min="16147" max="16147" width="12.28515625" customWidth="1"/>
  </cols>
  <sheetData>
    <row r="1" spans="1:21" ht="15.75">
      <c r="A1" s="142"/>
      <c r="B1" s="142"/>
      <c r="C1" s="142"/>
      <c r="D1" s="142"/>
      <c r="E1" s="142"/>
      <c r="F1" s="143" t="s">
        <v>167</v>
      </c>
      <c r="G1" s="144"/>
      <c r="H1" s="144"/>
      <c r="I1" s="144"/>
      <c r="J1" s="144"/>
      <c r="K1" s="144"/>
      <c r="L1" s="144"/>
      <c r="M1" s="142"/>
      <c r="N1" s="142"/>
      <c r="O1" s="142"/>
      <c r="P1" s="142"/>
      <c r="Q1" s="142"/>
      <c r="R1" s="142"/>
      <c r="S1" s="142"/>
      <c r="T1" s="142"/>
      <c r="U1" s="145"/>
    </row>
    <row r="2" spans="1:21" ht="15.75">
      <c r="A2" s="142"/>
      <c r="B2" s="142"/>
      <c r="C2" s="142"/>
      <c r="D2" s="142"/>
      <c r="E2" s="142"/>
      <c r="F2" s="142"/>
      <c r="G2" s="142"/>
      <c r="H2" s="146"/>
      <c r="I2" s="143" t="s">
        <v>1335</v>
      </c>
      <c r="J2" s="144"/>
      <c r="K2" s="144"/>
      <c r="L2" s="142"/>
      <c r="M2" s="142"/>
      <c r="N2" s="142"/>
      <c r="O2" s="142"/>
      <c r="P2" s="142"/>
      <c r="Q2" s="142"/>
      <c r="R2" s="142"/>
      <c r="S2" s="142"/>
      <c r="T2" s="142"/>
      <c r="U2" s="145"/>
    </row>
    <row r="3" spans="1:21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5"/>
    </row>
    <row r="4" spans="1:21">
      <c r="A4" s="142" t="s">
        <v>1336</v>
      </c>
      <c r="B4" s="142"/>
      <c r="C4" s="142"/>
      <c r="D4" s="142"/>
      <c r="E4" s="1035" t="s">
        <v>1337</v>
      </c>
      <c r="F4" s="1035"/>
      <c r="G4" s="1035"/>
      <c r="H4" s="142" t="s">
        <v>171</v>
      </c>
      <c r="I4" s="146"/>
      <c r="J4" s="142"/>
      <c r="K4" s="147">
        <v>904150201</v>
      </c>
      <c r="L4" s="148"/>
      <c r="M4" s="142" t="s">
        <v>5</v>
      </c>
      <c r="N4" s="146"/>
      <c r="O4" s="102">
        <v>466</v>
      </c>
      <c r="P4" s="142" t="s">
        <v>1338</v>
      </c>
      <c r="Q4" s="146"/>
      <c r="R4" s="102" t="s">
        <v>1339</v>
      </c>
      <c r="S4" s="146"/>
      <c r="T4" s="146"/>
      <c r="U4" s="145"/>
    </row>
    <row r="5" spans="1:21">
      <c r="A5" s="808" t="s">
        <v>4176</v>
      </c>
      <c r="B5" s="808"/>
      <c r="C5" s="808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5"/>
    </row>
    <row r="6" spans="1:21">
      <c r="A6" s="142" t="s">
        <v>1340</v>
      </c>
      <c r="B6" s="142"/>
      <c r="C6" s="142"/>
      <c r="D6" s="142"/>
      <c r="E6" s="1035" t="s">
        <v>1341</v>
      </c>
      <c r="F6" s="1035"/>
      <c r="G6" s="1035"/>
      <c r="H6" s="149"/>
      <c r="I6" s="142" t="s">
        <v>1208</v>
      </c>
      <c r="J6" s="142"/>
      <c r="K6" s="142"/>
      <c r="L6" s="1035" t="s">
        <v>1342</v>
      </c>
      <c r="M6" s="1035"/>
      <c r="N6" s="149"/>
      <c r="O6" s="149"/>
      <c r="P6" s="142"/>
      <c r="Q6" s="142"/>
      <c r="R6" s="142"/>
      <c r="S6" s="142"/>
      <c r="T6" s="142"/>
      <c r="U6" s="145"/>
    </row>
    <row r="7" spans="1:21" ht="16.5" customHeight="1" thickBot="1">
      <c r="A7" s="142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5"/>
    </row>
    <row r="8" spans="1:21" ht="15" customHeight="1" thickBot="1">
      <c r="A8" s="1043" t="s">
        <v>178</v>
      </c>
      <c r="B8" s="1043"/>
      <c r="C8" s="1043"/>
      <c r="D8" s="1044"/>
      <c r="E8" s="1035" t="s">
        <v>1343</v>
      </c>
      <c r="F8" s="1035"/>
      <c r="G8" s="1035"/>
      <c r="H8" s="149"/>
      <c r="I8" s="1045" t="s">
        <v>1344</v>
      </c>
      <c r="J8" s="1045"/>
      <c r="K8" s="1045"/>
      <c r="L8" s="1046" t="s">
        <v>1345</v>
      </c>
      <c r="M8" s="1047"/>
      <c r="N8" s="1047"/>
      <c r="O8" s="1048"/>
      <c r="P8" s="149"/>
      <c r="Q8" s="149"/>
      <c r="R8" s="142"/>
      <c r="S8" s="142"/>
      <c r="T8" s="142"/>
      <c r="U8" s="145"/>
    </row>
    <row r="9" spans="1:21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9"/>
      <c r="M9" s="149"/>
      <c r="N9" s="149"/>
      <c r="O9" s="149"/>
      <c r="P9" s="149"/>
      <c r="Q9" s="149"/>
      <c r="R9" s="142"/>
      <c r="S9" s="142"/>
      <c r="T9" s="142"/>
      <c r="U9" s="145"/>
    </row>
    <row r="10" spans="1:21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5"/>
    </row>
    <row r="11" spans="1:21">
      <c r="A11" s="1037" t="s">
        <v>838</v>
      </c>
      <c r="B11" s="1037"/>
      <c r="C11" s="1037"/>
      <c r="D11" s="1037"/>
      <c r="E11" s="1037"/>
      <c r="F11" s="1037"/>
      <c r="G11" s="1035" t="s">
        <v>1337</v>
      </c>
      <c r="H11" s="1035"/>
      <c r="I11" s="1035"/>
      <c r="J11" s="1035">
        <v>0</v>
      </c>
      <c r="K11" s="1035"/>
      <c r="L11" s="1035"/>
      <c r="M11" s="1035">
        <v>0</v>
      </c>
      <c r="N11" s="1035"/>
      <c r="O11" s="1035"/>
      <c r="P11" s="1035"/>
      <c r="Q11" s="1035">
        <v>0</v>
      </c>
      <c r="R11" s="1035"/>
      <c r="S11" s="1035"/>
      <c r="T11" s="1035"/>
      <c r="U11" s="145"/>
    </row>
    <row r="12" spans="1:21">
      <c r="A12" s="1037" t="s">
        <v>1346</v>
      </c>
      <c r="B12" s="1037"/>
      <c r="C12" s="1037"/>
      <c r="D12" s="1037"/>
      <c r="E12" s="1037"/>
      <c r="F12" s="1037"/>
      <c r="G12" s="1035" t="s">
        <v>1347</v>
      </c>
      <c r="H12" s="1035"/>
      <c r="I12" s="1035"/>
      <c r="J12" s="1035" t="s">
        <v>1348</v>
      </c>
      <c r="K12" s="1035"/>
      <c r="L12" s="1035"/>
      <c r="M12" s="1035" t="s">
        <v>1349</v>
      </c>
      <c r="N12" s="1035"/>
      <c r="O12" s="1035"/>
      <c r="P12" s="1035"/>
      <c r="Q12" s="1040" t="s">
        <v>1350</v>
      </c>
      <c r="R12" s="1041"/>
      <c r="S12" s="1041"/>
      <c r="T12" s="1042"/>
      <c r="U12" s="145"/>
    </row>
    <row r="13" spans="1:21">
      <c r="A13" s="1037" t="s">
        <v>192</v>
      </c>
      <c r="B13" s="1037"/>
      <c r="C13" s="1037"/>
      <c r="D13" s="1037"/>
      <c r="E13" s="1037"/>
      <c r="F13" s="1037"/>
      <c r="G13" s="1035" t="s">
        <v>1351</v>
      </c>
      <c r="H13" s="1035"/>
      <c r="I13" s="1035"/>
      <c r="J13" s="1035" t="s">
        <v>1352</v>
      </c>
      <c r="K13" s="1035"/>
      <c r="L13" s="1035"/>
      <c r="M13" s="1035" t="s">
        <v>1353</v>
      </c>
      <c r="N13" s="1035"/>
      <c r="O13" s="1035"/>
      <c r="P13" s="1035"/>
      <c r="Q13" s="1035" t="s">
        <v>1354</v>
      </c>
      <c r="R13" s="1035"/>
      <c r="S13" s="1035"/>
      <c r="T13" s="1035"/>
      <c r="U13" s="145"/>
    </row>
    <row r="14" spans="1:21">
      <c r="A14" s="1037" t="s">
        <v>197</v>
      </c>
      <c r="B14" s="1037"/>
      <c r="C14" s="1037"/>
      <c r="D14" s="1037"/>
      <c r="E14" s="1037"/>
      <c r="F14" s="1037"/>
      <c r="G14" s="1035" t="s">
        <v>1355</v>
      </c>
      <c r="H14" s="1035"/>
      <c r="I14" s="1035"/>
      <c r="J14" s="1035">
        <v>0</v>
      </c>
      <c r="K14" s="1035"/>
      <c r="L14" s="1035"/>
      <c r="M14" s="1035">
        <v>0</v>
      </c>
      <c r="N14" s="1035"/>
      <c r="O14" s="1035"/>
      <c r="P14" s="1035"/>
      <c r="Q14" s="1035">
        <v>0</v>
      </c>
      <c r="R14" s="1035"/>
      <c r="S14" s="1035"/>
      <c r="T14" s="1035"/>
      <c r="U14" s="145"/>
    </row>
    <row r="15" spans="1:21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6"/>
      <c r="L15" s="142"/>
      <c r="M15" s="142"/>
      <c r="N15" s="142"/>
      <c r="O15" s="142"/>
      <c r="P15" s="142"/>
      <c r="Q15" s="142"/>
      <c r="R15" s="142"/>
      <c r="S15" s="142"/>
      <c r="T15" s="142"/>
      <c r="U15" s="145"/>
    </row>
    <row r="16" spans="1:21">
      <c r="A16" s="142" t="s">
        <v>1356</v>
      </c>
      <c r="B16" s="142"/>
      <c r="C16" s="142"/>
      <c r="D16" s="142"/>
      <c r="E16" s="1038">
        <v>1</v>
      </c>
      <c r="F16" s="1039"/>
      <c r="G16" s="142" t="s">
        <v>1357</v>
      </c>
      <c r="H16" s="146"/>
      <c r="I16" s="146"/>
      <c r="J16" s="150">
        <v>4</v>
      </c>
      <c r="K16" s="142" t="s">
        <v>643</v>
      </c>
      <c r="L16" s="149"/>
      <c r="M16" s="147">
        <v>11</v>
      </c>
      <c r="N16" s="148"/>
      <c r="O16" s="142" t="s">
        <v>1358</v>
      </c>
      <c r="P16" s="147">
        <v>4</v>
      </c>
      <c r="Q16" s="148"/>
      <c r="R16" s="151" t="s">
        <v>1359</v>
      </c>
      <c r="S16" s="152">
        <v>12</v>
      </c>
      <c r="T16" s="146"/>
      <c r="U16" s="145"/>
    </row>
    <row r="17" spans="1:21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5"/>
    </row>
    <row r="18" spans="1:21">
      <c r="A18" s="142" t="s">
        <v>203</v>
      </c>
      <c r="B18" s="142"/>
      <c r="C18" s="142"/>
      <c r="D18" s="142" t="s">
        <v>204</v>
      </c>
      <c r="E18" s="147">
        <v>118</v>
      </c>
      <c r="F18" s="148"/>
      <c r="G18" s="142" t="s">
        <v>205</v>
      </c>
      <c r="H18" s="102">
        <v>0</v>
      </c>
      <c r="I18" s="142" t="s">
        <v>206</v>
      </c>
      <c r="J18" s="146"/>
      <c r="K18" s="147">
        <v>0</v>
      </c>
      <c r="L18" s="148"/>
      <c r="M18" s="142" t="s">
        <v>230</v>
      </c>
      <c r="N18" s="146"/>
      <c r="O18" s="150">
        <v>118</v>
      </c>
      <c r="P18" s="142" t="s">
        <v>207</v>
      </c>
      <c r="Q18" s="102">
        <v>2</v>
      </c>
      <c r="R18" s="142" t="s">
        <v>1360</v>
      </c>
      <c r="S18" s="146"/>
      <c r="T18" s="150">
        <v>32</v>
      </c>
      <c r="U18" s="153"/>
    </row>
    <row r="19" spans="1:21">
      <c r="A19" s="142"/>
      <c r="B19" s="142"/>
      <c r="C19" s="142"/>
      <c r="D19" s="142" t="s">
        <v>210</v>
      </c>
      <c r="E19" s="147">
        <v>329</v>
      </c>
      <c r="F19" s="148"/>
      <c r="G19" s="142" t="s">
        <v>211</v>
      </c>
      <c r="H19" s="102">
        <v>0</v>
      </c>
      <c r="I19" s="142" t="s">
        <v>212</v>
      </c>
      <c r="J19" s="146"/>
      <c r="K19" s="147">
        <v>0</v>
      </c>
      <c r="L19" s="148"/>
      <c r="M19" s="142" t="s">
        <v>411</v>
      </c>
      <c r="N19" s="146"/>
      <c r="O19" s="150">
        <v>329</v>
      </c>
      <c r="P19" s="149"/>
      <c r="Q19" s="146"/>
      <c r="R19" s="142"/>
      <c r="S19" s="142"/>
      <c r="T19" s="142"/>
      <c r="U19" s="145"/>
    </row>
    <row r="20" spans="1:21">
      <c r="A20" s="142"/>
      <c r="B20" s="142"/>
      <c r="C20" s="142"/>
      <c r="D20" s="142" t="s">
        <v>213</v>
      </c>
      <c r="E20" s="147">
        <v>327</v>
      </c>
      <c r="F20" s="148"/>
      <c r="G20" s="154" t="s">
        <v>650</v>
      </c>
      <c r="H20" s="102">
        <v>0</v>
      </c>
      <c r="I20" s="142" t="s">
        <v>215</v>
      </c>
      <c r="J20" s="146"/>
      <c r="K20" s="147">
        <v>0</v>
      </c>
      <c r="L20" s="148"/>
      <c r="M20" s="154" t="s">
        <v>410</v>
      </c>
      <c r="N20" s="146"/>
      <c r="O20" s="150">
        <v>327</v>
      </c>
      <c r="P20" s="149"/>
      <c r="Q20" s="146"/>
      <c r="R20" s="142"/>
      <c r="S20" s="142"/>
      <c r="T20" s="142"/>
      <c r="U20" s="145"/>
    </row>
    <row r="21" spans="1:21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5"/>
    </row>
    <row r="22" spans="1:21">
      <c r="A22" s="144" t="s">
        <v>216</v>
      </c>
      <c r="B22" s="144"/>
      <c r="C22" s="144"/>
      <c r="D22" s="144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5"/>
    </row>
    <row r="23" spans="1:21">
      <c r="A23" s="142"/>
      <c r="B23" s="142"/>
      <c r="C23" s="142"/>
      <c r="D23" s="142"/>
      <c r="E23" s="142"/>
      <c r="F23" s="142"/>
      <c r="G23" s="1030" t="s">
        <v>1361</v>
      </c>
      <c r="H23" s="1035" t="s">
        <v>1362</v>
      </c>
      <c r="I23" s="1030" t="s">
        <v>1363</v>
      </c>
      <c r="J23" s="1030" t="s">
        <v>1364</v>
      </c>
      <c r="K23" s="1035" t="s">
        <v>222</v>
      </c>
      <c r="L23" s="1035"/>
      <c r="M23" s="1035"/>
      <c r="N23" s="1035"/>
      <c r="O23" s="1035"/>
      <c r="P23" s="1035"/>
      <c r="Q23" s="1035"/>
      <c r="R23" s="1035"/>
      <c r="S23" s="1035"/>
      <c r="T23" s="142"/>
      <c r="U23" s="145"/>
    </row>
    <row r="24" spans="1:21">
      <c r="A24" s="1031" t="s">
        <v>217</v>
      </c>
      <c r="B24" s="1031"/>
      <c r="C24" s="1031"/>
      <c r="D24" s="1031"/>
      <c r="E24" s="1031"/>
      <c r="F24" s="1036"/>
      <c r="G24" s="1030"/>
      <c r="H24" s="1035"/>
      <c r="I24" s="1030"/>
      <c r="J24" s="1030"/>
      <c r="K24" s="102" t="s">
        <v>1365</v>
      </c>
      <c r="L24" s="102" t="s">
        <v>1366</v>
      </c>
      <c r="M24" s="102" t="s">
        <v>1367</v>
      </c>
      <c r="N24" s="102" t="s">
        <v>1368</v>
      </c>
      <c r="O24" s="102" t="s">
        <v>1369</v>
      </c>
      <c r="P24" s="102" t="s">
        <v>1370</v>
      </c>
      <c r="Q24" s="102" t="s">
        <v>1371</v>
      </c>
      <c r="R24" s="102" t="s">
        <v>230</v>
      </c>
      <c r="S24" s="102" t="s">
        <v>231</v>
      </c>
      <c r="T24" s="142"/>
      <c r="U24" s="145"/>
    </row>
    <row r="25" spans="1:21">
      <c r="A25" s="1031" t="s">
        <v>232</v>
      </c>
      <c r="B25" s="1031"/>
      <c r="C25" s="1031"/>
      <c r="D25" s="1031"/>
      <c r="E25" s="1031"/>
      <c r="F25" s="1031"/>
      <c r="G25" s="52">
        <v>8000</v>
      </c>
      <c r="H25" s="52" t="s">
        <v>1372</v>
      </c>
      <c r="I25" s="55">
        <f>+G25*O4/100000</f>
        <v>37.28</v>
      </c>
      <c r="J25" s="55">
        <f>3728000/100000</f>
        <v>37.28</v>
      </c>
      <c r="K25" s="71">
        <v>0</v>
      </c>
      <c r="L25" s="55">
        <f>103317/100000</f>
        <v>1.0331699999999999</v>
      </c>
      <c r="M25" s="55">
        <f>783075/100000</f>
        <v>7.8307500000000001</v>
      </c>
      <c r="N25" s="55">
        <f>998832/100000</f>
        <v>9.9883199999999999</v>
      </c>
      <c r="O25" s="55">
        <f>1784061/100000</f>
        <v>17.840610000000002</v>
      </c>
      <c r="P25" s="55">
        <f>89787.5/100000</f>
        <v>0.89787499999999998</v>
      </c>
      <c r="Q25" s="55">
        <v>0</v>
      </c>
      <c r="R25" s="54">
        <f>SUM(K25:Q25)</f>
        <v>37.590725000000006</v>
      </c>
      <c r="S25" s="55">
        <f>R25*100/J25</f>
        <v>100.83348980686696</v>
      </c>
      <c r="T25" s="155"/>
      <c r="U25" s="145"/>
    </row>
    <row r="26" spans="1:21">
      <c r="A26" s="1031" t="s">
        <v>234</v>
      </c>
      <c r="B26" s="1031"/>
      <c r="C26" s="1031"/>
      <c r="D26" s="1031"/>
      <c r="E26" s="1031"/>
      <c r="F26" s="1031"/>
      <c r="G26" s="52">
        <v>7000</v>
      </c>
      <c r="H26" s="52" t="s">
        <v>1175</v>
      </c>
      <c r="I26" s="55">
        <f>+G26*80/100000</f>
        <v>5.6</v>
      </c>
      <c r="J26" s="55">
        <f>560000/100000</f>
        <v>5.6</v>
      </c>
      <c r="K26" s="55">
        <v>0</v>
      </c>
      <c r="L26" s="55">
        <v>0</v>
      </c>
      <c r="M26" s="55">
        <v>0</v>
      </c>
      <c r="N26" s="55">
        <v>0</v>
      </c>
      <c r="O26" s="55">
        <f>315870/100000</f>
        <v>3.1587000000000001</v>
      </c>
      <c r="P26" s="55">
        <f>244130/100000</f>
        <v>2.4413</v>
      </c>
      <c r="Q26" s="55">
        <v>0</v>
      </c>
      <c r="R26" s="54">
        <f t="shared" ref="R26:R32" si="0">SUM(L26:Q26)</f>
        <v>5.6</v>
      </c>
      <c r="S26" s="55">
        <f t="shared" ref="S26:S33" si="1">R26*100/J26</f>
        <v>100</v>
      </c>
      <c r="T26" s="155"/>
      <c r="U26" s="145"/>
    </row>
    <row r="27" spans="1:21">
      <c r="A27" s="1031" t="s">
        <v>1373</v>
      </c>
      <c r="B27" s="1031"/>
      <c r="C27" s="1031"/>
      <c r="D27" s="1031"/>
      <c r="E27" s="1031"/>
      <c r="F27" s="1031"/>
      <c r="G27" s="52">
        <v>43000</v>
      </c>
      <c r="H27" s="52" t="s">
        <v>236</v>
      </c>
      <c r="I27" s="55">
        <f>143000/100000</f>
        <v>1.43</v>
      </c>
      <c r="J27" s="55">
        <f>63000/100000</f>
        <v>0.63</v>
      </c>
      <c r="K27" s="55">
        <v>0</v>
      </c>
      <c r="L27" s="55">
        <v>0</v>
      </c>
      <c r="M27" s="55">
        <v>0</v>
      </c>
      <c r="N27" s="55">
        <v>0</v>
      </c>
      <c r="O27" s="55">
        <f>33000/100000</f>
        <v>0.33</v>
      </c>
      <c r="P27" s="55">
        <f>10000/100000</f>
        <v>0.1</v>
      </c>
      <c r="Q27" s="55">
        <f>10000/100000</f>
        <v>0.1</v>
      </c>
      <c r="R27" s="54">
        <f t="shared" si="0"/>
        <v>0.53</v>
      </c>
      <c r="S27" s="55">
        <f t="shared" si="1"/>
        <v>84.126984126984127</v>
      </c>
      <c r="T27" s="155"/>
      <c r="U27" s="145"/>
    </row>
    <row r="28" spans="1:21">
      <c r="A28" s="1031" t="s">
        <v>237</v>
      </c>
      <c r="B28" s="1031"/>
      <c r="C28" s="1031"/>
      <c r="D28" s="1031"/>
      <c r="E28" s="1031"/>
      <c r="F28" s="1031"/>
      <c r="G28" s="52">
        <v>34000</v>
      </c>
      <c r="H28" s="52" t="s">
        <v>236</v>
      </c>
      <c r="I28" s="55">
        <f>34000/100000</f>
        <v>0.34</v>
      </c>
      <c r="J28" s="55">
        <f>34000/100000</f>
        <v>0.34</v>
      </c>
      <c r="K28" s="55">
        <v>0</v>
      </c>
      <c r="L28" s="55">
        <v>0</v>
      </c>
      <c r="M28" s="55">
        <v>0</v>
      </c>
      <c r="N28" s="55">
        <v>0</v>
      </c>
      <c r="O28" s="55">
        <f>34000/100000</f>
        <v>0.34</v>
      </c>
      <c r="P28" s="55">
        <v>0</v>
      </c>
      <c r="Q28" s="55">
        <v>0</v>
      </c>
      <c r="R28" s="54">
        <f t="shared" si="0"/>
        <v>0.34</v>
      </c>
      <c r="S28" s="55">
        <f t="shared" si="1"/>
        <v>99.999999999999986</v>
      </c>
      <c r="T28" s="155"/>
      <c r="U28" s="145"/>
    </row>
    <row r="29" spans="1:21">
      <c r="A29" s="1031" t="s">
        <v>1374</v>
      </c>
      <c r="B29" s="1031"/>
      <c r="C29" s="1031"/>
      <c r="D29" s="1031"/>
      <c r="E29" s="1031"/>
      <c r="F29" s="1031"/>
      <c r="G29" s="52">
        <v>1200</v>
      </c>
      <c r="H29" s="52" t="s">
        <v>1175</v>
      </c>
      <c r="I29" s="55">
        <f>+G29*O4/100000</f>
        <v>5.5919999999999996</v>
      </c>
      <c r="J29" s="55">
        <f>559200/100000</f>
        <v>5.5919999999999996</v>
      </c>
      <c r="K29" s="55">
        <v>0</v>
      </c>
      <c r="L29" s="55">
        <v>0</v>
      </c>
      <c r="M29" s="55">
        <v>0</v>
      </c>
      <c r="N29" s="55">
        <v>0</v>
      </c>
      <c r="O29" s="55">
        <f>97000/100000</f>
        <v>0.97</v>
      </c>
      <c r="P29" s="55">
        <f>456245/100000</f>
        <v>4.5624500000000001</v>
      </c>
      <c r="Q29" s="55">
        <v>0</v>
      </c>
      <c r="R29" s="54">
        <f t="shared" si="0"/>
        <v>5.5324499999999999</v>
      </c>
      <c r="S29" s="55">
        <f t="shared" si="1"/>
        <v>98.935085836909877</v>
      </c>
      <c r="T29" s="155"/>
      <c r="U29" s="145"/>
    </row>
    <row r="30" spans="1:21">
      <c r="A30" s="1031" t="s">
        <v>1375</v>
      </c>
      <c r="B30" s="1031"/>
      <c r="C30" s="1031"/>
      <c r="D30" s="1031"/>
      <c r="E30" s="1031"/>
      <c r="F30" s="1031"/>
      <c r="G30" s="52">
        <v>565</v>
      </c>
      <c r="H30" s="52" t="s">
        <v>1175</v>
      </c>
      <c r="I30" s="55">
        <f>+G30*O4/100000</f>
        <v>2.6328999999999998</v>
      </c>
      <c r="J30" s="55">
        <f>263290/100000</f>
        <v>2.6328999999999998</v>
      </c>
      <c r="K30" s="55">
        <v>0</v>
      </c>
      <c r="L30" s="55">
        <v>0</v>
      </c>
      <c r="M30" s="55">
        <f>50000/100000</f>
        <v>0.5</v>
      </c>
      <c r="N30" s="55">
        <f>3535/100000</f>
        <v>3.5349999999999999E-2</v>
      </c>
      <c r="O30" s="55">
        <f>209755/100000</f>
        <v>2.09755</v>
      </c>
      <c r="P30" s="55">
        <v>0</v>
      </c>
      <c r="Q30" s="55"/>
      <c r="R30" s="55">
        <f t="shared" si="0"/>
        <v>2.6329000000000002</v>
      </c>
      <c r="S30" s="55">
        <f t="shared" si="1"/>
        <v>100.00000000000001</v>
      </c>
      <c r="T30" s="155"/>
      <c r="U30" s="145"/>
    </row>
    <row r="31" spans="1:21">
      <c r="A31" s="1031" t="s">
        <v>1376</v>
      </c>
      <c r="B31" s="1031"/>
      <c r="C31" s="1031"/>
      <c r="D31" s="1031"/>
      <c r="E31" s="1031"/>
      <c r="F31" s="1031"/>
      <c r="G31" s="52">
        <v>1000</v>
      </c>
      <c r="H31" s="52" t="s">
        <v>1175</v>
      </c>
      <c r="I31" s="55">
        <f>+G31*O4/100000</f>
        <v>4.66</v>
      </c>
      <c r="J31" s="55">
        <f>466000/100000</f>
        <v>4.66</v>
      </c>
      <c r="K31" s="55">
        <v>0</v>
      </c>
      <c r="L31" s="55">
        <f>20000/100000</f>
        <v>0.2</v>
      </c>
      <c r="M31" s="55">
        <f>80000/100000</f>
        <v>0.8</v>
      </c>
      <c r="N31" s="55">
        <v>0</v>
      </c>
      <c r="O31" s="55">
        <v>0</v>
      </c>
      <c r="P31" s="55">
        <f>366069.5/100000</f>
        <v>3.660695</v>
      </c>
      <c r="Q31" s="55">
        <v>0</v>
      </c>
      <c r="R31" s="54">
        <f t="shared" si="0"/>
        <v>4.6606950000000005</v>
      </c>
      <c r="S31" s="55">
        <f t="shared" si="1"/>
        <v>100.01491416309014</v>
      </c>
      <c r="T31" s="155"/>
      <c r="U31" s="145"/>
    </row>
    <row r="32" spans="1:21">
      <c r="A32" s="1031" t="s">
        <v>394</v>
      </c>
      <c r="B32" s="1031"/>
      <c r="C32" s="1031"/>
      <c r="D32" s="1031"/>
      <c r="E32" s="1031"/>
      <c r="F32" s="1031"/>
      <c r="G32" s="52">
        <v>2750</v>
      </c>
      <c r="H32" s="52" t="s">
        <v>242</v>
      </c>
      <c r="I32" s="55">
        <f>192000/100000</f>
        <v>1.92</v>
      </c>
      <c r="J32" s="55">
        <f>192000/100000</f>
        <v>1.92</v>
      </c>
      <c r="K32" s="55">
        <v>0</v>
      </c>
      <c r="L32" s="55">
        <f>9668/100000</f>
        <v>9.6680000000000002E-2</v>
      </c>
      <c r="M32" s="55">
        <f>37078/100000</f>
        <v>0.37078</v>
      </c>
      <c r="N32" s="55">
        <f>46231/100000</f>
        <v>0.46231</v>
      </c>
      <c r="O32" s="55">
        <f>33023/100000</f>
        <v>0.33023000000000002</v>
      </c>
      <c r="P32" s="55">
        <f>33001/100000</f>
        <v>0.33001000000000003</v>
      </c>
      <c r="Q32" s="55">
        <f>32999/100000</f>
        <v>0.32999000000000001</v>
      </c>
      <c r="R32" s="54">
        <f t="shared" si="0"/>
        <v>1.92</v>
      </c>
      <c r="S32" s="55">
        <f t="shared" si="1"/>
        <v>100</v>
      </c>
      <c r="T32" s="155"/>
      <c r="U32" s="145"/>
    </row>
    <row r="33" spans="1:21">
      <c r="A33" s="1032" t="s">
        <v>230</v>
      </c>
      <c r="B33" s="1033"/>
      <c r="C33" s="1033"/>
      <c r="D33" s="1033"/>
      <c r="E33" s="1033"/>
      <c r="F33" s="1034"/>
      <c r="G33" s="30"/>
      <c r="H33" s="30"/>
      <c r="I33" s="54">
        <f>SUM(I25:I32)</f>
        <v>59.454900000000009</v>
      </c>
      <c r="J33" s="54">
        <f>SUM(J25:J32)</f>
        <v>58.654900000000012</v>
      </c>
      <c r="K33" s="54"/>
      <c r="L33" s="54">
        <f t="shared" ref="L33:R33" si="2">SUM(L25:L32)</f>
        <v>1.32985</v>
      </c>
      <c r="M33" s="54">
        <f t="shared" si="2"/>
        <v>9.5015300000000007</v>
      </c>
      <c r="N33" s="54">
        <f t="shared" si="2"/>
        <v>10.48598</v>
      </c>
      <c r="O33" s="54">
        <f t="shared" si="2"/>
        <v>25.06709</v>
      </c>
      <c r="P33" s="54">
        <f t="shared" si="2"/>
        <v>11.992330000000001</v>
      </c>
      <c r="Q33" s="54">
        <f t="shared" si="2"/>
        <v>0.42998999999999998</v>
      </c>
      <c r="R33" s="54">
        <f t="shared" si="2"/>
        <v>58.806770000000014</v>
      </c>
      <c r="S33" s="54">
        <f t="shared" si="1"/>
        <v>100.25892124954608</v>
      </c>
      <c r="T33" s="155"/>
      <c r="U33" s="145"/>
    </row>
  </sheetData>
  <mergeCells count="44">
    <mergeCell ref="E4:G4"/>
    <mergeCell ref="E6:G6"/>
    <mergeCell ref="L6:M6"/>
    <mergeCell ref="A8:D8"/>
    <mergeCell ref="E8:G8"/>
    <mergeCell ref="I8:K8"/>
    <mergeCell ref="L8:O8"/>
    <mergeCell ref="A5:C5"/>
    <mergeCell ref="A12:F12"/>
    <mergeCell ref="G12:I12"/>
    <mergeCell ref="J12:L12"/>
    <mergeCell ref="M12:P12"/>
    <mergeCell ref="Q12:T12"/>
    <mergeCell ref="A11:F11"/>
    <mergeCell ref="G11:I11"/>
    <mergeCell ref="J11:L11"/>
    <mergeCell ref="M11:P11"/>
    <mergeCell ref="Q11:T11"/>
    <mergeCell ref="K23:S23"/>
    <mergeCell ref="A24:F24"/>
    <mergeCell ref="A13:F13"/>
    <mergeCell ref="G13:I13"/>
    <mergeCell ref="J13:L13"/>
    <mergeCell ref="M13:P13"/>
    <mergeCell ref="Q13:T13"/>
    <mergeCell ref="A14:F14"/>
    <mergeCell ref="G14:I14"/>
    <mergeCell ref="J14:L14"/>
    <mergeCell ref="M14:P14"/>
    <mergeCell ref="Q14:T14"/>
    <mergeCell ref="E16:F16"/>
    <mergeCell ref="G23:G24"/>
    <mergeCell ref="H23:H24"/>
    <mergeCell ref="I23:I24"/>
    <mergeCell ref="J23:J24"/>
    <mergeCell ref="A31:F31"/>
    <mergeCell ref="A32:F32"/>
    <mergeCell ref="A33:F33"/>
    <mergeCell ref="A25:F25"/>
    <mergeCell ref="A26:F26"/>
    <mergeCell ref="A27:F27"/>
    <mergeCell ref="A28:F28"/>
    <mergeCell ref="A29:F29"/>
    <mergeCell ref="A30:F30"/>
  </mergeCells>
  <hyperlinks>
    <hyperlink ref="A5" location="'Fact Sheet of VDC'!A1" display="&lt;&lt;Back"/>
  </hyperlinks>
  <pageMargins left="0.7" right="0.7" top="0.75" bottom="0.75" header="0.3" footer="0.3"/>
  <pageSetup scale="62"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U33"/>
  <sheetViews>
    <sheetView workbookViewId="0">
      <selection activeCell="A5" sqref="A5:C5"/>
    </sheetView>
  </sheetViews>
  <sheetFormatPr defaultRowHeight="15"/>
  <cols>
    <col min="4" max="4" width="4.140625" customWidth="1"/>
    <col min="6" max="6" width="4.28515625" customWidth="1"/>
    <col min="7" max="8" width="9.28515625" bestFit="1" customWidth="1"/>
    <col min="9" max="9" width="11" customWidth="1"/>
    <col min="10" max="17" width="9.28515625" bestFit="1" customWidth="1"/>
    <col min="18" max="18" width="9.7109375" bestFit="1" customWidth="1"/>
    <col min="19" max="19" width="13" customWidth="1"/>
    <col min="260" max="260" width="4.140625" customWidth="1"/>
    <col min="262" max="262" width="4.28515625" customWidth="1"/>
    <col min="263" max="264" width="9.28515625" bestFit="1" customWidth="1"/>
    <col min="265" max="265" width="11" customWidth="1"/>
    <col min="266" max="273" width="9.28515625" bestFit="1" customWidth="1"/>
    <col min="274" max="274" width="9.7109375" bestFit="1" customWidth="1"/>
    <col min="275" max="275" width="13" customWidth="1"/>
    <col min="516" max="516" width="4.140625" customWidth="1"/>
    <col min="518" max="518" width="4.28515625" customWidth="1"/>
    <col min="519" max="520" width="9.28515625" bestFit="1" customWidth="1"/>
    <col min="521" max="521" width="11" customWidth="1"/>
    <col min="522" max="529" width="9.28515625" bestFit="1" customWidth="1"/>
    <col min="530" max="530" width="9.7109375" bestFit="1" customWidth="1"/>
    <col min="531" max="531" width="13" customWidth="1"/>
    <col min="772" max="772" width="4.140625" customWidth="1"/>
    <col min="774" max="774" width="4.28515625" customWidth="1"/>
    <col min="775" max="776" width="9.28515625" bestFit="1" customWidth="1"/>
    <col min="777" max="777" width="11" customWidth="1"/>
    <col min="778" max="785" width="9.28515625" bestFit="1" customWidth="1"/>
    <col min="786" max="786" width="9.7109375" bestFit="1" customWidth="1"/>
    <col min="787" max="787" width="13" customWidth="1"/>
    <col min="1028" max="1028" width="4.140625" customWidth="1"/>
    <col min="1030" max="1030" width="4.28515625" customWidth="1"/>
    <col min="1031" max="1032" width="9.28515625" bestFit="1" customWidth="1"/>
    <col min="1033" max="1033" width="11" customWidth="1"/>
    <col min="1034" max="1041" width="9.28515625" bestFit="1" customWidth="1"/>
    <col min="1042" max="1042" width="9.7109375" bestFit="1" customWidth="1"/>
    <col min="1043" max="1043" width="13" customWidth="1"/>
    <col min="1284" max="1284" width="4.140625" customWidth="1"/>
    <col min="1286" max="1286" width="4.28515625" customWidth="1"/>
    <col min="1287" max="1288" width="9.28515625" bestFit="1" customWidth="1"/>
    <col min="1289" max="1289" width="11" customWidth="1"/>
    <col min="1290" max="1297" width="9.28515625" bestFit="1" customWidth="1"/>
    <col min="1298" max="1298" width="9.7109375" bestFit="1" customWidth="1"/>
    <col min="1299" max="1299" width="13" customWidth="1"/>
    <col min="1540" max="1540" width="4.140625" customWidth="1"/>
    <col min="1542" max="1542" width="4.28515625" customWidth="1"/>
    <col min="1543" max="1544" width="9.28515625" bestFit="1" customWidth="1"/>
    <col min="1545" max="1545" width="11" customWidth="1"/>
    <col min="1546" max="1553" width="9.28515625" bestFit="1" customWidth="1"/>
    <col min="1554" max="1554" width="9.7109375" bestFit="1" customWidth="1"/>
    <col min="1555" max="1555" width="13" customWidth="1"/>
    <col min="1796" max="1796" width="4.140625" customWidth="1"/>
    <col min="1798" max="1798" width="4.28515625" customWidth="1"/>
    <col min="1799" max="1800" width="9.28515625" bestFit="1" customWidth="1"/>
    <col min="1801" max="1801" width="11" customWidth="1"/>
    <col min="1802" max="1809" width="9.28515625" bestFit="1" customWidth="1"/>
    <col min="1810" max="1810" width="9.7109375" bestFit="1" customWidth="1"/>
    <col min="1811" max="1811" width="13" customWidth="1"/>
    <col min="2052" max="2052" width="4.140625" customWidth="1"/>
    <col min="2054" max="2054" width="4.28515625" customWidth="1"/>
    <col min="2055" max="2056" width="9.28515625" bestFit="1" customWidth="1"/>
    <col min="2057" max="2057" width="11" customWidth="1"/>
    <col min="2058" max="2065" width="9.28515625" bestFit="1" customWidth="1"/>
    <col min="2066" max="2066" width="9.7109375" bestFit="1" customWidth="1"/>
    <col min="2067" max="2067" width="13" customWidth="1"/>
    <col min="2308" max="2308" width="4.140625" customWidth="1"/>
    <col min="2310" max="2310" width="4.28515625" customWidth="1"/>
    <col min="2311" max="2312" width="9.28515625" bestFit="1" customWidth="1"/>
    <col min="2313" max="2313" width="11" customWidth="1"/>
    <col min="2314" max="2321" width="9.28515625" bestFit="1" customWidth="1"/>
    <col min="2322" max="2322" width="9.7109375" bestFit="1" customWidth="1"/>
    <col min="2323" max="2323" width="13" customWidth="1"/>
    <col min="2564" max="2564" width="4.140625" customWidth="1"/>
    <col min="2566" max="2566" width="4.28515625" customWidth="1"/>
    <col min="2567" max="2568" width="9.28515625" bestFit="1" customWidth="1"/>
    <col min="2569" max="2569" width="11" customWidth="1"/>
    <col min="2570" max="2577" width="9.28515625" bestFit="1" customWidth="1"/>
    <col min="2578" max="2578" width="9.7109375" bestFit="1" customWidth="1"/>
    <col min="2579" max="2579" width="13" customWidth="1"/>
    <col min="2820" max="2820" width="4.140625" customWidth="1"/>
    <col min="2822" max="2822" width="4.28515625" customWidth="1"/>
    <col min="2823" max="2824" width="9.28515625" bestFit="1" customWidth="1"/>
    <col min="2825" max="2825" width="11" customWidth="1"/>
    <col min="2826" max="2833" width="9.28515625" bestFit="1" customWidth="1"/>
    <col min="2834" max="2834" width="9.7109375" bestFit="1" customWidth="1"/>
    <col min="2835" max="2835" width="13" customWidth="1"/>
    <col min="3076" max="3076" width="4.140625" customWidth="1"/>
    <col min="3078" max="3078" width="4.28515625" customWidth="1"/>
    <col min="3079" max="3080" width="9.28515625" bestFit="1" customWidth="1"/>
    <col min="3081" max="3081" width="11" customWidth="1"/>
    <col min="3082" max="3089" width="9.28515625" bestFit="1" customWidth="1"/>
    <col min="3090" max="3090" width="9.7109375" bestFit="1" customWidth="1"/>
    <col min="3091" max="3091" width="13" customWidth="1"/>
    <col min="3332" max="3332" width="4.140625" customWidth="1"/>
    <col min="3334" max="3334" width="4.28515625" customWidth="1"/>
    <col min="3335" max="3336" width="9.28515625" bestFit="1" customWidth="1"/>
    <col min="3337" max="3337" width="11" customWidth="1"/>
    <col min="3338" max="3345" width="9.28515625" bestFit="1" customWidth="1"/>
    <col min="3346" max="3346" width="9.7109375" bestFit="1" customWidth="1"/>
    <col min="3347" max="3347" width="13" customWidth="1"/>
    <col min="3588" max="3588" width="4.140625" customWidth="1"/>
    <col min="3590" max="3590" width="4.28515625" customWidth="1"/>
    <col min="3591" max="3592" width="9.28515625" bestFit="1" customWidth="1"/>
    <col min="3593" max="3593" width="11" customWidth="1"/>
    <col min="3594" max="3601" width="9.28515625" bestFit="1" customWidth="1"/>
    <col min="3602" max="3602" width="9.7109375" bestFit="1" customWidth="1"/>
    <col min="3603" max="3603" width="13" customWidth="1"/>
    <col min="3844" max="3844" width="4.140625" customWidth="1"/>
    <col min="3846" max="3846" width="4.28515625" customWidth="1"/>
    <col min="3847" max="3848" width="9.28515625" bestFit="1" customWidth="1"/>
    <col min="3849" max="3849" width="11" customWidth="1"/>
    <col min="3850" max="3857" width="9.28515625" bestFit="1" customWidth="1"/>
    <col min="3858" max="3858" width="9.7109375" bestFit="1" customWidth="1"/>
    <col min="3859" max="3859" width="13" customWidth="1"/>
    <col min="4100" max="4100" width="4.140625" customWidth="1"/>
    <col min="4102" max="4102" width="4.28515625" customWidth="1"/>
    <col min="4103" max="4104" width="9.28515625" bestFit="1" customWidth="1"/>
    <col min="4105" max="4105" width="11" customWidth="1"/>
    <col min="4106" max="4113" width="9.28515625" bestFit="1" customWidth="1"/>
    <col min="4114" max="4114" width="9.7109375" bestFit="1" customWidth="1"/>
    <col min="4115" max="4115" width="13" customWidth="1"/>
    <col min="4356" max="4356" width="4.140625" customWidth="1"/>
    <col min="4358" max="4358" width="4.28515625" customWidth="1"/>
    <col min="4359" max="4360" width="9.28515625" bestFit="1" customWidth="1"/>
    <col min="4361" max="4361" width="11" customWidth="1"/>
    <col min="4362" max="4369" width="9.28515625" bestFit="1" customWidth="1"/>
    <col min="4370" max="4370" width="9.7109375" bestFit="1" customWidth="1"/>
    <col min="4371" max="4371" width="13" customWidth="1"/>
    <col min="4612" max="4612" width="4.140625" customWidth="1"/>
    <col min="4614" max="4614" width="4.28515625" customWidth="1"/>
    <col min="4615" max="4616" width="9.28515625" bestFit="1" customWidth="1"/>
    <col min="4617" max="4617" width="11" customWidth="1"/>
    <col min="4618" max="4625" width="9.28515625" bestFit="1" customWidth="1"/>
    <col min="4626" max="4626" width="9.7109375" bestFit="1" customWidth="1"/>
    <col min="4627" max="4627" width="13" customWidth="1"/>
    <col min="4868" max="4868" width="4.140625" customWidth="1"/>
    <col min="4870" max="4870" width="4.28515625" customWidth="1"/>
    <col min="4871" max="4872" width="9.28515625" bestFit="1" customWidth="1"/>
    <col min="4873" max="4873" width="11" customWidth="1"/>
    <col min="4874" max="4881" width="9.28515625" bestFit="1" customWidth="1"/>
    <col min="4882" max="4882" width="9.7109375" bestFit="1" customWidth="1"/>
    <col min="4883" max="4883" width="13" customWidth="1"/>
    <col min="5124" max="5124" width="4.140625" customWidth="1"/>
    <col min="5126" max="5126" width="4.28515625" customWidth="1"/>
    <col min="5127" max="5128" width="9.28515625" bestFit="1" customWidth="1"/>
    <col min="5129" max="5129" width="11" customWidth="1"/>
    <col min="5130" max="5137" width="9.28515625" bestFit="1" customWidth="1"/>
    <col min="5138" max="5138" width="9.7109375" bestFit="1" customWidth="1"/>
    <col min="5139" max="5139" width="13" customWidth="1"/>
    <col min="5380" max="5380" width="4.140625" customWidth="1"/>
    <col min="5382" max="5382" width="4.28515625" customWidth="1"/>
    <col min="5383" max="5384" width="9.28515625" bestFit="1" customWidth="1"/>
    <col min="5385" max="5385" width="11" customWidth="1"/>
    <col min="5386" max="5393" width="9.28515625" bestFit="1" customWidth="1"/>
    <col min="5394" max="5394" width="9.7109375" bestFit="1" customWidth="1"/>
    <col min="5395" max="5395" width="13" customWidth="1"/>
    <col min="5636" max="5636" width="4.140625" customWidth="1"/>
    <col min="5638" max="5638" width="4.28515625" customWidth="1"/>
    <col min="5639" max="5640" width="9.28515625" bestFit="1" customWidth="1"/>
    <col min="5641" max="5641" width="11" customWidth="1"/>
    <col min="5642" max="5649" width="9.28515625" bestFit="1" customWidth="1"/>
    <col min="5650" max="5650" width="9.7109375" bestFit="1" customWidth="1"/>
    <col min="5651" max="5651" width="13" customWidth="1"/>
    <col min="5892" max="5892" width="4.140625" customWidth="1"/>
    <col min="5894" max="5894" width="4.28515625" customWidth="1"/>
    <col min="5895" max="5896" width="9.28515625" bestFit="1" customWidth="1"/>
    <col min="5897" max="5897" width="11" customWidth="1"/>
    <col min="5898" max="5905" width="9.28515625" bestFit="1" customWidth="1"/>
    <col min="5906" max="5906" width="9.7109375" bestFit="1" customWidth="1"/>
    <col min="5907" max="5907" width="13" customWidth="1"/>
    <col min="6148" max="6148" width="4.140625" customWidth="1"/>
    <col min="6150" max="6150" width="4.28515625" customWidth="1"/>
    <col min="6151" max="6152" width="9.28515625" bestFit="1" customWidth="1"/>
    <col min="6153" max="6153" width="11" customWidth="1"/>
    <col min="6154" max="6161" width="9.28515625" bestFit="1" customWidth="1"/>
    <col min="6162" max="6162" width="9.7109375" bestFit="1" customWidth="1"/>
    <col min="6163" max="6163" width="13" customWidth="1"/>
    <col min="6404" max="6404" width="4.140625" customWidth="1"/>
    <col min="6406" max="6406" width="4.28515625" customWidth="1"/>
    <col min="6407" max="6408" width="9.28515625" bestFit="1" customWidth="1"/>
    <col min="6409" max="6409" width="11" customWidth="1"/>
    <col min="6410" max="6417" width="9.28515625" bestFit="1" customWidth="1"/>
    <col min="6418" max="6418" width="9.7109375" bestFit="1" customWidth="1"/>
    <col min="6419" max="6419" width="13" customWidth="1"/>
    <col min="6660" max="6660" width="4.140625" customWidth="1"/>
    <col min="6662" max="6662" width="4.28515625" customWidth="1"/>
    <col min="6663" max="6664" width="9.28515625" bestFit="1" customWidth="1"/>
    <col min="6665" max="6665" width="11" customWidth="1"/>
    <col min="6666" max="6673" width="9.28515625" bestFit="1" customWidth="1"/>
    <col min="6674" max="6674" width="9.7109375" bestFit="1" customWidth="1"/>
    <col min="6675" max="6675" width="13" customWidth="1"/>
    <col min="6916" max="6916" width="4.140625" customWidth="1"/>
    <col min="6918" max="6918" width="4.28515625" customWidth="1"/>
    <col min="6919" max="6920" width="9.28515625" bestFit="1" customWidth="1"/>
    <col min="6921" max="6921" width="11" customWidth="1"/>
    <col min="6922" max="6929" width="9.28515625" bestFit="1" customWidth="1"/>
    <col min="6930" max="6930" width="9.7109375" bestFit="1" customWidth="1"/>
    <col min="6931" max="6931" width="13" customWidth="1"/>
    <col min="7172" max="7172" width="4.140625" customWidth="1"/>
    <col min="7174" max="7174" width="4.28515625" customWidth="1"/>
    <col min="7175" max="7176" width="9.28515625" bestFit="1" customWidth="1"/>
    <col min="7177" max="7177" width="11" customWidth="1"/>
    <col min="7178" max="7185" width="9.28515625" bestFit="1" customWidth="1"/>
    <col min="7186" max="7186" width="9.7109375" bestFit="1" customWidth="1"/>
    <col min="7187" max="7187" width="13" customWidth="1"/>
    <col min="7428" max="7428" width="4.140625" customWidth="1"/>
    <col min="7430" max="7430" width="4.28515625" customWidth="1"/>
    <col min="7431" max="7432" width="9.28515625" bestFit="1" customWidth="1"/>
    <col min="7433" max="7433" width="11" customWidth="1"/>
    <col min="7434" max="7441" width="9.28515625" bestFit="1" customWidth="1"/>
    <col min="7442" max="7442" width="9.7109375" bestFit="1" customWidth="1"/>
    <col min="7443" max="7443" width="13" customWidth="1"/>
    <col min="7684" max="7684" width="4.140625" customWidth="1"/>
    <col min="7686" max="7686" width="4.28515625" customWidth="1"/>
    <col min="7687" max="7688" width="9.28515625" bestFit="1" customWidth="1"/>
    <col min="7689" max="7689" width="11" customWidth="1"/>
    <col min="7690" max="7697" width="9.28515625" bestFit="1" customWidth="1"/>
    <col min="7698" max="7698" width="9.7109375" bestFit="1" customWidth="1"/>
    <col min="7699" max="7699" width="13" customWidth="1"/>
    <col min="7940" max="7940" width="4.140625" customWidth="1"/>
    <col min="7942" max="7942" width="4.28515625" customWidth="1"/>
    <col min="7943" max="7944" width="9.28515625" bestFit="1" customWidth="1"/>
    <col min="7945" max="7945" width="11" customWidth="1"/>
    <col min="7946" max="7953" width="9.28515625" bestFit="1" customWidth="1"/>
    <col min="7954" max="7954" width="9.7109375" bestFit="1" customWidth="1"/>
    <col min="7955" max="7955" width="13" customWidth="1"/>
    <col min="8196" max="8196" width="4.140625" customWidth="1"/>
    <col min="8198" max="8198" width="4.28515625" customWidth="1"/>
    <col min="8199" max="8200" width="9.28515625" bestFit="1" customWidth="1"/>
    <col min="8201" max="8201" width="11" customWidth="1"/>
    <col min="8202" max="8209" width="9.28515625" bestFit="1" customWidth="1"/>
    <col min="8210" max="8210" width="9.7109375" bestFit="1" customWidth="1"/>
    <col min="8211" max="8211" width="13" customWidth="1"/>
    <col min="8452" max="8452" width="4.140625" customWidth="1"/>
    <col min="8454" max="8454" width="4.28515625" customWidth="1"/>
    <col min="8455" max="8456" width="9.28515625" bestFit="1" customWidth="1"/>
    <col min="8457" max="8457" width="11" customWidth="1"/>
    <col min="8458" max="8465" width="9.28515625" bestFit="1" customWidth="1"/>
    <col min="8466" max="8466" width="9.7109375" bestFit="1" customWidth="1"/>
    <col min="8467" max="8467" width="13" customWidth="1"/>
    <col min="8708" max="8708" width="4.140625" customWidth="1"/>
    <col min="8710" max="8710" width="4.28515625" customWidth="1"/>
    <col min="8711" max="8712" width="9.28515625" bestFit="1" customWidth="1"/>
    <col min="8713" max="8713" width="11" customWidth="1"/>
    <col min="8714" max="8721" width="9.28515625" bestFit="1" customWidth="1"/>
    <col min="8722" max="8722" width="9.7109375" bestFit="1" customWidth="1"/>
    <col min="8723" max="8723" width="13" customWidth="1"/>
    <col min="8964" max="8964" width="4.140625" customWidth="1"/>
    <col min="8966" max="8966" width="4.28515625" customWidth="1"/>
    <col min="8967" max="8968" width="9.28515625" bestFit="1" customWidth="1"/>
    <col min="8969" max="8969" width="11" customWidth="1"/>
    <col min="8970" max="8977" width="9.28515625" bestFit="1" customWidth="1"/>
    <col min="8978" max="8978" width="9.7109375" bestFit="1" customWidth="1"/>
    <col min="8979" max="8979" width="13" customWidth="1"/>
    <col min="9220" max="9220" width="4.140625" customWidth="1"/>
    <col min="9222" max="9222" width="4.28515625" customWidth="1"/>
    <col min="9223" max="9224" width="9.28515625" bestFit="1" customWidth="1"/>
    <col min="9225" max="9225" width="11" customWidth="1"/>
    <col min="9226" max="9233" width="9.28515625" bestFit="1" customWidth="1"/>
    <col min="9234" max="9234" width="9.7109375" bestFit="1" customWidth="1"/>
    <col min="9235" max="9235" width="13" customWidth="1"/>
    <col min="9476" max="9476" width="4.140625" customWidth="1"/>
    <col min="9478" max="9478" width="4.28515625" customWidth="1"/>
    <col min="9479" max="9480" width="9.28515625" bestFit="1" customWidth="1"/>
    <col min="9481" max="9481" width="11" customWidth="1"/>
    <col min="9482" max="9489" width="9.28515625" bestFit="1" customWidth="1"/>
    <col min="9490" max="9490" width="9.7109375" bestFit="1" customWidth="1"/>
    <col min="9491" max="9491" width="13" customWidth="1"/>
    <col min="9732" max="9732" width="4.140625" customWidth="1"/>
    <col min="9734" max="9734" width="4.28515625" customWidth="1"/>
    <col min="9735" max="9736" width="9.28515625" bestFit="1" customWidth="1"/>
    <col min="9737" max="9737" width="11" customWidth="1"/>
    <col min="9738" max="9745" width="9.28515625" bestFit="1" customWidth="1"/>
    <col min="9746" max="9746" width="9.7109375" bestFit="1" customWidth="1"/>
    <col min="9747" max="9747" width="13" customWidth="1"/>
    <col min="9988" max="9988" width="4.140625" customWidth="1"/>
    <col min="9990" max="9990" width="4.28515625" customWidth="1"/>
    <col min="9991" max="9992" width="9.28515625" bestFit="1" customWidth="1"/>
    <col min="9993" max="9993" width="11" customWidth="1"/>
    <col min="9994" max="10001" width="9.28515625" bestFit="1" customWidth="1"/>
    <col min="10002" max="10002" width="9.7109375" bestFit="1" customWidth="1"/>
    <col min="10003" max="10003" width="13" customWidth="1"/>
    <col min="10244" max="10244" width="4.140625" customWidth="1"/>
    <col min="10246" max="10246" width="4.28515625" customWidth="1"/>
    <col min="10247" max="10248" width="9.28515625" bestFit="1" customWidth="1"/>
    <col min="10249" max="10249" width="11" customWidth="1"/>
    <col min="10250" max="10257" width="9.28515625" bestFit="1" customWidth="1"/>
    <col min="10258" max="10258" width="9.7109375" bestFit="1" customWidth="1"/>
    <col min="10259" max="10259" width="13" customWidth="1"/>
    <col min="10500" max="10500" width="4.140625" customWidth="1"/>
    <col min="10502" max="10502" width="4.28515625" customWidth="1"/>
    <col min="10503" max="10504" width="9.28515625" bestFit="1" customWidth="1"/>
    <col min="10505" max="10505" width="11" customWidth="1"/>
    <col min="10506" max="10513" width="9.28515625" bestFit="1" customWidth="1"/>
    <col min="10514" max="10514" width="9.7109375" bestFit="1" customWidth="1"/>
    <col min="10515" max="10515" width="13" customWidth="1"/>
    <col min="10756" max="10756" width="4.140625" customWidth="1"/>
    <col min="10758" max="10758" width="4.28515625" customWidth="1"/>
    <col min="10759" max="10760" width="9.28515625" bestFit="1" customWidth="1"/>
    <col min="10761" max="10761" width="11" customWidth="1"/>
    <col min="10762" max="10769" width="9.28515625" bestFit="1" customWidth="1"/>
    <col min="10770" max="10770" width="9.7109375" bestFit="1" customWidth="1"/>
    <col min="10771" max="10771" width="13" customWidth="1"/>
    <col min="11012" max="11012" width="4.140625" customWidth="1"/>
    <col min="11014" max="11014" width="4.28515625" customWidth="1"/>
    <col min="11015" max="11016" width="9.28515625" bestFit="1" customWidth="1"/>
    <col min="11017" max="11017" width="11" customWidth="1"/>
    <col min="11018" max="11025" width="9.28515625" bestFit="1" customWidth="1"/>
    <col min="11026" max="11026" width="9.7109375" bestFit="1" customWidth="1"/>
    <col min="11027" max="11027" width="13" customWidth="1"/>
    <col min="11268" max="11268" width="4.140625" customWidth="1"/>
    <col min="11270" max="11270" width="4.28515625" customWidth="1"/>
    <col min="11271" max="11272" width="9.28515625" bestFit="1" customWidth="1"/>
    <col min="11273" max="11273" width="11" customWidth="1"/>
    <col min="11274" max="11281" width="9.28515625" bestFit="1" customWidth="1"/>
    <col min="11282" max="11282" width="9.7109375" bestFit="1" customWidth="1"/>
    <col min="11283" max="11283" width="13" customWidth="1"/>
    <col min="11524" max="11524" width="4.140625" customWidth="1"/>
    <col min="11526" max="11526" width="4.28515625" customWidth="1"/>
    <col min="11527" max="11528" width="9.28515625" bestFit="1" customWidth="1"/>
    <col min="11529" max="11529" width="11" customWidth="1"/>
    <col min="11530" max="11537" width="9.28515625" bestFit="1" customWidth="1"/>
    <col min="11538" max="11538" width="9.7109375" bestFit="1" customWidth="1"/>
    <col min="11539" max="11539" width="13" customWidth="1"/>
    <col min="11780" max="11780" width="4.140625" customWidth="1"/>
    <col min="11782" max="11782" width="4.28515625" customWidth="1"/>
    <col min="11783" max="11784" width="9.28515625" bestFit="1" customWidth="1"/>
    <col min="11785" max="11785" width="11" customWidth="1"/>
    <col min="11786" max="11793" width="9.28515625" bestFit="1" customWidth="1"/>
    <col min="11794" max="11794" width="9.7109375" bestFit="1" customWidth="1"/>
    <col min="11795" max="11795" width="13" customWidth="1"/>
    <col min="12036" max="12036" width="4.140625" customWidth="1"/>
    <col min="12038" max="12038" width="4.28515625" customWidth="1"/>
    <col min="12039" max="12040" width="9.28515625" bestFit="1" customWidth="1"/>
    <col min="12041" max="12041" width="11" customWidth="1"/>
    <col min="12042" max="12049" width="9.28515625" bestFit="1" customWidth="1"/>
    <col min="12050" max="12050" width="9.7109375" bestFit="1" customWidth="1"/>
    <col min="12051" max="12051" width="13" customWidth="1"/>
    <col min="12292" max="12292" width="4.140625" customWidth="1"/>
    <col min="12294" max="12294" width="4.28515625" customWidth="1"/>
    <col min="12295" max="12296" width="9.28515625" bestFit="1" customWidth="1"/>
    <col min="12297" max="12297" width="11" customWidth="1"/>
    <col min="12298" max="12305" width="9.28515625" bestFit="1" customWidth="1"/>
    <col min="12306" max="12306" width="9.7109375" bestFit="1" customWidth="1"/>
    <col min="12307" max="12307" width="13" customWidth="1"/>
    <col min="12548" max="12548" width="4.140625" customWidth="1"/>
    <col min="12550" max="12550" width="4.28515625" customWidth="1"/>
    <col min="12551" max="12552" width="9.28515625" bestFit="1" customWidth="1"/>
    <col min="12553" max="12553" width="11" customWidth="1"/>
    <col min="12554" max="12561" width="9.28515625" bestFit="1" customWidth="1"/>
    <col min="12562" max="12562" width="9.7109375" bestFit="1" customWidth="1"/>
    <col min="12563" max="12563" width="13" customWidth="1"/>
    <col min="12804" max="12804" width="4.140625" customWidth="1"/>
    <col min="12806" max="12806" width="4.28515625" customWidth="1"/>
    <col min="12807" max="12808" width="9.28515625" bestFit="1" customWidth="1"/>
    <col min="12809" max="12809" width="11" customWidth="1"/>
    <col min="12810" max="12817" width="9.28515625" bestFit="1" customWidth="1"/>
    <col min="12818" max="12818" width="9.7109375" bestFit="1" customWidth="1"/>
    <col min="12819" max="12819" width="13" customWidth="1"/>
    <col min="13060" max="13060" width="4.140625" customWidth="1"/>
    <col min="13062" max="13062" width="4.28515625" customWidth="1"/>
    <col min="13063" max="13064" width="9.28515625" bestFit="1" customWidth="1"/>
    <col min="13065" max="13065" width="11" customWidth="1"/>
    <col min="13066" max="13073" width="9.28515625" bestFit="1" customWidth="1"/>
    <col min="13074" max="13074" width="9.7109375" bestFit="1" customWidth="1"/>
    <col min="13075" max="13075" width="13" customWidth="1"/>
    <col min="13316" max="13316" width="4.140625" customWidth="1"/>
    <col min="13318" max="13318" width="4.28515625" customWidth="1"/>
    <col min="13319" max="13320" width="9.28515625" bestFit="1" customWidth="1"/>
    <col min="13321" max="13321" width="11" customWidth="1"/>
    <col min="13322" max="13329" width="9.28515625" bestFit="1" customWidth="1"/>
    <col min="13330" max="13330" width="9.7109375" bestFit="1" customWidth="1"/>
    <col min="13331" max="13331" width="13" customWidth="1"/>
    <col min="13572" max="13572" width="4.140625" customWidth="1"/>
    <col min="13574" max="13574" width="4.28515625" customWidth="1"/>
    <col min="13575" max="13576" width="9.28515625" bestFit="1" customWidth="1"/>
    <col min="13577" max="13577" width="11" customWidth="1"/>
    <col min="13578" max="13585" width="9.28515625" bestFit="1" customWidth="1"/>
    <col min="13586" max="13586" width="9.7109375" bestFit="1" customWidth="1"/>
    <col min="13587" max="13587" width="13" customWidth="1"/>
    <col min="13828" max="13828" width="4.140625" customWidth="1"/>
    <col min="13830" max="13830" width="4.28515625" customWidth="1"/>
    <col min="13831" max="13832" width="9.28515625" bestFit="1" customWidth="1"/>
    <col min="13833" max="13833" width="11" customWidth="1"/>
    <col min="13834" max="13841" width="9.28515625" bestFit="1" customWidth="1"/>
    <col min="13842" max="13842" width="9.7109375" bestFit="1" customWidth="1"/>
    <col min="13843" max="13843" width="13" customWidth="1"/>
    <col min="14084" max="14084" width="4.140625" customWidth="1"/>
    <col min="14086" max="14086" width="4.28515625" customWidth="1"/>
    <col min="14087" max="14088" width="9.28515625" bestFit="1" customWidth="1"/>
    <col min="14089" max="14089" width="11" customWidth="1"/>
    <col min="14090" max="14097" width="9.28515625" bestFit="1" customWidth="1"/>
    <col min="14098" max="14098" width="9.7109375" bestFit="1" customWidth="1"/>
    <col min="14099" max="14099" width="13" customWidth="1"/>
    <col min="14340" max="14340" width="4.140625" customWidth="1"/>
    <col min="14342" max="14342" width="4.28515625" customWidth="1"/>
    <col min="14343" max="14344" width="9.28515625" bestFit="1" customWidth="1"/>
    <col min="14345" max="14345" width="11" customWidth="1"/>
    <col min="14346" max="14353" width="9.28515625" bestFit="1" customWidth="1"/>
    <col min="14354" max="14354" width="9.7109375" bestFit="1" customWidth="1"/>
    <col min="14355" max="14355" width="13" customWidth="1"/>
    <col min="14596" max="14596" width="4.140625" customWidth="1"/>
    <col min="14598" max="14598" width="4.28515625" customWidth="1"/>
    <col min="14599" max="14600" width="9.28515625" bestFit="1" customWidth="1"/>
    <col min="14601" max="14601" width="11" customWidth="1"/>
    <col min="14602" max="14609" width="9.28515625" bestFit="1" customWidth="1"/>
    <col min="14610" max="14610" width="9.7109375" bestFit="1" customWidth="1"/>
    <col min="14611" max="14611" width="13" customWidth="1"/>
    <col min="14852" max="14852" width="4.140625" customWidth="1"/>
    <col min="14854" max="14854" width="4.28515625" customWidth="1"/>
    <col min="14855" max="14856" width="9.28515625" bestFit="1" customWidth="1"/>
    <col min="14857" max="14857" width="11" customWidth="1"/>
    <col min="14858" max="14865" width="9.28515625" bestFit="1" customWidth="1"/>
    <col min="14866" max="14866" width="9.7109375" bestFit="1" customWidth="1"/>
    <col min="14867" max="14867" width="13" customWidth="1"/>
    <col min="15108" max="15108" width="4.140625" customWidth="1"/>
    <col min="15110" max="15110" width="4.28515625" customWidth="1"/>
    <col min="15111" max="15112" width="9.28515625" bestFit="1" customWidth="1"/>
    <col min="15113" max="15113" width="11" customWidth="1"/>
    <col min="15114" max="15121" width="9.28515625" bestFit="1" customWidth="1"/>
    <col min="15122" max="15122" width="9.7109375" bestFit="1" customWidth="1"/>
    <col min="15123" max="15123" width="13" customWidth="1"/>
    <col min="15364" max="15364" width="4.140625" customWidth="1"/>
    <col min="15366" max="15366" width="4.28515625" customWidth="1"/>
    <col min="15367" max="15368" width="9.28515625" bestFit="1" customWidth="1"/>
    <col min="15369" max="15369" width="11" customWidth="1"/>
    <col min="15370" max="15377" width="9.28515625" bestFit="1" customWidth="1"/>
    <col min="15378" max="15378" width="9.7109375" bestFit="1" customWidth="1"/>
    <col min="15379" max="15379" width="13" customWidth="1"/>
    <col min="15620" max="15620" width="4.140625" customWidth="1"/>
    <col min="15622" max="15622" width="4.28515625" customWidth="1"/>
    <col min="15623" max="15624" width="9.28515625" bestFit="1" customWidth="1"/>
    <col min="15625" max="15625" width="11" customWidth="1"/>
    <col min="15626" max="15633" width="9.28515625" bestFit="1" customWidth="1"/>
    <col min="15634" max="15634" width="9.7109375" bestFit="1" customWidth="1"/>
    <col min="15635" max="15635" width="13" customWidth="1"/>
    <col min="15876" max="15876" width="4.140625" customWidth="1"/>
    <col min="15878" max="15878" width="4.28515625" customWidth="1"/>
    <col min="15879" max="15880" width="9.28515625" bestFit="1" customWidth="1"/>
    <col min="15881" max="15881" width="11" customWidth="1"/>
    <col min="15882" max="15889" width="9.28515625" bestFit="1" customWidth="1"/>
    <col min="15890" max="15890" width="9.7109375" bestFit="1" customWidth="1"/>
    <col min="15891" max="15891" width="13" customWidth="1"/>
    <col min="16132" max="16132" width="4.140625" customWidth="1"/>
    <col min="16134" max="16134" width="4.28515625" customWidth="1"/>
    <col min="16135" max="16136" width="9.28515625" bestFit="1" customWidth="1"/>
    <col min="16137" max="16137" width="11" customWidth="1"/>
    <col min="16138" max="16145" width="9.28515625" bestFit="1" customWidth="1"/>
    <col min="16146" max="16146" width="9.7109375" bestFit="1" customWidth="1"/>
    <col min="16147" max="16147" width="13" customWidth="1"/>
  </cols>
  <sheetData>
    <row r="1" spans="1:21">
      <c r="A1" s="156"/>
      <c r="B1" s="156"/>
      <c r="C1" s="156"/>
      <c r="D1" s="156"/>
      <c r="E1" s="156"/>
      <c r="F1" s="157" t="s">
        <v>167</v>
      </c>
      <c r="G1" s="157"/>
      <c r="H1" s="157"/>
      <c r="I1" s="157"/>
      <c r="J1" s="157"/>
      <c r="K1" s="157"/>
      <c r="L1" s="157"/>
      <c r="M1" s="156"/>
      <c r="N1" s="156"/>
      <c r="O1" s="156"/>
      <c r="P1" s="156"/>
      <c r="Q1" s="156"/>
      <c r="R1" s="156"/>
      <c r="S1" s="156"/>
      <c r="T1" s="156"/>
      <c r="U1" s="156"/>
    </row>
    <row r="2" spans="1:21">
      <c r="A2" s="156"/>
      <c r="B2" s="156"/>
      <c r="C2" s="156"/>
      <c r="D2" s="156"/>
      <c r="E2" s="156"/>
      <c r="F2" s="156"/>
      <c r="G2" s="156"/>
      <c r="H2" s="157" t="s">
        <v>1335</v>
      </c>
      <c r="I2" s="157"/>
      <c r="J2" s="157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</row>
    <row r="3" spans="1:21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1:21">
      <c r="A4" s="46" t="s">
        <v>1336</v>
      </c>
      <c r="B4" s="46"/>
      <c r="C4" s="46"/>
      <c r="D4" s="46"/>
      <c r="E4" s="854" t="s">
        <v>1377</v>
      </c>
      <c r="F4" s="854"/>
      <c r="G4" s="854"/>
      <c r="H4" s="854"/>
      <c r="I4" s="46" t="s">
        <v>171</v>
      </c>
      <c r="J4" s="46"/>
      <c r="K4" s="46"/>
      <c r="L4" s="854">
        <v>904070203</v>
      </c>
      <c r="M4" s="854"/>
      <c r="N4" s="854"/>
      <c r="O4" s="46" t="s">
        <v>5</v>
      </c>
      <c r="P4" s="46"/>
      <c r="Q4" s="158">
        <v>600</v>
      </c>
      <c r="R4" s="1054" t="s">
        <v>1338</v>
      </c>
      <c r="S4" s="1056"/>
      <c r="T4" s="854" t="s">
        <v>1339</v>
      </c>
      <c r="U4" s="854"/>
    </row>
    <row r="5" spans="1:21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</row>
    <row r="6" spans="1:21">
      <c r="A6" s="46" t="s">
        <v>1340</v>
      </c>
      <c r="B6" s="46"/>
      <c r="C6" s="46"/>
      <c r="D6" s="46"/>
      <c r="E6" s="854" t="s">
        <v>1378</v>
      </c>
      <c r="F6" s="854"/>
      <c r="G6" s="854"/>
      <c r="H6" s="854"/>
      <c r="I6" s="46" t="s">
        <v>1208</v>
      </c>
      <c r="J6" s="46"/>
      <c r="K6" s="46"/>
      <c r="L6" s="854" t="s">
        <v>1379</v>
      </c>
      <c r="M6" s="854"/>
      <c r="N6" s="854"/>
      <c r="O6" s="854"/>
      <c r="P6" s="46"/>
      <c r="Q6" s="46"/>
      <c r="R6" s="46"/>
      <c r="S6" s="46"/>
      <c r="T6" s="46"/>
      <c r="U6" s="46"/>
    </row>
    <row r="7" spans="1:21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</row>
    <row r="8" spans="1:21">
      <c r="A8" s="1055" t="s">
        <v>178</v>
      </c>
      <c r="B8" s="1055"/>
      <c r="C8" s="1055"/>
      <c r="D8" s="1056"/>
      <c r="E8" s="854" t="s">
        <v>1380</v>
      </c>
      <c r="F8" s="854"/>
      <c r="G8" s="854"/>
      <c r="H8" s="854"/>
      <c r="I8" s="1054" t="s">
        <v>1344</v>
      </c>
      <c r="J8" s="1057"/>
      <c r="K8" s="1057"/>
      <c r="L8" s="523" t="s">
        <v>1381</v>
      </c>
      <c r="M8" s="523"/>
      <c r="N8" s="523"/>
      <c r="O8" s="523"/>
      <c r="P8" s="523"/>
      <c r="Q8" s="523"/>
      <c r="R8" s="46"/>
      <c r="S8" s="46"/>
      <c r="T8" s="46"/>
      <c r="U8" s="46"/>
    </row>
    <row r="9" spans="1:21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8"/>
      <c r="M9" s="48"/>
      <c r="N9" s="48"/>
      <c r="O9" s="48"/>
      <c r="P9" s="48"/>
      <c r="Q9" s="48"/>
      <c r="R9" s="46"/>
      <c r="S9" s="46"/>
      <c r="T9" s="46"/>
      <c r="U9" s="46"/>
    </row>
    <row r="10" spans="1:21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</row>
    <row r="11" spans="1:21">
      <c r="A11" s="991" t="s">
        <v>838</v>
      </c>
      <c r="B11" s="991"/>
      <c r="C11" s="991"/>
      <c r="D11" s="991"/>
      <c r="E11" s="991"/>
      <c r="F11" s="991"/>
      <c r="G11" s="854" t="s">
        <v>1377</v>
      </c>
      <c r="H11" s="854"/>
      <c r="I11" s="854"/>
      <c r="J11" s="854">
        <v>0</v>
      </c>
      <c r="K11" s="854"/>
      <c r="L11" s="854"/>
      <c r="M11" s="854">
        <v>0</v>
      </c>
      <c r="N11" s="854"/>
      <c r="O11" s="854"/>
      <c r="P11" s="854"/>
      <c r="Q11" s="854">
        <v>0</v>
      </c>
      <c r="R11" s="854"/>
      <c r="S11" s="854"/>
      <c r="T11" s="854"/>
      <c r="U11" s="46"/>
    </row>
    <row r="12" spans="1:21">
      <c r="A12" s="991" t="s">
        <v>1346</v>
      </c>
      <c r="B12" s="991"/>
      <c r="C12" s="991"/>
      <c r="D12" s="991"/>
      <c r="E12" s="991"/>
      <c r="F12" s="991"/>
      <c r="G12" s="854">
        <v>0</v>
      </c>
      <c r="H12" s="854"/>
      <c r="I12" s="854"/>
      <c r="J12" s="854">
        <v>0</v>
      </c>
      <c r="K12" s="854"/>
      <c r="L12" s="854"/>
      <c r="M12" s="854">
        <v>0</v>
      </c>
      <c r="N12" s="854"/>
      <c r="O12" s="854"/>
      <c r="P12" s="854"/>
      <c r="Q12" s="854">
        <v>0</v>
      </c>
      <c r="R12" s="854"/>
      <c r="S12" s="854"/>
      <c r="T12" s="854"/>
      <c r="U12" s="46"/>
    </row>
    <row r="13" spans="1:21">
      <c r="A13" s="991" t="s">
        <v>192</v>
      </c>
      <c r="B13" s="991"/>
      <c r="C13" s="991"/>
      <c r="D13" s="991"/>
      <c r="E13" s="991"/>
      <c r="F13" s="991"/>
      <c r="G13" s="854" t="s">
        <v>1382</v>
      </c>
      <c r="H13" s="854"/>
      <c r="I13" s="854"/>
      <c r="J13" s="854" t="s">
        <v>1383</v>
      </c>
      <c r="K13" s="854"/>
      <c r="L13" s="854"/>
      <c r="M13" s="854" t="s">
        <v>1384</v>
      </c>
      <c r="N13" s="854"/>
      <c r="O13" s="854"/>
      <c r="P13" s="854"/>
      <c r="Q13" s="854" t="s">
        <v>1385</v>
      </c>
      <c r="R13" s="854"/>
      <c r="S13" s="854"/>
      <c r="T13" s="854"/>
      <c r="U13" s="46"/>
    </row>
    <row r="14" spans="1:21">
      <c r="A14" s="991" t="s">
        <v>197</v>
      </c>
      <c r="B14" s="991"/>
      <c r="C14" s="991"/>
      <c r="D14" s="991"/>
      <c r="E14" s="991"/>
      <c r="F14" s="991"/>
      <c r="G14" s="854">
        <v>0</v>
      </c>
      <c r="H14" s="854"/>
      <c r="I14" s="854"/>
      <c r="J14" s="854">
        <v>0</v>
      </c>
      <c r="K14" s="854"/>
      <c r="L14" s="854"/>
      <c r="M14" s="854">
        <v>0</v>
      </c>
      <c r="N14" s="854"/>
      <c r="O14" s="854"/>
      <c r="P14" s="854"/>
      <c r="Q14" s="854">
        <v>0</v>
      </c>
      <c r="R14" s="854"/>
      <c r="S14" s="854"/>
      <c r="T14" s="854"/>
      <c r="U14" s="46"/>
    </row>
    <row r="15" spans="1:21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</row>
    <row r="16" spans="1:21">
      <c r="A16" s="46" t="s">
        <v>1356</v>
      </c>
      <c r="B16" s="46"/>
      <c r="C16" s="46"/>
      <c r="D16" s="46"/>
      <c r="E16" s="46"/>
      <c r="F16" s="854">
        <v>1</v>
      </c>
      <c r="G16" s="854"/>
      <c r="H16" s="854"/>
      <c r="I16" s="46" t="s">
        <v>1357</v>
      </c>
      <c r="J16" s="46"/>
      <c r="K16" s="46"/>
      <c r="L16" s="854">
        <v>0</v>
      </c>
      <c r="M16" s="854"/>
      <c r="N16" s="46" t="s">
        <v>643</v>
      </c>
      <c r="P16" s="523">
        <v>8</v>
      </c>
      <c r="Q16" s="160" t="s">
        <v>1358</v>
      </c>
      <c r="R16" s="523">
        <v>0</v>
      </c>
      <c r="S16" s="46" t="s">
        <v>1386</v>
      </c>
      <c r="T16" s="48"/>
      <c r="U16" s="80">
        <v>15</v>
      </c>
    </row>
    <row r="17" spans="1:21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</row>
    <row r="18" spans="1:21">
      <c r="A18" s="46" t="s">
        <v>203</v>
      </c>
      <c r="B18" s="46"/>
      <c r="C18" s="46" t="s">
        <v>204</v>
      </c>
      <c r="E18" s="854">
        <v>102</v>
      </c>
      <c r="F18" s="854"/>
      <c r="G18" s="46" t="s">
        <v>205</v>
      </c>
      <c r="H18" s="47">
        <v>0</v>
      </c>
      <c r="I18" s="46" t="s">
        <v>206</v>
      </c>
      <c r="K18" s="854">
        <v>0</v>
      </c>
      <c r="L18" s="854"/>
      <c r="M18" s="46" t="s">
        <v>230</v>
      </c>
      <c r="O18" s="161">
        <v>102</v>
      </c>
      <c r="P18" s="162"/>
      <c r="Q18" s="145" t="s">
        <v>207</v>
      </c>
      <c r="R18" s="47">
        <v>24</v>
      </c>
      <c r="S18" s="1054" t="s">
        <v>1360</v>
      </c>
      <c r="T18" s="1055"/>
      <c r="U18" s="80">
        <v>28</v>
      </c>
    </row>
    <row r="19" spans="1:21">
      <c r="A19" s="46"/>
      <c r="B19" s="46"/>
      <c r="C19" s="46" t="s">
        <v>210</v>
      </c>
      <c r="E19" s="854">
        <v>257</v>
      </c>
      <c r="F19" s="854"/>
      <c r="G19" s="46" t="s">
        <v>211</v>
      </c>
      <c r="H19" s="47">
        <v>0</v>
      </c>
      <c r="I19" s="46" t="s">
        <v>212</v>
      </c>
      <c r="K19" s="854">
        <v>0</v>
      </c>
      <c r="L19" s="854"/>
      <c r="M19" s="46" t="s">
        <v>411</v>
      </c>
      <c r="O19" s="161">
        <v>257</v>
      </c>
      <c r="P19" s="162"/>
      <c r="R19" s="46"/>
      <c r="S19" s="46"/>
      <c r="T19" s="46"/>
      <c r="U19" s="46"/>
    </row>
    <row r="20" spans="1:21">
      <c r="A20" s="46"/>
      <c r="B20" s="46"/>
      <c r="C20" s="46" t="s">
        <v>213</v>
      </c>
      <c r="E20" s="843">
        <v>269</v>
      </c>
      <c r="F20" s="844"/>
      <c r="G20" s="49" t="s">
        <v>650</v>
      </c>
      <c r="H20" s="47">
        <v>0</v>
      </c>
      <c r="I20" s="46" t="s">
        <v>215</v>
      </c>
      <c r="K20" s="854">
        <v>0</v>
      </c>
      <c r="L20" s="854"/>
      <c r="M20" s="49" t="s">
        <v>410</v>
      </c>
      <c r="O20" s="161">
        <v>269</v>
      </c>
      <c r="P20" s="162"/>
      <c r="R20" s="46"/>
      <c r="S20" s="46"/>
      <c r="T20" s="46"/>
      <c r="U20" s="46"/>
    </row>
    <row r="21" spans="1:21">
      <c r="A21" s="163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</row>
    <row r="22" spans="1:21">
      <c r="A22" s="164" t="s">
        <v>216</v>
      </c>
      <c r="B22" s="164"/>
      <c r="C22" s="164"/>
      <c r="D22" s="164"/>
    </row>
    <row r="23" spans="1:21">
      <c r="G23" s="1053" t="s">
        <v>1361</v>
      </c>
      <c r="H23" s="991" t="s">
        <v>1362</v>
      </c>
      <c r="I23" s="1053" t="s">
        <v>1363</v>
      </c>
      <c r="J23" s="1053" t="s">
        <v>1364</v>
      </c>
      <c r="K23" s="843" t="s">
        <v>222</v>
      </c>
      <c r="L23" s="870"/>
      <c r="M23" s="870"/>
      <c r="N23" s="870"/>
      <c r="O23" s="870"/>
      <c r="P23" s="870"/>
      <c r="Q23" s="870"/>
      <c r="R23" s="870"/>
      <c r="S23" s="844"/>
      <c r="T23" s="46"/>
    </row>
    <row r="24" spans="1:21" ht="20.25" customHeight="1">
      <c r="A24" s="991" t="s">
        <v>217</v>
      </c>
      <c r="B24" s="991"/>
      <c r="C24" s="991"/>
      <c r="D24" s="991"/>
      <c r="E24" s="991"/>
      <c r="F24" s="1052"/>
      <c r="G24" s="1053"/>
      <c r="H24" s="991"/>
      <c r="I24" s="1053"/>
      <c r="J24" s="1053"/>
      <c r="K24" s="539" t="s">
        <v>1365</v>
      </c>
      <c r="L24" s="539" t="s">
        <v>1387</v>
      </c>
      <c r="M24" s="539" t="s">
        <v>1367</v>
      </c>
      <c r="N24" s="539" t="s">
        <v>1368</v>
      </c>
      <c r="O24" s="539" t="s">
        <v>1369</v>
      </c>
      <c r="P24" s="539" t="s">
        <v>1370</v>
      </c>
      <c r="Q24" s="539" t="s">
        <v>1371</v>
      </c>
      <c r="R24" s="539" t="s">
        <v>230</v>
      </c>
      <c r="S24" s="539" t="s">
        <v>231</v>
      </c>
      <c r="T24" s="46"/>
    </row>
    <row r="25" spans="1:21">
      <c r="A25" s="991" t="s">
        <v>232</v>
      </c>
      <c r="B25" s="991"/>
      <c r="C25" s="991"/>
      <c r="D25" s="991"/>
      <c r="E25" s="991"/>
      <c r="F25" s="991"/>
      <c r="G25" s="539">
        <v>8000</v>
      </c>
      <c r="H25" s="539" t="s">
        <v>1175</v>
      </c>
      <c r="I25" s="121">
        <f>+G25*Q4/100000</f>
        <v>48</v>
      </c>
      <c r="J25" s="121">
        <f>4800000/100000</f>
        <v>48</v>
      </c>
      <c r="K25" s="121">
        <v>0</v>
      </c>
      <c r="L25" s="121">
        <f>121928/100000</f>
        <v>1.2192799999999999</v>
      </c>
      <c r="M25" s="121">
        <f>612512/100000</f>
        <v>6.1251199999999999</v>
      </c>
      <c r="N25" s="121">
        <f>1355760/100000</f>
        <v>13.557600000000001</v>
      </c>
      <c r="O25" s="121">
        <f>2325397/100000</f>
        <v>23.253969999999999</v>
      </c>
      <c r="P25" s="121">
        <f>369977.27/100000</f>
        <v>3.6997727</v>
      </c>
      <c r="Q25" s="121">
        <f>4985/100000</f>
        <v>4.9849999999999998E-2</v>
      </c>
      <c r="R25" s="118">
        <f t="shared" ref="R25:R32" si="0">SUM(K25:Q25)</f>
        <v>47.905592699999993</v>
      </c>
      <c r="S25" s="121">
        <f>R25*100/J25</f>
        <v>99.803318124999976</v>
      </c>
    </row>
    <row r="26" spans="1:21">
      <c r="A26" s="991" t="s">
        <v>234</v>
      </c>
      <c r="B26" s="991"/>
      <c r="C26" s="991"/>
      <c r="D26" s="991"/>
      <c r="E26" s="991"/>
      <c r="F26" s="991"/>
      <c r="G26" s="539">
        <v>7000</v>
      </c>
      <c r="H26" s="539" t="s">
        <v>1175</v>
      </c>
      <c r="I26" s="121">
        <f>+G26*80/100000</f>
        <v>5.6</v>
      </c>
      <c r="J26" s="118">
        <f>560000/100000</f>
        <v>5.6</v>
      </c>
      <c r="K26" s="121">
        <v>0</v>
      </c>
      <c r="L26" s="121"/>
      <c r="M26" s="121"/>
      <c r="N26" s="121"/>
      <c r="O26" s="121">
        <f>145400/100000</f>
        <v>1.454</v>
      </c>
      <c r="P26" s="121">
        <f>414600/100000</f>
        <v>4.1459999999999999</v>
      </c>
      <c r="Q26" s="121"/>
      <c r="R26" s="118">
        <f t="shared" si="0"/>
        <v>5.6</v>
      </c>
      <c r="S26" s="121">
        <f t="shared" ref="S26:S33" si="1">R26*100/J26</f>
        <v>100</v>
      </c>
    </row>
    <row r="27" spans="1:21">
      <c r="A27" s="991" t="s">
        <v>1373</v>
      </c>
      <c r="B27" s="991"/>
      <c r="C27" s="991"/>
      <c r="D27" s="991"/>
      <c r="E27" s="991"/>
      <c r="F27" s="991"/>
      <c r="G27" s="539">
        <v>63000</v>
      </c>
      <c r="H27" s="539" t="s">
        <v>236</v>
      </c>
      <c r="I27" s="118">
        <f>143000/100000</f>
        <v>1.43</v>
      </c>
      <c r="J27" s="118">
        <f>63000/100000</f>
        <v>0.63</v>
      </c>
      <c r="K27" s="121">
        <v>0</v>
      </c>
      <c r="L27" s="121"/>
      <c r="M27" s="121"/>
      <c r="N27" s="121"/>
      <c r="O27" s="121">
        <f>33000/100000</f>
        <v>0.33</v>
      </c>
      <c r="P27" s="121">
        <f>10000/100000</f>
        <v>0.1</v>
      </c>
      <c r="Q27" s="121">
        <f>10000/100000</f>
        <v>0.1</v>
      </c>
      <c r="R27" s="118">
        <f t="shared" si="0"/>
        <v>0.53</v>
      </c>
      <c r="S27" s="121">
        <f t="shared" si="1"/>
        <v>84.126984126984127</v>
      </c>
    </row>
    <row r="28" spans="1:21">
      <c r="A28" s="991" t="s">
        <v>237</v>
      </c>
      <c r="B28" s="991"/>
      <c r="C28" s="991"/>
      <c r="D28" s="991"/>
      <c r="E28" s="991"/>
      <c r="F28" s="991"/>
      <c r="G28" s="539">
        <v>34000</v>
      </c>
      <c r="H28" s="539" t="s">
        <v>236</v>
      </c>
      <c r="I28" s="118">
        <f>34000/100000</f>
        <v>0.34</v>
      </c>
      <c r="J28" s="118">
        <f>34000/100000</f>
        <v>0.34</v>
      </c>
      <c r="K28" s="121">
        <v>0</v>
      </c>
      <c r="L28" s="121"/>
      <c r="M28" s="121"/>
      <c r="N28" s="121"/>
      <c r="O28" s="121">
        <f>34000/100000</f>
        <v>0.34</v>
      </c>
      <c r="P28" s="121">
        <v>0</v>
      </c>
      <c r="Q28" s="121">
        <v>0</v>
      </c>
      <c r="R28" s="118">
        <f t="shared" si="0"/>
        <v>0.34</v>
      </c>
      <c r="S28" s="121">
        <f t="shared" si="1"/>
        <v>99.999999999999986</v>
      </c>
    </row>
    <row r="29" spans="1:21">
      <c r="A29" s="991" t="s">
        <v>1374</v>
      </c>
      <c r="B29" s="991"/>
      <c r="C29" s="991"/>
      <c r="D29" s="991"/>
      <c r="E29" s="991"/>
      <c r="F29" s="991"/>
      <c r="G29" s="539">
        <v>1200</v>
      </c>
      <c r="H29" s="539" t="s">
        <v>1175</v>
      </c>
      <c r="I29" s="118">
        <f>+G29*Q4/100000</f>
        <v>7.2</v>
      </c>
      <c r="J29" s="118">
        <f>720000/100000</f>
        <v>7.2</v>
      </c>
      <c r="K29" s="121">
        <v>0</v>
      </c>
      <c r="L29" s="121"/>
      <c r="M29" s="121"/>
      <c r="N29" s="121"/>
      <c r="O29" s="121">
        <f>39946/100000</f>
        <v>0.39945999999999998</v>
      </c>
      <c r="P29" s="121">
        <f>682154/100000</f>
        <v>6.8215399999999997</v>
      </c>
      <c r="Q29" s="121">
        <v>0</v>
      </c>
      <c r="R29" s="118">
        <f t="shared" si="0"/>
        <v>7.2210000000000001</v>
      </c>
      <c r="S29" s="121">
        <f t="shared" si="1"/>
        <v>100.29166666666667</v>
      </c>
    </row>
    <row r="30" spans="1:21">
      <c r="A30" s="991" t="s">
        <v>1375</v>
      </c>
      <c r="B30" s="991"/>
      <c r="C30" s="991"/>
      <c r="D30" s="991"/>
      <c r="E30" s="991"/>
      <c r="F30" s="991"/>
      <c r="G30" s="539">
        <v>565</v>
      </c>
      <c r="H30" s="539" t="s">
        <v>1175</v>
      </c>
      <c r="I30" s="121">
        <f>+G30*Q4/100000</f>
        <v>3.39</v>
      </c>
      <c r="J30" s="118">
        <f>339000/100000</f>
        <v>3.39</v>
      </c>
      <c r="K30" s="121">
        <v>0</v>
      </c>
      <c r="L30" s="121"/>
      <c r="M30" s="121">
        <f>35000/100000</f>
        <v>0.35</v>
      </c>
      <c r="N30" s="121">
        <f>3045/100000</f>
        <v>3.0450000000000001E-2</v>
      </c>
      <c r="O30" s="121">
        <f>300955/100000</f>
        <v>3.0095499999999999</v>
      </c>
      <c r="P30" s="121">
        <v>0</v>
      </c>
      <c r="Q30" s="121"/>
      <c r="R30" s="118">
        <f t="shared" si="0"/>
        <v>3.3899999999999997</v>
      </c>
      <c r="S30" s="121">
        <f t="shared" si="1"/>
        <v>99.999999999999986</v>
      </c>
    </row>
    <row r="31" spans="1:21">
      <c r="A31" s="991" t="s">
        <v>1376</v>
      </c>
      <c r="B31" s="991"/>
      <c r="C31" s="991"/>
      <c r="D31" s="991"/>
      <c r="E31" s="991"/>
      <c r="F31" s="991"/>
      <c r="G31" s="539">
        <v>1000</v>
      </c>
      <c r="H31" s="539" t="s">
        <v>1175</v>
      </c>
      <c r="I31" s="121">
        <f>+G31*Q4/100000</f>
        <v>6</v>
      </c>
      <c r="J31" s="118">
        <f>600000/100000</f>
        <v>6</v>
      </c>
      <c r="K31" s="121">
        <v>0</v>
      </c>
      <c r="L31" s="121">
        <f>13090/100000</f>
        <v>0.13089999999999999</v>
      </c>
      <c r="M31" s="121">
        <f>86910/100000</f>
        <v>0.86909999999999998</v>
      </c>
      <c r="N31" s="121">
        <v>0</v>
      </c>
      <c r="O31" s="121">
        <v>0</v>
      </c>
      <c r="P31" s="121">
        <f>415700/100000</f>
        <v>4.157</v>
      </c>
      <c r="Q31" s="121">
        <f>60000/100000</f>
        <v>0.6</v>
      </c>
      <c r="R31" s="121">
        <f t="shared" si="0"/>
        <v>5.7569999999999997</v>
      </c>
      <c r="S31" s="121">
        <f t="shared" si="1"/>
        <v>95.949999999999989</v>
      </c>
    </row>
    <row r="32" spans="1:21">
      <c r="A32" s="991" t="s">
        <v>394</v>
      </c>
      <c r="B32" s="991"/>
      <c r="C32" s="991"/>
      <c r="D32" s="991"/>
      <c r="E32" s="991"/>
      <c r="F32" s="991"/>
      <c r="G32" s="539">
        <v>2750</v>
      </c>
      <c r="H32" s="539" t="s">
        <v>242</v>
      </c>
      <c r="I32" s="118">
        <f>192000/100000</f>
        <v>1.92</v>
      </c>
      <c r="J32" s="118">
        <f>192000/100000</f>
        <v>1.92</v>
      </c>
      <c r="K32" s="121">
        <v>0</v>
      </c>
      <c r="L32" s="121">
        <f>8600/100000</f>
        <v>8.5999999999999993E-2</v>
      </c>
      <c r="M32" s="165">
        <f>37286/100000</f>
        <v>0.37286000000000002</v>
      </c>
      <c r="N32" s="121">
        <f>47114/100000</f>
        <v>0.47114</v>
      </c>
      <c r="O32" s="121">
        <f>33000/100000</f>
        <v>0.33</v>
      </c>
      <c r="P32" s="121">
        <f>33000/100000</f>
        <v>0.33</v>
      </c>
      <c r="Q32" s="121">
        <f>33000/100000</f>
        <v>0.33</v>
      </c>
      <c r="R32" s="118">
        <f t="shared" si="0"/>
        <v>1.9200000000000002</v>
      </c>
      <c r="S32" s="121">
        <f t="shared" si="1"/>
        <v>100.00000000000001</v>
      </c>
    </row>
    <row r="33" spans="1:19">
      <c r="A33" s="1049" t="s">
        <v>230</v>
      </c>
      <c r="B33" s="1050"/>
      <c r="C33" s="1050"/>
      <c r="D33" s="1050"/>
      <c r="E33" s="1050"/>
      <c r="F33" s="1051"/>
      <c r="G33" s="166"/>
      <c r="H33" s="166"/>
      <c r="I33" s="118">
        <f t="shared" ref="I33:R33" si="2">SUM(I25:I32)</f>
        <v>73.88000000000001</v>
      </c>
      <c r="J33" s="118">
        <f t="shared" si="2"/>
        <v>73.080000000000013</v>
      </c>
      <c r="K33" s="118">
        <f t="shared" si="2"/>
        <v>0</v>
      </c>
      <c r="L33" s="118">
        <f t="shared" si="2"/>
        <v>1.43618</v>
      </c>
      <c r="M33" s="118">
        <f t="shared" si="2"/>
        <v>7.7170800000000002</v>
      </c>
      <c r="N33" s="118">
        <f t="shared" si="2"/>
        <v>14.059190000000001</v>
      </c>
      <c r="O33" s="118">
        <f t="shared" si="2"/>
        <v>29.116979999999998</v>
      </c>
      <c r="P33" s="118">
        <f t="shared" si="2"/>
        <v>19.254312699999996</v>
      </c>
      <c r="Q33" s="118">
        <f t="shared" si="2"/>
        <v>1.07985</v>
      </c>
      <c r="R33" s="118">
        <f t="shared" si="2"/>
        <v>72.663592700000009</v>
      </c>
      <c r="S33" s="118">
        <f t="shared" si="1"/>
        <v>99.430203475643125</v>
      </c>
    </row>
  </sheetData>
  <mergeCells count="54">
    <mergeCell ref="A5:C5"/>
    <mergeCell ref="E4:H4"/>
    <mergeCell ref="L4:N4"/>
    <mergeCell ref="R4:S4"/>
    <mergeCell ref="T4:U4"/>
    <mergeCell ref="E6:H6"/>
    <mergeCell ref="L6:O6"/>
    <mergeCell ref="A8:D8"/>
    <mergeCell ref="E8:H8"/>
    <mergeCell ref="I8:K8"/>
    <mergeCell ref="A11:F11"/>
    <mergeCell ref="G11:I11"/>
    <mergeCell ref="J11:L11"/>
    <mergeCell ref="M11:P11"/>
    <mergeCell ref="Q11:T11"/>
    <mergeCell ref="A12:F12"/>
    <mergeCell ref="G12:I12"/>
    <mergeCell ref="J12:L12"/>
    <mergeCell ref="M12:P12"/>
    <mergeCell ref="Q12:T12"/>
    <mergeCell ref="F16:H16"/>
    <mergeCell ref="L16:M16"/>
    <mergeCell ref="M13:P13"/>
    <mergeCell ref="S18:T18"/>
    <mergeCell ref="E20:F20"/>
    <mergeCell ref="K20:L20"/>
    <mergeCell ref="Q13:T13"/>
    <mergeCell ref="A14:F14"/>
    <mergeCell ref="G14:I14"/>
    <mergeCell ref="J14:L14"/>
    <mergeCell ref="M14:P14"/>
    <mergeCell ref="Q14:T14"/>
    <mergeCell ref="A13:F13"/>
    <mergeCell ref="G13:I13"/>
    <mergeCell ref="J13:L13"/>
    <mergeCell ref="A24:F24"/>
    <mergeCell ref="E19:F19"/>
    <mergeCell ref="K19:L19"/>
    <mergeCell ref="E18:F18"/>
    <mergeCell ref="K18:L18"/>
    <mergeCell ref="G23:G24"/>
    <mergeCell ref="H23:H24"/>
    <mergeCell ref="I23:I24"/>
    <mergeCell ref="J23:J24"/>
    <mergeCell ref="K23:S23"/>
    <mergeCell ref="A31:F31"/>
    <mergeCell ref="A32:F32"/>
    <mergeCell ref="A33:F33"/>
    <mergeCell ref="A25:F25"/>
    <mergeCell ref="A26:F26"/>
    <mergeCell ref="A27:F27"/>
    <mergeCell ref="A28:F28"/>
    <mergeCell ref="A29:F29"/>
    <mergeCell ref="A30:F30"/>
  </mergeCells>
  <hyperlinks>
    <hyperlink ref="A5" location="'Fact Sheet of VDC'!A1" display="&lt;&lt;Back"/>
  </hyperlinks>
  <pageMargins left="0.7" right="0.7" top="0.75" bottom="0.75" header="0.3" footer="0.3"/>
  <pageSetup paperSize="9" scale="69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U33"/>
  <sheetViews>
    <sheetView workbookViewId="0">
      <selection activeCell="A5" sqref="A5:C5"/>
    </sheetView>
  </sheetViews>
  <sheetFormatPr defaultRowHeight="15"/>
  <cols>
    <col min="9" max="9" width="10.42578125" customWidth="1"/>
    <col min="10" max="10" width="9.42578125" bestFit="1" customWidth="1"/>
    <col min="19" max="19" width="12" customWidth="1"/>
    <col min="265" max="265" width="10.42578125" customWidth="1"/>
    <col min="266" max="266" width="9.42578125" bestFit="1" customWidth="1"/>
    <col min="275" max="275" width="12" customWidth="1"/>
    <col min="521" max="521" width="10.42578125" customWidth="1"/>
    <col min="522" max="522" width="9.42578125" bestFit="1" customWidth="1"/>
    <col min="531" max="531" width="12" customWidth="1"/>
    <col min="777" max="777" width="10.42578125" customWidth="1"/>
    <col min="778" max="778" width="9.42578125" bestFit="1" customWidth="1"/>
    <col min="787" max="787" width="12" customWidth="1"/>
    <col min="1033" max="1033" width="10.42578125" customWidth="1"/>
    <col min="1034" max="1034" width="9.42578125" bestFit="1" customWidth="1"/>
    <col min="1043" max="1043" width="12" customWidth="1"/>
    <col min="1289" max="1289" width="10.42578125" customWidth="1"/>
    <col min="1290" max="1290" width="9.42578125" bestFit="1" customWidth="1"/>
    <col min="1299" max="1299" width="12" customWidth="1"/>
    <col min="1545" max="1545" width="10.42578125" customWidth="1"/>
    <col min="1546" max="1546" width="9.42578125" bestFit="1" customWidth="1"/>
    <col min="1555" max="1555" width="12" customWidth="1"/>
    <col min="1801" max="1801" width="10.42578125" customWidth="1"/>
    <col min="1802" max="1802" width="9.42578125" bestFit="1" customWidth="1"/>
    <col min="1811" max="1811" width="12" customWidth="1"/>
    <col min="2057" max="2057" width="10.42578125" customWidth="1"/>
    <col min="2058" max="2058" width="9.42578125" bestFit="1" customWidth="1"/>
    <col min="2067" max="2067" width="12" customWidth="1"/>
    <col min="2313" max="2313" width="10.42578125" customWidth="1"/>
    <col min="2314" max="2314" width="9.42578125" bestFit="1" customWidth="1"/>
    <col min="2323" max="2323" width="12" customWidth="1"/>
    <col min="2569" max="2569" width="10.42578125" customWidth="1"/>
    <col min="2570" max="2570" width="9.42578125" bestFit="1" customWidth="1"/>
    <col min="2579" max="2579" width="12" customWidth="1"/>
    <col min="2825" max="2825" width="10.42578125" customWidth="1"/>
    <col min="2826" max="2826" width="9.42578125" bestFit="1" customWidth="1"/>
    <col min="2835" max="2835" width="12" customWidth="1"/>
    <col min="3081" max="3081" width="10.42578125" customWidth="1"/>
    <col min="3082" max="3082" width="9.42578125" bestFit="1" customWidth="1"/>
    <col min="3091" max="3091" width="12" customWidth="1"/>
    <col min="3337" max="3337" width="10.42578125" customWidth="1"/>
    <col min="3338" max="3338" width="9.42578125" bestFit="1" customWidth="1"/>
    <col min="3347" max="3347" width="12" customWidth="1"/>
    <col min="3593" max="3593" width="10.42578125" customWidth="1"/>
    <col min="3594" max="3594" width="9.42578125" bestFit="1" customWidth="1"/>
    <col min="3603" max="3603" width="12" customWidth="1"/>
    <col min="3849" max="3849" width="10.42578125" customWidth="1"/>
    <col min="3850" max="3850" width="9.42578125" bestFit="1" customWidth="1"/>
    <col min="3859" max="3859" width="12" customWidth="1"/>
    <col min="4105" max="4105" width="10.42578125" customWidth="1"/>
    <col min="4106" max="4106" width="9.42578125" bestFit="1" customWidth="1"/>
    <col min="4115" max="4115" width="12" customWidth="1"/>
    <col min="4361" max="4361" width="10.42578125" customWidth="1"/>
    <col min="4362" max="4362" width="9.42578125" bestFit="1" customWidth="1"/>
    <col min="4371" max="4371" width="12" customWidth="1"/>
    <col min="4617" max="4617" width="10.42578125" customWidth="1"/>
    <col min="4618" max="4618" width="9.42578125" bestFit="1" customWidth="1"/>
    <col min="4627" max="4627" width="12" customWidth="1"/>
    <col min="4873" max="4873" width="10.42578125" customWidth="1"/>
    <col min="4874" max="4874" width="9.42578125" bestFit="1" customWidth="1"/>
    <col min="4883" max="4883" width="12" customWidth="1"/>
    <col min="5129" max="5129" width="10.42578125" customWidth="1"/>
    <col min="5130" max="5130" width="9.42578125" bestFit="1" customWidth="1"/>
    <col min="5139" max="5139" width="12" customWidth="1"/>
    <col min="5385" max="5385" width="10.42578125" customWidth="1"/>
    <col min="5386" max="5386" width="9.42578125" bestFit="1" customWidth="1"/>
    <col min="5395" max="5395" width="12" customWidth="1"/>
    <col min="5641" max="5641" width="10.42578125" customWidth="1"/>
    <col min="5642" max="5642" width="9.42578125" bestFit="1" customWidth="1"/>
    <col min="5651" max="5651" width="12" customWidth="1"/>
    <col min="5897" max="5897" width="10.42578125" customWidth="1"/>
    <col min="5898" max="5898" width="9.42578125" bestFit="1" customWidth="1"/>
    <col min="5907" max="5907" width="12" customWidth="1"/>
    <col min="6153" max="6153" width="10.42578125" customWidth="1"/>
    <col min="6154" max="6154" width="9.42578125" bestFit="1" customWidth="1"/>
    <col min="6163" max="6163" width="12" customWidth="1"/>
    <col min="6409" max="6409" width="10.42578125" customWidth="1"/>
    <col min="6410" max="6410" width="9.42578125" bestFit="1" customWidth="1"/>
    <col min="6419" max="6419" width="12" customWidth="1"/>
    <col min="6665" max="6665" width="10.42578125" customWidth="1"/>
    <col min="6666" max="6666" width="9.42578125" bestFit="1" customWidth="1"/>
    <col min="6675" max="6675" width="12" customWidth="1"/>
    <col min="6921" max="6921" width="10.42578125" customWidth="1"/>
    <col min="6922" max="6922" width="9.42578125" bestFit="1" customWidth="1"/>
    <col min="6931" max="6931" width="12" customWidth="1"/>
    <col min="7177" max="7177" width="10.42578125" customWidth="1"/>
    <col min="7178" max="7178" width="9.42578125" bestFit="1" customWidth="1"/>
    <col min="7187" max="7187" width="12" customWidth="1"/>
    <col min="7433" max="7433" width="10.42578125" customWidth="1"/>
    <col min="7434" max="7434" width="9.42578125" bestFit="1" customWidth="1"/>
    <col min="7443" max="7443" width="12" customWidth="1"/>
    <col min="7689" max="7689" width="10.42578125" customWidth="1"/>
    <col min="7690" max="7690" width="9.42578125" bestFit="1" customWidth="1"/>
    <col min="7699" max="7699" width="12" customWidth="1"/>
    <col min="7945" max="7945" width="10.42578125" customWidth="1"/>
    <col min="7946" max="7946" width="9.42578125" bestFit="1" customWidth="1"/>
    <col min="7955" max="7955" width="12" customWidth="1"/>
    <col min="8201" max="8201" width="10.42578125" customWidth="1"/>
    <col min="8202" max="8202" width="9.42578125" bestFit="1" customWidth="1"/>
    <col min="8211" max="8211" width="12" customWidth="1"/>
    <col min="8457" max="8457" width="10.42578125" customWidth="1"/>
    <col min="8458" max="8458" width="9.42578125" bestFit="1" customWidth="1"/>
    <col min="8467" max="8467" width="12" customWidth="1"/>
    <col min="8713" max="8713" width="10.42578125" customWidth="1"/>
    <col min="8714" max="8714" width="9.42578125" bestFit="1" customWidth="1"/>
    <col min="8723" max="8723" width="12" customWidth="1"/>
    <col min="8969" max="8969" width="10.42578125" customWidth="1"/>
    <col min="8970" max="8970" width="9.42578125" bestFit="1" customWidth="1"/>
    <col min="8979" max="8979" width="12" customWidth="1"/>
    <col min="9225" max="9225" width="10.42578125" customWidth="1"/>
    <col min="9226" max="9226" width="9.42578125" bestFit="1" customWidth="1"/>
    <col min="9235" max="9235" width="12" customWidth="1"/>
    <col min="9481" max="9481" width="10.42578125" customWidth="1"/>
    <col min="9482" max="9482" width="9.42578125" bestFit="1" customWidth="1"/>
    <col min="9491" max="9491" width="12" customWidth="1"/>
    <col min="9737" max="9737" width="10.42578125" customWidth="1"/>
    <col min="9738" max="9738" width="9.42578125" bestFit="1" customWidth="1"/>
    <col min="9747" max="9747" width="12" customWidth="1"/>
    <col min="9993" max="9993" width="10.42578125" customWidth="1"/>
    <col min="9994" max="9994" width="9.42578125" bestFit="1" customWidth="1"/>
    <col min="10003" max="10003" width="12" customWidth="1"/>
    <col min="10249" max="10249" width="10.42578125" customWidth="1"/>
    <col min="10250" max="10250" width="9.42578125" bestFit="1" customWidth="1"/>
    <col min="10259" max="10259" width="12" customWidth="1"/>
    <col min="10505" max="10505" width="10.42578125" customWidth="1"/>
    <col min="10506" max="10506" width="9.42578125" bestFit="1" customWidth="1"/>
    <col min="10515" max="10515" width="12" customWidth="1"/>
    <col min="10761" max="10761" width="10.42578125" customWidth="1"/>
    <col min="10762" max="10762" width="9.42578125" bestFit="1" customWidth="1"/>
    <col min="10771" max="10771" width="12" customWidth="1"/>
    <col min="11017" max="11017" width="10.42578125" customWidth="1"/>
    <col min="11018" max="11018" width="9.42578125" bestFit="1" customWidth="1"/>
    <col min="11027" max="11027" width="12" customWidth="1"/>
    <col min="11273" max="11273" width="10.42578125" customWidth="1"/>
    <col min="11274" max="11274" width="9.42578125" bestFit="1" customWidth="1"/>
    <col min="11283" max="11283" width="12" customWidth="1"/>
    <col min="11529" max="11529" width="10.42578125" customWidth="1"/>
    <col min="11530" max="11530" width="9.42578125" bestFit="1" customWidth="1"/>
    <col min="11539" max="11539" width="12" customWidth="1"/>
    <col min="11785" max="11785" width="10.42578125" customWidth="1"/>
    <col min="11786" max="11786" width="9.42578125" bestFit="1" customWidth="1"/>
    <col min="11795" max="11795" width="12" customWidth="1"/>
    <col min="12041" max="12041" width="10.42578125" customWidth="1"/>
    <col min="12042" max="12042" width="9.42578125" bestFit="1" customWidth="1"/>
    <col min="12051" max="12051" width="12" customWidth="1"/>
    <col min="12297" max="12297" width="10.42578125" customWidth="1"/>
    <col min="12298" max="12298" width="9.42578125" bestFit="1" customWidth="1"/>
    <col min="12307" max="12307" width="12" customWidth="1"/>
    <col min="12553" max="12553" width="10.42578125" customWidth="1"/>
    <col min="12554" max="12554" width="9.42578125" bestFit="1" customWidth="1"/>
    <col min="12563" max="12563" width="12" customWidth="1"/>
    <col min="12809" max="12809" width="10.42578125" customWidth="1"/>
    <col min="12810" max="12810" width="9.42578125" bestFit="1" customWidth="1"/>
    <col min="12819" max="12819" width="12" customWidth="1"/>
    <col min="13065" max="13065" width="10.42578125" customWidth="1"/>
    <col min="13066" max="13066" width="9.42578125" bestFit="1" customWidth="1"/>
    <col min="13075" max="13075" width="12" customWidth="1"/>
    <col min="13321" max="13321" width="10.42578125" customWidth="1"/>
    <col min="13322" max="13322" width="9.42578125" bestFit="1" customWidth="1"/>
    <col min="13331" max="13331" width="12" customWidth="1"/>
    <col min="13577" max="13577" width="10.42578125" customWidth="1"/>
    <col min="13578" max="13578" width="9.42578125" bestFit="1" customWidth="1"/>
    <col min="13587" max="13587" width="12" customWidth="1"/>
    <col min="13833" max="13833" width="10.42578125" customWidth="1"/>
    <col min="13834" max="13834" width="9.42578125" bestFit="1" customWidth="1"/>
    <col min="13843" max="13843" width="12" customWidth="1"/>
    <col min="14089" max="14089" width="10.42578125" customWidth="1"/>
    <col min="14090" max="14090" width="9.42578125" bestFit="1" customWidth="1"/>
    <col min="14099" max="14099" width="12" customWidth="1"/>
    <col min="14345" max="14345" width="10.42578125" customWidth="1"/>
    <col min="14346" max="14346" width="9.42578125" bestFit="1" customWidth="1"/>
    <col min="14355" max="14355" width="12" customWidth="1"/>
    <col min="14601" max="14601" width="10.42578125" customWidth="1"/>
    <col min="14602" max="14602" width="9.42578125" bestFit="1" customWidth="1"/>
    <col min="14611" max="14611" width="12" customWidth="1"/>
    <col min="14857" max="14857" width="10.42578125" customWidth="1"/>
    <col min="14858" max="14858" width="9.42578125" bestFit="1" customWidth="1"/>
    <col min="14867" max="14867" width="12" customWidth="1"/>
    <col min="15113" max="15113" width="10.42578125" customWidth="1"/>
    <col min="15114" max="15114" width="9.42578125" bestFit="1" customWidth="1"/>
    <col min="15123" max="15123" width="12" customWidth="1"/>
    <col min="15369" max="15369" width="10.42578125" customWidth="1"/>
    <col min="15370" max="15370" width="9.42578125" bestFit="1" customWidth="1"/>
    <col min="15379" max="15379" width="12" customWidth="1"/>
    <col min="15625" max="15625" width="10.42578125" customWidth="1"/>
    <col min="15626" max="15626" width="9.42578125" bestFit="1" customWidth="1"/>
    <col min="15635" max="15635" width="12" customWidth="1"/>
    <col min="15881" max="15881" width="10.42578125" customWidth="1"/>
    <col min="15882" max="15882" width="9.42578125" bestFit="1" customWidth="1"/>
    <col min="15891" max="15891" width="12" customWidth="1"/>
    <col min="16137" max="16137" width="10.42578125" customWidth="1"/>
    <col min="16138" max="16138" width="9.42578125" bestFit="1" customWidth="1"/>
    <col min="16147" max="16147" width="12" customWidth="1"/>
  </cols>
  <sheetData>
    <row r="1" spans="1:21" ht="15.75">
      <c r="A1" s="142"/>
      <c r="B1" s="142"/>
      <c r="C1" s="142"/>
      <c r="D1" s="142"/>
      <c r="E1" s="142"/>
      <c r="F1" s="143" t="s">
        <v>167</v>
      </c>
      <c r="G1" s="144"/>
      <c r="H1" s="144"/>
      <c r="I1" s="144"/>
      <c r="J1" s="144"/>
      <c r="K1" s="144"/>
      <c r="L1" s="144"/>
      <c r="M1" s="142"/>
      <c r="N1" s="142"/>
      <c r="O1" s="142"/>
      <c r="P1" s="142"/>
      <c r="Q1" s="142"/>
      <c r="R1" s="142"/>
      <c r="S1" s="142"/>
      <c r="T1" s="142"/>
      <c r="U1" s="142"/>
    </row>
    <row r="2" spans="1:21" ht="15.75">
      <c r="A2" s="142"/>
      <c r="B2" s="142"/>
      <c r="C2" s="142"/>
      <c r="D2" s="142"/>
      <c r="E2" s="142"/>
      <c r="F2" s="142"/>
      <c r="G2" s="142"/>
      <c r="H2" s="143" t="s">
        <v>1335</v>
      </c>
      <c r="I2" s="144"/>
      <c r="J2" s="144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1:21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</row>
    <row r="4" spans="1:21">
      <c r="A4" s="142" t="s">
        <v>1336</v>
      </c>
      <c r="B4" s="142"/>
      <c r="C4" s="142"/>
      <c r="D4" s="142"/>
      <c r="E4" s="1035" t="s">
        <v>1388</v>
      </c>
      <c r="F4" s="1035"/>
      <c r="G4" s="1035"/>
      <c r="H4" s="149"/>
      <c r="I4" s="142" t="s">
        <v>171</v>
      </c>
      <c r="J4" s="142"/>
      <c r="K4" s="142"/>
      <c r="L4" s="1038">
        <v>904070203</v>
      </c>
      <c r="M4" s="1039"/>
      <c r="N4" s="142" t="s">
        <v>5</v>
      </c>
      <c r="O4" s="102">
        <v>550</v>
      </c>
      <c r="P4" s="142" t="s">
        <v>1338</v>
      </c>
      <c r="Q4" s="146"/>
      <c r="R4" s="102" t="s">
        <v>1339</v>
      </c>
      <c r="S4" s="142"/>
      <c r="T4" s="146"/>
      <c r="U4" s="142"/>
    </row>
    <row r="5" spans="1:21">
      <c r="A5" s="808" t="s">
        <v>4176</v>
      </c>
      <c r="B5" s="808"/>
      <c r="C5" s="808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</row>
    <row r="6" spans="1:21">
      <c r="A6" s="142" t="s">
        <v>1340</v>
      </c>
      <c r="B6" s="142"/>
      <c r="C6" s="142"/>
      <c r="D6" s="142"/>
      <c r="E6" s="1035" t="s">
        <v>1389</v>
      </c>
      <c r="F6" s="1035"/>
      <c r="G6" s="1035"/>
      <c r="H6" s="149"/>
      <c r="I6" s="142" t="s">
        <v>1208</v>
      </c>
      <c r="J6" s="142"/>
      <c r="K6" s="142"/>
      <c r="L6" s="1035" t="s">
        <v>1390</v>
      </c>
      <c r="M6" s="1035"/>
      <c r="N6" s="149"/>
      <c r="O6" s="149"/>
      <c r="P6" s="142"/>
      <c r="Q6" s="142"/>
      <c r="R6" s="142"/>
      <c r="S6" s="142"/>
      <c r="T6" s="142"/>
      <c r="U6" s="142"/>
    </row>
    <row r="7" spans="1:21">
      <c r="A7" s="142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</row>
    <row r="8" spans="1:21">
      <c r="A8" s="1043" t="s">
        <v>178</v>
      </c>
      <c r="B8" s="1043"/>
      <c r="C8" s="1043"/>
      <c r="D8" s="1044"/>
      <c r="E8" s="1035" t="s">
        <v>1269</v>
      </c>
      <c r="F8" s="1035"/>
      <c r="G8" s="1035"/>
      <c r="H8" s="149"/>
      <c r="I8" s="1044" t="s">
        <v>1344</v>
      </c>
      <c r="J8" s="1044"/>
      <c r="K8" s="1044"/>
      <c r="L8" s="1059" t="s">
        <v>1269</v>
      </c>
      <c r="M8" s="1060"/>
      <c r="N8" s="149"/>
      <c r="O8" s="149"/>
      <c r="P8" s="149"/>
      <c r="Q8" s="149"/>
      <c r="R8" s="142"/>
      <c r="S8" s="142"/>
      <c r="T8" s="142"/>
      <c r="U8" s="142"/>
    </row>
    <row r="9" spans="1:21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9"/>
      <c r="M9" s="149"/>
      <c r="N9" s="149"/>
      <c r="O9" s="149"/>
      <c r="P9" s="149"/>
      <c r="Q9" s="149"/>
      <c r="R9" s="142"/>
      <c r="S9" s="142"/>
      <c r="T9" s="142"/>
      <c r="U9" s="142"/>
    </row>
    <row r="10" spans="1:21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</row>
    <row r="11" spans="1:21">
      <c r="A11" s="1037" t="s">
        <v>838</v>
      </c>
      <c r="B11" s="1037"/>
      <c r="C11" s="1037"/>
      <c r="D11" s="1037"/>
      <c r="E11" s="1037"/>
      <c r="F11" s="1037"/>
      <c r="G11" s="1035" t="s">
        <v>1391</v>
      </c>
      <c r="H11" s="1035"/>
      <c r="I11" s="1035"/>
      <c r="J11" s="1035">
        <v>0</v>
      </c>
      <c r="K11" s="1035"/>
      <c r="L11" s="1035"/>
      <c r="M11" s="1035">
        <v>0</v>
      </c>
      <c r="N11" s="1035"/>
      <c r="O11" s="1035"/>
      <c r="P11" s="1035"/>
      <c r="Q11" s="1035">
        <v>0</v>
      </c>
      <c r="R11" s="1035"/>
      <c r="S11" s="1035"/>
      <c r="T11" s="1035"/>
      <c r="U11" s="142"/>
    </row>
    <row r="12" spans="1:21">
      <c r="A12" s="1037" t="s">
        <v>1346</v>
      </c>
      <c r="B12" s="1037"/>
      <c r="C12" s="1037"/>
      <c r="D12" s="1037"/>
      <c r="E12" s="1037"/>
      <c r="F12" s="1037"/>
      <c r="G12" s="1035" t="s">
        <v>1392</v>
      </c>
      <c r="H12" s="1035"/>
      <c r="I12" s="1035"/>
      <c r="J12" s="1035" t="s">
        <v>1353</v>
      </c>
      <c r="K12" s="1035"/>
      <c r="L12" s="1035"/>
      <c r="M12" s="1035" t="s">
        <v>1393</v>
      </c>
      <c r="N12" s="1035"/>
      <c r="O12" s="1035"/>
      <c r="P12" s="1035"/>
      <c r="Q12" s="1040" t="s">
        <v>1394</v>
      </c>
      <c r="R12" s="1041"/>
      <c r="S12" s="1041"/>
      <c r="T12" s="1042"/>
      <c r="U12" s="142"/>
    </row>
    <row r="13" spans="1:21">
      <c r="A13" s="1037" t="s">
        <v>192</v>
      </c>
      <c r="B13" s="1037"/>
      <c r="C13" s="1037"/>
      <c r="D13" s="1037"/>
      <c r="E13" s="1037"/>
      <c r="F13" s="1037"/>
      <c r="G13" s="1035" t="s">
        <v>1351</v>
      </c>
      <c r="H13" s="1035"/>
      <c r="I13" s="1035"/>
      <c r="J13" s="1035" t="s">
        <v>1352</v>
      </c>
      <c r="K13" s="1035"/>
      <c r="L13" s="1035"/>
      <c r="M13" s="1035" t="s">
        <v>1353</v>
      </c>
      <c r="N13" s="1035"/>
      <c r="O13" s="1035"/>
      <c r="P13" s="1035"/>
      <c r="Q13" s="1035" t="s">
        <v>1354</v>
      </c>
      <c r="R13" s="1035"/>
      <c r="S13" s="1035"/>
      <c r="T13" s="1035"/>
      <c r="U13" s="142"/>
    </row>
    <row r="14" spans="1:21">
      <c r="A14" s="1037" t="s">
        <v>197</v>
      </c>
      <c r="B14" s="1037"/>
      <c r="C14" s="1037"/>
      <c r="D14" s="1037"/>
      <c r="E14" s="1037"/>
      <c r="F14" s="1037"/>
      <c r="G14" s="1035" t="s">
        <v>1351</v>
      </c>
      <c r="H14" s="1035"/>
      <c r="I14" s="1035"/>
      <c r="J14" s="1035">
        <v>0</v>
      </c>
      <c r="K14" s="1035"/>
      <c r="L14" s="1035"/>
      <c r="M14" s="1035">
        <v>0</v>
      </c>
      <c r="N14" s="1035"/>
      <c r="O14" s="1035"/>
      <c r="P14" s="1035"/>
      <c r="Q14" s="1035">
        <v>0</v>
      </c>
      <c r="R14" s="1035"/>
      <c r="S14" s="1035"/>
      <c r="T14" s="1035"/>
      <c r="U14" s="142"/>
    </row>
    <row r="15" spans="1:21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</row>
    <row r="16" spans="1:21">
      <c r="A16" s="142" t="s">
        <v>1356</v>
      </c>
      <c r="B16" s="142"/>
      <c r="C16" s="142"/>
      <c r="D16" s="142"/>
      <c r="E16" s="142"/>
      <c r="F16" s="1038">
        <v>1</v>
      </c>
      <c r="G16" s="1039"/>
      <c r="H16" s="142" t="s">
        <v>1357</v>
      </c>
      <c r="I16" s="146"/>
      <c r="J16" s="142"/>
      <c r="K16" s="1038">
        <v>2</v>
      </c>
      <c r="L16" s="1039"/>
      <c r="M16" s="142" t="s">
        <v>643</v>
      </c>
      <c r="N16" s="146"/>
      <c r="O16" s="543">
        <v>11</v>
      </c>
      <c r="P16" s="142" t="s">
        <v>1358</v>
      </c>
      <c r="Q16" s="150">
        <v>2</v>
      </c>
      <c r="R16" s="142" t="s">
        <v>1386</v>
      </c>
      <c r="S16" s="150">
        <v>12</v>
      </c>
      <c r="T16" s="149"/>
      <c r="U16" s="146"/>
    </row>
    <row r="17" spans="1:21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6"/>
      <c r="O17" s="142"/>
      <c r="P17" s="142"/>
      <c r="Q17" s="142"/>
      <c r="R17" s="142"/>
      <c r="S17" s="142"/>
      <c r="T17" s="142"/>
      <c r="U17" s="142"/>
    </row>
    <row r="18" spans="1:21">
      <c r="A18" s="142" t="s">
        <v>203</v>
      </c>
      <c r="B18" s="142"/>
      <c r="C18" s="142"/>
      <c r="D18" s="142" t="s">
        <v>204</v>
      </c>
      <c r="E18" s="146"/>
      <c r="F18" s="147">
        <v>123</v>
      </c>
      <c r="G18" s="148"/>
      <c r="H18" s="142" t="s">
        <v>205</v>
      </c>
      <c r="I18" s="102">
        <v>0</v>
      </c>
      <c r="J18" s="142" t="s">
        <v>206</v>
      </c>
      <c r="K18" s="146"/>
      <c r="L18" s="150">
        <v>0</v>
      </c>
      <c r="M18" s="142" t="s">
        <v>230</v>
      </c>
      <c r="N18" s="150">
        <v>123</v>
      </c>
      <c r="O18" s="142" t="s">
        <v>207</v>
      </c>
      <c r="P18" s="102">
        <v>8</v>
      </c>
      <c r="Q18" s="142" t="s">
        <v>1360</v>
      </c>
      <c r="R18" s="146"/>
      <c r="S18" s="150">
        <v>39</v>
      </c>
      <c r="T18" s="146"/>
      <c r="U18" s="149"/>
    </row>
    <row r="19" spans="1:21">
      <c r="A19" s="142"/>
      <c r="B19" s="142"/>
      <c r="C19" s="142"/>
      <c r="D19" s="142" t="s">
        <v>210</v>
      </c>
      <c r="E19" s="146"/>
      <c r="F19" s="147">
        <v>347</v>
      </c>
      <c r="G19" s="148"/>
      <c r="H19" s="142" t="s">
        <v>211</v>
      </c>
      <c r="I19" s="102">
        <v>0</v>
      </c>
      <c r="J19" s="142" t="s">
        <v>212</v>
      </c>
      <c r="K19" s="146"/>
      <c r="L19" s="150">
        <v>0</v>
      </c>
      <c r="M19" s="142" t="s">
        <v>411</v>
      </c>
      <c r="N19" s="150">
        <v>347</v>
      </c>
      <c r="O19" s="146"/>
      <c r="P19" s="149"/>
      <c r="Q19" s="146"/>
      <c r="R19" s="142"/>
      <c r="S19" s="142"/>
      <c r="T19" s="142"/>
      <c r="U19" s="142"/>
    </row>
    <row r="20" spans="1:21">
      <c r="A20" s="142"/>
      <c r="B20" s="142"/>
      <c r="C20" s="142"/>
      <c r="D20" s="142" t="s">
        <v>213</v>
      </c>
      <c r="E20" s="146"/>
      <c r="F20" s="147">
        <v>362</v>
      </c>
      <c r="G20" s="148"/>
      <c r="H20" s="154" t="s">
        <v>650</v>
      </c>
      <c r="I20" s="102">
        <v>0</v>
      </c>
      <c r="J20" s="142" t="s">
        <v>215</v>
      </c>
      <c r="K20" s="146"/>
      <c r="L20" s="150">
        <v>0</v>
      </c>
      <c r="M20" s="167" t="s">
        <v>410</v>
      </c>
      <c r="N20" s="150">
        <v>362</v>
      </c>
      <c r="O20" s="146"/>
      <c r="P20" s="149"/>
      <c r="Q20" s="146"/>
      <c r="R20" s="142"/>
      <c r="S20" s="142"/>
      <c r="T20" s="142"/>
      <c r="U20" s="142"/>
    </row>
    <row r="21" spans="1:21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</row>
    <row r="22" spans="1:21">
      <c r="A22" s="144" t="s">
        <v>216</v>
      </c>
      <c r="B22" s="144"/>
      <c r="C22" s="144"/>
      <c r="D22" s="144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</row>
    <row r="23" spans="1:21">
      <c r="A23" s="142"/>
      <c r="B23" s="142"/>
      <c r="C23" s="142"/>
      <c r="D23" s="142"/>
      <c r="E23" s="142"/>
      <c r="F23" s="142"/>
      <c r="G23" s="1030" t="s">
        <v>1361</v>
      </c>
      <c r="H23" s="1035" t="s">
        <v>1362</v>
      </c>
      <c r="I23" s="1030" t="s">
        <v>1363</v>
      </c>
      <c r="J23" s="1030" t="s">
        <v>1364</v>
      </c>
      <c r="K23" s="1035" t="s">
        <v>222</v>
      </c>
      <c r="L23" s="1035"/>
      <c r="M23" s="1035"/>
      <c r="N23" s="1035"/>
      <c r="O23" s="1035"/>
      <c r="P23" s="1035"/>
      <c r="Q23" s="1035"/>
      <c r="R23" s="1035"/>
      <c r="S23" s="1035"/>
      <c r="T23" s="142"/>
      <c r="U23" s="142"/>
    </row>
    <row r="24" spans="1:21">
      <c r="A24" s="1037" t="s">
        <v>217</v>
      </c>
      <c r="B24" s="1037"/>
      <c r="C24" s="1037"/>
      <c r="D24" s="1037"/>
      <c r="E24" s="1037"/>
      <c r="F24" s="1058"/>
      <c r="G24" s="1030"/>
      <c r="H24" s="1035"/>
      <c r="I24" s="1030"/>
      <c r="J24" s="1030"/>
      <c r="K24" s="102" t="s">
        <v>1365</v>
      </c>
      <c r="L24" s="102" t="s">
        <v>1366</v>
      </c>
      <c r="M24" s="102" t="s">
        <v>1367</v>
      </c>
      <c r="N24" s="102" t="s">
        <v>1368</v>
      </c>
      <c r="O24" s="102" t="s">
        <v>1369</v>
      </c>
      <c r="P24" s="102" t="s">
        <v>1370</v>
      </c>
      <c r="Q24" s="102" t="s">
        <v>1371</v>
      </c>
      <c r="R24" s="102" t="s">
        <v>230</v>
      </c>
      <c r="S24" s="102" t="s">
        <v>231</v>
      </c>
      <c r="T24" s="142"/>
      <c r="U24" s="142"/>
    </row>
    <row r="25" spans="1:21">
      <c r="A25" s="1037" t="s">
        <v>232</v>
      </c>
      <c r="B25" s="1037"/>
      <c r="C25" s="1037"/>
      <c r="D25" s="1037"/>
      <c r="E25" s="1037"/>
      <c r="F25" s="1037"/>
      <c r="G25" s="544">
        <v>8000</v>
      </c>
      <c r="H25" s="544" t="s">
        <v>1175</v>
      </c>
      <c r="I25" s="168">
        <f>+G25*O4/100000</f>
        <v>44</v>
      </c>
      <c r="J25" s="168">
        <f>4400000/100000</f>
        <v>44</v>
      </c>
      <c r="K25" s="169">
        <v>0</v>
      </c>
      <c r="L25" s="168">
        <f>38929/100000</f>
        <v>0.38929000000000002</v>
      </c>
      <c r="M25" s="168">
        <f>777882/100000</f>
        <v>7.7788199999999996</v>
      </c>
      <c r="N25" s="168">
        <f>1108578/100000</f>
        <v>11.08578</v>
      </c>
      <c r="O25" s="168">
        <f>2474611/100000</f>
        <v>24.746110000000002</v>
      </c>
      <c r="P25" s="168">
        <f>-9909/100000</f>
        <v>-9.9089999999999998E-2</v>
      </c>
      <c r="Q25" s="168">
        <v>0</v>
      </c>
      <c r="R25" s="170">
        <f>SUM(K25:Q25)</f>
        <v>43.900910000000003</v>
      </c>
      <c r="S25" s="168">
        <f>R25*100/J25</f>
        <v>99.774795454545469</v>
      </c>
      <c r="T25" s="142"/>
      <c r="U25" s="142"/>
    </row>
    <row r="26" spans="1:21">
      <c r="A26" s="1037" t="s">
        <v>234</v>
      </c>
      <c r="B26" s="1037"/>
      <c r="C26" s="1037"/>
      <c r="D26" s="1037"/>
      <c r="E26" s="1037"/>
      <c r="F26" s="1037"/>
      <c r="G26" s="544">
        <v>7000</v>
      </c>
      <c r="H26" s="544" t="s">
        <v>1175</v>
      </c>
      <c r="I26" s="168">
        <f>+G26*80/100000</f>
        <v>5.6</v>
      </c>
      <c r="J26" s="168">
        <f>560000/100000</f>
        <v>5.6</v>
      </c>
      <c r="K26" s="168">
        <v>0</v>
      </c>
      <c r="L26" s="168">
        <v>0</v>
      </c>
      <c r="M26" s="168">
        <v>0</v>
      </c>
      <c r="N26" s="168">
        <v>0</v>
      </c>
      <c r="O26" s="168">
        <f>369920/100000</f>
        <v>3.6991999999999998</v>
      </c>
      <c r="P26" s="168">
        <f>192180/100000</f>
        <v>1.9218</v>
      </c>
      <c r="Q26" s="168">
        <v>0</v>
      </c>
      <c r="R26" s="170">
        <f t="shared" ref="R26:R32" si="0">SUM(L26:Q26)</f>
        <v>5.6209999999999996</v>
      </c>
      <c r="S26" s="168">
        <f t="shared" ref="S26:S33" si="1">R26*100/J26</f>
        <v>100.37499999999999</v>
      </c>
      <c r="T26" s="142"/>
      <c r="U26" s="142"/>
    </row>
    <row r="27" spans="1:21">
      <c r="A27" s="1037" t="s">
        <v>1373</v>
      </c>
      <c r="B27" s="1037"/>
      <c r="C27" s="1037"/>
      <c r="D27" s="1037"/>
      <c r="E27" s="1037"/>
      <c r="F27" s="1037"/>
      <c r="G27" s="544">
        <v>43000</v>
      </c>
      <c r="H27" s="544" t="s">
        <v>236</v>
      </c>
      <c r="I27" s="168">
        <f>143000/100000</f>
        <v>1.43</v>
      </c>
      <c r="J27" s="168">
        <f>63000/100000</f>
        <v>0.63</v>
      </c>
      <c r="K27" s="168">
        <v>0</v>
      </c>
      <c r="L27" s="168">
        <v>0</v>
      </c>
      <c r="M27" s="168">
        <v>0</v>
      </c>
      <c r="N27" s="168">
        <v>0</v>
      </c>
      <c r="O27" s="168">
        <f>33000/100000</f>
        <v>0.33</v>
      </c>
      <c r="P27" s="168">
        <f>10000/100000</f>
        <v>0.1</v>
      </c>
      <c r="Q27" s="168">
        <f>20000/100000</f>
        <v>0.2</v>
      </c>
      <c r="R27" s="170">
        <f t="shared" si="0"/>
        <v>0.63000000000000012</v>
      </c>
      <c r="S27" s="168">
        <f t="shared" si="1"/>
        <v>100.00000000000003</v>
      </c>
      <c r="T27" s="142"/>
      <c r="U27" s="142"/>
    </row>
    <row r="28" spans="1:21">
      <c r="A28" s="1037" t="s">
        <v>237</v>
      </c>
      <c r="B28" s="1037"/>
      <c r="C28" s="1037"/>
      <c r="D28" s="1037"/>
      <c r="E28" s="1037"/>
      <c r="F28" s="1037"/>
      <c r="G28" s="544">
        <v>34000</v>
      </c>
      <c r="H28" s="544" t="s">
        <v>236</v>
      </c>
      <c r="I28" s="168">
        <f>34000/100000</f>
        <v>0.34</v>
      </c>
      <c r="J28" s="168">
        <f>34000/100000</f>
        <v>0.34</v>
      </c>
      <c r="K28" s="168">
        <v>0</v>
      </c>
      <c r="L28" s="168">
        <v>0</v>
      </c>
      <c r="M28" s="168">
        <v>0</v>
      </c>
      <c r="N28" s="168">
        <v>0</v>
      </c>
      <c r="O28" s="168">
        <f>34000/100000</f>
        <v>0.34</v>
      </c>
      <c r="P28" s="168">
        <v>0</v>
      </c>
      <c r="Q28" s="168">
        <v>0</v>
      </c>
      <c r="R28" s="170">
        <f t="shared" si="0"/>
        <v>0.34</v>
      </c>
      <c r="S28" s="168">
        <f t="shared" si="1"/>
        <v>99.999999999999986</v>
      </c>
      <c r="T28" s="142"/>
      <c r="U28" s="142"/>
    </row>
    <row r="29" spans="1:21">
      <c r="A29" s="1037" t="s">
        <v>1374</v>
      </c>
      <c r="B29" s="1037"/>
      <c r="C29" s="1037"/>
      <c r="D29" s="1037"/>
      <c r="E29" s="1037"/>
      <c r="F29" s="1037"/>
      <c r="G29" s="544">
        <v>1200</v>
      </c>
      <c r="H29" s="544" t="s">
        <v>1175</v>
      </c>
      <c r="I29" s="168">
        <f>+G29*O4/100000</f>
        <v>6.6</v>
      </c>
      <c r="J29" s="168">
        <f>660000/100000</f>
        <v>6.6</v>
      </c>
      <c r="K29" s="168">
        <v>0</v>
      </c>
      <c r="L29" s="168">
        <v>0</v>
      </c>
      <c r="M29" s="168">
        <v>0</v>
      </c>
      <c r="N29" s="168">
        <v>0</v>
      </c>
      <c r="O29" s="168">
        <v>0</v>
      </c>
      <c r="P29" s="168">
        <f>657500/100000</f>
        <v>6.5750000000000002</v>
      </c>
      <c r="Q29" s="168">
        <f>2474/100000</f>
        <v>2.4740000000000002E-2</v>
      </c>
      <c r="R29" s="170">
        <f t="shared" si="0"/>
        <v>6.5997400000000006</v>
      </c>
      <c r="S29" s="168">
        <f t="shared" si="1"/>
        <v>99.996060606060624</v>
      </c>
      <c r="T29" s="142"/>
      <c r="U29" s="142"/>
    </row>
    <row r="30" spans="1:21">
      <c r="A30" s="1037" t="s">
        <v>1375</v>
      </c>
      <c r="B30" s="1037"/>
      <c r="C30" s="1037"/>
      <c r="D30" s="1037"/>
      <c r="E30" s="1037"/>
      <c r="F30" s="1037"/>
      <c r="G30" s="544">
        <v>565</v>
      </c>
      <c r="H30" s="544" t="s">
        <v>1175</v>
      </c>
      <c r="I30" s="168">
        <f>+G30*O4/100000</f>
        <v>3.1074999999999999</v>
      </c>
      <c r="J30" s="168">
        <f>310750/100000</f>
        <v>3.1074999999999999</v>
      </c>
      <c r="K30" s="168">
        <v>0</v>
      </c>
      <c r="L30" s="168">
        <v>0</v>
      </c>
      <c r="M30" s="168">
        <v>0</v>
      </c>
      <c r="N30" s="168">
        <f>54100/100000</f>
        <v>0.54100000000000004</v>
      </c>
      <c r="O30" s="168">
        <f>256650/100000</f>
        <v>2.5665</v>
      </c>
      <c r="P30" s="168">
        <v>0</v>
      </c>
      <c r="Q30" s="168"/>
      <c r="R30" s="168">
        <f t="shared" si="0"/>
        <v>3.1074999999999999</v>
      </c>
      <c r="S30" s="168">
        <f t="shared" si="1"/>
        <v>100</v>
      </c>
      <c r="T30" s="142"/>
      <c r="U30" s="142"/>
    </row>
    <row r="31" spans="1:21">
      <c r="A31" s="1037" t="s">
        <v>1376</v>
      </c>
      <c r="B31" s="1037"/>
      <c r="C31" s="1037"/>
      <c r="D31" s="1037"/>
      <c r="E31" s="1037"/>
      <c r="F31" s="1037"/>
      <c r="G31" s="544">
        <v>1000</v>
      </c>
      <c r="H31" s="544" t="s">
        <v>1175</v>
      </c>
      <c r="I31" s="168">
        <f>+G31*O4/100000</f>
        <v>5.5</v>
      </c>
      <c r="J31" s="168">
        <f>550000/100000</f>
        <v>5.5</v>
      </c>
      <c r="K31" s="168">
        <v>0</v>
      </c>
      <c r="L31" s="168">
        <f>23500/100000</f>
        <v>0.23499999999999999</v>
      </c>
      <c r="M31" s="168">
        <f>76500/100000</f>
        <v>0.76500000000000001</v>
      </c>
      <c r="N31" s="168">
        <v>0</v>
      </c>
      <c r="O31" s="168">
        <v>0</v>
      </c>
      <c r="P31" s="168">
        <f>453000/100000</f>
        <v>4.53</v>
      </c>
      <c r="Q31" s="168">
        <v>0</v>
      </c>
      <c r="R31" s="170">
        <f t="shared" si="0"/>
        <v>5.53</v>
      </c>
      <c r="S31" s="168">
        <f t="shared" si="1"/>
        <v>100.54545454545455</v>
      </c>
      <c r="T31" s="142"/>
      <c r="U31" s="142"/>
    </row>
    <row r="32" spans="1:21">
      <c r="A32" s="1037" t="s">
        <v>394</v>
      </c>
      <c r="B32" s="1037"/>
      <c r="C32" s="1037"/>
      <c r="D32" s="1037"/>
      <c r="E32" s="1037"/>
      <c r="F32" s="1037"/>
      <c r="G32" s="544">
        <v>2750</v>
      </c>
      <c r="H32" s="544" t="s">
        <v>242</v>
      </c>
      <c r="I32" s="168">
        <f>192000/100000</f>
        <v>1.92</v>
      </c>
      <c r="J32" s="168">
        <f>192000/100000</f>
        <v>1.92</v>
      </c>
      <c r="K32" s="168">
        <v>0</v>
      </c>
      <c r="L32" s="168">
        <f>6165/100000</f>
        <v>6.1650000000000003E-2</v>
      </c>
      <c r="M32" s="168">
        <f>52291/100000</f>
        <v>0.52290999999999999</v>
      </c>
      <c r="N32" s="168">
        <f>34544/100000</f>
        <v>0.34544000000000002</v>
      </c>
      <c r="O32" s="168">
        <f>33000/100000</f>
        <v>0.33</v>
      </c>
      <c r="P32" s="168">
        <f>31632/100000</f>
        <v>0.31631999999999999</v>
      </c>
      <c r="Q32" s="168">
        <f>33000/100000</f>
        <v>0.33</v>
      </c>
      <c r="R32" s="170">
        <f t="shared" si="0"/>
        <v>1.90632</v>
      </c>
      <c r="S32" s="168">
        <f t="shared" si="1"/>
        <v>99.287500000000009</v>
      </c>
      <c r="T32" s="142"/>
      <c r="U32" s="142"/>
    </row>
    <row r="33" spans="1:21">
      <c r="A33" s="1032" t="s">
        <v>230</v>
      </c>
      <c r="B33" s="1033"/>
      <c r="C33" s="1033"/>
      <c r="D33" s="1033"/>
      <c r="E33" s="1033"/>
      <c r="F33" s="1034"/>
      <c r="G33" s="545"/>
      <c r="H33" s="545"/>
      <c r="I33" s="170">
        <f>SUM(I25:I32)</f>
        <v>68.497500000000016</v>
      </c>
      <c r="J33" s="170">
        <f>SUM(J25:J32)</f>
        <v>67.697500000000005</v>
      </c>
      <c r="K33" s="170"/>
      <c r="L33" s="170">
        <f t="shared" ref="L33:R33" si="2">SUM(L25:L32)</f>
        <v>0.68593999999999999</v>
      </c>
      <c r="M33" s="170">
        <f t="shared" si="2"/>
        <v>9.0667299999999997</v>
      </c>
      <c r="N33" s="170">
        <f t="shared" si="2"/>
        <v>11.97222</v>
      </c>
      <c r="O33" s="170">
        <f t="shared" si="2"/>
        <v>32.011810000000004</v>
      </c>
      <c r="P33" s="170">
        <f t="shared" si="2"/>
        <v>13.344029999999998</v>
      </c>
      <c r="Q33" s="170">
        <f t="shared" si="2"/>
        <v>0.55474000000000001</v>
      </c>
      <c r="R33" s="170">
        <f t="shared" si="2"/>
        <v>67.635470000000012</v>
      </c>
      <c r="S33" s="170">
        <f t="shared" si="1"/>
        <v>99.908371801026632</v>
      </c>
      <c r="T33" s="142"/>
      <c r="U33" s="142"/>
    </row>
  </sheetData>
  <mergeCells count="46">
    <mergeCell ref="E4:G4"/>
    <mergeCell ref="L4:M4"/>
    <mergeCell ref="E6:G6"/>
    <mergeCell ref="L6:M6"/>
    <mergeCell ref="A8:D8"/>
    <mergeCell ref="E8:G8"/>
    <mergeCell ref="I8:K8"/>
    <mergeCell ref="L8:M8"/>
    <mergeCell ref="A5:C5"/>
    <mergeCell ref="A12:F12"/>
    <mergeCell ref="G12:I12"/>
    <mergeCell ref="J12:L12"/>
    <mergeCell ref="M12:P12"/>
    <mergeCell ref="Q12:T12"/>
    <mergeCell ref="A11:F11"/>
    <mergeCell ref="G11:I11"/>
    <mergeCell ref="J11:L11"/>
    <mergeCell ref="M11:P11"/>
    <mergeCell ref="Q11:T11"/>
    <mergeCell ref="A14:F14"/>
    <mergeCell ref="G14:I14"/>
    <mergeCell ref="J14:L14"/>
    <mergeCell ref="M14:P14"/>
    <mergeCell ref="Q14:T14"/>
    <mergeCell ref="A13:F13"/>
    <mergeCell ref="G13:I13"/>
    <mergeCell ref="J13:L13"/>
    <mergeCell ref="M13:P13"/>
    <mergeCell ref="Q13:T13"/>
    <mergeCell ref="F16:G16"/>
    <mergeCell ref="K16:L16"/>
    <mergeCell ref="G23:G24"/>
    <mergeCell ref="H23:H24"/>
    <mergeCell ref="I23:I24"/>
    <mergeCell ref="J23:J24"/>
    <mergeCell ref="K23:S23"/>
    <mergeCell ref="A24:F24"/>
    <mergeCell ref="A31:F31"/>
    <mergeCell ref="A32:F32"/>
    <mergeCell ref="A33:F33"/>
    <mergeCell ref="A25:F25"/>
    <mergeCell ref="A26:F26"/>
    <mergeCell ref="A27:F27"/>
    <mergeCell ref="A28:F28"/>
    <mergeCell ref="A29:F29"/>
    <mergeCell ref="A30:F30"/>
  </mergeCells>
  <hyperlinks>
    <hyperlink ref="A5" location="'Fact Sheet of VDC'!A1" display="&lt;&lt;Back"/>
  </hyperlinks>
  <pageMargins left="0.7" right="0.7" top="0.75" bottom="0.75" header="0.3" footer="0.3"/>
  <pageSetup paperSize="9" scale="68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U33"/>
  <sheetViews>
    <sheetView workbookViewId="0">
      <selection activeCell="A5" sqref="A5:C5"/>
    </sheetView>
  </sheetViews>
  <sheetFormatPr defaultRowHeight="15"/>
  <cols>
    <col min="4" max="4" width="7.42578125" customWidth="1"/>
    <col min="5" max="5" width="6.5703125" customWidth="1"/>
    <col min="6" max="8" width="9.28515625" bestFit="1" customWidth="1"/>
    <col min="9" max="9" width="10.42578125" customWidth="1"/>
    <col min="10" max="14" width="9.28515625" bestFit="1" customWidth="1"/>
    <col min="15" max="15" width="9.85546875" bestFit="1" customWidth="1"/>
    <col min="16" max="17" width="9.28515625" bestFit="1" customWidth="1"/>
    <col min="18" max="18" width="10.42578125" bestFit="1" customWidth="1"/>
    <col min="19" max="19" width="9.7109375" bestFit="1" customWidth="1"/>
    <col min="20" max="20" width="9.28515625" bestFit="1" customWidth="1"/>
    <col min="260" max="260" width="7.42578125" customWidth="1"/>
    <col min="261" max="261" width="6.5703125" customWidth="1"/>
    <col min="262" max="264" width="9.28515625" bestFit="1" customWidth="1"/>
    <col min="265" max="265" width="10.42578125" customWidth="1"/>
    <col min="266" max="270" width="9.28515625" bestFit="1" customWidth="1"/>
    <col min="271" max="271" width="9.85546875" bestFit="1" customWidth="1"/>
    <col min="272" max="273" width="9.28515625" bestFit="1" customWidth="1"/>
    <col min="274" max="274" width="10.42578125" bestFit="1" customWidth="1"/>
    <col min="275" max="275" width="9.7109375" bestFit="1" customWidth="1"/>
    <col min="276" max="276" width="9.28515625" bestFit="1" customWidth="1"/>
    <col min="516" max="516" width="7.42578125" customWidth="1"/>
    <col min="517" max="517" width="6.5703125" customWidth="1"/>
    <col min="518" max="520" width="9.28515625" bestFit="1" customWidth="1"/>
    <col min="521" max="521" width="10.42578125" customWidth="1"/>
    <col min="522" max="526" width="9.28515625" bestFit="1" customWidth="1"/>
    <col min="527" max="527" width="9.85546875" bestFit="1" customWidth="1"/>
    <col min="528" max="529" width="9.28515625" bestFit="1" customWidth="1"/>
    <col min="530" max="530" width="10.42578125" bestFit="1" customWidth="1"/>
    <col min="531" max="531" width="9.7109375" bestFit="1" customWidth="1"/>
    <col min="532" max="532" width="9.28515625" bestFit="1" customWidth="1"/>
    <col min="772" max="772" width="7.42578125" customWidth="1"/>
    <col min="773" max="773" width="6.5703125" customWidth="1"/>
    <col min="774" max="776" width="9.28515625" bestFit="1" customWidth="1"/>
    <col min="777" max="777" width="10.42578125" customWidth="1"/>
    <col min="778" max="782" width="9.28515625" bestFit="1" customWidth="1"/>
    <col min="783" max="783" width="9.85546875" bestFit="1" customWidth="1"/>
    <col min="784" max="785" width="9.28515625" bestFit="1" customWidth="1"/>
    <col min="786" max="786" width="10.42578125" bestFit="1" customWidth="1"/>
    <col min="787" max="787" width="9.7109375" bestFit="1" customWidth="1"/>
    <col min="788" max="788" width="9.28515625" bestFit="1" customWidth="1"/>
    <col min="1028" max="1028" width="7.42578125" customWidth="1"/>
    <col min="1029" max="1029" width="6.5703125" customWidth="1"/>
    <col min="1030" max="1032" width="9.28515625" bestFit="1" customWidth="1"/>
    <col min="1033" max="1033" width="10.42578125" customWidth="1"/>
    <col min="1034" max="1038" width="9.28515625" bestFit="1" customWidth="1"/>
    <col min="1039" max="1039" width="9.85546875" bestFit="1" customWidth="1"/>
    <col min="1040" max="1041" width="9.28515625" bestFit="1" customWidth="1"/>
    <col min="1042" max="1042" width="10.42578125" bestFit="1" customWidth="1"/>
    <col min="1043" max="1043" width="9.7109375" bestFit="1" customWidth="1"/>
    <col min="1044" max="1044" width="9.28515625" bestFit="1" customWidth="1"/>
    <col min="1284" max="1284" width="7.42578125" customWidth="1"/>
    <col min="1285" max="1285" width="6.5703125" customWidth="1"/>
    <col min="1286" max="1288" width="9.28515625" bestFit="1" customWidth="1"/>
    <col min="1289" max="1289" width="10.42578125" customWidth="1"/>
    <col min="1290" max="1294" width="9.28515625" bestFit="1" customWidth="1"/>
    <col min="1295" max="1295" width="9.85546875" bestFit="1" customWidth="1"/>
    <col min="1296" max="1297" width="9.28515625" bestFit="1" customWidth="1"/>
    <col min="1298" max="1298" width="10.42578125" bestFit="1" customWidth="1"/>
    <col min="1299" max="1299" width="9.7109375" bestFit="1" customWidth="1"/>
    <col min="1300" max="1300" width="9.28515625" bestFit="1" customWidth="1"/>
    <col min="1540" max="1540" width="7.42578125" customWidth="1"/>
    <col min="1541" max="1541" width="6.5703125" customWidth="1"/>
    <col min="1542" max="1544" width="9.28515625" bestFit="1" customWidth="1"/>
    <col min="1545" max="1545" width="10.42578125" customWidth="1"/>
    <col min="1546" max="1550" width="9.28515625" bestFit="1" customWidth="1"/>
    <col min="1551" max="1551" width="9.85546875" bestFit="1" customWidth="1"/>
    <col min="1552" max="1553" width="9.28515625" bestFit="1" customWidth="1"/>
    <col min="1554" max="1554" width="10.42578125" bestFit="1" customWidth="1"/>
    <col min="1555" max="1555" width="9.7109375" bestFit="1" customWidth="1"/>
    <col min="1556" max="1556" width="9.28515625" bestFit="1" customWidth="1"/>
    <col min="1796" max="1796" width="7.42578125" customWidth="1"/>
    <col min="1797" max="1797" width="6.5703125" customWidth="1"/>
    <col min="1798" max="1800" width="9.28515625" bestFit="1" customWidth="1"/>
    <col min="1801" max="1801" width="10.42578125" customWidth="1"/>
    <col min="1802" max="1806" width="9.28515625" bestFit="1" customWidth="1"/>
    <col min="1807" max="1807" width="9.85546875" bestFit="1" customWidth="1"/>
    <col min="1808" max="1809" width="9.28515625" bestFit="1" customWidth="1"/>
    <col min="1810" max="1810" width="10.42578125" bestFit="1" customWidth="1"/>
    <col min="1811" max="1811" width="9.7109375" bestFit="1" customWidth="1"/>
    <col min="1812" max="1812" width="9.28515625" bestFit="1" customWidth="1"/>
    <col min="2052" max="2052" width="7.42578125" customWidth="1"/>
    <col min="2053" max="2053" width="6.5703125" customWidth="1"/>
    <col min="2054" max="2056" width="9.28515625" bestFit="1" customWidth="1"/>
    <col min="2057" max="2057" width="10.42578125" customWidth="1"/>
    <col min="2058" max="2062" width="9.28515625" bestFit="1" customWidth="1"/>
    <col min="2063" max="2063" width="9.85546875" bestFit="1" customWidth="1"/>
    <col min="2064" max="2065" width="9.28515625" bestFit="1" customWidth="1"/>
    <col min="2066" max="2066" width="10.42578125" bestFit="1" customWidth="1"/>
    <col min="2067" max="2067" width="9.7109375" bestFit="1" customWidth="1"/>
    <col min="2068" max="2068" width="9.28515625" bestFit="1" customWidth="1"/>
    <col min="2308" max="2308" width="7.42578125" customWidth="1"/>
    <col min="2309" max="2309" width="6.5703125" customWidth="1"/>
    <col min="2310" max="2312" width="9.28515625" bestFit="1" customWidth="1"/>
    <col min="2313" max="2313" width="10.42578125" customWidth="1"/>
    <col min="2314" max="2318" width="9.28515625" bestFit="1" customWidth="1"/>
    <col min="2319" max="2319" width="9.85546875" bestFit="1" customWidth="1"/>
    <col min="2320" max="2321" width="9.28515625" bestFit="1" customWidth="1"/>
    <col min="2322" max="2322" width="10.42578125" bestFit="1" customWidth="1"/>
    <col min="2323" max="2323" width="9.7109375" bestFit="1" customWidth="1"/>
    <col min="2324" max="2324" width="9.28515625" bestFit="1" customWidth="1"/>
    <col min="2564" max="2564" width="7.42578125" customWidth="1"/>
    <col min="2565" max="2565" width="6.5703125" customWidth="1"/>
    <col min="2566" max="2568" width="9.28515625" bestFit="1" customWidth="1"/>
    <col min="2569" max="2569" width="10.42578125" customWidth="1"/>
    <col min="2570" max="2574" width="9.28515625" bestFit="1" customWidth="1"/>
    <col min="2575" max="2575" width="9.85546875" bestFit="1" customWidth="1"/>
    <col min="2576" max="2577" width="9.28515625" bestFit="1" customWidth="1"/>
    <col min="2578" max="2578" width="10.42578125" bestFit="1" customWidth="1"/>
    <col min="2579" max="2579" width="9.7109375" bestFit="1" customWidth="1"/>
    <col min="2580" max="2580" width="9.28515625" bestFit="1" customWidth="1"/>
    <col min="2820" max="2820" width="7.42578125" customWidth="1"/>
    <col min="2821" max="2821" width="6.5703125" customWidth="1"/>
    <col min="2822" max="2824" width="9.28515625" bestFit="1" customWidth="1"/>
    <col min="2825" max="2825" width="10.42578125" customWidth="1"/>
    <col min="2826" max="2830" width="9.28515625" bestFit="1" customWidth="1"/>
    <col min="2831" max="2831" width="9.85546875" bestFit="1" customWidth="1"/>
    <col min="2832" max="2833" width="9.28515625" bestFit="1" customWidth="1"/>
    <col min="2834" max="2834" width="10.42578125" bestFit="1" customWidth="1"/>
    <col min="2835" max="2835" width="9.7109375" bestFit="1" customWidth="1"/>
    <col min="2836" max="2836" width="9.28515625" bestFit="1" customWidth="1"/>
    <col min="3076" max="3076" width="7.42578125" customWidth="1"/>
    <col min="3077" max="3077" width="6.5703125" customWidth="1"/>
    <col min="3078" max="3080" width="9.28515625" bestFit="1" customWidth="1"/>
    <col min="3081" max="3081" width="10.42578125" customWidth="1"/>
    <col min="3082" max="3086" width="9.28515625" bestFit="1" customWidth="1"/>
    <col min="3087" max="3087" width="9.85546875" bestFit="1" customWidth="1"/>
    <col min="3088" max="3089" width="9.28515625" bestFit="1" customWidth="1"/>
    <col min="3090" max="3090" width="10.42578125" bestFit="1" customWidth="1"/>
    <col min="3091" max="3091" width="9.7109375" bestFit="1" customWidth="1"/>
    <col min="3092" max="3092" width="9.28515625" bestFit="1" customWidth="1"/>
    <col min="3332" max="3332" width="7.42578125" customWidth="1"/>
    <col min="3333" max="3333" width="6.5703125" customWidth="1"/>
    <col min="3334" max="3336" width="9.28515625" bestFit="1" customWidth="1"/>
    <col min="3337" max="3337" width="10.42578125" customWidth="1"/>
    <col min="3338" max="3342" width="9.28515625" bestFit="1" customWidth="1"/>
    <col min="3343" max="3343" width="9.85546875" bestFit="1" customWidth="1"/>
    <col min="3344" max="3345" width="9.28515625" bestFit="1" customWidth="1"/>
    <col min="3346" max="3346" width="10.42578125" bestFit="1" customWidth="1"/>
    <col min="3347" max="3347" width="9.7109375" bestFit="1" customWidth="1"/>
    <col min="3348" max="3348" width="9.28515625" bestFit="1" customWidth="1"/>
    <col min="3588" max="3588" width="7.42578125" customWidth="1"/>
    <col min="3589" max="3589" width="6.5703125" customWidth="1"/>
    <col min="3590" max="3592" width="9.28515625" bestFit="1" customWidth="1"/>
    <col min="3593" max="3593" width="10.42578125" customWidth="1"/>
    <col min="3594" max="3598" width="9.28515625" bestFit="1" customWidth="1"/>
    <col min="3599" max="3599" width="9.85546875" bestFit="1" customWidth="1"/>
    <col min="3600" max="3601" width="9.28515625" bestFit="1" customWidth="1"/>
    <col min="3602" max="3602" width="10.42578125" bestFit="1" customWidth="1"/>
    <col min="3603" max="3603" width="9.7109375" bestFit="1" customWidth="1"/>
    <col min="3604" max="3604" width="9.28515625" bestFit="1" customWidth="1"/>
    <col min="3844" max="3844" width="7.42578125" customWidth="1"/>
    <col min="3845" max="3845" width="6.5703125" customWidth="1"/>
    <col min="3846" max="3848" width="9.28515625" bestFit="1" customWidth="1"/>
    <col min="3849" max="3849" width="10.42578125" customWidth="1"/>
    <col min="3850" max="3854" width="9.28515625" bestFit="1" customWidth="1"/>
    <col min="3855" max="3855" width="9.85546875" bestFit="1" customWidth="1"/>
    <col min="3856" max="3857" width="9.28515625" bestFit="1" customWidth="1"/>
    <col min="3858" max="3858" width="10.42578125" bestFit="1" customWidth="1"/>
    <col min="3859" max="3859" width="9.7109375" bestFit="1" customWidth="1"/>
    <col min="3860" max="3860" width="9.28515625" bestFit="1" customWidth="1"/>
    <col min="4100" max="4100" width="7.42578125" customWidth="1"/>
    <col min="4101" max="4101" width="6.5703125" customWidth="1"/>
    <col min="4102" max="4104" width="9.28515625" bestFit="1" customWidth="1"/>
    <col min="4105" max="4105" width="10.42578125" customWidth="1"/>
    <col min="4106" max="4110" width="9.28515625" bestFit="1" customWidth="1"/>
    <col min="4111" max="4111" width="9.85546875" bestFit="1" customWidth="1"/>
    <col min="4112" max="4113" width="9.28515625" bestFit="1" customWidth="1"/>
    <col min="4114" max="4114" width="10.42578125" bestFit="1" customWidth="1"/>
    <col min="4115" max="4115" width="9.7109375" bestFit="1" customWidth="1"/>
    <col min="4116" max="4116" width="9.28515625" bestFit="1" customWidth="1"/>
    <col min="4356" max="4356" width="7.42578125" customWidth="1"/>
    <col min="4357" max="4357" width="6.5703125" customWidth="1"/>
    <col min="4358" max="4360" width="9.28515625" bestFit="1" customWidth="1"/>
    <col min="4361" max="4361" width="10.42578125" customWidth="1"/>
    <col min="4362" max="4366" width="9.28515625" bestFit="1" customWidth="1"/>
    <col min="4367" max="4367" width="9.85546875" bestFit="1" customWidth="1"/>
    <col min="4368" max="4369" width="9.28515625" bestFit="1" customWidth="1"/>
    <col min="4370" max="4370" width="10.42578125" bestFit="1" customWidth="1"/>
    <col min="4371" max="4371" width="9.7109375" bestFit="1" customWidth="1"/>
    <col min="4372" max="4372" width="9.28515625" bestFit="1" customWidth="1"/>
    <col min="4612" max="4612" width="7.42578125" customWidth="1"/>
    <col min="4613" max="4613" width="6.5703125" customWidth="1"/>
    <col min="4614" max="4616" width="9.28515625" bestFit="1" customWidth="1"/>
    <col min="4617" max="4617" width="10.42578125" customWidth="1"/>
    <col min="4618" max="4622" width="9.28515625" bestFit="1" customWidth="1"/>
    <col min="4623" max="4623" width="9.85546875" bestFit="1" customWidth="1"/>
    <col min="4624" max="4625" width="9.28515625" bestFit="1" customWidth="1"/>
    <col min="4626" max="4626" width="10.42578125" bestFit="1" customWidth="1"/>
    <col min="4627" max="4627" width="9.7109375" bestFit="1" customWidth="1"/>
    <col min="4628" max="4628" width="9.28515625" bestFit="1" customWidth="1"/>
    <col min="4868" max="4868" width="7.42578125" customWidth="1"/>
    <col min="4869" max="4869" width="6.5703125" customWidth="1"/>
    <col min="4870" max="4872" width="9.28515625" bestFit="1" customWidth="1"/>
    <col min="4873" max="4873" width="10.42578125" customWidth="1"/>
    <col min="4874" max="4878" width="9.28515625" bestFit="1" customWidth="1"/>
    <col min="4879" max="4879" width="9.85546875" bestFit="1" customWidth="1"/>
    <col min="4880" max="4881" width="9.28515625" bestFit="1" customWidth="1"/>
    <col min="4882" max="4882" width="10.42578125" bestFit="1" customWidth="1"/>
    <col min="4883" max="4883" width="9.7109375" bestFit="1" customWidth="1"/>
    <col min="4884" max="4884" width="9.28515625" bestFit="1" customWidth="1"/>
    <col min="5124" max="5124" width="7.42578125" customWidth="1"/>
    <col min="5125" max="5125" width="6.5703125" customWidth="1"/>
    <col min="5126" max="5128" width="9.28515625" bestFit="1" customWidth="1"/>
    <col min="5129" max="5129" width="10.42578125" customWidth="1"/>
    <col min="5130" max="5134" width="9.28515625" bestFit="1" customWidth="1"/>
    <col min="5135" max="5135" width="9.85546875" bestFit="1" customWidth="1"/>
    <col min="5136" max="5137" width="9.28515625" bestFit="1" customWidth="1"/>
    <col min="5138" max="5138" width="10.42578125" bestFit="1" customWidth="1"/>
    <col min="5139" max="5139" width="9.7109375" bestFit="1" customWidth="1"/>
    <col min="5140" max="5140" width="9.28515625" bestFit="1" customWidth="1"/>
    <col min="5380" max="5380" width="7.42578125" customWidth="1"/>
    <col min="5381" max="5381" width="6.5703125" customWidth="1"/>
    <col min="5382" max="5384" width="9.28515625" bestFit="1" customWidth="1"/>
    <col min="5385" max="5385" width="10.42578125" customWidth="1"/>
    <col min="5386" max="5390" width="9.28515625" bestFit="1" customWidth="1"/>
    <col min="5391" max="5391" width="9.85546875" bestFit="1" customWidth="1"/>
    <col min="5392" max="5393" width="9.28515625" bestFit="1" customWidth="1"/>
    <col min="5394" max="5394" width="10.42578125" bestFit="1" customWidth="1"/>
    <col min="5395" max="5395" width="9.7109375" bestFit="1" customWidth="1"/>
    <col min="5396" max="5396" width="9.28515625" bestFit="1" customWidth="1"/>
    <col min="5636" max="5636" width="7.42578125" customWidth="1"/>
    <col min="5637" max="5637" width="6.5703125" customWidth="1"/>
    <col min="5638" max="5640" width="9.28515625" bestFit="1" customWidth="1"/>
    <col min="5641" max="5641" width="10.42578125" customWidth="1"/>
    <col min="5642" max="5646" width="9.28515625" bestFit="1" customWidth="1"/>
    <col min="5647" max="5647" width="9.85546875" bestFit="1" customWidth="1"/>
    <col min="5648" max="5649" width="9.28515625" bestFit="1" customWidth="1"/>
    <col min="5650" max="5650" width="10.42578125" bestFit="1" customWidth="1"/>
    <col min="5651" max="5651" width="9.7109375" bestFit="1" customWidth="1"/>
    <col min="5652" max="5652" width="9.28515625" bestFit="1" customWidth="1"/>
    <col min="5892" max="5892" width="7.42578125" customWidth="1"/>
    <col min="5893" max="5893" width="6.5703125" customWidth="1"/>
    <col min="5894" max="5896" width="9.28515625" bestFit="1" customWidth="1"/>
    <col min="5897" max="5897" width="10.42578125" customWidth="1"/>
    <col min="5898" max="5902" width="9.28515625" bestFit="1" customWidth="1"/>
    <col min="5903" max="5903" width="9.85546875" bestFit="1" customWidth="1"/>
    <col min="5904" max="5905" width="9.28515625" bestFit="1" customWidth="1"/>
    <col min="5906" max="5906" width="10.42578125" bestFit="1" customWidth="1"/>
    <col min="5907" max="5907" width="9.7109375" bestFit="1" customWidth="1"/>
    <col min="5908" max="5908" width="9.28515625" bestFit="1" customWidth="1"/>
    <col min="6148" max="6148" width="7.42578125" customWidth="1"/>
    <col min="6149" max="6149" width="6.5703125" customWidth="1"/>
    <col min="6150" max="6152" width="9.28515625" bestFit="1" customWidth="1"/>
    <col min="6153" max="6153" width="10.42578125" customWidth="1"/>
    <col min="6154" max="6158" width="9.28515625" bestFit="1" customWidth="1"/>
    <col min="6159" max="6159" width="9.85546875" bestFit="1" customWidth="1"/>
    <col min="6160" max="6161" width="9.28515625" bestFit="1" customWidth="1"/>
    <col min="6162" max="6162" width="10.42578125" bestFit="1" customWidth="1"/>
    <col min="6163" max="6163" width="9.7109375" bestFit="1" customWidth="1"/>
    <col min="6164" max="6164" width="9.28515625" bestFit="1" customWidth="1"/>
    <col min="6404" max="6404" width="7.42578125" customWidth="1"/>
    <col min="6405" max="6405" width="6.5703125" customWidth="1"/>
    <col min="6406" max="6408" width="9.28515625" bestFit="1" customWidth="1"/>
    <col min="6409" max="6409" width="10.42578125" customWidth="1"/>
    <col min="6410" max="6414" width="9.28515625" bestFit="1" customWidth="1"/>
    <col min="6415" max="6415" width="9.85546875" bestFit="1" customWidth="1"/>
    <col min="6416" max="6417" width="9.28515625" bestFit="1" customWidth="1"/>
    <col min="6418" max="6418" width="10.42578125" bestFit="1" customWidth="1"/>
    <col min="6419" max="6419" width="9.7109375" bestFit="1" customWidth="1"/>
    <col min="6420" max="6420" width="9.28515625" bestFit="1" customWidth="1"/>
    <col min="6660" max="6660" width="7.42578125" customWidth="1"/>
    <col min="6661" max="6661" width="6.5703125" customWidth="1"/>
    <col min="6662" max="6664" width="9.28515625" bestFit="1" customWidth="1"/>
    <col min="6665" max="6665" width="10.42578125" customWidth="1"/>
    <col min="6666" max="6670" width="9.28515625" bestFit="1" customWidth="1"/>
    <col min="6671" max="6671" width="9.85546875" bestFit="1" customWidth="1"/>
    <col min="6672" max="6673" width="9.28515625" bestFit="1" customWidth="1"/>
    <col min="6674" max="6674" width="10.42578125" bestFit="1" customWidth="1"/>
    <col min="6675" max="6675" width="9.7109375" bestFit="1" customWidth="1"/>
    <col min="6676" max="6676" width="9.28515625" bestFit="1" customWidth="1"/>
    <col min="6916" max="6916" width="7.42578125" customWidth="1"/>
    <col min="6917" max="6917" width="6.5703125" customWidth="1"/>
    <col min="6918" max="6920" width="9.28515625" bestFit="1" customWidth="1"/>
    <col min="6921" max="6921" width="10.42578125" customWidth="1"/>
    <col min="6922" max="6926" width="9.28515625" bestFit="1" customWidth="1"/>
    <col min="6927" max="6927" width="9.85546875" bestFit="1" customWidth="1"/>
    <col min="6928" max="6929" width="9.28515625" bestFit="1" customWidth="1"/>
    <col min="6930" max="6930" width="10.42578125" bestFit="1" customWidth="1"/>
    <col min="6931" max="6931" width="9.7109375" bestFit="1" customWidth="1"/>
    <col min="6932" max="6932" width="9.28515625" bestFit="1" customWidth="1"/>
    <col min="7172" max="7172" width="7.42578125" customWidth="1"/>
    <col min="7173" max="7173" width="6.5703125" customWidth="1"/>
    <col min="7174" max="7176" width="9.28515625" bestFit="1" customWidth="1"/>
    <col min="7177" max="7177" width="10.42578125" customWidth="1"/>
    <col min="7178" max="7182" width="9.28515625" bestFit="1" customWidth="1"/>
    <col min="7183" max="7183" width="9.85546875" bestFit="1" customWidth="1"/>
    <col min="7184" max="7185" width="9.28515625" bestFit="1" customWidth="1"/>
    <col min="7186" max="7186" width="10.42578125" bestFit="1" customWidth="1"/>
    <col min="7187" max="7187" width="9.7109375" bestFit="1" customWidth="1"/>
    <col min="7188" max="7188" width="9.28515625" bestFit="1" customWidth="1"/>
    <col min="7428" max="7428" width="7.42578125" customWidth="1"/>
    <col min="7429" max="7429" width="6.5703125" customWidth="1"/>
    <col min="7430" max="7432" width="9.28515625" bestFit="1" customWidth="1"/>
    <col min="7433" max="7433" width="10.42578125" customWidth="1"/>
    <col min="7434" max="7438" width="9.28515625" bestFit="1" customWidth="1"/>
    <col min="7439" max="7439" width="9.85546875" bestFit="1" customWidth="1"/>
    <col min="7440" max="7441" width="9.28515625" bestFit="1" customWidth="1"/>
    <col min="7442" max="7442" width="10.42578125" bestFit="1" customWidth="1"/>
    <col min="7443" max="7443" width="9.7109375" bestFit="1" customWidth="1"/>
    <col min="7444" max="7444" width="9.28515625" bestFit="1" customWidth="1"/>
    <col min="7684" max="7684" width="7.42578125" customWidth="1"/>
    <col min="7685" max="7685" width="6.5703125" customWidth="1"/>
    <col min="7686" max="7688" width="9.28515625" bestFit="1" customWidth="1"/>
    <col min="7689" max="7689" width="10.42578125" customWidth="1"/>
    <col min="7690" max="7694" width="9.28515625" bestFit="1" customWidth="1"/>
    <col min="7695" max="7695" width="9.85546875" bestFit="1" customWidth="1"/>
    <col min="7696" max="7697" width="9.28515625" bestFit="1" customWidth="1"/>
    <col min="7698" max="7698" width="10.42578125" bestFit="1" customWidth="1"/>
    <col min="7699" max="7699" width="9.7109375" bestFit="1" customWidth="1"/>
    <col min="7700" max="7700" width="9.28515625" bestFit="1" customWidth="1"/>
    <col min="7940" max="7940" width="7.42578125" customWidth="1"/>
    <col min="7941" max="7941" width="6.5703125" customWidth="1"/>
    <col min="7942" max="7944" width="9.28515625" bestFit="1" customWidth="1"/>
    <col min="7945" max="7945" width="10.42578125" customWidth="1"/>
    <col min="7946" max="7950" width="9.28515625" bestFit="1" customWidth="1"/>
    <col min="7951" max="7951" width="9.85546875" bestFit="1" customWidth="1"/>
    <col min="7952" max="7953" width="9.28515625" bestFit="1" customWidth="1"/>
    <col min="7954" max="7954" width="10.42578125" bestFit="1" customWidth="1"/>
    <col min="7955" max="7955" width="9.7109375" bestFit="1" customWidth="1"/>
    <col min="7956" max="7956" width="9.28515625" bestFit="1" customWidth="1"/>
    <col min="8196" max="8196" width="7.42578125" customWidth="1"/>
    <col min="8197" max="8197" width="6.5703125" customWidth="1"/>
    <col min="8198" max="8200" width="9.28515625" bestFit="1" customWidth="1"/>
    <col min="8201" max="8201" width="10.42578125" customWidth="1"/>
    <col min="8202" max="8206" width="9.28515625" bestFit="1" customWidth="1"/>
    <col min="8207" max="8207" width="9.85546875" bestFit="1" customWidth="1"/>
    <col min="8208" max="8209" width="9.28515625" bestFit="1" customWidth="1"/>
    <col min="8210" max="8210" width="10.42578125" bestFit="1" customWidth="1"/>
    <col min="8211" max="8211" width="9.7109375" bestFit="1" customWidth="1"/>
    <col min="8212" max="8212" width="9.28515625" bestFit="1" customWidth="1"/>
    <col min="8452" max="8452" width="7.42578125" customWidth="1"/>
    <col min="8453" max="8453" width="6.5703125" customWidth="1"/>
    <col min="8454" max="8456" width="9.28515625" bestFit="1" customWidth="1"/>
    <col min="8457" max="8457" width="10.42578125" customWidth="1"/>
    <col min="8458" max="8462" width="9.28515625" bestFit="1" customWidth="1"/>
    <col min="8463" max="8463" width="9.85546875" bestFit="1" customWidth="1"/>
    <col min="8464" max="8465" width="9.28515625" bestFit="1" customWidth="1"/>
    <col min="8466" max="8466" width="10.42578125" bestFit="1" customWidth="1"/>
    <col min="8467" max="8467" width="9.7109375" bestFit="1" customWidth="1"/>
    <col min="8468" max="8468" width="9.28515625" bestFit="1" customWidth="1"/>
    <col min="8708" max="8708" width="7.42578125" customWidth="1"/>
    <col min="8709" max="8709" width="6.5703125" customWidth="1"/>
    <col min="8710" max="8712" width="9.28515625" bestFit="1" customWidth="1"/>
    <col min="8713" max="8713" width="10.42578125" customWidth="1"/>
    <col min="8714" max="8718" width="9.28515625" bestFit="1" customWidth="1"/>
    <col min="8719" max="8719" width="9.85546875" bestFit="1" customWidth="1"/>
    <col min="8720" max="8721" width="9.28515625" bestFit="1" customWidth="1"/>
    <col min="8722" max="8722" width="10.42578125" bestFit="1" customWidth="1"/>
    <col min="8723" max="8723" width="9.7109375" bestFit="1" customWidth="1"/>
    <col min="8724" max="8724" width="9.28515625" bestFit="1" customWidth="1"/>
    <col min="8964" max="8964" width="7.42578125" customWidth="1"/>
    <col min="8965" max="8965" width="6.5703125" customWidth="1"/>
    <col min="8966" max="8968" width="9.28515625" bestFit="1" customWidth="1"/>
    <col min="8969" max="8969" width="10.42578125" customWidth="1"/>
    <col min="8970" max="8974" width="9.28515625" bestFit="1" customWidth="1"/>
    <col min="8975" max="8975" width="9.85546875" bestFit="1" customWidth="1"/>
    <col min="8976" max="8977" width="9.28515625" bestFit="1" customWidth="1"/>
    <col min="8978" max="8978" width="10.42578125" bestFit="1" customWidth="1"/>
    <col min="8979" max="8979" width="9.7109375" bestFit="1" customWidth="1"/>
    <col min="8980" max="8980" width="9.28515625" bestFit="1" customWidth="1"/>
    <col min="9220" max="9220" width="7.42578125" customWidth="1"/>
    <col min="9221" max="9221" width="6.5703125" customWidth="1"/>
    <col min="9222" max="9224" width="9.28515625" bestFit="1" customWidth="1"/>
    <col min="9225" max="9225" width="10.42578125" customWidth="1"/>
    <col min="9226" max="9230" width="9.28515625" bestFit="1" customWidth="1"/>
    <col min="9231" max="9231" width="9.85546875" bestFit="1" customWidth="1"/>
    <col min="9232" max="9233" width="9.28515625" bestFit="1" customWidth="1"/>
    <col min="9234" max="9234" width="10.42578125" bestFit="1" customWidth="1"/>
    <col min="9235" max="9235" width="9.7109375" bestFit="1" customWidth="1"/>
    <col min="9236" max="9236" width="9.28515625" bestFit="1" customWidth="1"/>
    <col min="9476" max="9476" width="7.42578125" customWidth="1"/>
    <col min="9477" max="9477" width="6.5703125" customWidth="1"/>
    <col min="9478" max="9480" width="9.28515625" bestFit="1" customWidth="1"/>
    <col min="9481" max="9481" width="10.42578125" customWidth="1"/>
    <col min="9482" max="9486" width="9.28515625" bestFit="1" customWidth="1"/>
    <col min="9487" max="9487" width="9.85546875" bestFit="1" customWidth="1"/>
    <col min="9488" max="9489" width="9.28515625" bestFit="1" customWidth="1"/>
    <col min="9490" max="9490" width="10.42578125" bestFit="1" customWidth="1"/>
    <col min="9491" max="9491" width="9.7109375" bestFit="1" customWidth="1"/>
    <col min="9492" max="9492" width="9.28515625" bestFit="1" customWidth="1"/>
    <col min="9732" max="9732" width="7.42578125" customWidth="1"/>
    <col min="9733" max="9733" width="6.5703125" customWidth="1"/>
    <col min="9734" max="9736" width="9.28515625" bestFit="1" customWidth="1"/>
    <col min="9737" max="9737" width="10.42578125" customWidth="1"/>
    <col min="9738" max="9742" width="9.28515625" bestFit="1" customWidth="1"/>
    <col min="9743" max="9743" width="9.85546875" bestFit="1" customWidth="1"/>
    <col min="9744" max="9745" width="9.28515625" bestFit="1" customWidth="1"/>
    <col min="9746" max="9746" width="10.42578125" bestFit="1" customWidth="1"/>
    <col min="9747" max="9747" width="9.7109375" bestFit="1" customWidth="1"/>
    <col min="9748" max="9748" width="9.28515625" bestFit="1" customWidth="1"/>
    <col min="9988" max="9988" width="7.42578125" customWidth="1"/>
    <col min="9989" max="9989" width="6.5703125" customWidth="1"/>
    <col min="9990" max="9992" width="9.28515625" bestFit="1" customWidth="1"/>
    <col min="9993" max="9993" width="10.42578125" customWidth="1"/>
    <col min="9994" max="9998" width="9.28515625" bestFit="1" customWidth="1"/>
    <col min="9999" max="9999" width="9.85546875" bestFit="1" customWidth="1"/>
    <col min="10000" max="10001" width="9.28515625" bestFit="1" customWidth="1"/>
    <col min="10002" max="10002" width="10.42578125" bestFit="1" customWidth="1"/>
    <col min="10003" max="10003" width="9.7109375" bestFit="1" customWidth="1"/>
    <col min="10004" max="10004" width="9.28515625" bestFit="1" customWidth="1"/>
    <col min="10244" max="10244" width="7.42578125" customWidth="1"/>
    <col min="10245" max="10245" width="6.5703125" customWidth="1"/>
    <col min="10246" max="10248" width="9.28515625" bestFit="1" customWidth="1"/>
    <col min="10249" max="10249" width="10.42578125" customWidth="1"/>
    <col min="10250" max="10254" width="9.28515625" bestFit="1" customWidth="1"/>
    <col min="10255" max="10255" width="9.85546875" bestFit="1" customWidth="1"/>
    <col min="10256" max="10257" width="9.28515625" bestFit="1" customWidth="1"/>
    <col min="10258" max="10258" width="10.42578125" bestFit="1" customWidth="1"/>
    <col min="10259" max="10259" width="9.7109375" bestFit="1" customWidth="1"/>
    <col min="10260" max="10260" width="9.28515625" bestFit="1" customWidth="1"/>
    <col min="10500" max="10500" width="7.42578125" customWidth="1"/>
    <col min="10501" max="10501" width="6.5703125" customWidth="1"/>
    <col min="10502" max="10504" width="9.28515625" bestFit="1" customWidth="1"/>
    <col min="10505" max="10505" width="10.42578125" customWidth="1"/>
    <col min="10506" max="10510" width="9.28515625" bestFit="1" customWidth="1"/>
    <col min="10511" max="10511" width="9.85546875" bestFit="1" customWidth="1"/>
    <col min="10512" max="10513" width="9.28515625" bestFit="1" customWidth="1"/>
    <col min="10514" max="10514" width="10.42578125" bestFit="1" customWidth="1"/>
    <col min="10515" max="10515" width="9.7109375" bestFit="1" customWidth="1"/>
    <col min="10516" max="10516" width="9.28515625" bestFit="1" customWidth="1"/>
    <col min="10756" max="10756" width="7.42578125" customWidth="1"/>
    <col min="10757" max="10757" width="6.5703125" customWidth="1"/>
    <col min="10758" max="10760" width="9.28515625" bestFit="1" customWidth="1"/>
    <col min="10761" max="10761" width="10.42578125" customWidth="1"/>
    <col min="10762" max="10766" width="9.28515625" bestFit="1" customWidth="1"/>
    <col min="10767" max="10767" width="9.85546875" bestFit="1" customWidth="1"/>
    <col min="10768" max="10769" width="9.28515625" bestFit="1" customWidth="1"/>
    <col min="10770" max="10770" width="10.42578125" bestFit="1" customWidth="1"/>
    <col min="10771" max="10771" width="9.7109375" bestFit="1" customWidth="1"/>
    <col min="10772" max="10772" width="9.28515625" bestFit="1" customWidth="1"/>
    <col min="11012" max="11012" width="7.42578125" customWidth="1"/>
    <col min="11013" max="11013" width="6.5703125" customWidth="1"/>
    <col min="11014" max="11016" width="9.28515625" bestFit="1" customWidth="1"/>
    <col min="11017" max="11017" width="10.42578125" customWidth="1"/>
    <col min="11018" max="11022" width="9.28515625" bestFit="1" customWidth="1"/>
    <col min="11023" max="11023" width="9.85546875" bestFit="1" customWidth="1"/>
    <col min="11024" max="11025" width="9.28515625" bestFit="1" customWidth="1"/>
    <col min="11026" max="11026" width="10.42578125" bestFit="1" customWidth="1"/>
    <col min="11027" max="11027" width="9.7109375" bestFit="1" customWidth="1"/>
    <col min="11028" max="11028" width="9.28515625" bestFit="1" customWidth="1"/>
    <col min="11268" max="11268" width="7.42578125" customWidth="1"/>
    <col min="11269" max="11269" width="6.5703125" customWidth="1"/>
    <col min="11270" max="11272" width="9.28515625" bestFit="1" customWidth="1"/>
    <col min="11273" max="11273" width="10.42578125" customWidth="1"/>
    <col min="11274" max="11278" width="9.28515625" bestFit="1" customWidth="1"/>
    <col min="11279" max="11279" width="9.85546875" bestFit="1" customWidth="1"/>
    <col min="11280" max="11281" width="9.28515625" bestFit="1" customWidth="1"/>
    <col min="11282" max="11282" width="10.42578125" bestFit="1" customWidth="1"/>
    <col min="11283" max="11283" width="9.7109375" bestFit="1" customWidth="1"/>
    <col min="11284" max="11284" width="9.28515625" bestFit="1" customWidth="1"/>
    <col min="11524" max="11524" width="7.42578125" customWidth="1"/>
    <col min="11525" max="11525" width="6.5703125" customWidth="1"/>
    <col min="11526" max="11528" width="9.28515625" bestFit="1" customWidth="1"/>
    <col min="11529" max="11529" width="10.42578125" customWidth="1"/>
    <col min="11530" max="11534" width="9.28515625" bestFit="1" customWidth="1"/>
    <col min="11535" max="11535" width="9.85546875" bestFit="1" customWidth="1"/>
    <col min="11536" max="11537" width="9.28515625" bestFit="1" customWidth="1"/>
    <col min="11538" max="11538" width="10.42578125" bestFit="1" customWidth="1"/>
    <col min="11539" max="11539" width="9.7109375" bestFit="1" customWidth="1"/>
    <col min="11540" max="11540" width="9.28515625" bestFit="1" customWidth="1"/>
    <col min="11780" max="11780" width="7.42578125" customWidth="1"/>
    <col min="11781" max="11781" width="6.5703125" customWidth="1"/>
    <col min="11782" max="11784" width="9.28515625" bestFit="1" customWidth="1"/>
    <col min="11785" max="11785" width="10.42578125" customWidth="1"/>
    <col min="11786" max="11790" width="9.28515625" bestFit="1" customWidth="1"/>
    <col min="11791" max="11791" width="9.85546875" bestFit="1" customWidth="1"/>
    <col min="11792" max="11793" width="9.28515625" bestFit="1" customWidth="1"/>
    <col min="11794" max="11794" width="10.42578125" bestFit="1" customWidth="1"/>
    <col min="11795" max="11795" width="9.7109375" bestFit="1" customWidth="1"/>
    <col min="11796" max="11796" width="9.28515625" bestFit="1" customWidth="1"/>
    <col min="12036" max="12036" width="7.42578125" customWidth="1"/>
    <col min="12037" max="12037" width="6.5703125" customWidth="1"/>
    <col min="12038" max="12040" width="9.28515625" bestFit="1" customWidth="1"/>
    <col min="12041" max="12041" width="10.42578125" customWidth="1"/>
    <col min="12042" max="12046" width="9.28515625" bestFit="1" customWidth="1"/>
    <col min="12047" max="12047" width="9.85546875" bestFit="1" customWidth="1"/>
    <col min="12048" max="12049" width="9.28515625" bestFit="1" customWidth="1"/>
    <col min="12050" max="12050" width="10.42578125" bestFit="1" customWidth="1"/>
    <col min="12051" max="12051" width="9.7109375" bestFit="1" customWidth="1"/>
    <col min="12052" max="12052" width="9.28515625" bestFit="1" customWidth="1"/>
    <col min="12292" max="12292" width="7.42578125" customWidth="1"/>
    <col min="12293" max="12293" width="6.5703125" customWidth="1"/>
    <col min="12294" max="12296" width="9.28515625" bestFit="1" customWidth="1"/>
    <col min="12297" max="12297" width="10.42578125" customWidth="1"/>
    <col min="12298" max="12302" width="9.28515625" bestFit="1" customWidth="1"/>
    <col min="12303" max="12303" width="9.85546875" bestFit="1" customWidth="1"/>
    <col min="12304" max="12305" width="9.28515625" bestFit="1" customWidth="1"/>
    <col min="12306" max="12306" width="10.42578125" bestFit="1" customWidth="1"/>
    <col min="12307" max="12307" width="9.7109375" bestFit="1" customWidth="1"/>
    <col min="12308" max="12308" width="9.28515625" bestFit="1" customWidth="1"/>
    <col min="12548" max="12548" width="7.42578125" customWidth="1"/>
    <col min="12549" max="12549" width="6.5703125" customWidth="1"/>
    <col min="12550" max="12552" width="9.28515625" bestFit="1" customWidth="1"/>
    <col min="12553" max="12553" width="10.42578125" customWidth="1"/>
    <col min="12554" max="12558" width="9.28515625" bestFit="1" customWidth="1"/>
    <col min="12559" max="12559" width="9.85546875" bestFit="1" customWidth="1"/>
    <col min="12560" max="12561" width="9.28515625" bestFit="1" customWidth="1"/>
    <col min="12562" max="12562" width="10.42578125" bestFit="1" customWidth="1"/>
    <col min="12563" max="12563" width="9.7109375" bestFit="1" customWidth="1"/>
    <col min="12564" max="12564" width="9.28515625" bestFit="1" customWidth="1"/>
    <col min="12804" max="12804" width="7.42578125" customWidth="1"/>
    <col min="12805" max="12805" width="6.5703125" customWidth="1"/>
    <col min="12806" max="12808" width="9.28515625" bestFit="1" customWidth="1"/>
    <col min="12809" max="12809" width="10.42578125" customWidth="1"/>
    <col min="12810" max="12814" width="9.28515625" bestFit="1" customWidth="1"/>
    <col min="12815" max="12815" width="9.85546875" bestFit="1" customWidth="1"/>
    <col min="12816" max="12817" width="9.28515625" bestFit="1" customWidth="1"/>
    <col min="12818" max="12818" width="10.42578125" bestFit="1" customWidth="1"/>
    <col min="12819" max="12819" width="9.7109375" bestFit="1" customWidth="1"/>
    <col min="12820" max="12820" width="9.28515625" bestFit="1" customWidth="1"/>
    <col min="13060" max="13060" width="7.42578125" customWidth="1"/>
    <col min="13061" max="13061" width="6.5703125" customWidth="1"/>
    <col min="13062" max="13064" width="9.28515625" bestFit="1" customWidth="1"/>
    <col min="13065" max="13065" width="10.42578125" customWidth="1"/>
    <col min="13066" max="13070" width="9.28515625" bestFit="1" customWidth="1"/>
    <col min="13071" max="13071" width="9.85546875" bestFit="1" customWidth="1"/>
    <col min="13072" max="13073" width="9.28515625" bestFit="1" customWidth="1"/>
    <col min="13074" max="13074" width="10.42578125" bestFit="1" customWidth="1"/>
    <col min="13075" max="13075" width="9.7109375" bestFit="1" customWidth="1"/>
    <col min="13076" max="13076" width="9.28515625" bestFit="1" customWidth="1"/>
    <col min="13316" max="13316" width="7.42578125" customWidth="1"/>
    <col min="13317" max="13317" width="6.5703125" customWidth="1"/>
    <col min="13318" max="13320" width="9.28515625" bestFit="1" customWidth="1"/>
    <col min="13321" max="13321" width="10.42578125" customWidth="1"/>
    <col min="13322" max="13326" width="9.28515625" bestFit="1" customWidth="1"/>
    <col min="13327" max="13327" width="9.85546875" bestFit="1" customWidth="1"/>
    <col min="13328" max="13329" width="9.28515625" bestFit="1" customWidth="1"/>
    <col min="13330" max="13330" width="10.42578125" bestFit="1" customWidth="1"/>
    <col min="13331" max="13331" width="9.7109375" bestFit="1" customWidth="1"/>
    <col min="13332" max="13332" width="9.28515625" bestFit="1" customWidth="1"/>
    <col min="13572" max="13572" width="7.42578125" customWidth="1"/>
    <col min="13573" max="13573" width="6.5703125" customWidth="1"/>
    <col min="13574" max="13576" width="9.28515625" bestFit="1" customWidth="1"/>
    <col min="13577" max="13577" width="10.42578125" customWidth="1"/>
    <col min="13578" max="13582" width="9.28515625" bestFit="1" customWidth="1"/>
    <col min="13583" max="13583" width="9.85546875" bestFit="1" customWidth="1"/>
    <col min="13584" max="13585" width="9.28515625" bestFit="1" customWidth="1"/>
    <col min="13586" max="13586" width="10.42578125" bestFit="1" customWidth="1"/>
    <col min="13587" max="13587" width="9.7109375" bestFit="1" customWidth="1"/>
    <col min="13588" max="13588" width="9.28515625" bestFit="1" customWidth="1"/>
    <col min="13828" max="13828" width="7.42578125" customWidth="1"/>
    <col min="13829" max="13829" width="6.5703125" customWidth="1"/>
    <col min="13830" max="13832" width="9.28515625" bestFit="1" customWidth="1"/>
    <col min="13833" max="13833" width="10.42578125" customWidth="1"/>
    <col min="13834" max="13838" width="9.28515625" bestFit="1" customWidth="1"/>
    <col min="13839" max="13839" width="9.85546875" bestFit="1" customWidth="1"/>
    <col min="13840" max="13841" width="9.28515625" bestFit="1" customWidth="1"/>
    <col min="13842" max="13842" width="10.42578125" bestFit="1" customWidth="1"/>
    <col min="13843" max="13843" width="9.7109375" bestFit="1" customWidth="1"/>
    <col min="13844" max="13844" width="9.28515625" bestFit="1" customWidth="1"/>
    <col min="14084" max="14084" width="7.42578125" customWidth="1"/>
    <col min="14085" max="14085" width="6.5703125" customWidth="1"/>
    <col min="14086" max="14088" width="9.28515625" bestFit="1" customWidth="1"/>
    <col min="14089" max="14089" width="10.42578125" customWidth="1"/>
    <col min="14090" max="14094" width="9.28515625" bestFit="1" customWidth="1"/>
    <col min="14095" max="14095" width="9.85546875" bestFit="1" customWidth="1"/>
    <col min="14096" max="14097" width="9.28515625" bestFit="1" customWidth="1"/>
    <col min="14098" max="14098" width="10.42578125" bestFit="1" customWidth="1"/>
    <col min="14099" max="14099" width="9.7109375" bestFit="1" customWidth="1"/>
    <col min="14100" max="14100" width="9.28515625" bestFit="1" customWidth="1"/>
    <col min="14340" max="14340" width="7.42578125" customWidth="1"/>
    <col min="14341" max="14341" width="6.5703125" customWidth="1"/>
    <col min="14342" max="14344" width="9.28515625" bestFit="1" customWidth="1"/>
    <col min="14345" max="14345" width="10.42578125" customWidth="1"/>
    <col min="14346" max="14350" width="9.28515625" bestFit="1" customWidth="1"/>
    <col min="14351" max="14351" width="9.85546875" bestFit="1" customWidth="1"/>
    <col min="14352" max="14353" width="9.28515625" bestFit="1" customWidth="1"/>
    <col min="14354" max="14354" width="10.42578125" bestFit="1" customWidth="1"/>
    <col min="14355" max="14355" width="9.7109375" bestFit="1" customWidth="1"/>
    <col min="14356" max="14356" width="9.28515625" bestFit="1" customWidth="1"/>
    <col min="14596" max="14596" width="7.42578125" customWidth="1"/>
    <col min="14597" max="14597" width="6.5703125" customWidth="1"/>
    <col min="14598" max="14600" width="9.28515625" bestFit="1" customWidth="1"/>
    <col min="14601" max="14601" width="10.42578125" customWidth="1"/>
    <col min="14602" max="14606" width="9.28515625" bestFit="1" customWidth="1"/>
    <col min="14607" max="14607" width="9.85546875" bestFit="1" customWidth="1"/>
    <col min="14608" max="14609" width="9.28515625" bestFit="1" customWidth="1"/>
    <col min="14610" max="14610" width="10.42578125" bestFit="1" customWidth="1"/>
    <col min="14611" max="14611" width="9.7109375" bestFit="1" customWidth="1"/>
    <col min="14612" max="14612" width="9.28515625" bestFit="1" customWidth="1"/>
    <col min="14852" max="14852" width="7.42578125" customWidth="1"/>
    <col min="14853" max="14853" width="6.5703125" customWidth="1"/>
    <col min="14854" max="14856" width="9.28515625" bestFit="1" customWidth="1"/>
    <col min="14857" max="14857" width="10.42578125" customWidth="1"/>
    <col min="14858" max="14862" width="9.28515625" bestFit="1" customWidth="1"/>
    <col min="14863" max="14863" width="9.85546875" bestFit="1" customWidth="1"/>
    <col min="14864" max="14865" width="9.28515625" bestFit="1" customWidth="1"/>
    <col min="14866" max="14866" width="10.42578125" bestFit="1" customWidth="1"/>
    <col min="14867" max="14867" width="9.7109375" bestFit="1" customWidth="1"/>
    <col min="14868" max="14868" width="9.28515625" bestFit="1" customWidth="1"/>
    <col min="15108" max="15108" width="7.42578125" customWidth="1"/>
    <col min="15109" max="15109" width="6.5703125" customWidth="1"/>
    <col min="15110" max="15112" width="9.28515625" bestFit="1" customWidth="1"/>
    <col min="15113" max="15113" width="10.42578125" customWidth="1"/>
    <col min="15114" max="15118" width="9.28515625" bestFit="1" customWidth="1"/>
    <col min="15119" max="15119" width="9.85546875" bestFit="1" customWidth="1"/>
    <col min="15120" max="15121" width="9.28515625" bestFit="1" customWidth="1"/>
    <col min="15122" max="15122" width="10.42578125" bestFit="1" customWidth="1"/>
    <col min="15123" max="15123" width="9.7109375" bestFit="1" customWidth="1"/>
    <col min="15124" max="15124" width="9.28515625" bestFit="1" customWidth="1"/>
    <col min="15364" max="15364" width="7.42578125" customWidth="1"/>
    <col min="15365" max="15365" width="6.5703125" customWidth="1"/>
    <col min="15366" max="15368" width="9.28515625" bestFit="1" customWidth="1"/>
    <col min="15369" max="15369" width="10.42578125" customWidth="1"/>
    <col min="15370" max="15374" width="9.28515625" bestFit="1" customWidth="1"/>
    <col min="15375" max="15375" width="9.85546875" bestFit="1" customWidth="1"/>
    <col min="15376" max="15377" width="9.28515625" bestFit="1" customWidth="1"/>
    <col min="15378" max="15378" width="10.42578125" bestFit="1" customWidth="1"/>
    <col min="15379" max="15379" width="9.7109375" bestFit="1" customWidth="1"/>
    <col min="15380" max="15380" width="9.28515625" bestFit="1" customWidth="1"/>
    <col min="15620" max="15620" width="7.42578125" customWidth="1"/>
    <col min="15621" max="15621" width="6.5703125" customWidth="1"/>
    <col min="15622" max="15624" width="9.28515625" bestFit="1" customWidth="1"/>
    <col min="15625" max="15625" width="10.42578125" customWidth="1"/>
    <col min="15626" max="15630" width="9.28515625" bestFit="1" customWidth="1"/>
    <col min="15631" max="15631" width="9.85546875" bestFit="1" customWidth="1"/>
    <col min="15632" max="15633" width="9.28515625" bestFit="1" customWidth="1"/>
    <col min="15634" max="15634" width="10.42578125" bestFit="1" customWidth="1"/>
    <col min="15635" max="15635" width="9.7109375" bestFit="1" customWidth="1"/>
    <col min="15636" max="15636" width="9.28515625" bestFit="1" customWidth="1"/>
    <col min="15876" max="15876" width="7.42578125" customWidth="1"/>
    <col min="15877" max="15877" width="6.5703125" customWidth="1"/>
    <col min="15878" max="15880" width="9.28515625" bestFit="1" customWidth="1"/>
    <col min="15881" max="15881" width="10.42578125" customWidth="1"/>
    <col min="15882" max="15886" width="9.28515625" bestFit="1" customWidth="1"/>
    <col min="15887" max="15887" width="9.85546875" bestFit="1" customWidth="1"/>
    <col min="15888" max="15889" width="9.28515625" bestFit="1" customWidth="1"/>
    <col min="15890" max="15890" width="10.42578125" bestFit="1" customWidth="1"/>
    <col min="15891" max="15891" width="9.7109375" bestFit="1" customWidth="1"/>
    <col min="15892" max="15892" width="9.28515625" bestFit="1" customWidth="1"/>
    <col min="16132" max="16132" width="7.42578125" customWidth="1"/>
    <col min="16133" max="16133" width="6.5703125" customWidth="1"/>
    <col min="16134" max="16136" width="9.28515625" bestFit="1" customWidth="1"/>
    <col min="16137" max="16137" width="10.42578125" customWidth="1"/>
    <col min="16138" max="16142" width="9.28515625" bestFit="1" customWidth="1"/>
    <col min="16143" max="16143" width="9.85546875" bestFit="1" customWidth="1"/>
    <col min="16144" max="16145" width="9.28515625" bestFit="1" customWidth="1"/>
    <col min="16146" max="16146" width="10.42578125" bestFit="1" customWidth="1"/>
    <col min="16147" max="16147" width="9.7109375" bestFit="1" customWidth="1"/>
    <col min="16148" max="16148" width="9.28515625" bestFit="1" customWidth="1"/>
  </cols>
  <sheetData>
    <row r="1" spans="1:21" ht="15.75">
      <c r="A1" s="142"/>
      <c r="B1" s="142"/>
      <c r="C1" s="142"/>
      <c r="D1" s="142"/>
      <c r="E1" s="142"/>
      <c r="F1" s="143" t="s">
        <v>167</v>
      </c>
      <c r="G1" s="144"/>
      <c r="H1" s="144"/>
      <c r="I1" s="144"/>
      <c r="J1" s="144"/>
      <c r="K1" s="144"/>
      <c r="L1" s="144"/>
      <c r="M1" s="142"/>
      <c r="N1" s="142"/>
      <c r="O1" s="142"/>
      <c r="P1" s="142"/>
      <c r="Q1" s="142"/>
      <c r="R1" s="142"/>
      <c r="S1" s="142"/>
      <c r="T1" s="142"/>
      <c r="U1" s="145"/>
    </row>
    <row r="2" spans="1:21" ht="15.75">
      <c r="A2" s="142"/>
      <c r="B2" s="142"/>
      <c r="C2" s="142"/>
      <c r="D2" s="142"/>
      <c r="E2" s="142"/>
      <c r="F2" s="142"/>
      <c r="G2" s="142"/>
      <c r="H2" s="143" t="s">
        <v>1335</v>
      </c>
      <c r="I2" s="144"/>
      <c r="J2" s="144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5"/>
    </row>
    <row r="3" spans="1:21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5"/>
    </row>
    <row r="4" spans="1:21">
      <c r="A4" s="142" t="s">
        <v>1336</v>
      </c>
      <c r="B4" s="142"/>
      <c r="C4" s="142"/>
      <c r="D4" s="142"/>
      <c r="E4" s="1035" t="s">
        <v>1395</v>
      </c>
      <c r="F4" s="1035"/>
      <c r="G4" s="1035"/>
      <c r="H4" s="149"/>
      <c r="I4" s="142" t="s">
        <v>171</v>
      </c>
      <c r="J4" s="142"/>
      <c r="K4" s="142"/>
      <c r="L4" s="1038">
        <v>904210202</v>
      </c>
      <c r="M4" s="1039"/>
      <c r="N4" s="142" t="s">
        <v>5</v>
      </c>
      <c r="O4" s="102">
        <v>500</v>
      </c>
      <c r="P4" s="142" t="s">
        <v>1338</v>
      </c>
      <c r="Q4" s="146"/>
      <c r="R4" s="102" t="s">
        <v>1339</v>
      </c>
      <c r="S4" s="142"/>
      <c r="T4" s="146"/>
      <c r="U4" s="145"/>
    </row>
    <row r="5" spans="1:21">
      <c r="A5" s="808" t="s">
        <v>4176</v>
      </c>
      <c r="B5" s="808"/>
      <c r="C5" s="808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5"/>
    </row>
    <row r="6" spans="1:21">
      <c r="A6" s="142" t="s">
        <v>1340</v>
      </c>
      <c r="B6" s="142"/>
      <c r="C6" s="142"/>
      <c r="D6" s="142"/>
      <c r="E6" s="1035" t="s">
        <v>1396</v>
      </c>
      <c r="F6" s="1035"/>
      <c r="G6" s="1035"/>
      <c r="H6" s="149"/>
      <c r="I6" s="142" t="s">
        <v>1208</v>
      </c>
      <c r="J6" s="142"/>
      <c r="K6" s="142"/>
      <c r="L6" s="1035" t="s">
        <v>1397</v>
      </c>
      <c r="M6" s="1035"/>
      <c r="N6" s="149"/>
      <c r="O6" s="149"/>
      <c r="P6" s="142"/>
      <c r="Q6" s="142"/>
      <c r="R6" s="142"/>
      <c r="S6" s="142"/>
      <c r="T6" s="142"/>
      <c r="U6" s="145"/>
    </row>
    <row r="7" spans="1:21">
      <c r="A7" s="142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5"/>
    </row>
    <row r="8" spans="1:21" ht="34.5" customHeight="1">
      <c r="A8" s="1062" t="s">
        <v>178</v>
      </c>
      <c r="B8" s="1062"/>
      <c r="C8" s="1062"/>
      <c r="D8" s="1045"/>
      <c r="E8" s="1035" t="s">
        <v>1398</v>
      </c>
      <c r="F8" s="1035"/>
      <c r="G8" s="1035"/>
      <c r="H8" s="149"/>
      <c r="I8" s="1045" t="s">
        <v>1344</v>
      </c>
      <c r="J8" s="1045"/>
      <c r="K8" s="1045"/>
      <c r="L8" s="1059" t="s">
        <v>1399</v>
      </c>
      <c r="M8" s="1060"/>
      <c r="N8" s="149"/>
      <c r="O8" s="149"/>
      <c r="P8" s="149"/>
      <c r="Q8" s="149"/>
      <c r="R8" s="142"/>
      <c r="S8" s="142"/>
      <c r="T8" s="142"/>
      <c r="U8" s="145"/>
    </row>
    <row r="9" spans="1:21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9"/>
      <c r="M9" s="149"/>
      <c r="N9" s="149"/>
      <c r="O9" s="149"/>
      <c r="P9" s="149"/>
      <c r="Q9" s="149"/>
      <c r="R9" s="142"/>
      <c r="S9" s="142"/>
      <c r="T9" s="142"/>
      <c r="U9" s="145"/>
    </row>
    <row r="10" spans="1:21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5"/>
    </row>
    <row r="11" spans="1:21">
      <c r="A11" s="1037" t="s">
        <v>838</v>
      </c>
      <c r="B11" s="1037"/>
      <c r="C11" s="1037"/>
      <c r="D11" s="1037"/>
      <c r="E11" s="1037"/>
      <c r="F11" s="1037"/>
      <c r="G11" s="1035" t="s">
        <v>1400</v>
      </c>
      <c r="H11" s="1035"/>
      <c r="I11" s="1035"/>
      <c r="J11" s="1035">
        <v>0</v>
      </c>
      <c r="K11" s="1035"/>
      <c r="L11" s="1035"/>
      <c r="M11" s="1035">
        <v>0</v>
      </c>
      <c r="N11" s="1035"/>
      <c r="O11" s="1035"/>
      <c r="P11" s="1035"/>
      <c r="Q11" s="1035">
        <v>0</v>
      </c>
      <c r="R11" s="1035"/>
      <c r="S11" s="1035"/>
      <c r="T11" s="1035"/>
      <c r="U11" s="145"/>
    </row>
    <row r="12" spans="1:21">
      <c r="A12" s="1037" t="s">
        <v>1346</v>
      </c>
      <c r="B12" s="1037"/>
      <c r="C12" s="1037"/>
      <c r="D12" s="1037"/>
      <c r="E12" s="1037"/>
      <c r="F12" s="1037"/>
      <c r="G12" s="1035" t="s">
        <v>1401</v>
      </c>
      <c r="H12" s="1035"/>
      <c r="I12" s="1035"/>
      <c r="J12" s="1035" t="s">
        <v>1402</v>
      </c>
      <c r="K12" s="1035"/>
      <c r="L12" s="1035"/>
      <c r="M12" s="1035" t="s">
        <v>1403</v>
      </c>
      <c r="N12" s="1035"/>
      <c r="O12" s="1035"/>
      <c r="P12" s="1035"/>
      <c r="Q12" s="1035" t="s">
        <v>1404</v>
      </c>
      <c r="R12" s="1035"/>
      <c r="S12" s="1035"/>
      <c r="T12" s="1035"/>
      <c r="U12" s="145"/>
    </row>
    <row r="13" spans="1:21">
      <c r="A13" s="1037" t="s">
        <v>192</v>
      </c>
      <c r="B13" s="1037"/>
      <c r="C13" s="1037"/>
      <c r="D13" s="1037"/>
      <c r="E13" s="1037"/>
      <c r="F13" s="1037"/>
      <c r="G13" s="1035" t="s">
        <v>1405</v>
      </c>
      <c r="H13" s="1035"/>
      <c r="I13" s="1035"/>
      <c r="J13" s="1035" t="s">
        <v>1406</v>
      </c>
      <c r="K13" s="1035"/>
      <c r="L13" s="1035"/>
      <c r="M13" s="1035" t="s">
        <v>1407</v>
      </c>
      <c r="N13" s="1035"/>
      <c r="O13" s="1035"/>
      <c r="P13" s="1035"/>
      <c r="Q13" s="1035" t="s">
        <v>1408</v>
      </c>
      <c r="R13" s="1035"/>
      <c r="S13" s="1035"/>
      <c r="T13" s="1035"/>
      <c r="U13" s="145"/>
    </row>
    <row r="14" spans="1:21">
      <c r="A14" s="1037" t="s">
        <v>197</v>
      </c>
      <c r="B14" s="1037"/>
      <c r="C14" s="1037"/>
      <c r="D14" s="1037"/>
      <c r="E14" s="1037"/>
      <c r="F14" s="1037"/>
      <c r="G14" s="1035" t="s">
        <v>1409</v>
      </c>
      <c r="H14" s="1035"/>
      <c r="I14" s="1035"/>
      <c r="J14" s="1035" t="s">
        <v>1410</v>
      </c>
      <c r="K14" s="1035"/>
      <c r="L14" s="1035"/>
      <c r="M14" s="1035">
        <v>0</v>
      </c>
      <c r="N14" s="1035"/>
      <c r="O14" s="1035"/>
      <c r="P14" s="1035"/>
      <c r="Q14" s="1035">
        <v>0</v>
      </c>
      <c r="R14" s="1035"/>
      <c r="S14" s="1035"/>
      <c r="T14" s="1035"/>
      <c r="U14" s="145"/>
    </row>
    <row r="15" spans="1:21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5"/>
    </row>
    <row r="16" spans="1:21">
      <c r="A16" s="142" t="s">
        <v>1356</v>
      </c>
      <c r="B16" s="142"/>
      <c r="C16" s="142"/>
      <c r="D16" s="142"/>
      <c r="E16" s="142"/>
      <c r="F16" s="150">
        <v>1</v>
      </c>
      <c r="G16" s="149"/>
      <c r="H16" s="142" t="s">
        <v>1357</v>
      </c>
      <c r="I16" s="146"/>
      <c r="J16" s="142"/>
      <c r="K16" s="150">
        <v>2</v>
      </c>
      <c r="L16" s="142" t="s">
        <v>643</v>
      </c>
      <c r="M16" s="146"/>
      <c r="N16" s="147">
        <v>10</v>
      </c>
      <c r="O16" s="148"/>
      <c r="P16" s="142" t="s">
        <v>1358</v>
      </c>
      <c r="Q16" s="150">
        <v>2</v>
      </c>
      <c r="R16" s="142" t="s">
        <v>1386</v>
      </c>
      <c r="S16" s="150">
        <v>8</v>
      </c>
      <c r="T16" s="146"/>
      <c r="U16" s="153"/>
    </row>
    <row r="17" spans="1:21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5"/>
    </row>
    <row r="18" spans="1:21">
      <c r="A18" s="142" t="s">
        <v>203</v>
      </c>
      <c r="B18" s="142"/>
      <c r="C18" s="142"/>
      <c r="D18" s="142" t="s">
        <v>204</v>
      </c>
      <c r="E18" s="146"/>
      <c r="F18" s="150">
        <v>95</v>
      </c>
      <c r="G18" s="142" t="s">
        <v>205</v>
      </c>
      <c r="H18" s="102">
        <v>0</v>
      </c>
      <c r="I18" s="142" t="s">
        <v>206</v>
      </c>
      <c r="J18" s="146"/>
      <c r="K18" s="147">
        <v>0</v>
      </c>
      <c r="L18" s="148"/>
      <c r="M18" s="142" t="s">
        <v>230</v>
      </c>
      <c r="N18" s="146"/>
      <c r="O18" s="150">
        <v>95</v>
      </c>
      <c r="P18" s="142" t="s">
        <v>207</v>
      </c>
      <c r="Q18" s="102">
        <v>8</v>
      </c>
      <c r="R18" s="142" t="s">
        <v>1360</v>
      </c>
      <c r="S18" s="146"/>
      <c r="T18" s="150">
        <v>33</v>
      </c>
      <c r="U18" s="153"/>
    </row>
    <row r="19" spans="1:21">
      <c r="A19" s="142"/>
      <c r="B19" s="142"/>
      <c r="C19" s="142"/>
      <c r="D19" s="142" t="s">
        <v>210</v>
      </c>
      <c r="E19" s="146"/>
      <c r="F19" s="150">
        <v>262</v>
      </c>
      <c r="G19" s="142" t="s">
        <v>211</v>
      </c>
      <c r="H19" s="102">
        <v>0</v>
      </c>
      <c r="I19" s="142" t="s">
        <v>212</v>
      </c>
      <c r="J19" s="146"/>
      <c r="K19" s="147">
        <v>0</v>
      </c>
      <c r="L19" s="148"/>
      <c r="M19" s="142" t="s">
        <v>411</v>
      </c>
      <c r="N19" s="146"/>
      <c r="O19" s="150">
        <v>263</v>
      </c>
      <c r="P19" s="149"/>
      <c r="Q19" s="146"/>
      <c r="R19" s="142"/>
      <c r="S19" s="142"/>
      <c r="T19" s="142"/>
      <c r="U19" s="145"/>
    </row>
    <row r="20" spans="1:21">
      <c r="A20" s="142"/>
      <c r="B20" s="142"/>
      <c r="C20" s="142"/>
      <c r="D20" s="142" t="s">
        <v>213</v>
      </c>
      <c r="E20" s="146"/>
      <c r="F20" s="150">
        <v>283</v>
      </c>
      <c r="G20" s="154" t="s">
        <v>650</v>
      </c>
      <c r="H20" s="102">
        <v>0</v>
      </c>
      <c r="I20" s="142" t="s">
        <v>215</v>
      </c>
      <c r="J20" s="146"/>
      <c r="K20" s="147">
        <v>0</v>
      </c>
      <c r="L20" s="148"/>
      <c r="M20" s="154" t="s">
        <v>410</v>
      </c>
      <c r="N20" s="146"/>
      <c r="O20" s="150">
        <v>283</v>
      </c>
      <c r="P20" s="149"/>
      <c r="Q20" s="146"/>
      <c r="R20" s="142"/>
      <c r="S20" s="142"/>
      <c r="T20" s="142"/>
      <c r="U20" s="145"/>
    </row>
    <row r="21" spans="1:21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5"/>
    </row>
    <row r="22" spans="1:21">
      <c r="A22" s="144" t="s">
        <v>216</v>
      </c>
      <c r="B22" s="144"/>
      <c r="C22" s="144"/>
      <c r="D22" s="144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5"/>
    </row>
    <row r="23" spans="1:21">
      <c r="A23" s="142"/>
      <c r="B23" s="142"/>
      <c r="C23" s="142"/>
      <c r="D23" s="142"/>
      <c r="E23" s="142"/>
      <c r="F23" s="142"/>
      <c r="G23" s="1030" t="s">
        <v>1361</v>
      </c>
      <c r="H23" s="1035" t="s">
        <v>1362</v>
      </c>
      <c r="I23" s="1030" t="s">
        <v>1363</v>
      </c>
      <c r="J23" s="1030" t="s">
        <v>1364</v>
      </c>
      <c r="K23" s="1035" t="s">
        <v>222</v>
      </c>
      <c r="L23" s="1035"/>
      <c r="M23" s="1035"/>
      <c r="N23" s="1035"/>
      <c r="O23" s="1035"/>
      <c r="P23" s="1035"/>
      <c r="Q23" s="1035"/>
      <c r="R23" s="1035"/>
      <c r="S23" s="1035"/>
      <c r="T23" s="142"/>
      <c r="U23" s="145"/>
    </row>
    <row r="24" spans="1:21">
      <c r="A24" s="1037" t="s">
        <v>217</v>
      </c>
      <c r="B24" s="1037"/>
      <c r="C24" s="1037"/>
      <c r="D24" s="1037"/>
      <c r="E24" s="1037"/>
      <c r="F24" s="1058"/>
      <c r="G24" s="1030"/>
      <c r="H24" s="1035"/>
      <c r="I24" s="1030"/>
      <c r="J24" s="1030"/>
      <c r="K24" s="102" t="s">
        <v>1365</v>
      </c>
      <c r="L24" s="102" t="s">
        <v>1366</v>
      </c>
      <c r="M24" s="102" t="s">
        <v>1367</v>
      </c>
      <c r="N24" s="102" t="s">
        <v>1368</v>
      </c>
      <c r="O24" s="102" t="s">
        <v>1369</v>
      </c>
      <c r="P24" s="102" t="s">
        <v>1370</v>
      </c>
      <c r="Q24" s="102" t="s">
        <v>1371</v>
      </c>
      <c r="R24" s="102" t="s">
        <v>230</v>
      </c>
      <c r="S24" s="102" t="s">
        <v>231</v>
      </c>
      <c r="T24" s="142"/>
      <c r="U24" s="145"/>
    </row>
    <row r="25" spans="1:21">
      <c r="A25" s="1037" t="s">
        <v>232</v>
      </c>
      <c r="B25" s="1037"/>
      <c r="C25" s="1037"/>
      <c r="D25" s="1037"/>
      <c r="E25" s="1037"/>
      <c r="F25" s="1037"/>
      <c r="G25" s="544">
        <v>8000</v>
      </c>
      <c r="H25" s="544" t="s">
        <v>1175</v>
      </c>
      <c r="I25" s="168">
        <f>+G25*O4/100000</f>
        <v>40</v>
      </c>
      <c r="J25" s="168">
        <f>4000000/100000</f>
        <v>40</v>
      </c>
      <c r="K25" s="169">
        <v>0</v>
      </c>
      <c r="L25" s="168">
        <f>46568/100000</f>
        <v>0.46567999999999998</v>
      </c>
      <c r="M25" s="168">
        <f>648196/100000</f>
        <v>6.4819599999999999</v>
      </c>
      <c r="N25" s="168">
        <f>1430044/100000</f>
        <v>14.30044</v>
      </c>
      <c r="O25" s="168">
        <f>1875192/100000</f>
        <v>18.751919999999998</v>
      </c>
      <c r="P25" s="168">
        <f>-14038.97/100000</f>
        <v>-0.14038970000000001</v>
      </c>
      <c r="Q25" s="168">
        <v>0</v>
      </c>
      <c r="R25" s="170">
        <f>SUM(K25:Q25)</f>
        <v>39.8596103</v>
      </c>
      <c r="S25" s="168">
        <f>R25*100/J25</f>
        <v>99.649025749999993</v>
      </c>
      <c r="T25" s="142"/>
      <c r="U25" s="145"/>
    </row>
    <row r="26" spans="1:21">
      <c r="A26" s="1037" t="s">
        <v>234</v>
      </c>
      <c r="B26" s="1037"/>
      <c r="C26" s="1037"/>
      <c r="D26" s="1037"/>
      <c r="E26" s="1037"/>
      <c r="F26" s="1037"/>
      <c r="G26" s="544">
        <v>7000</v>
      </c>
      <c r="H26" s="544" t="s">
        <v>1175</v>
      </c>
      <c r="I26" s="168">
        <f>+G26*80/100000</f>
        <v>5.6</v>
      </c>
      <c r="J26" s="168">
        <f>560000/100000</f>
        <v>5.6</v>
      </c>
      <c r="K26" s="168">
        <v>0</v>
      </c>
      <c r="L26" s="168">
        <v>0</v>
      </c>
      <c r="M26" s="168">
        <v>0</v>
      </c>
      <c r="N26" s="168">
        <v>0</v>
      </c>
      <c r="O26" s="168">
        <f>323750/100000</f>
        <v>3.2374999999999998</v>
      </c>
      <c r="P26" s="168">
        <f>236240/100000</f>
        <v>2.3624000000000001</v>
      </c>
      <c r="Q26" s="168">
        <v>0</v>
      </c>
      <c r="R26" s="170">
        <f t="shared" ref="R26:R32" si="0">SUM(L26:Q26)</f>
        <v>5.5998999999999999</v>
      </c>
      <c r="S26" s="168">
        <f t="shared" ref="S26:S33" si="1">R26*100/J26</f>
        <v>99.998214285714297</v>
      </c>
      <c r="T26" s="142"/>
      <c r="U26" s="145"/>
    </row>
    <row r="27" spans="1:21">
      <c r="A27" s="1037" t="s">
        <v>1373</v>
      </c>
      <c r="B27" s="1037"/>
      <c r="C27" s="1037"/>
      <c r="D27" s="1037"/>
      <c r="E27" s="1037"/>
      <c r="F27" s="1037"/>
      <c r="G27" s="544">
        <v>43000</v>
      </c>
      <c r="H27" s="544" t="s">
        <v>236</v>
      </c>
      <c r="I27" s="168">
        <f>143000/100000</f>
        <v>1.43</v>
      </c>
      <c r="J27" s="168">
        <f>63000/100000</f>
        <v>0.63</v>
      </c>
      <c r="K27" s="168">
        <v>0</v>
      </c>
      <c r="L27" s="168">
        <v>0</v>
      </c>
      <c r="M27" s="168">
        <v>0</v>
      </c>
      <c r="N27" s="168">
        <f>18000/100000</f>
        <v>0.18</v>
      </c>
      <c r="O27" s="168">
        <f>15000/100000</f>
        <v>0.15</v>
      </c>
      <c r="P27" s="168">
        <f>10000/100000</f>
        <v>0.1</v>
      </c>
      <c r="Q27" s="168">
        <f>10000/100000</f>
        <v>0.1</v>
      </c>
      <c r="R27" s="170">
        <f t="shared" si="0"/>
        <v>0.52999999999999992</v>
      </c>
      <c r="S27" s="168">
        <f t="shared" si="1"/>
        <v>84.126984126984112</v>
      </c>
      <c r="T27" s="142"/>
      <c r="U27" s="145"/>
    </row>
    <row r="28" spans="1:21">
      <c r="A28" s="1037" t="s">
        <v>237</v>
      </c>
      <c r="B28" s="1037"/>
      <c r="C28" s="1037"/>
      <c r="D28" s="1037"/>
      <c r="E28" s="1037"/>
      <c r="F28" s="1037"/>
      <c r="G28" s="544">
        <v>34000</v>
      </c>
      <c r="H28" s="544" t="s">
        <v>236</v>
      </c>
      <c r="I28" s="168">
        <f>34000/100000</f>
        <v>0.34</v>
      </c>
      <c r="J28" s="168">
        <f>34000/100000</f>
        <v>0.34</v>
      </c>
      <c r="K28" s="168">
        <v>0</v>
      </c>
      <c r="L28" s="168">
        <v>0</v>
      </c>
      <c r="M28" s="168">
        <v>0</v>
      </c>
      <c r="N28" s="168">
        <f>16000/100000</f>
        <v>0.16</v>
      </c>
      <c r="O28" s="168">
        <f>18000/100000</f>
        <v>0.18</v>
      </c>
      <c r="P28" s="168">
        <v>0</v>
      </c>
      <c r="Q28" s="168">
        <v>0</v>
      </c>
      <c r="R28" s="170">
        <f t="shared" si="0"/>
        <v>0.33999999999999997</v>
      </c>
      <c r="S28" s="168">
        <f t="shared" si="1"/>
        <v>99.999999999999986</v>
      </c>
      <c r="T28" s="142"/>
      <c r="U28" s="145"/>
    </row>
    <row r="29" spans="1:21">
      <c r="A29" s="1037" t="s">
        <v>1374</v>
      </c>
      <c r="B29" s="1037"/>
      <c r="C29" s="1037"/>
      <c r="D29" s="1037"/>
      <c r="E29" s="1037"/>
      <c r="F29" s="1037"/>
      <c r="G29" s="544">
        <v>1200</v>
      </c>
      <c r="H29" s="544" t="s">
        <v>1175</v>
      </c>
      <c r="I29" s="168">
        <f>+G29*O4/100000</f>
        <v>6</v>
      </c>
      <c r="J29" s="168">
        <f>600000/100000</f>
        <v>6</v>
      </c>
      <c r="K29" s="168">
        <v>0</v>
      </c>
      <c r="L29" s="168">
        <v>0</v>
      </c>
      <c r="M29" s="168">
        <v>0</v>
      </c>
      <c r="N29" s="168">
        <v>0</v>
      </c>
      <c r="O29" s="168">
        <v>0</v>
      </c>
      <c r="P29" s="168">
        <f>578066/100000</f>
        <v>5.7806600000000001</v>
      </c>
      <c r="Q29" s="168">
        <f>20723/100000</f>
        <v>0.20723</v>
      </c>
      <c r="R29" s="170">
        <f t="shared" si="0"/>
        <v>5.9878900000000002</v>
      </c>
      <c r="S29" s="168">
        <f t="shared" si="1"/>
        <v>99.79816666666666</v>
      </c>
      <c r="T29" s="142"/>
      <c r="U29" s="145"/>
    </row>
    <row r="30" spans="1:21">
      <c r="A30" s="1037" t="s">
        <v>1375</v>
      </c>
      <c r="B30" s="1037"/>
      <c r="C30" s="1037"/>
      <c r="D30" s="1037"/>
      <c r="E30" s="1037"/>
      <c r="F30" s="1037"/>
      <c r="G30" s="544">
        <v>565</v>
      </c>
      <c r="H30" s="544" t="s">
        <v>1175</v>
      </c>
      <c r="I30" s="168">
        <f>+G30*O4/100000</f>
        <v>2.8250000000000002</v>
      </c>
      <c r="J30" s="168">
        <f>282500/100000</f>
        <v>2.8250000000000002</v>
      </c>
      <c r="K30" s="168">
        <v>0</v>
      </c>
      <c r="L30" s="168">
        <v>0</v>
      </c>
      <c r="M30" s="168">
        <v>0</v>
      </c>
      <c r="N30" s="168">
        <f>48080/100000</f>
        <v>0.48080000000000001</v>
      </c>
      <c r="O30" s="168">
        <f>234420/100000</f>
        <v>2.3441999999999998</v>
      </c>
      <c r="P30" s="168">
        <v>0</v>
      </c>
      <c r="Q30" s="168">
        <v>0</v>
      </c>
      <c r="R30" s="168">
        <f t="shared" si="0"/>
        <v>2.8249999999999997</v>
      </c>
      <c r="S30" s="168">
        <f t="shared" si="1"/>
        <v>100</v>
      </c>
      <c r="T30" s="142"/>
      <c r="U30" s="145"/>
    </row>
    <row r="31" spans="1:21">
      <c r="A31" s="1037" t="s">
        <v>1376</v>
      </c>
      <c r="B31" s="1037"/>
      <c r="C31" s="1037"/>
      <c r="D31" s="1037"/>
      <c r="E31" s="1037"/>
      <c r="F31" s="1037"/>
      <c r="G31" s="544">
        <v>1000</v>
      </c>
      <c r="H31" s="544" t="s">
        <v>1175</v>
      </c>
      <c r="I31" s="168">
        <f>+G31*O4/100000</f>
        <v>5</v>
      </c>
      <c r="J31" s="168">
        <f>500000/100000</f>
        <v>5</v>
      </c>
      <c r="K31" s="168">
        <v>0</v>
      </c>
      <c r="L31" s="168">
        <v>0</v>
      </c>
      <c r="M31" s="168">
        <f>100000/100000</f>
        <v>1</v>
      </c>
      <c r="N31" s="168">
        <v>0</v>
      </c>
      <c r="O31" s="168">
        <v>0</v>
      </c>
      <c r="P31" s="168">
        <f>317250/100000</f>
        <v>3.1724999999999999</v>
      </c>
      <c r="Q31" s="168">
        <f>79440/100000</f>
        <v>0.7944</v>
      </c>
      <c r="R31" s="170">
        <f t="shared" si="0"/>
        <v>4.966899999999999</v>
      </c>
      <c r="S31" s="168">
        <f t="shared" si="1"/>
        <v>99.33799999999998</v>
      </c>
      <c r="T31" s="142"/>
      <c r="U31" s="145"/>
    </row>
    <row r="32" spans="1:21">
      <c r="A32" s="1037" t="s">
        <v>394</v>
      </c>
      <c r="B32" s="1037"/>
      <c r="C32" s="1037"/>
      <c r="D32" s="1037"/>
      <c r="E32" s="1037"/>
      <c r="F32" s="1037"/>
      <c r="G32" s="544">
        <v>2750</v>
      </c>
      <c r="H32" s="544" t="s">
        <v>242</v>
      </c>
      <c r="I32" s="168">
        <f>192000/100000</f>
        <v>1.92</v>
      </c>
      <c r="J32" s="168">
        <f>192000/100000</f>
        <v>1.92</v>
      </c>
      <c r="K32" s="168">
        <v>0</v>
      </c>
      <c r="L32" s="168">
        <f>9029/100000</f>
        <v>9.0289999999999995E-2</v>
      </c>
      <c r="M32" s="168">
        <f>28885/100000</f>
        <v>0.28885</v>
      </c>
      <c r="N32" s="168">
        <f>55086/100000</f>
        <v>0.55086000000000002</v>
      </c>
      <c r="O32" s="168">
        <f>33000/100000</f>
        <v>0.33</v>
      </c>
      <c r="P32" s="168">
        <f>33000/100000</f>
        <v>0.33</v>
      </c>
      <c r="Q32" s="168">
        <f>33000/100000</f>
        <v>0.33</v>
      </c>
      <c r="R32" s="170">
        <f t="shared" si="0"/>
        <v>1.9200000000000002</v>
      </c>
      <c r="S32" s="168">
        <f t="shared" si="1"/>
        <v>100.00000000000001</v>
      </c>
      <c r="T32" s="142"/>
      <c r="U32" s="145"/>
    </row>
    <row r="33" spans="1:21">
      <c r="A33" s="1061" t="s">
        <v>230</v>
      </c>
      <c r="B33" s="1061"/>
      <c r="C33" s="1061"/>
      <c r="D33" s="1061"/>
      <c r="E33" s="1061"/>
      <c r="F33" s="1061"/>
      <c r="G33" s="545"/>
      <c r="H33" s="545"/>
      <c r="I33" s="170">
        <f>SUM(I25:I32)</f>
        <v>63.115000000000009</v>
      </c>
      <c r="J33" s="170">
        <f>SUM(J25:J32)</f>
        <v>62.315000000000012</v>
      </c>
      <c r="K33" s="170"/>
      <c r="L33" s="170">
        <f t="shared" ref="L33:R33" si="2">SUM(L25:L32)</f>
        <v>0.55596999999999996</v>
      </c>
      <c r="M33" s="170">
        <f t="shared" si="2"/>
        <v>7.77081</v>
      </c>
      <c r="N33" s="170">
        <f t="shared" si="2"/>
        <v>15.6721</v>
      </c>
      <c r="O33" s="170">
        <f t="shared" si="2"/>
        <v>24.993619999999996</v>
      </c>
      <c r="P33" s="170">
        <f t="shared" si="2"/>
        <v>11.605170299999999</v>
      </c>
      <c r="Q33" s="170">
        <f t="shared" si="2"/>
        <v>1.4316300000000002</v>
      </c>
      <c r="R33" s="170">
        <f t="shared" si="2"/>
        <v>62.029300300000003</v>
      </c>
      <c r="S33" s="170">
        <f t="shared" si="1"/>
        <v>99.541523389232111</v>
      </c>
      <c r="T33" s="142"/>
      <c r="U33" s="145"/>
    </row>
  </sheetData>
  <mergeCells count="44">
    <mergeCell ref="E4:G4"/>
    <mergeCell ref="L4:M4"/>
    <mergeCell ref="E6:G6"/>
    <mergeCell ref="L6:M6"/>
    <mergeCell ref="A8:D8"/>
    <mergeCell ref="E8:G8"/>
    <mergeCell ref="I8:K8"/>
    <mergeCell ref="L8:M8"/>
    <mergeCell ref="A5:C5"/>
    <mergeCell ref="A12:F12"/>
    <mergeCell ref="G12:I12"/>
    <mergeCell ref="J12:L12"/>
    <mergeCell ref="M12:P12"/>
    <mergeCell ref="Q12:T12"/>
    <mergeCell ref="A11:F11"/>
    <mergeCell ref="G11:I11"/>
    <mergeCell ref="J11:L11"/>
    <mergeCell ref="M11:P11"/>
    <mergeCell ref="Q11:T11"/>
    <mergeCell ref="A24:F24"/>
    <mergeCell ref="A13:F13"/>
    <mergeCell ref="G13:I13"/>
    <mergeCell ref="J13:L13"/>
    <mergeCell ref="M13:P13"/>
    <mergeCell ref="G23:G24"/>
    <mergeCell ref="H23:H24"/>
    <mergeCell ref="I23:I24"/>
    <mergeCell ref="J23:J24"/>
    <mergeCell ref="K23:S23"/>
    <mergeCell ref="Q13:T13"/>
    <mergeCell ref="A14:F14"/>
    <mergeCell ref="G14:I14"/>
    <mergeCell ref="J14:L14"/>
    <mergeCell ref="M14:P14"/>
    <mergeCell ref="Q14:T14"/>
    <mergeCell ref="A31:F31"/>
    <mergeCell ref="A32:F32"/>
    <mergeCell ref="A33:F33"/>
    <mergeCell ref="A25:F25"/>
    <mergeCell ref="A26:F26"/>
    <mergeCell ref="A27:F27"/>
    <mergeCell ref="A28:F28"/>
    <mergeCell ref="A29:F29"/>
    <mergeCell ref="A30:F30"/>
  </mergeCells>
  <hyperlinks>
    <hyperlink ref="A5" location="'Fact Sheet of VDC'!A1" display="&lt;&lt;Back"/>
  </hyperlinks>
  <pageMargins left="0.7" right="0.7" top="0.75" bottom="0.75" header="0.3" footer="0.3"/>
  <pageSetup paperSize="9" scale="68"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T33"/>
  <sheetViews>
    <sheetView workbookViewId="0">
      <selection activeCell="A5" sqref="A5:C5"/>
    </sheetView>
  </sheetViews>
  <sheetFormatPr defaultRowHeight="15"/>
  <cols>
    <col min="7" max="7" width="9.28515625" bestFit="1" customWidth="1"/>
    <col min="9" max="9" width="10.140625" customWidth="1"/>
    <col min="10" max="10" width="9.7109375" bestFit="1" customWidth="1"/>
    <col min="11" max="14" width="9.28515625" bestFit="1" customWidth="1"/>
    <col min="15" max="15" width="9.7109375" bestFit="1" customWidth="1"/>
    <col min="16" max="17" width="9.28515625" bestFit="1" customWidth="1"/>
    <col min="18" max="18" width="9.85546875" bestFit="1" customWidth="1"/>
    <col min="19" max="19" width="9.7109375" bestFit="1" customWidth="1"/>
    <col min="20" max="20" width="9.28515625" bestFit="1" customWidth="1"/>
    <col min="263" max="263" width="9.28515625" bestFit="1" customWidth="1"/>
    <col min="265" max="265" width="10.140625" customWidth="1"/>
    <col min="266" max="266" width="9.7109375" bestFit="1" customWidth="1"/>
    <col min="267" max="270" width="9.28515625" bestFit="1" customWidth="1"/>
    <col min="271" max="271" width="9.7109375" bestFit="1" customWidth="1"/>
    <col min="272" max="273" width="9.28515625" bestFit="1" customWidth="1"/>
    <col min="274" max="274" width="9.85546875" bestFit="1" customWidth="1"/>
    <col min="275" max="275" width="9.7109375" bestFit="1" customWidth="1"/>
    <col min="276" max="276" width="9.28515625" bestFit="1" customWidth="1"/>
    <col min="519" max="519" width="9.28515625" bestFit="1" customWidth="1"/>
    <col min="521" max="521" width="10.140625" customWidth="1"/>
    <col min="522" max="522" width="9.7109375" bestFit="1" customWidth="1"/>
    <col min="523" max="526" width="9.28515625" bestFit="1" customWidth="1"/>
    <col min="527" max="527" width="9.7109375" bestFit="1" customWidth="1"/>
    <col min="528" max="529" width="9.28515625" bestFit="1" customWidth="1"/>
    <col min="530" max="530" width="9.85546875" bestFit="1" customWidth="1"/>
    <col min="531" max="531" width="9.7109375" bestFit="1" customWidth="1"/>
    <col min="532" max="532" width="9.28515625" bestFit="1" customWidth="1"/>
    <col min="775" max="775" width="9.28515625" bestFit="1" customWidth="1"/>
    <col min="777" max="777" width="10.140625" customWidth="1"/>
    <col min="778" max="778" width="9.7109375" bestFit="1" customWidth="1"/>
    <col min="779" max="782" width="9.28515625" bestFit="1" customWidth="1"/>
    <col min="783" max="783" width="9.7109375" bestFit="1" customWidth="1"/>
    <col min="784" max="785" width="9.28515625" bestFit="1" customWidth="1"/>
    <col min="786" max="786" width="9.85546875" bestFit="1" customWidth="1"/>
    <col min="787" max="787" width="9.7109375" bestFit="1" customWidth="1"/>
    <col min="788" max="788" width="9.28515625" bestFit="1" customWidth="1"/>
    <col min="1031" max="1031" width="9.28515625" bestFit="1" customWidth="1"/>
    <col min="1033" max="1033" width="10.140625" customWidth="1"/>
    <col min="1034" max="1034" width="9.7109375" bestFit="1" customWidth="1"/>
    <col min="1035" max="1038" width="9.28515625" bestFit="1" customWidth="1"/>
    <col min="1039" max="1039" width="9.7109375" bestFit="1" customWidth="1"/>
    <col min="1040" max="1041" width="9.28515625" bestFit="1" customWidth="1"/>
    <col min="1042" max="1042" width="9.85546875" bestFit="1" customWidth="1"/>
    <col min="1043" max="1043" width="9.7109375" bestFit="1" customWidth="1"/>
    <col min="1044" max="1044" width="9.28515625" bestFit="1" customWidth="1"/>
    <col min="1287" max="1287" width="9.28515625" bestFit="1" customWidth="1"/>
    <col min="1289" max="1289" width="10.140625" customWidth="1"/>
    <col min="1290" max="1290" width="9.7109375" bestFit="1" customWidth="1"/>
    <col min="1291" max="1294" width="9.28515625" bestFit="1" customWidth="1"/>
    <col min="1295" max="1295" width="9.7109375" bestFit="1" customWidth="1"/>
    <col min="1296" max="1297" width="9.28515625" bestFit="1" customWidth="1"/>
    <col min="1298" max="1298" width="9.85546875" bestFit="1" customWidth="1"/>
    <col min="1299" max="1299" width="9.7109375" bestFit="1" customWidth="1"/>
    <col min="1300" max="1300" width="9.28515625" bestFit="1" customWidth="1"/>
    <col min="1543" max="1543" width="9.28515625" bestFit="1" customWidth="1"/>
    <col min="1545" max="1545" width="10.140625" customWidth="1"/>
    <col min="1546" max="1546" width="9.7109375" bestFit="1" customWidth="1"/>
    <col min="1547" max="1550" width="9.28515625" bestFit="1" customWidth="1"/>
    <col min="1551" max="1551" width="9.7109375" bestFit="1" customWidth="1"/>
    <col min="1552" max="1553" width="9.28515625" bestFit="1" customWidth="1"/>
    <col min="1554" max="1554" width="9.85546875" bestFit="1" customWidth="1"/>
    <col min="1555" max="1555" width="9.7109375" bestFit="1" customWidth="1"/>
    <col min="1556" max="1556" width="9.28515625" bestFit="1" customWidth="1"/>
    <col min="1799" max="1799" width="9.28515625" bestFit="1" customWidth="1"/>
    <col min="1801" max="1801" width="10.140625" customWidth="1"/>
    <col min="1802" max="1802" width="9.7109375" bestFit="1" customWidth="1"/>
    <col min="1803" max="1806" width="9.28515625" bestFit="1" customWidth="1"/>
    <col min="1807" max="1807" width="9.7109375" bestFit="1" customWidth="1"/>
    <col min="1808" max="1809" width="9.28515625" bestFit="1" customWidth="1"/>
    <col min="1810" max="1810" width="9.85546875" bestFit="1" customWidth="1"/>
    <col min="1811" max="1811" width="9.7109375" bestFit="1" customWidth="1"/>
    <col min="1812" max="1812" width="9.28515625" bestFit="1" customWidth="1"/>
    <col min="2055" max="2055" width="9.28515625" bestFit="1" customWidth="1"/>
    <col min="2057" max="2057" width="10.140625" customWidth="1"/>
    <col min="2058" max="2058" width="9.7109375" bestFit="1" customWidth="1"/>
    <col min="2059" max="2062" width="9.28515625" bestFit="1" customWidth="1"/>
    <col min="2063" max="2063" width="9.7109375" bestFit="1" customWidth="1"/>
    <col min="2064" max="2065" width="9.28515625" bestFit="1" customWidth="1"/>
    <col min="2066" max="2066" width="9.85546875" bestFit="1" customWidth="1"/>
    <col min="2067" max="2067" width="9.7109375" bestFit="1" customWidth="1"/>
    <col min="2068" max="2068" width="9.28515625" bestFit="1" customWidth="1"/>
    <col min="2311" max="2311" width="9.28515625" bestFit="1" customWidth="1"/>
    <col min="2313" max="2313" width="10.140625" customWidth="1"/>
    <col min="2314" max="2314" width="9.7109375" bestFit="1" customWidth="1"/>
    <col min="2315" max="2318" width="9.28515625" bestFit="1" customWidth="1"/>
    <col min="2319" max="2319" width="9.7109375" bestFit="1" customWidth="1"/>
    <col min="2320" max="2321" width="9.28515625" bestFit="1" customWidth="1"/>
    <col min="2322" max="2322" width="9.85546875" bestFit="1" customWidth="1"/>
    <col min="2323" max="2323" width="9.7109375" bestFit="1" customWidth="1"/>
    <col min="2324" max="2324" width="9.28515625" bestFit="1" customWidth="1"/>
    <col min="2567" max="2567" width="9.28515625" bestFit="1" customWidth="1"/>
    <col min="2569" max="2569" width="10.140625" customWidth="1"/>
    <col min="2570" max="2570" width="9.7109375" bestFit="1" customWidth="1"/>
    <col min="2571" max="2574" width="9.28515625" bestFit="1" customWidth="1"/>
    <col min="2575" max="2575" width="9.7109375" bestFit="1" customWidth="1"/>
    <col min="2576" max="2577" width="9.28515625" bestFit="1" customWidth="1"/>
    <col min="2578" max="2578" width="9.85546875" bestFit="1" customWidth="1"/>
    <col min="2579" max="2579" width="9.7109375" bestFit="1" customWidth="1"/>
    <col min="2580" max="2580" width="9.28515625" bestFit="1" customWidth="1"/>
    <col min="2823" max="2823" width="9.28515625" bestFit="1" customWidth="1"/>
    <col min="2825" max="2825" width="10.140625" customWidth="1"/>
    <col min="2826" max="2826" width="9.7109375" bestFit="1" customWidth="1"/>
    <col min="2827" max="2830" width="9.28515625" bestFit="1" customWidth="1"/>
    <col min="2831" max="2831" width="9.7109375" bestFit="1" customWidth="1"/>
    <col min="2832" max="2833" width="9.28515625" bestFit="1" customWidth="1"/>
    <col min="2834" max="2834" width="9.85546875" bestFit="1" customWidth="1"/>
    <col min="2835" max="2835" width="9.7109375" bestFit="1" customWidth="1"/>
    <col min="2836" max="2836" width="9.28515625" bestFit="1" customWidth="1"/>
    <col min="3079" max="3079" width="9.28515625" bestFit="1" customWidth="1"/>
    <col min="3081" max="3081" width="10.140625" customWidth="1"/>
    <col min="3082" max="3082" width="9.7109375" bestFit="1" customWidth="1"/>
    <col min="3083" max="3086" width="9.28515625" bestFit="1" customWidth="1"/>
    <col min="3087" max="3087" width="9.7109375" bestFit="1" customWidth="1"/>
    <col min="3088" max="3089" width="9.28515625" bestFit="1" customWidth="1"/>
    <col min="3090" max="3090" width="9.85546875" bestFit="1" customWidth="1"/>
    <col min="3091" max="3091" width="9.7109375" bestFit="1" customWidth="1"/>
    <col min="3092" max="3092" width="9.28515625" bestFit="1" customWidth="1"/>
    <col min="3335" max="3335" width="9.28515625" bestFit="1" customWidth="1"/>
    <col min="3337" max="3337" width="10.140625" customWidth="1"/>
    <col min="3338" max="3338" width="9.7109375" bestFit="1" customWidth="1"/>
    <col min="3339" max="3342" width="9.28515625" bestFit="1" customWidth="1"/>
    <col min="3343" max="3343" width="9.7109375" bestFit="1" customWidth="1"/>
    <col min="3344" max="3345" width="9.28515625" bestFit="1" customWidth="1"/>
    <col min="3346" max="3346" width="9.85546875" bestFit="1" customWidth="1"/>
    <col min="3347" max="3347" width="9.7109375" bestFit="1" customWidth="1"/>
    <col min="3348" max="3348" width="9.28515625" bestFit="1" customWidth="1"/>
    <col min="3591" max="3591" width="9.28515625" bestFit="1" customWidth="1"/>
    <col min="3593" max="3593" width="10.140625" customWidth="1"/>
    <col min="3594" max="3594" width="9.7109375" bestFit="1" customWidth="1"/>
    <col min="3595" max="3598" width="9.28515625" bestFit="1" customWidth="1"/>
    <col min="3599" max="3599" width="9.7109375" bestFit="1" customWidth="1"/>
    <col min="3600" max="3601" width="9.28515625" bestFit="1" customWidth="1"/>
    <col min="3602" max="3602" width="9.85546875" bestFit="1" customWidth="1"/>
    <col min="3603" max="3603" width="9.7109375" bestFit="1" customWidth="1"/>
    <col min="3604" max="3604" width="9.28515625" bestFit="1" customWidth="1"/>
    <col min="3847" max="3847" width="9.28515625" bestFit="1" customWidth="1"/>
    <col min="3849" max="3849" width="10.140625" customWidth="1"/>
    <col min="3850" max="3850" width="9.7109375" bestFit="1" customWidth="1"/>
    <col min="3851" max="3854" width="9.28515625" bestFit="1" customWidth="1"/>
    <col min="3855" max="3855" width="9.7109375" bestFit="1" customWidth="1"/>
    <col min="3856" max="3857" width="9.28515625" bestFit="1" customWidth="1"/>
    <col min="3858" max="3858" width="9.85546875" bestFit="1" customWidth="1"/>
    <col min="3859" max="3859" width="9.7109375" bestFit="1" customWidth="1"/>
    <col min="3860" max="3860" width="9.28515625" bestFit="1" customWidth="1"/>
    <col min="4103" max="4103" width="9.28515625" bestFit="1" customWidth="1"/>
    <col min="4105" max="4105" width="10.140625" customWidth="1"/>
    <col min="4106" max="4106" width="9.7109375" bestFit="1" customWidth="1"/>
    <col min="4107" max="4110" width="9.28515625" bestFit="1" customWidth="1"/>
    <col min="4111" max="4111" width="9.7109375" bestFit="1" customWidth="1"/>
    <col min="4112" max="4113" width="9.28515625" bestFit="1" customWidth="1"/>
    <col min="4114" max="4114" width="9.85546875" bestFit="1" customWidth="1"/>
    <col min="4115" max="4115" width="9.7109375" bestFit="1" customWidth="1"/>
    <col min="4116" max="4116" width="9.28515625" bestFit="1" customWidth="1"/>
    <col min="4359" max="4359" width="9.28515625" bestFit="1" customWidth="1"/>
    <col min="4361" max="4361" width="10.140625" customWidth="1"/>
    <col min="4362" max="4362" width="9.7109375" bestFit="1" customWidth="1"/>
    <col min="4363" max="4366" width="9.28515625" bestFit="1" customWidth="1"/>
    <col min="4367" max="4367" width="9.7109375" bestFit="1" customWidth="1"/>
    <col min="4368" max="4369" width="9.28515625" bestFit="1" customWidth="1"/>
    <col min="4370" max="4370" width="9.85546875" bestFit="1" customWidth="1"/>
    <col min="4371" max="4371" width="9.7109375" bestFit="1" customWidth="1"/>
    <col min="4372" max="4372" width="9.28515625" bestFit="1" customWidth="1"/>
    <col min="4615" max="4615" width="9.28515625" bestFit="1" customWidth="1"/>
    <col min="4617" max="4617" width="10.140625" customWidth="1"/>
    <col min="4618" max="4618" width="9.7109375" bestFit="1" customWidth="1"/>
    <col min="4619" max="4622" width="9.28515625" bestFit="1" customWidth="1"/>
    <col min="4623" max="4623" width="9.7109375" bestFit="1" customWidth="1"/>
    <col min="4624" max="4625" width="9.28515625" bestFit="1" customWidth="1"/>
    <col min="4626" max="4626" width="9.85546875" bestFit="1" customWidth="1"/>
    <col min="4627" max="4627" width="9.7109375" bestFit="1" customWidth="1"/>
    <col min="4628" max="4628" width="9.28515625" bestFit="1" customWidth="1"/>
    <col min="4871" max="4871" width="9.28515625" bestFit="1" customWidth="1"/>
    <col min="4873" max="4873" width="10.140625" customWidth="1"/>
    <col min="4874" max="4874" width="9.7109375" bestFit="1" customWidth="1"/>
    <col min="4875" max="4878" width="9.28515625" bestFit="1" customWidth="1"/>
    <col min="4879" max="4879" width="9.7109375" bestFit="1" customWidth="1"/>
    <col min="4880" max="4881" width="9.28515625" bestFit="1" customWidth="1"/>
    <col min="4882" max="4882" width="9.85546875" bestFit="1" customWidth="1"/>
    <col min="4883" max="4883" width="9.7109375" bestFit="1" customWidth="1"/>
    <col min="4884" max="4884" width="9.28515625" bestFit="1" customWidth="1"/>
    <col min="5127" max="5127" width="9.28515625" bestFit="1" customWidth="1"/>
    <col min="5129" max="5129" width="10.140625" customWidth="1"/>
    <col min="5130" max="5130" width="9.7109375" bestFit="1" customWidth="1"/>
    <col min="5131" max="5134" width="9.28515625" bestFit="1" customWidth="1"/>
    <col min="5135" max="5135" width="9.7109375" bestFit="1" customWidth="1"/>
    <col min="5136" max="5137" width="9.28515625" bestFit="1" customWidth="1"/>
    <col min="5138" max="5138" width="9.85546875" bestFit="1" customWidth="1"/>
    <col min="5139" max="5139" width="9.7109375" bestFit="1" customWidth="1"/>
    <col min="5140" max="5140" width="9.28515625" bestFit="1" customWidth="1"/>
    <col min="5383" max="5383" width="9.28515625" bestFit="1" customWidth="1"/>
    <col min="5385" max="5385" width="10.140625" customWidth="1"/>
    <col min="5386" max="5386" width="9.7109375" bestFit="1" customWidth="1"/>
    <col min="5387" max="5390" width="9.28515625" bestFit="1" customWidth="1"/>
    <col min="5391" max="5391" width="9.7109375" bestFit="1" customWidth="1"/>
    <col min="5392" max="5393" width="9.28515625" bestFit="1" customWidth="1"/>
    <col min="5394" max="5394" width="9.85546875" bestFit="1" customWidth="1"/>
    <col min="5395" max="5395" width="9.7109375" bestFit="1" customWidth="1"/>
    <col min="5396" max="5396" width="9.28515625" bestFit="1" customWidth="1"/>
    <col min="5639" max="5639" width="9.28515625" bestFit="1" customWidth="1"/>
    <col min="5641" max="5641" width="10.140625" customWidth="1"/>
    <col min="5642" max="5642" width="9.7109375" bestFit="1" customWidth="1"/>
    <col min="5643" max="5646" width="9.28515625" bestFit="1" customWidth="1"/>
    <col min="5647" max="5647" width="9.7109375" bestFit="1" customWidth="1"/>
    <col min="5648" max="5649" width="9.28515625" bestFit="1" customWidth="1"/>
    <col min="5650" max="5650" width="9.85546875" bestFit="1" customWidth="1"/>
    <col min="5651" max="5651" width="9.7109375" bestFit="1" customWidth="1"/>
    <col min="5652" max="5652" width="9.28515625" bestFit="1" customWidth="1"/>
    <col min="5895" max="5895" width="9.28515625" bestFit="1" customWidth="1"/>
    <col min="5897" max="5897" width="10.140625" customWidth="1"/>
    <col min="5898" max="5898" width="9.7109375" bestFit="1" customWidth="1"/>
    <col min="5899" max="5902" width="9.28515625" bestFit="1" customWidth="1"/>
    <col min="5903" max="5903" width="9.7109375" bestFit="1" customWidth="1"/>
    <col min="5904" max="5905" width="9.28515625" bestFit="1" customWidth="1"/>
    <col min="5906" max="5906" width="9.85546875" bestFit="1" customWidth="1"/>
    <col min="5907" max="5907" width="9.7109375" bestFit="1" customWidth="1"/>
    <col min="5908" max="5908" width="9.28515625" bestFit="1" customWidth="1"/>
    <col min="6151" max="6151" width="9.28515625" bestFit="1" customWidth="1"/>
    <col min="6153" max="6153" width="10.140625" customWidth="1"/>
    <col min="6154" max="6154" width="9.7109375" bestFit="1" customWidth="1"/>
    <col min="6155" max="6158" width="9.28515625" bestFit="1" customWidth="1"/>
    <col min="6159" max="6159" width="9.7109375" bestFit="1" customWidth="1"/>
    <col min="6160" max="6161" width="9.28515625" bestFit="1" customWidth="1"/>
    <col min="6162" max="6162" width="9.85546875" bestFit="1" customWidth="1"/>
    <col min="6163" max="6163" width="9.7109375" bestFit="1" customWidth="1"/>
    <col min="6164" max="6164" width="9.28515625" bestFit="1" customWidth="1"/>
    <col min="6407" max="6407" width="9.28515625" bestFit="1" customWidth="1"/>
    <col min="6409" max="6409" width="10.140625" customWidth="1"/>
    <col min="6410" max="6410" width="9.7109375" bestFit="1" customWidth="1"/>
    <col min="6411" max="6414" width="9.28515625" bestFit="1" customWidth="1"/>
    <col min="6415" max="6415" width="9.7109375" bestFit="1" customWidth="1"/>
    <col min="6416" max="6417" width="9.28515625" bestFit="1" customWidth="1"/>
    <col min="6418" max="6418" width="9.85546875" bestFit="1" customWidth="1"/>
    <col min="6419" max="6419" width="9.7109375" bestFit="1" customWidth="1"/>
    <col min="6420" max="6420" width="9.28515625" bestFit="1" customWidth="1"/>
    <col min="6663" max="6663" width="9.28515625" bestFit="1" customWidth="1"/>
    <col min="6665" max="6665" width="10.140625" customWidth="1"/>
    <col min="6666" max="6666" width="9.7109375" bestFit="1" customWidth="1"/>
    <col min="6667" max="6670" width="9.28515625" bestFit="1" customWidth="1"/>
    <col min="6671" max="6671" width="9.7109375" bestFit="1" customWidth="1"/>
    <col min="6672" max="6673" width="9.28515625" bestFit="1" customWidth="1"/>
    <col min="6674" max="6674" width="9.85546875" bestFit="1" customWidth="1"/>
    <col min="6675" max="6675" width="9.7109375" bestFit="1" customWidth="1"/>
    <col min="6676" max="6676" width="9.28515625" bestFit="1" customWidth="1"/>
    <col min="6919" max="6919" width="9.28515625" bestFit="1" customWidth="1"/>
    <col min="6921" max="6921" width="10.140625" customWidth="1"/>
    <col min="6922" max="6922" width="9.7109375" bestFit="1" customWidth="1"/>
    <col min="6923" max="6926" width="9.28515625" bestFit="1" customWidth="1"/>
    <col min="6927" max="6927" width="9.7109375" bestFit="1" customWidth="1"/>
    <col min="6928" max="6929" width="9.28515625" bestFit="1" customWidth="1"/>
    <col min="6930" max="6930" width="9.85546875" bestFit="1" customWidth="1"/>
    <col min="6931" max="6931" width="9.7109375" bestFit="1" customWidth="1"/>
    <col min="6932" max="6932" width="9.28515625" bestFit="1" customWidth="1"/>
    <col min="7175" max="7175" width="9.28515625" bestFit="1" customWidth="1"/>
    <col min="7177" max="7177" width="10.140625" customWidth="1"/>
    <col min="7178" max="7178" width="9.7109375" bestFit="1" customWidth="1"/>
    <col min="7179" max="7182" width="9.28515625" bestFit="1" customWidth="1"/>
    <col min="7183" max="7183" width="9.7109375" bestFit="1" customWidth="1"/>
    <col min="7184" max="7185" width="9.28515625" bestFit="1" customWidth="1"/>
    <col min="7186" max="7186" width="9.85546875" bestFit="1" customWidth="1"/>
    <col min="7187" max="7187" width="9.7109375" bestFit="1" customWidth="1"/>
    <col min="7188" max="7188" width="9.28515625" bestFit="1" customWidth="1"/>
    <col min="7431" max="7431" width="9.28515625" bestFit="1" customWidth="1"/>
    <col min="7433" max="7433" width="10.140625" customWidth="1"/>
    <col min="7434" max="7434" width="9.7109375" bestFit="1" customWidth="1"/>
    <col min="7435" max="7438" width="9.28515625" bestFit="1" customWidth="1"/>
    <col min="7439" max="7439" width="9.7109375" bestFit="1" customWidth="1"/>
    <col min="7440" max="7441" width="9.28515625" bestFit="1" customWidth="1"/>
    <col min="7442" max="7442" width="9.85546875" bestFit="1" customWidth="1"/>
    <col min="7443" max="7443" width="9.7109375" bestFit="1" customWidth="1"/>
    <col min="7444" max="7444" width="9.28515625" bestFit="1" customWidth="1"/>
    <col min="7687" max="7687" width="9.28515625" bestFit="1" customWidth="1"/>
    <col min="7689" max="7689" width="10.140625" customWidth="1"/>
    <col min="7690" max="7690" width="9.7109375" bestFit="1" customWidth="1"/>
    <col min="7691" max="7694" width="9.28515625" bestFit="1" customWidth="1"/>
    <col min="7695" max="7695" width="9.7109375" bestFit="1" customWidth="1"/>
    <col min="7696" max="7697" width="9.28515625" bestFit="1" customWidth="1"/>
    <col min="7698" max="7698" width="9.85546875" bestFit="1" customWidth="1"/>
    <col min="7699" max="7699" width="9.7109375" bestFit="1" customWidth="1"/>
    <col min="7700" max="7700" width="9.28515625" bestFit="1" customWidth="1"/>
    <col min="7943" max="7943" width="9.28515625" bestFit="1" customWidth="1"/>
    <col min="7945" max="7945" width="10.140625" customWidth="1"/>
    <col min="7946" max="7946" width="9.7109375" bestFit="1" customWidth="1"/>
    <col min="7947" max="7950" width="9.28515625" bestFit="1" customWidth="1"/>
    <col min="7951" max="7951" width="9.7109375" bestFit="1" customWidth="1"/>
    <col min="7952" max="7953" width="9.28515625" bestFit="1" customWidth="1"/>
    <col min="7954" max="7954" width="9.85546875" bestFit="1" customWidth="1"/>
    <col min="7955" max="7955" width="9.7109375" bestFit="1" customWidth="1"/>
    <col min="7956" max="7956" width="9.28515625" bestFit="1" customWidth="1"/>
    <col min="8199" max="8199" width="9.28515625" bestFit="1" customWidth="1"/>
    <col min="8201" max="8201" width="10.140625" customWidth="1"/>
    <col min="8202" max="8202" width="9.7109375" bestFit="1" customWidth="1"/>
    <col min="8203" max="8206" width="9.28515625" bestFit="1" customWidth="1"/>
    <col min="8207" max="8207" width="9.7109375" bestFit="1" customWidth="1"/>
    <col min="8208" max="8209" width="9.28515625" bestFit="1" customWidth="1"/>
    <col min="8210" max="8210" width="9.85546875" bestFit="1" customWidth="1"/>
    <col min="8211" max="8211" width="9.7109375" bestFit="1" customWidth="1"/>
    <col min="8212" max="8212" width="9.28515625" bestFit="1" customWidth="1"/>
    <col min="8455" max="8455" width="9.28515625" bestFit="1" customWidth="1"/>
    <col min="8457" max="8457" width="10.140625" customWidth="1"/>
    <col min="8458" max="8458" width="9.7109375" bestFit="1" customWidth="1"/>
    <col min="8459" max="8462" width="9.28515625" bestFit="1" customWidth="1"/>
    <col min="8463" max="8463" width="9.7109375" bestFit="1" customWidth="1"/>
    <col min="8464" max="8465" width="9.28515625" bestFit="1" customWidth="1"/>
    <col min="8466" max="8466" width="9.85546875" bestFit="1" customWidth="1"/>
    <col min="8467" max="8467" width="9.7109375" bestFit="1" customWidth="1"/>
    <col min="8468" max="8468" width="9.28515625" bestFit="1" customWidth="1"/>
    <col min="8711" max="8711" width="9.28515625" bestFit="1" customWidth="1"/>
    <col min="8713" max="8713" width="10.140625" customWidth="1"/>
    <col min="8714" max="8714" width="9.7109375" bestFit="1" customWidth="1"/>
    <col min="8715" max="8718" width="9.28515625" bestFit="1" customWidth="1"/>
    <col min="8719" max="8719" width="9.7109375" bestFit="1" customWidth="1"/>
    <col min="8720" max="8721" width="9.28515625" bestFit="1" customWidth="1"/>
    <col min="8722" max="8722" width="9.85546875" bestFit="1" customWidth="1"/>
    <col min="8723" max="8723" width="9.7109375" bestFit="1" customWidth="1"/>
    <col min="8724" max="8724" width="9.28515625" bestFit="1" customWidth="1"/>
    <col min="8967" max="8967" width="9.28515625" bestFit="1" customWidth="1"/>
    <col min="8969" max="8969" width="10.140625" customWidth="1"/>
    <col min="8970" max="8970" width="9.7109375" bestFit="1" customWidth="1"/>
    <col min="8971" max="8974" width="9.28515625" bestFit="1" customWidth="1"/>
    <col min="8975" max="8975" width="9.7109375" bestFit="1" customWidth="1"/>
    <col min="8976" max="8977" width="9.28515625" bestFit="1" customWidth="1"/>
    <col min="8978" max="8978" width="9.85546875" bestFit="1" customWidth="1"/>
    <col min="8979" max="8979" width="9.7109375" bestFit="1" customWidth="1"/>
    <col min="8980" max="8980" width="9.28515625" bestFit="1" customWidth="1"/>
    <col min="9223" max="9223" width="9.28515625" bestFit="1" customWidth="1"/>
    <col min="9225" max="9225" width="10.140625" customWidth="1"/>
    <col min="9226" max="9226" width="9.7109375" bestFit="1" customWidth="1"/>
    <col min="9227" max="9230" width="9.28515625" bestFit="1" customWidth="1"/>
    <col min="9231" max="9231" width="9.7109375" bestFit="1" customWidth="1"/>
    <col min="9232" max="9233" width="9.28515625" bestFit="1" customWidth="1"/>
    <col min="9234" max="9234" width="9.85546875" bestFit="1" customWidth="1"/>
    <col min="9235" max="9235" width="9.7109375" bestFit="1" customWidth="1"/>
    <col min="9236" max="9236" width="9.28515625" bestFit="1" customWidth="1"/>
    <col min="9479" max="9479" width="9.28515625" bestFit="1" customWidth="1"/>
    <col min="9481" max="9481" width="10.140625" customWidth="1"/>
    <col min="9482" max="9482" width="9.7109375" bestFit="1" customWidth="1"/>
    <col min="9483" max="9486" width="9.28515625" bestFit="1" customWidth="1"/>
    <col min="9487" max="9487" width="9.7109375" bestFit="1" customWidth="1"/>
    <col min="9488" max="9489" width="9.28515625" bestFit="1" customWidth="1"/>
    <col min="9490" max="9490" width="9.85546875" bestFit="1" customWidth="1"/>
    <col min="9491" max="9491" width="9.7109375" bestFit="1" customWidth="1"/>
    <col min="9492" max="9492" width="9.28515625" bestFit="1" customWidth="1"/>
    <col min="9735" max="9735" width="9.28515625" bestFit="1" customWidth="1"/>
    <col min="9737" max="9737" width="10.140625" customWidth="1"/>
    <col min="9738" max="9738" width="9.7109375" bestFit="1" customWidth="1"/>
    <col min="9739" max="9742" width="9.28515625" bestFit="1" customWidth="1"/>
    <col min="9743" max="9743" width="9.7109375" bestFit="1" customWidth="1"/>
    <col min="9744" max="9745" width="9.28515625" bestFit="1" customWidth="1"/>
    <col min="9746" max="9746" width="9.85546875" bestFit="1" customWidth="1"/>
    <col min="9747" max="9747" width="9.7109375" bestFit="1" customWidth="1"/>
    <col min="9748" max="9748" width="9.28515625" bestFit="1" customWidth="1"/>
    <col min="9991" max="9991" width="9.28515625" bestFit="1" customWidth="1"/>
    <col min="9993" max="9993" width="10.140625" customWidth="1"/>
    <col min="9994" max="9994" width="9.7109375" bestFit="1" customWidth="1"/>
    <col min="9995" max="9998" width="9.28515625" bestFit="1" customWidth="1"/>
    <col min="9999" max="9999" width="9.7109375" bestFit="1" customWidth="1"/>
    <col min="10000" max="10001" width="9.28515625" bestFit="1" customWidth="1"/>
    <col min="10002" max="10002" width="9.85546875" bestFit="1" customWidth="1"/>
    <col min="10003" max="10003" width="9.7109375" bestFit="1" customWidth="1"/>
    <col min="10004" max="10004" width="9.28515625" bestFit="1" customWidth="1"/>
    <col min="10247" max="10247" width="9.28515625" bestFit="1" customWidth="1"/>
    <col min="10249" max="10249" width="10.140625" customWidth="1"/>
    <col min="10250" max="10250" width="9.7109375" bestFit="1" customWidth="1"/>
    <col min="10251" max="10254" width="9.28515625" bestFit="1" customWidth="1"/>
    <col min="10255" max="10255" width="9.7109375" bestFit="1" customWidth="1"/>
    <col min="10256" max="10257" width="9.28515625" bestFit="1" customWidth="1"/>
    <col min="10258" max="10258" width="9.85546875" bestFit="1" customWidth="1"/>
    <col min="10259" max="10259" width="9.7109375" bestFit="1" customWidth="1"/>
    <col min="10260" max="10260" width="9.28515625" bestFit="1" customWidth="1"/>
    <col min="10503" max="10503" width="9.28515625" bestFit="1" customWidth="1"/>
    <col min="10505" max="10505" width="10.140625" customWidth="1"/>
    <col min="10506" max="10506" width="9.7109375" bestFit="1" customWidth="1"/>
    <col min="10507" max="10510" width="9.28515625" bestFit="1" customWidth="1"/>
    <col min="10511" max="10511" width="9.7109375" bestFit="1" customWidth="1"/>
    <col min="10512" max="10513" width="9.28515625" bestFit="1" customWidth="1"/>
    <col min="10514" max="10514" width="9.85546875" bestFit="1" customWidth="1"/>
    <col min="10515" max="10515" width="9.7109375" bestFit="1" customWidth="1"/>
    <col min="10516" max="10516" width="9.28515625" bestFit="1" customWidth="1"/>
    <col min="10759" max="10759" width="9.28515625" bestFit="1" customWidth="1"/>
    <col min="10761" max="10761" width="10.140625" customWidth="1"/>
    <col min="10762" max="10762" width="9.7109375" bestFit="1" customWidth="1"/>
    <col min="10763" max="10766" width="9.28515625" bestFit="1" customWidth="1"/>
    <col min="10767" max="10767" width="9.7109375" bestFit="1" customWidth="1"/>
    <col min="10768" max="10769" width="9.28515625" bestFit="1" customWidth="1"/>
    <col min="10770" max="10770" width="9.85546875" bestFit="1" customWidth="1"/>
    <col min="10771" max="10771" width="9.7109375" bestFit="1" customWidth="1"/>
    <col min="10772" max="10772" width="9.28515625" bestFit="1" customWidth="1"/>
    <col min="11015" max="11015" width="9.28515625" bestFit="1" customWidth="1"/>
    <col min="11017" max="11017" width="10.140625" customWidth="1"/>
    <col min="11018" max="11018" width="9.7109375" bestFit="1" customWidth="1"/>
    <col min="11019" max="11022" width="9.28515625" bestFit="1" customWidth="1"/>
    <col min="11023" max="11023" width="9.7109375" bestFit="1" customWidth="1"/>
    <col min="11024" max="11025" width="9.28515625" bestFit="1" customWidth="1"/>
    <col min="11026" max="11026" width="9.85546875" bestFit="1" customWidth="1"/>
    <col min="11027" max="11027" width="9.7109375" bestFit="1" customWidth="1"/>
    <col min="11028" max="11028" width="9.28515625" bestFit="1" customWidth="1"/>
    <col min="11271" max="11271" width="9.28515625" bestFit="1" customWidth="1"/>
    <col min="11273" max="11273" width="10.140625" customWidth="1"/>
    <col min="11274" max="11274" width="9.7109375" bestFit="1" customWidth="1"/>
    <col min="11275" max="11278" width="9.28515625" bestFit="1" customWidth="1"/>
    <col min="11279" max="11279" width="9.7109375" bestFit="1" customWidth="1"/>
    <col min="11280" max="11281" width="9.28515625" bestFit="1" customWidth="1"/>
    <col min="11282" max="11282" width="9.85546875" bestFit="1" customWidth="1"/>
    <col min="11283" max="11283" width="9.7109375" bestFit="1" customWidth="1"/>
    <col min="11284" max="11284" width="9.28515625" bestFit="1" customWidth="1"/>
    <col min="11527" max="11527" width="9.28515625" bestFit="1" customWidth="1"/>
    <col min="11529" max="11529" width="10.140625" customWidth="1"/>
    <col min="11530" max="11530" width="9.7109375" bestFit="1" customWidth="1"/>
    <col min="11531" max="11534" width="9.28515625" bestFit="1" customWidth="1"/>
    <col min="11535" max="11535" width="9.7109375" bestFit="1" customWidth="1"/>
    <col min="11536" max="11537" width="9.28515625" bestFit="1" customWidth="1"/>
    <col min="11538" max="11538" width="9.85546875" bestFit="1" customWidth="1"/>
    <col min="11539" max="11539" width="9.7109375" bestFit="1" customWidth="1"/>
    <col min="11540" max="11540" width="9.28515625" bestFit="1" customWidth="1"/>
    <col min="11783" max="11783" width="9.28515625" bestFit="1" customWidth="1"/>
    <col min="11785" max="11785" width="10.140625" customWidth="1"/>
    <col min="11786" max="11786" width="9.7109375" bestFit="1" customWidth="1"/>
    <col min="11787" max="11790" width="9.28515625" bestFit="1" customWidth="1"/>
    <col min="11791" max="11791" width="9.7109375" bestFit="1" customWidth="1"/>
    <col min="11792" max="11793" width="9.28515625" bestFit="1" customWidth="1"/>
    <col min="11794" max="11794" width="9.85546875" bestFit="1" customWidth="1"/>
    <col min="11795" max="11795" width="9.7109375" bestFit="1" customWidth="1"/>
    <col min="11796" max="11796" width="9.28515625" bestFit="1" customWidth="1"/>
    <col min="12039" max="12039" width="9.28515625" bestFit="1" customWidth="1"/>
    <col min="12041" max="12041" width="10.140625" customWidth="1"/>
    <col min="12042" max="12042" width="9.7109375" bestFit="1" customWidth="1"/>
    <col min="12043" max="12046" width="9.28515625" bestFit="1" customWidth="1"/>
    <col min="12047" max="12047" width="9.7109375" bestFit="1" customWidth="1"/>
    <col min="12048" max="12049" width="9.28515625" bestFit="1" customWidth="1"/>
    <col min="12050" max="12050" width="9.85546875" bestFit="1" customWidth="1"/>
    <col min="12051" max="12051" width="9.7109375" bestFit="1" customWidth="1"/>
    <col min="12052" max="12052" width="9.28515625" bestFit="1" customWidth="1"/>
    <col min="12295" max="12295" width="9.28515625" bestFit="1" customWidth="1"/>
    <col min="12297" max="12297" width="10.140625" customWidth="1"/>
    <col min="12298" max="12298" width="9.7109375" bestFit="1" customWidth="1"/>
    <col min="12299" max="12302" width="9.28515625" bestFit="1" customWidth="1"/>
    <col min="12303" max="12303" width="9.7109375" bestFit="1" customWidth="1"/>
    <col min="12304" max="12305" width="9.28515625" bestFit="1" customWidth="1"/>
    <col min="12306" max="12306" width="9.85546875" bestFit="1" customWidth="1"/>
    <col min="12307" max="12307" width="9.7109375" bestFit="1" customWidth="1"/>
    <col min="12308" max="12308" width="9.28515625" bestFit="1" customWidth="1"/>
    <col min="12551" max="12551" width="9.28515625" bestFit="1" customWidth="1"/>
    <col min="12553" max="12553" width="10.140625" customWidth="1"/>
    <col min="12554" max="12554" width="9.7109375" bestFit="1" customWidth="1"/>
    <col min="12555" max="12558" width="9.28515625" bestFit="1" customWidth="1"/>
    <col min="12559" max="12559" width="9.7109375" bestFit="1" customWidth="1"/>
    <col min="12560" max="12561" width="9.28515625" bestFit="1" customWidth="1"/>
    <col min="12562" max="12562" width="9.85546875" bestFit="1" customWidth="1"/>
    <col min="12563" max="12563" width="9.7109375" bestFit="1" customWidth="1"/>
    <col min="12564" max="12564" width="9.28515625" bestFit="1" customWidth="1"/>
    <col min="12807" max="12807" width="9.28515625" bestFit="1" customWidth="1"/>
    <col min="12809" max="12809" width="10.140625" customWidth="1"/>
    <col min="12810" max="12810" width="9.7109375" bestFit="1" customWidth="1"/>
    <col min="12811" max="12814" width="9.28515625" bestFit="1" customWidth="1"/>
    <col min="12815" max="12815" width="9.7109375" bestFit="1" customWidth="1"/>
    <col min="12816" max="12817" width="9.28515625" bestFit="1" customWidth="1"/>
    <col min="12818" max="12818" width="9.85546875" bestFit="1" customWidth="1"/>
    <col min="12819" max="12819" width="9.7109375" bestFit="1" customWidth="1"/>
    <col min="12820" max="12820" width="9.28515625" bestFit="1" customWidth="1"/>
    <col min="13063" max="13063" width="9.28515625" bestFit="1" customWidth="1"/>
    <col min="13065" max="13065" width="10.140625" customWidth="1"/>
    <col min="13066" max="13066" width="9.7109375" bestFit="1" customWidth="1"/>
    <col min="13067" max="13070" width="9.28515625" bestFit="1" customWidth="1"/>
    <col min="13071" max="13071" width="9.7109375" bestFit="1" customWidth="1"/>
    <col min="13072" max="13073" width="9.28515625" bestFit="1" customWidth="1"/>
    <col min="13074" max="13074" width="9.85546875" bestFit="1" customWidth="1"/>
    <col min="13075" max="13075" width="9.7109375" bestFit="1" customWidth="1"/>
    <col min="13076" max="13076" width="9.28515625" bestFit="1" customWidth="1"/>
    <col min="13319" max="13319" width="9.28515625" bestFit="1" customWidth="1"/>
    <col min="13321" max="13321" width="10.140625" customWidth="1"/>
    <col min="13322" max="13322" width="9.7109375" bestFit="1" customWidth="1"/>
    <col min="13323" max="13326" width="9.28515625" bestFit="1" customWidth="1"/>
    <col min="13327" max="13327" width="9.7109375" bestFit="1" customWidth="1"/>
    <col min="13328" max="13329" width="9.28515625" bestFit="1" customWidth="1"/>
    <col min="13330" max="13330" width="9.85546875" bestFit="1" customWidth="1"/>
    <col min="13331" max="13331" width="9.7109375" bestFit="1" customWidth="1"/>
    <col min="13332" max="13332" width="9.28515625" bestFit="1" customWidth="1"/>
    <col min="13575" max="13575" width="9.28515625" bestFit="1" customWidth="1"/>
    <col min="13577" max="13577" width="10.140625" customWidth="1"/>
    <col min="13578" max="13578" width="9.7109375" bestFit="1" customWidth="1"/>
    <col min="13579" max="13582" width="9.28515625" bestFit="1" customWidth="1"/>
    <col min="13583" max="13583" width="9.7109375" bestFit="1" customWidth="1"/>
    <col min="13584" max="13585" width="9.28515625" bestFit="1" customWidth="1"/>
    <col min="13586" max="13586" width="9.85546875" bestFit="1" customWidth="1"/>
    <col min="13587" max="13587" width="9.7109375" bestFit="1" customWidth="1"/>
    <col min="13588" max="13588" width="9.28515625" bestFit="1" customWidth="1"/>
    <col min="13831" max="13831" width="9.28515625" bestFit="1" customWidth="1"/>
    <col min="13833" max="13833" width="10.140625" customWidth="1"/>
    <col min="13834" max="13834" width="9.7109375" bestFit="1" customWidth="1"/>
    <col min="13835" max="13838" width="9.28515625" bestFit="1" customWidth="1"/>
    <col min="13839" max="13839" width="9.7109375" bestFit="1" customWidth="1"/>
    <col min="13840" max="13841" width="9.28515625" bestFit="1" customWidth="1"/>
    <col min="13842" max="13842" width="9.85546875" bestFit="1" customWidth="1"/>
    <col min="13843" max="13843" width="9.7109375" bestFit="1" customWidth="1"/>
    <col min="13844" max="13844" width="9.28515625" bestFit="1" customWidth="1"/>
    <col min="14087" max="14087" width="9.28515625" bestFit="1" customWidth="1"/>
    <col min="14089" max="14089" width="10.140625" customWidth="1"/>
    <col min="14090" max="14090" width="9.7109375" bestFit="1" customWidth="1"/>
    <col min="14091" max="14094" width="9.28515625" bestFit="1" customWidth="1"/>
    <col min="14095" max="14095" width="9.7109375" bestFit="1" customWidth="1"/>
    <col min="14096" max="14097" width="9.28515625" bestFit="1" customWidth="1"/>
    <col min="14098" max="14098" width="9.85546875" bestFit="1" customWidth="1"/>
    <col min="14099" max="14099" width="9.7109375" bestFit="1" customWidth="1"/>
    <col min="14100" max="14100" width="9.28515625" bestFit="1" customWidth="1"/>
    <col min="14343" max="14343" width="9.28515625" bestFit="1" customWidth="1"/>
    <col min="14345" max="14345" width="10.140625" customWidth="1"/>
    <col min="14346" max="14346" width="9.7109375" bestFit="1" customWidth="1"/>
    <col min="14347" max="14350" width="9.28515625" bestFit="1" customWidth="1"/>
    <col min="14351" max="14351" width="9.7109375" bestFit="1" customWidth="1"/>
    <col min="14352" max="14353" width="9.28515625" bestFit="1" customWidth="1"/>
    <col min="14354" max="14354" width="9.85546875" bestFit="1" customWidth="1"/>
    <col min="14355" max="14355" width="9.7109375" bestFit="1" customWidth="1"/>
    <col min="14356" max="14356" width="9.28515625" bestFit="1" customWidth="1"/>
    <col min="14599" max="14599" width="9.28515625" bestFit="1" customWidth="1"/>
    <col min="14601" max="14601" width="10.140625" customWidth="1"/>
    <col min="14602" max="14602" width="9.7109375" bestFit="1" customWidth="1"/>
    <col min="14603" max="14606" width="9.28515625" bestFit="1" customWidth="1"/>
    <col min="14607" max="14607" width="9.7109375" bestFit="1" customWidth="1"/>
    <col min="14608" max="14609" width="9.28515625" bestFit="1" customWidth="1"/>
    <col min="14610" max="14610" width="9.85546875" bestFit="1" customWidth="1"/>
    <col min="14611" max="14611" width="9.7109375" bestFit="1" customWidth="1"/>
    <col min="14612" max="14612" width="9.28515625" bestFit="1" customWidth="1"/>
    <col min="14855" max="14855" width="9.28515625" bestFit="1" customWidth="1"/>
    <col min="14857" max="14857" width="10.140625" customWidth="1"/>
    <col min="14858" max="14858" width="9.7109375" bestFit="1" customWidth="1"/>
    <col min="14859" max="14862" width="9.28515625" bestFit="1" customWidth="1"/>
    <col min="14863" max="14863" width="9.7109375" bestFit="1" customWidth="1"/>
    <col min="14864" max="14865" width="9.28515625" bestFit="1" customWidth="1"/>
    <col min="14866" max="14866" width="9.85546875" bestFit="1" customWidth="1"/>
    <col min="14867" max="14867" width="9.7109375" bestFit="1" customWidth="1"/>
    <col min="14868" max="14868" width="9.28515625" bestFit="1" customWidth="1"/>
    <col min="15111" max="15111" width="9.28515625" bestFit="1" customWidth="1"/>
    <col min="15113" max="15113" width="10.140625" customWidth="1"/>
    <col min="15114" max="15114" width="9.7109375" bestFit="1" customWidth="1"/>
    <col min="15115" max="15118" width="9.28515625" bestFit="1" customWidth="1"/>
    <col min="15119" max="15119" width="9.7109375" bestFit="1" customWidth="1"/>
    <col min="15120" max="15121" width="9.28515625" bestFit="1" customWidth="1"/>
    <col min="15122" max="15122" width="9.85546875" bestFit="1" customWidth="1"/>
    <col min="15123" max="15123" width="9.7109375" bestFit="1" customWidth="1"/>
    <col min="15124" max="15124" width="9.28515625" bestFit="1" customWidth="1"/>
    <col min="15367" max="15367" width="9.28515625" bestFit="1" customWidth="1"/>
    <col min="15369" max="15369" width="10.140625" customWidth="1"/>
    <col min="15370" max="15370" width="9.7109375" bestFit="1" customWidth="1"/>
    <col min="15371" max="15374" width="9.28515625" bestFit="1" customWidth="1"/>
    <col min="15375" max="15375" width="9.7109375" bestFit="1" customWidth="1"/>
    <col min="15376" max="15377" width="9.28515625" bestFit="1" customWidth="1"/>
    <col min="15378" max="15378" width="9.85546875" bestFit="1" customWidth="1"/>
    <col min="15379" max="15379" width="9.7109375" bestFit="1" customWidth="1"/>
    <col min="15380" max="15380" width="9.28515625" bestFit="1" customWidth="1"/>
    <col min="15623" max="15623" width="9.28515625" bestFit="1" customWidth="1"/>
    <col min="15625" max="15625" width="10.140625" customWidth="1"/>
    <col min="15626" max="15626" width="9.7109375" bestFit="1" customWidth="1"/>
    <col min="15627" max="15630" width="9.28515625" bestFit="1" customWidth="1"/>
    <col min="15631" max="15631" width="9.7109375" bestFit="1" customWidth="1"/>
    <col min="15632" max="15633" width="9.28515625" bestFit="1" customWidth="1"/>
    <col min="15634" max="15634" width="9.85546875" bestFit="1" customWidth="1"/>
    <col min="15635" max="15635" width="9.7109375" bestFit="1" customWidth="1"/>
    <col min="15636" max="15636" width="9.28515625" bestFit="1" customWidth="1"/>
    <col min="15879" max="15879" width="9.28515625" bestFit="1" customWidth="1"/>
    <col min="15881" max="15881" width="10.140625" customWidth="1"/>
    <col min="15882" max="15882" width="9.7109375" bestFit="1" customWidth="1"/>
    <col min="15883" max="15886" width="9.28515625" bestFit="1" customWidth="1"/>
    <col min="15887" max="15887" width="9.7109375" bestFit="1" customWidth="1"/>
    <col min="15888" max="15889" width="9.28515625" bestFit="1" customWidth="1"/>
    <col min="15890" max="15890" width="9.85546875" bestFit="1" customWidth="1"/>
    <col min="15891" max="15891" width="9.7109375" bestFit="1" customWidth="1"/>
    <col min="15892" max="15892" width="9.28515625" bestFit="1" customWidth="1"/>
    <col min="16135" max="16135" width="9.28515625" bestFit="1" customWidth="1"/>
    <col min="16137" max="16137" width="10.140625" customWidth="1"/>
    <col min="16138" max="16138" width="9.7109375" bestFit="1" customWidth="1"/>
    <col min="16139" max="16142" width="9.28515625" bestFit="1" customWidth="1"/>
    <col min="16143" max="16143" width="9.7109375" bestFit="1" customWidth="1"/>
    <col min="16144" max="16145" width="9.28515625" bestFit="1" customWidth="1"/>
    <col min="16146" max="16146" width="9.85546875" bestFit="1" customWidth="1"/>
    <col min="16147" max="16147" width="9.7109375" bestFit="1" customWidth="1"/>
    <col min="16148" max="16148" width="9.28515625" bestFit="1" customWidth="1"/>
  </cols>
  <sheetData>
    <row r="1" spans="1:20" ht="15.75">
      <c r="A1" s="156"/>
      <c r="B1" s="156"/>
      <c r="C1" s="156"/>
      <c r="D1" s="156"/>
      <c r="E1" s="156"/>
      <c r="F1" s="171" t="s">
        <v>167</v>
      </c>
      <c r="G1" s="157"/>
      <c r="H1" s="157"/>
      <c r="I1" s="157"/>
      <c r="J1" s="157"/>
      <c r="K1" s="157"/>
      <c r="L1" s="157"/>
      <c r="M1" s="156"/>
      <c r="N1" s="156"/>
      <c r="O1" s="156"/>
      <c r="P1" s="156"/>
      <c r="Q1" s="156"/>
      <c r="R1" s="156"/>
      <c r="S1" s="156"/>
      <c r="T1" s="156"/>
    </row>
    <row r="2" spans="1:20" ht="15.75">
      <c r="A2" s="156"/>
      <c r="B2" s="156"/>
      <c r="C2" s="156"/>
      <c r="D2" s="156"/>
      <c r="E2" s="156"/>
      <c r="F2" s="156"/>
      <c r="G2" s="156"/>
      <c r="I2" s="171" t="s">
        <v>1335</v>
      </c>
      <c r="J2" s="157"/>
      <c r="K2" s="157"/>
      <c r="L2" s="156"/>
      <c r="M2" s="156"/>
      <c r="N2" s="156"/>
      <c r="O2" s="156"/>
      <c r="P2" s="156"/>
      <c r="Q2" s="156"/>
      <c r="R2" s="156"/>
      <c r="S2" s="156"/>
      <c r="T2" s="156"/>
    </row>
    <row r="3" spans="1:20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</row>
    <row r="4" spans="1:20">
      <c r="A4" s="46" t="s">
        <v>1336</v>
      </c>
      <c r="B4" s="46"/>
      <c r="C4" s="46"/>
      <c r="D4" s="46"/>
      <c r="E4" s="843" t="s">
        <v>1411</v>
      </c>
      <c r="F4" s="870"/>
      <c r="G4" s="870"/>
      <c r="H4" s="844"/>
      <c r="I4" s="46" t="s">
        <v>171</v>
      </c>
      <c r="J4" s="46"/>
      <c r="K4" s="46"/>
      <c r="L4" s="843">
        <v>904210102</v>
      </c>
      <c r="M4" s="870"/>
      <c r="N4" s="844"/>
      <c r="O4" s="46" t="s">
        <v>5</v>
      </c>
      <c r="P4" s="46"/>
      <c r="Q4" s="47">
        <v>600</v>
      </c>
      <c r="R4" s="46" t="s">
        <v>1338</v>
      </c>
      <c r="S4" s="46"/>
      <c r="T4" s="47" t="s">
        <v>1339</v>
      </c>
    </row>
    <row r="5" spans="1:20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>
      <c r="A6" s="46" t="s">
        <v>1340</v>
      </c>
      <c r="B6" s="46"/>
      <c r="C6" s="46"/>
      <c r="D6" s="46"/>
      <c r="E6" s="843" t="s">
        <v>1412</v>
      </c>
      <c r="F6" s="870"/>
      <c r="G6" s="870"/>
      <c r="H6" s="844"/>
      <c r="I6" s="46" t="s">
        <v>1208</v>
      </c>
      <c r="J6" s="46"/>
      <c r="K6" s="46"/>
      <c r="L6" s="843" t="s">
        <v>1413</v>
      </c>
      <c r="M6" s="844"/>
      <c r="N6" s="48"/>
      <c r="O6" s="48"/>
      <c r="P6" s="46"/>
      <c r="Q6" s="46"/>
      <c r="R6" s="46"/>
      <c r="S6" s="46"/>
      <c r="T6" s="46"/>
    </row>
    <row r="7" spans="1:20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</row>
    <row r="8" spans="1:20">
      <c r="A8" s="1055" t="s">
        <v>178</v>
      </c>
      <c r="B8" s="1055"/>
      <c r="C8" s="1055"/>
      <c r="D8" s="1056"/>
      <c r="E8" s="854" t="s">
        <v>1414</v>
      </c>
      <c r="F8" s="854"/>
      <c r="G8" s="854"/>
      <c r="H8" s="854"/>
      <c r="I8" s="1057" t="s">
        <v>1344</v>
      </c>
      <c r="J8" s="1057"/>
      <c r="K8" s="1057"/>
      <c r="L8" s="854" t="s">
        <v>1415</v>
      </c>
      <c r="M8" s="854"/>
      <c r="N8" s="854"/>
      <c r="O8" s="854"/>
      <c r="P8" s="854"/>
      <c r="Q8" s="854"/>
      <c r="R8" s="854"/>
      <c r="S8" s="46"/>
      <c r="T8" s="46"/>
    </row>
    <row r="9" spans="1:20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8"/>
      <c r="M9" s="48"/>
      <c r="N9" s="48"/>
      <c r="O9" s="48"/>
      <c r="P9" s="48"/>
      <c r="Q9" s="48"/>
      <c r="R9" s="46"/>
      <c r="S9" s="46"/>
      <c r="T9" s="46"/>
    </row>
    <row r="10" spans="1:20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</row>
    <row r="11" spans="1:20">
      <c r="A11" s="1052" t="s">
        <v>838</v>
      </c>
      <c r="B11" s="1063"/>
      <c r="C11" s="1063"/>
      <c r="D11" s="1063"/>
      <c r="E11" s="1063"/>
      <c r="F11" s="1064"/>
      <c r="G11" s="843" t="s">
        <v>1411</v>
      </c>
      <c r="H11" s="870"/>
      <c r="I11" s="844"/>
      <c r="J11" s="843">
        <v>0</v>
      </c>
      <c r="K11" s="870"/>
      <c r="L11" s="844"/>
      <c r="M11" s="843">
        <v>0</v>
      </c>
      <c r="N11" s="870"/>
      <c r="O11" s="870"/>
      <c r="P11" s="844"/>
      <c r="Q11" s="843">
        <v>0</v>
      </c>
      <c r="R11" s="870"/>
      <c r="S11" s="870"/>
      <c r="T11" s="844"/>
    </row>
    <row r="12" spans="1:20">
      <c r="A12" s="1052" t="s">
        <v>1346</v>
      </c>
      <c r="B12" s="1063"/>
      <c r="C12" s="1063"/>
      <c r="D12" s="1063"/>
      <c r="E12" s="1063"/>
      <c r="F12" s="1064"/>
      <c r="G12" s="843">
        <v>0</v>
      </c>
      <c r="H12" s="870"/>
      <c r="I12" s="844"/>
      <c r="J12" s="843">
        <v>0</v>
      </c>
      <c r="K12" s="870"/>
      <c r="L12" s="844"/>
      <c r="M12" s="843">
        <v>0</v>
      </c>
      <c r="N12" s="870"/>
      <c r="O12" s="870"/>
      <c r="P12" s="844"/>
      <c r="Q12" s="843">
        <v>0</v>
      </c>
      <c r="R12" s="870"/>
      <c r="S12" s="870"/>
      <c r="T12" s="844"/>
    </row>
    <row r="13" spans="1:20">
      <c r="A13" s="1052" t="s">
        <v>192</v>
      </c>
      <c r="B13" s="1063"/>
      <c r="C13" s="1063"/>
      <c r="D13" s="1063"/>
      <c r="E13" s="1063"/>
      <c r="F13" s="1064"/>
      <c r="G13" s="843" t="s">
        <v>1416</v>
      </c>
      <c r="H13" s="870"/>
      <c r="I13" s="844"/>
      <c r="J13" s="843" t="s">
        <v>1417</v>
      </c>
      <c r="K13" s="870"/>
      <c r="L13" s="844"/>
      <c r="M13" s="843" t="s">
        <v>1418</v>
      </c>
      <c r="N13" s="870"/>
      <c r="O13" s="870"/>
      <c r="P13" s="844"/>
      <c r="Q13" s="843"/>
      <c r="R13" s="870"/>
      <c r="S13" s="870"/>
      <c r="T13" s="844"/>
    </row>
    <row r="14" spans="1:20">
      <c r="A14" s="1052" t="s">
        <v>197</v>
      </c>
      <c r="B14" s="1063"/>
      <c r="C14" s="1063"/>
      <c r="D14" s="1063"/>
      <c r="E14" s="1063"/>
      <c r="F14" s="1064"/>
      <c r="G14" s="843">
        <v>0</v>
      </c>
      <c r="H14" s="870"/>
      <c r="I14" s="844"/>
      <c r="J14" s="843">
        <v>0</v>
      </c>
      <c r="K14" s="870"/>
      <c r="L14" s="844"/>
      <c r="M14" s="843">
        <v>0</v>
      </c>
      <c r="N14" s="870"/>
      <c r="O14" s="870"/>
      <c r="P14" s="844"/>
      <c r="Q14" s="843">
        <v>0</v>
      </c>
      <c r="R14" s="870"/>
      <c r="S14" s="870"/>
      <c r="T14" s="844"/>
    </row>
    <row r="15" spans="1:20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0">
      <c r="A16" s="46" t="s">
        <v>1356</v>
      </c>
      <c r="B16" s="46"/>
      <c r="C16" s="46"/>
      <c r="D16" s="46"/>
      <c r="E16" s="46"/>
      <c r="F16" s="843">
        <v>1</v>
      </c>
      <c r="G16" s="870"/>
      <c r="H16" s="844"/>
      <c r="I16" s="46" t="s">
        <v>1357</v>
      </c>
      <c r="J16" s="46"/>
      <c r="K16" s="46"/>
      <c r="L16" s="843">
        <v>0</v>
      </c>
      <c r="M16" s="870"/>
      <c r="N16" s="844"/>
      <c r="O16" s="46" t="s">
        <v>643</v>
      </c>
      <c r="P16" s="523">
        <v>5</v>
      </c>
      <c r="Q16" s="145" t="s">
        <v>1358</v>
      </c>
      <c r="R16" s="523">
        <v>1</v>
      </c>
      <c r="S16" s="46" t="s">
        <v>1386</v>
      </c>
      <c r="T16" s="523">
        <v>12</v>
      </c>
    </row>
    <row r="17" spans="1:20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>
      <c r="A18" s="46" t="s">
        <v>203</v>
      </c>
      <c r="B18" s="46"/>
      <c r="C18" s="46"/>
      <c r="D18" s="46" t="s">
        <v>204</v>
      </c>
      <c r="F18" s="843">
        <v>49</v>
      </c>
      <c r="G18" s="844"/>
      <c r="H18" s="46" t="s">
        <v>205</v>
      </c>
      <c r="I18" s="47">
        <v>0</v>
      </c>
      <c r="J18" s="46" t="s">
        <v>206</v>
      </c>
      <c r="L18" s="523">
        <v>0</v>
      </c>
      <c r="M18" s="46" t="s">
        <v>230</v>
      </c>
      <c r="O18" s="523">
        <v>49</v>
      </c>
      <c r="P18" s="46" t="s">
        <v>207</v>
      </c>
      <c r="Q18" s="47">
        <v>2</v>
      </c>
      <c r="R18" s="1054" t="s">
        <v>1360</v>
      </c>
      <c r="S18" s="1057"/>
      <c r="T18" s="47">
        <v>7</v>
      </c>
    </row>
    <row r="19" spans="1:20">
      <c r="A19" s="46"/>
      <c r="B19" s="46"/>
      <c r="C19" s="46"/>
      <c r="D19" s="46" t="s">
        <v>210</v>
      </c>
      <c r="F19" s="843">
        <v>197</v>
      </c>
      <c r="G19" s="844"/>
      <c r="H19" s="46" t="s">
        <v>211</v>
      </c>
      <c r="I19" s="47">
        <v>0</v>
      </c>
      <c r="J19" s="46" t="s">
        <v>212</v>
      </c>
      <c r="L19" s="523">
        <v>0</v>
      </c>
      <c r="M19" s="46" t="s">
        <v>411</v>
      </c>
      <c r="O19" s="523">
        <v>197</v>
      </c>
      <c r="Q19" s="48"/>
      <c r="R19" s="46"/>
      <c r="S19" s="46"/>
      <c r="T19" s="46"/>
    </row>
    <row r="20" spans="1:20">
      <c r="A20" s="46"/>
      <c r="B20" s="46"/>
      <c r="C20" s="46"/>
      <c r="D20" s="46" t="s">
        <v>213</v>
      </c>
      <c r="F20" s="843">
        <v>160</v>
      </c>
      <c r="G20" s="844"/>
      <c r="H20" s="172" t="s">
        <v>650</v>
      </c>
      <c r="I20" s="47">
        <v>0</v>
      </c>
      <c r="J20" s="46" t="s">
        <v>215</v>
      </c>
      <c r="L20" s="523">
        <v>0</v>
      </c>
      <c r="M20" s="49" t="s">
        <v>410</v>
      </c>
      <c r="O20" s="523">
        <v>160</v>
      </c>
      <c r="Q20" s="48"/>
      <c r="R20" s="46"/>
      <c r="S20" s="46"/>
      <c r="T20" s="46"/>
    </row>
    <row r="21" spans="1:20">
      <c r="A21" s="163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</row>
    <row r="22" spans="1:20">
      <c r="A22" s="164" t="s">
        <v>216</v>
      </c>
      <c r="B22" s="164"/>
      <c r="C22" s="164"/>
      <c r="D22" s="164"/>
    </row>
    <row r="23" spans="1:20" ht="23.25" customHeight="1">
      <c r="G23" s="1016" t="s">
        <v>1361</v>
      </c>
      <c r="H23" s="1065" t="s">
        <v>1362</v>
      </c>
      <c r="I23" s="1016" t="s">
        <v>1363</v>
      </c>
      <c r="J23" s="1016" t="s">
        <v>1364</v>
      </c>
      <c r="K23" s="843" t="s">
        <v>222</v>
      </c>
      <c r="L23" s="870"/>
      <c r="M23" s="870"/>
      <c r="N23" s="870"/>
      <c r="O23" s="870"/>
      <c r="P23" s="870"/>
      <c r="Q23" s="870"/>
      <c r="R23" s="870"/>
      <c r="S23" s="844"/>
      <c r="T23" s="46"/>
    </row>
    <row r="24" spans="1:20">
      <c r="A24" s="1052" t="s">
        <v>217</v>
      </c>
      <c r="B24" s="1063"/>
      <c r="C24" s="1063"/>
      <c r="D24" s="1063"/>
      <c r="E24" s="1063"/>
      <c r="F24" s="1064"/>
      <c r="G24" s="1017"/>
      <c r="H24" s="1066"/>
      <c r="I24" s="1017"/>
      <c r="J24" s="1017"/>
      <c r="K24" s="47" t="s">
        <v>1365</v>
      </c>
      <c r="L24" s="47" t="s">
        <v>1366</v>
      </c>
      <c r="M24" s="47" t="s">
        <v>1367</v>
      </c>
      <c r="N24" s="47" t="s">
        <v>1368</v>
      </c>
      <c r="O24" s="47" t="s">
        <v>1369</v>
      </c>
      <c r="P24" s="47" t="s">
        <v>1370</v>
      </c>
      <c r="Q24" s="47" t="s">
        <v>1371</v>
      </c>
      <c r="R24" s="47" t="s">
        <v>230</v>
      </c>
      <c r="S24" s="47" t="s">
        <v>231</v>
      </c>
      <c r="T24" s="46"/>
    </row>
    <row r="25" spans="1:20">
      <c r="A25" s="1052" t="s">
        <v>232</v>
      </c>
      <c r="B25" s="1063"/>
      <c r="C25" s="1063"/>
      <c r="D25" s="1063"/>
      <c r="E25" s="1063"/>
      <c r="F25" s="1064"/>
      <c r="G25" s="47">
        <v>8000</v>
      </c>
      <c r="H25" s="47" t="s">
        <v>1175</v>
      </c>
      <c r="I25" s="121">
        <f>+G25*Q4/100000</f>
        <v>48</v>
      </c>
      <c r="J25" s="121">
        <f>4800000/100000</f>
        <v>48</v>
      </c>
      <c r="K25" s="121">
        <v>0</v>
      </c>
      <c r="L25" s="121">
        <f>109684/100000</f>
        <v>1.09684</v>
      </c>
      <c r="M25" s="121">
        <f>470818/100000</f>
        <v>4.7081799999999996</v>
      </c>
      <c r="N25" s="121">
        <f>1593080/100000</f>
        <v>15.9308</v>
      </c>
      <c r="O25" s="121">
        <f>1999379/100000</f>
        <v>19.993790000000001</v>
      </c>
      <c r="P25" s="121">
        <f>660436.79/100000</f>
        <v>6.6043679000000006</v>
      </c>
      <c r="Q25" s="121">
        <v>0</v>
      </c>
      <c r="R25" s="118">
        <f>SUM(L25:Q25)</f>
        <v>48.333977900000001</v>
      </c>
      <c r="S25" s="121">
        <f>R25*100/J25</f>
        <v>100.69578729166666</v>
      </c>
    </row>
    <row r="26" spans="1:20">
      <c r="A26" s="1052" t="s">
        <v>234</v>
      </c>
      <c r="B26" s="1063"/>
      <c r="C26" s="1063"/>
      <c r="D26" s="1063"/>
      <c r="E26" s="1063"/>
      <c r="F26" s="1064"/>
      <c r="G26" s="47">
        <v>7000</v>
      </c>
      <c r="H26" s="47" t="s">
        <v>1175</v>
      </c>
      <c r="I26" s="121">
        <f>+G26*80/100000</f>
        <v>5.6</v>
      </c>
      <c r="J26" s="121">
        <f>560000/100000</f>
        <v>5.6</v>
      </c>
      <c r="K26" s="121">
        <v>0</v>
      </c>
      <c r="L26" s="121">
        <v>0</v>
      </c>
      <c r="M26" s="121">
        <v>0</v>
      </c>
      <c r="N26" s="121">
        <v>0</v>
      </c>
      <c r="O26" s="121">
        <f>282000/100000</f>
        <v>2.82</v>
      </c>
      <c r="P26" s="121">
        <f>278000/100000</f>
        <v>2.78</v>
      </c>
      <c r="Q26" s="121">
        <v>0</v>
      </c>
      <c r="R26" s="118">
        <f t="shared" ref="R26:R32" si="0">SUM(L26:Q26)</f>
        <v>5.6</v>
      </c>
      <c r="S26" s="121">
        <f t="shared" ref="S26:S33" si="1">R26*100/J26</f>
        <v>100</v>
      </c>
    </row>
    <row r="27" spans="1:20">
      <c r="A27" s="1052" t="s">
        <v>1373</v>
      </c>
      <c r="B27" s="1063"/>
      <c r="C27" s="1063"/>
      <c r="D27" s="1063"/>
      <c r="E27" s="1063"/>
      <c r="F27" s="1064"/>
      <c r="G27" s="47">
        <v>43000</v>
      </c>
      <c r="H27" s="47" t="s">
        <v>236</v>
      </c>
      <c r="I27" s="121">
        <f>143000/100000</f>
        <v>1.43</v>
      </c>
      <c r="J27" s="121">
        <f>63000/100000</f>
        <v>0.63</v>
      </c>
      <c r="K27" s="121">
        <v>0</v>
      </c>
      <c r="L27" s="121">
        <v>0</v>
      </c>
      <c r="M27" s="121">
        <v>0</v>
      </c>
      <c r="N27" s="121">
        <f>33000/100000</f>
        <v>0.33</v>
      </c>
      <c r="O27" s="121">
        <v>0</v>
      </c>
      <c r="P27" s="121">
        <f>10000/100000</f>
        <v>0.1</v>
      </c>
      <c r="Q27" s="121">
        <f>10000/100000</f>
        <v>0.1</v>
      </c>
      <c r="R27" s="118">
        <f t="shared" si="0"/>
        <v>0.53</v>
      </c>
      <c r="S27" s="121">
        <f t="shared" si="1"/>
        <v>84.126984126984127</v>
      </c>
    </row>
    <row r="28" spans="1:20">
      <c r="A28" s="1052" t="s">
        <v>237</v>
      </c>
      <c r="B28" s="1063"/>
      <c r="C28" s="1063"/>
      <c r="D28" s="1063"/>
      <c r="E28" s="1063"/>
      <c r="F28" s="1064"/>
      <c r="G28" s="47">
        <v>34000</v>
      </c>
      <c r="H28" s="47" t="s">
        <v>236</v>
      </c>
      <c r="I28" s="121">
        <f>34000/100000</f>
        <v>0.34</v>
      </c>
      <c r="J28" s="121">
        <f>34000/100000</f>
        <v>0.34</v>
      </c>
      <c r="K28" s="121">
        <v>0</v>
      </c>
      <c r="L28" s="121">
        <v>0</v>
      </c>
      <c r="M28" s="121">
        <v>0</v>
      </c>
      <c r="N28" s="121">
        <v>0</v>
      </c>
      <c r="O28" s="121">
        <f>34000/100000</f>
        <v>0.34</v>
      </c>
      <c r="P28" s="121">
        <v>0</v>
      </c>
      <c r="Q28" s="121">
        <v>0</v>
      </c>
      <c r="R28" s="118">
        <f t="shared" si="0"/>
        <v>0.34</v>
      </c>
      <c r="S28" s="121">
        <f t="shared" si="1"/>
        <v>99.999999999999986</v>
      </c>
    </row>
    <row r="29" spans="1:20">
      <c r="A29" s="1052" t="s">
        <v>1374</v>
      </c>
      <c r="B29" s="1063"/>
      <c r="C29" s="1063"/>
      <c r="D29" s="1063"/>
      <c r="E29" s="1063"/>
      <c r="F29" s="1064"/>
      <c r="G29" s="47">
        <v>1200</v>
      </c>
      <c r="H29" s="47" t="s">
        <v>1175</v>
      </c>
      <c r="I29" s="121">
        <f>+G29*Q4/100000</f>
        <v>7.2</v>
      </c>
      <c r="J29" s="121">
        <f>720000/100000</f>
        <v>7.2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f>646490/100000</f>
        <v>6.4649000000000001</v>
      </c>
      <c r="Q29" s="121">
        <f>20000/100000</f>
        <v>0.2</v>
      </c>
      <c r="R29" s="118">
        <f t="shared" si="0"/>
        <v>6.6649000000000003</v>
      </c>
      <c r="S29" s="121">
        <f t="shared" si="1"/>
        <v>92.56805555555556</v>
      </c>
    </row>
    <row r="30" spans="1:20">
      <c r="A30" s="1052" t="s">
        <v>1375</v>
      </c>
      <c r="B30" s="1063"/>
      <c r="C30" s="1063"/>
      <c r="D30" s="1063"/>
      <c r="E30" s="1063"/>
      <c r="F30" s="1064"/>
      <c r="G30" s="47">
        <v>565</v>
      </c>
      <c r="H30" s="47" t="s">
        <v>1175</v>
      </c>
      <c r="I30" s="121">
        <f>+G30*Q4/100000</f>
        <v>3.39</v>
      </c>
      <c r="J30" s="121">
        <f>339000/100000</f>
        <v>3.39</v>
      </c>
      <c r="K30" s="121">
        <v>0</v>
      </c>
      <c r="L30" s="121">
        <v>0</v>
      </c>
      <c r="M30" s="121">
        <f>20000/100000</f>
        <v>0.2</v>
      </c>
      <c r="N30" s="121">
        <f>1710/100000</f>
        <v>1.7100000000000001E-2</v>
      </c>
      <c r="O30" s="121">
        <f>317290/100000</f>
        <v>3.1728999999999998</v>
      </c>
      <c r="P30" s="121">
        <v>0</v>
      </c>
      <c r="Q30" s="121"/>
      <c r="R30" s="121">
        <f t="shared" si="0"/>
        <v>3.3899999999999997</v>
      </c>
      <c r="S30" s="121">
        <f t="shared" si="1"/>
        <v>99.999999999999986</v>
      </c>
    </row>
    <row r="31" spans="1:20">
      <c r="A31" s="1052" t="s">
        <v>1376</v>
      </c>
      <c r="B31" s="1063"/>
      <c r="C31" s="1063"/>
      <c r="D31" s="1063"/>
      <c r="E31" s="1063"/>
      <c r="F31" s="1064"/>
      <c r="G31" s="47">
        <v>1000</v>
      </c>
      <c r="H31" s="47" t="s">
        <v>1175</v>
      </c>
      <c r="I31" s="121">
        <f>+G31*Q4/100000</f>
        <v>6</v>
      </c>
      <c r="J31" s="121">
        <f>600000/100000</f>
        <v>6</v>
      </c>
      <c r="K31" s="121">
        <v>0</v>
      </c>
      <c r="L31" s="121">
        <v>0</v>
      </c>
      <c r="M31" s="121">
        <f>100000/100000</f>
        <v>1</v>
      </c>
      <c r="N31" s="121">
        <v>0</v>
      </c>
      <c r="O31" s="121">
        <v>0</v>
      </c>
      <c r="P31" s="121">
        <f>508124/100000</f>
        <v>5.0812400000000002</v>
      </c>
      <c r="Q31" s="121">
        <v>0</v>
      </c>
      <c r="R31" s="118">
        <f t="shared" si="0"/>
        <v>6.0812400000000002</v>
      </c>
      <c r="S31" s="121">
        <f t="shared" si="1"/>
        <v>101.354</v>
      </c>
    </row>
    <row r="32" spans="1:20">
      <c r="A32" s="1052" t="s">
        <v>394</v>
      </c>
      <c r="B32" s="1063"/>
      <c r="C32" s="1063"/>
      <c r="D32" s="1063"/>
      <c r="E32" s="1063"/>
      <c r="F32" s="1064"/>
      <c r="G32" s="47">
        <v>2750</v>
      </c>
      <c r="H32" s="47" t="s">
        <v>242</v>
      </c>
      <c r="I32" s="121">
        <f>192000/100000</f>
        <v>1.92</v>
      </c>
      <c r="J32" s="121">
        <f>192000/100000</f>
        <v>1.92</v>
      </c>
      <c r="K32" s="121">
        <v>0</v>
      </c>
      <c r="L32" s="121">
        <f>10820/100000</f>
        <v>0.1082</v>
      </c>
      <c r="M32" s="121">
        <f>35542/100000</f>
        <v>0.35542000000000001</v>
      </c>
      <c r="N32" s="121">
        <f>13638/100000</f>
        <v>0.13638</v>
      </c>
      <c r="O32" s="121">
        <f>66000/100000</f>
        <v>0.66</v>
      </c>
      <c r="P32" s="121">
        <f>25623.48/100000</f>
        <v>0.25623479999999998</v>
      </c>
      <c r="Q32" s="121">
        <f>33000/100000</f>
        <v>0.33</v>
      </c>
      <c r="R32" s="121">
        <f t="shared" si="0"/>
        <v>1.8462348000000004</v>
      </c>
      <c r="S32" s="121">
        <f t="shared" si="1"/>
        <v>96.158062500000014</v>
      </c>
    </row>
    <row r="33" spans="1:19">
      <c r="A33" s="1049" t="s">
        <v>230</v>
      </c>
      <c r="B33" s="1050"/>
      <c r="C33" s="1050"/>
      <c r="D33" s="1050"/>
      <c r="E33" s="1050"/>
      <c r="F33" s="1051"/>
      <c r="G33" s="173"/>
      <c r="H33" s="173"/>
      <c r="I33" s="118">
        <f t="shared" ref="I33:R33" si="2">SUM(I25:I32)</f>
        <v>73.88000000000001</v>
      </c>
      <c r="J33" s="118">
        <f t="shared" si="2"/>
        <v>73.080000000000013</v>
      </c>
      <c r="K33" s="118">
        <f t="shared" si="2"/>
        <v>0</v>
      </c>
      <c r="L33" s="118">
        <f t="shared" si="2"/>
        <v>1.2050400000000001</v>
      </c>
      <c r="M33" s="118">
        <f t="shared" si="2"/>
        <v>6.2635999999999994</v>
      </c>
      <c r="N33" s="118">
        <f t="shared" si="2"/>
        <v>16.414279999999998</v>
      </c>
      <c r="O33" s="118">
        <f t="shared" si="2"/>
        <v>26.986689999999999</v>
      </c>
      <c r="P33" s="118">
        <f t="shared" si="2"/>
        <v>21.286742700000001</v>
      </c>
      <c r="Q33" s="118">
        <f t="shared" si="2"/>
        <v>0.63000000000000012</v>
      </c>
      <c r="R33" s="118">
        <f t="shared" si="2"/>
        <v>72.786352700000009</v>
      </c>
      <c r="S33" s="118">
        <f t="shared" si="1"/>
        <v>99.598183771209619</v>
      </c>
    </row>
  </sheetData>
  <mergeCells count="50">
    <mergeCell ref="E4:H4"/>
    <mergeCell ref="L4:N4"/>
    <mergeCell ref="E6:H6"/>
    <mergeCell ref="L6:M6"/>
    <mergeCell ref="A8:D8"/>
    <mergeCell ref="E8:H8"/>
    <mergeCell ref="I8:K8"/>
    <mergeCell ref="L8:R8"/>
    <mergeCell ref="A5:C5"/>
    <mergeCell ref="A12:F12"/>
    <mergeCell ref="G12:I12"/>
    <mergeCell ref="J12:L12"/>
    <mergeCell ref="M12:P12"/>
    <mergeCell ref="Q12:T12"/>
    <mergeCell ref="A11:F11"/>
    <mergeCell ref="G11:I11"/>
    <mergeCell ref="J11:L11"/>
    <mergeCell ref="M11:P11"/>
    <mergeCell ref="Q11:T11"/>
    <mergeCell ref="A14:F14"/>
    <mergeCell ref="G14:I14"/>
    <mergeCell ref="J14:L14"/>
    <mergeCell ref="M14:P14"/>
    <mergeCell ref="Q14:T14"/>
    <mergeCell ref="A13:F13"/>
    <mergeCell ref="G13:I13"/>
    <mergeCell ref="J13:L13"/>
    <mergeCell ref="M13:P13"/>
    <mergeCell ref="Q13:T13"/>
    <mergeCell ref="A24:F24"/>
    <mergeCell ref="F16:H16"/>
    <mergeCell ref="L16:N16"/>
    <mergeCell ref="F18:G18"/>
    <mergeCell ref="R18:S18"/>
    <mergeCell ref="F19:G19"/>
    <mergeCell ref="F20:G20"/>
    <mergeCell ref="G23:G24"/>
    <mergeCell ref="H23:H24"/>
    <mergeCell ref="I23:I24"/>
    <mergeCell ref="J23:J24"/>
    <mergeCell ref="K23:S23"/>
    <mergeCell ref="A31:F31"/>
    <mergeCell ref="A32:F32"/>
    <mergeCell ref="A33:F33"/>
    <mergeCell ref="A25:F25"/>
    <mergeCell ref="A26:F26"/>
    <mergeCell ref="A27:F27"/>
    <mergeCell ref="A28:F28"/>
    <mergeCell ref="A29:F29"/>
    <mergeCell ref="A30:F30"/>
  </mergeCells>
  <hyperlinks>
    <hyperlink ref="A5" location="'Fact Sheet of VDC'!A1" display="&lt;&lt;Back"/>
  </hyperlinks>
  <pageMargins left="0.7" right="0.7" top="0.75" bottom="0.75" header="0.3" footer="0.3"/>
  <pageSetup paperSize="9" scale="59" orientation="landscape" r:id="rId1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U33"/>
  <sheetViews>
    <sheetView workbookViewId="0">
      <selection activeCell="A3" sqref="A3:C3"/>
    </sheetView>
  </sheetViews>
  <sheetFormatPr defaultRowHeight="15"/>
  <cols>
    <col min="6" max="6" width="4.140625" customWidth="1"/>
    <col min="7" max="7" width="9.28515625" bestFit="1" customWidth="1"/>
    <col min="9" max="9" width="10.85546875" customWidth="1"/>
    <col min="10" max="10" width="9.42578125" bestFit="1" customWidth="1"/>
    <col min="11" max="17" width="9.28515625" bestFit="1" customWidth="1"/>
    <col min="18" max="18" width="10.5703125" customWidth="1"/>
    <col min="262" max="262" width="4.140625" customWidth="1"/>
    <col min="263" max="263" width="9.28515625" bestFit="1" customWidth="1"/>
    <col min="265" max="265" width="10.85546875" customWidth="1"/>
    <col min="266" max="266" width="9.42578125" bestFit="1" customWidth="1"/>
    <col min="267" max="273" width="9.28515625" bestFit="1" customWidth="1"/>
    <col min="274" max="274" width="10.5703125" customWidth="1"/>
    <col min="518" max="518" width="4.140625" customWidth="1"/>
    <col min="519" max="519" width="9.28515625" bestFit="1" customWidth="1"/>
    <col min="521" max="521" width="10.85546875" customWidth="1"/>
    <col min="522" max="522" width="9.42578125" bestFit="1" customWidth="1"/>
    <col min="523" max="529" width="9.28515625" bestFit="1" customWidth="1"/>
    <col min="530" max="530" width="10.5703125" customWidth="1"/>
    <col min="774" max="774" width="4.140625" customWidth="1"/>
    <col min="775" max="775" width="9.28515625" bestFit="1" customWidth="1"/>
    <col min="777" max="777" width="10.85546875" customWidth="1"/>
    <col min="778" max="778" width="9.42578125" bestFit="1" customWidth="1"/>
    <col min="779" max="785" width="9.28515625" bestFit="1" customWidth="1"/>
    <col min="786" max="786" width="10.5703125" customWidth="1"/>
    <col min="1030" max="1030" width="4.140625" customWidth="1"/>
    <col min="1031" max="1031" width="9.28515625" bestFit="1" customWidth="1"/>
    <col min="1033" max="1033" width="10.85546875" customWidth="1"/>
    <col min="1034" max="1034" width="9.42578125" bestFit="1" customWidth="1"/>
    <col min="1035" max="1041" width="9.28515625" bestFit="1" customWidth="1"/>
    <col min="1042" max="1042" width="10.5703125" customWidth="1"/>
    <col min="1286" max="1286" width="4.140625" customWidth="1"/>
    <col min="1287" max="1287" width="9.28515625" bestFit="1" customWidth="1"/>
    <col min="1289" max="1289" width="10.85546875" customWidth="1"/>
    <col min="1290" max="1290" width="9.42578125" bestFit="1" customWidth="1"/>
    <col min="1291" max="1297" width="9.28515625" bestFit="1" customWidth="1"/>
    <col min="1298" max="1298" width="10.5703125" customWidth="1"/>
    <col min="1542" max="1542" width="4.140625" customWidth="1"/>
    <col min="1543" max="1543" width="9.28515625" bestFit="1" customWidth="1"/>
    <col min="1545" max="1545" width="10.85546875" customWidth="1"/>
    <col min="1546" max="1546" width="9.42578125" bestFit="1" customWidth="1"/>
    <col min="1547" max="1553" width="9.28515625" bestFit="1" customWidth="1"/>
    <col min="1554" max="1554" width="10.5703125" customWidth="1"/>
    <col min="1798" max="1798" width="4.140625" customWidth="1"/>
    <col min="1799" max="1799" width="9.28515625" bestFit="1" customWidth="1"/>
    <col min="1801" max="1801" width="10.85546875" customWidth="1"/>
    <col min="1802" max="1802" width="9.42578125" bestFit="1" customWidth="1"/>
    <col min="1803" max="1809" width="9.28515625" bestFit="1" customWidth="1"/>
    <col min="1810" max="1810" width="10.5703125" customWidth="1"/>
    <col min="2054" max="2054" width="4.140625" customWidth="1"/>
    <col min="2055" max="2055" width="9.28515625" bestFit="1" customWidth="1"/>
    <col min="2057" max="2057" width="10.85546875" customWidth="1"/>
    <col min="2058" max="2058" width="9.42578125" bestFit="1" customWidth="1"/>
    <col min="2059" max="2065" width="9.28515625" bestFit="1" customWidth="1"/>
    <col min="2066" max="2066" width="10.5703125" customWidth="1"/>
    <col min="2310" max="2310" width="4.140625" customWidth="1"/>
    <col min="2311" max="2311" width="9.28515625" bestFit="1" customWidth="1"/>
    <col min="2313" max="2313" width="10.85546875" customWidth="1"/>
    <col min="2314" max="2314" width="9.42578125" bestFit="1" customWidth="1"/>
    <col min="2315" max="2321" width="9.28515625" bestFit="1" customWidth="1"/>
    <col min="2322" max="2322" width="10.5703125" customWidth="1"/>
    <col min="2566" max="2566" width="4.140625" customWidth="1"/>
    <col min="2567" max="2567" width="9.28515625" bestFit="1" customWidth="1"/>
    <col min="2569" max="2569" width="10.85546875" customWidth="1"/>
    <col min="2570" max="2570" width="9.42578125" bestFit="1" customWidth="1"/>
    <col min="2571" max="2577" width="9.28515625" bestFit="1" customWidth="1"/>
    <col min="2578" max="2578" width="10.5703125" customWidth="1"/>
    <col min="2822" max="2822" width="4.140625" customWidth="1"/>
    <col min="2823" max="2823" width="9.28515625" bestFit="1" customWidth="1"/>
    <col min="2825" max="2825" width="10.85546875" customWidth="1"/>
    <col min="2826" max="2826" width="9.42578125" bestFit="1" customWidth="1"/>
    <col min="2827" max="2833" width="9.28515625" bestFit="1" customWidth="1"/>
    <col min="2834" max="2834" width="10.5703125" customWidth="1"/>
    <col min="3078" max="3078" width="4.140625" customWidth="1"/>
    <col min="3079" max="3079" width="9.28515625" bestFit="1" customWidth="1"/>
    <col min="3081" max="3081" width="10.85546875" customWidth="1"/>
    <col min="3082" max="3082" width="9.42578125" bestFit="1" customWidth="1"/>
    <col min="3083" max="3089" width="9.28515625" bestFit="1" customWidth="1"/>
    <col min="3090" max="3090" width="10.5703125" customWidth="1"/>
    <col min="3334" max="3334" width="4.140625" customWidth="1"/>
    <col min="3335" max="3335" width="9.28515625" bestFit="1" customWidth="1"/>
    <col min="3337" max="3337" width="10.85546875" customWidth="1"/>
    <col min="3338" max="3338" width="9.42578125" bestFit="1" customWidth="1"/>
    <col min="3339" max="3345" width="9.28515625" bestFit="1" customWidth="1"/>
    <col min="3346" max="3346" width="10.5703125" customWidth="1"/>
    <col min="3590" max="3590" width="4.140625" customWidth="1"/>
    <col min="3591" max="3591" width="9.28515625" bestFit="1" customWidth="1"/>
    <col min="3593" max="3593" width="10.85546875" customWidth="1"/>
    <col min="3594" max="3594" width="9.42578125" bestFit="1" customWidth="1"/>
    <col min="3595" max="3601" width="9.28515625" bestFit="1" customWidth="1"/>
    <col min="3602" max="3602" width="10.5703125" customWidth="1"/>
    <col min="3846" max="3846" width="4.140625" customWidth="1"/>
    <col min="3847" max="3847" width="9.28515625" bestFit="1" customWidth="1"/>
    <col min="3849" max="3849" width="10.85546875" customWidth="1"/>
    <col min="3850" max="3850" width="9.42578125" bestFit="1" customWidth="1"/>
    <col min="3851" max="3857" width="9.28515625" bestFit="1" customWidth="1"/>
    <col min="3858" max="3858" width="10.5703125" customWidth="1"/>
    <col min="4102" max="4102" width="4.140625" customWidth="1"/>
    <col min="4103" max="4103" width="9.28515625" bestFit="1" customWidth="1"/>
    <col min="4105" max="4105" width="10.85546875" customWidth="1"/>
    <col min="4106" max="4106" width="9.42578125" bestFit="1" customWidth="1"/>
    <col min="4107" max="4113" width="9.28515625" bestFit="1" customWidth="1"/>
    <col min="4114" max="4114" width="10.5703125" customWidth="1"/>
    <col min="4358" max="4358" width="4.140625" customWidth="1"/>
    <col min="4359" max="4359" width="9.28515625" bestFit="1" customWidth="1"/>
    <col min="4361" max="4361" width="10.85546875" customWidth="1"/>
    <col min="4362" max="4362" width="9.42578125" bestFit="1" customWidth="1"/>
    <col min="4363" max="4369" width="9.28515625" bestFit="1" customWidth="1"/>
    <col min="4370" max="4370" width="10.5703125" customWidth="1"/>
    <col min="4614" max="4614" width="4.140625" customWidth="1"/>
    <col min="4615" max="4615" width="9.28515625" bestFit="1" customWidth="1"/>
    <col min="4617" max="4617" width="10.85546875" customWidth="1"/>
    <col min="4618" max="4618" width="9.42578125" bestFit="1" customWidth="1"/>
    <col min="4619" max="4625" width="9.28515625" bestFit="1" customWidth="1"/>
    <col min="4626" max="4626" width="10.5703125" customWidth="1"/>
    <col min="4870" max="4870" width="4.140625" customWidth="1"/>
    <col min="4871" max="4871" width="9.28515625" bestFit="1" customWidth="1"/>
    <col min="4873" max="4873" width="10.85546875" customWidth="1"/>
    <col min="4874" max="4874" width="9.42578125" bestFit="1" customWidth="1"/>
    <col min="4875" max="4881" width="9.28515625" bestFit="1" customWidth="1"/>
    <col min="4882" max="4882" width="10.5703125" customWidth="1"/>
    <col min="5126" max="5126" width="4.140625" customWidth="1"/>
    <col min="5127" max="5127" width="9.28515625" bestFit="1" customWidth="1"/>
    <col min="5129" max="5129" width="10.85546875" customWidth="1"/>
    <col min="5130" max="5130" width="9.42578125" bestFit="1" customWidth="1"/>
    <col min="5131" max="5137" width="9.28515625" bestFit="1" customWidth="1"/>
    <col min="5138" max="5138" width="10.5703125" customWidth="1"/>
    <col min="5382" max="5382" width="4.140625" customWidth="1"/>
    <col min="5383" max="5383" width="9.28515625" bestFit="1" customWidth="1"/>
    <col min="5385" max="5385" width="10.85546875" customWidth="1"/>
    <col min="5386" max="5386" width="9.42578125" bestFit="1" customWidth="1"/>
    <col min="5387" max="5393" width="9.28515625" bestFit="1" customWidth="1"/>
    <col min="5394" max="5394" width="10.5703125" customWidth="1"/>
    <col min="5638" max="5638" width="4.140625" customWidth="1"/>
    <col min="5639" max="5639" width="9.28515625" bestFit="1" customWidth="1"/>
    <col min="5641" max="5641" width="10.85546875" customWidth="1"/>
    <col min="5642" max="5642" width="9.42578125" bestFit="1" customWidth="1"/>
    <col min="5643" max="5649" width="9.28515625" bestFit="1" customWidth="1"/>
    <col min="5650" max="5650" width="10.5703125" customWidth="1"/>
    <col min="5894" max="5894" width="4.140625" customWidth="1"/>
    <col min="5895" max="5895" width="9.28515625" bestFit="1" customWidth="1"/>
    <col min="5897" max="5897" width="10.85546875" customWidth="1"/>
    <col min="5898" max="5898" width="9.42578125" bestFit="1" customWidth="1"/>
    <col min="5899" max="5905" width="9.28515625" bestFit="1" customWidth="1"/>
    <col min="5906" max="5906" width="10.5703125" customWidth="1"/>
    <col min="6150" max="6150" width="4.140625" customWidth="1"/>
    <col min="6151" max="6151" width="9.28515625" bestFit="1" customWidth="1"/>
    <col min="6153" max="6153" width="10.85546875" customWidth="1"/>
    <col min="6154" max="6154" width="9.42578125" bestFit="1" customWidth="1"/>
    <col min="6155" max="6161" width="9.28515625" bestFit="1" customWidth="1"/>
    <col min="6162" max="6162" width="10.5703125" customWidth="1"/>
    <col min="6406" max="6406" width="4.140625" customWidth="1"/>
    <col min="6407" max="6407" width="9.28515625" bestFit="1" customWidth="1"/>
    <col min="6409" max="6409" width="10.85546875" customWidth="1"/>
    <col min="6410" max="6410" width="9.42578125" bestFit="1" customWidth="1"/>
    <col min="6411" max="6417" width="9.28515625" bestFit="1" customWidth="1"/>
    <col min="6418" max="6418" width="10.5703125" customWidth="1"/>
    <col min="6662" max="6662" width="4.140625" customWidth="1"/>
    <col min="6663" max="6663" width="9.28515625" bestFit="1" customWidth="1"/>
    <col min="6665" max="6665" width="10.85546875" customWidth="1"/>
    <col min="6666" max="6666" width="9.42578125" bestFit="1" customWidth="1"/>
    <col min="6667" max="6673" width="9.28515625" bestFit="1" customWidth="1"/>
    <col min="6674" max="6674" width="10.5703125" customWidth="1"/>
    <col min="6918" max="6918" width="4.140625" customWidth="1"/>
    <col min="6919" max="6919" width="9.28515625" bestFit="1" customWidth="1"/>
    <col min="6921" max="6921" width="10.85546875" customWidth="1"/>
    <col min="6922" max="6922" width="9.42578125" bestFit="1" customWidth="1"/>
    <col min="6923" max="6929" width="9.28515625" bestFit="1" customWidth="1"/>
    <col min="6930" max="6930" width="10.5703125" customWidth="1"/>
    <col min="7174" max="7174" width="4.140625" customWidth="1"/>
    <col min="7175" max="7175" width="9.28515625" bestFit="1" customWidth="1"/>
    <col min="7177" max="7177" width="10.85546875" customWidth="1"/>
    <col min="7178" max="7178" width="9.42578125" bestFit="1" customWidth="1"/>
    <col min="7179" max="7185" width="9.28515625" bestFit="1" customWidth="1"/>
    <col min="7186" max="7186" width="10.5703125" customWidth="1"/>
    <col min="7430" max="7430" width="4.140625" customWidth="1"/>
    <col min="7431" max="7431" width="9.28515625" bestFit="1" customWidth="1"/>
    <col min="7433" max="7433" width="10.85546875" customWidth="1"/>
    <col min="7434" max="7434" width="9.42578125" bestFit="1" customWidth="1"/>
    <col min="7435" max="7441" width="9.28515625" bestFit="1" customWidth="1"/>
    <col min="7442" max="7442" width="10.5703125" customWidth="1"/>
    <col min="7686" max="7686" width="4.140625" customWidth="1"/>
    <col min="7687" max="7687" width="9.28515625" bestFit="1" customWidth="1"/>
    <col min="7689" max="7689" width="10.85546875" customWidth="1"/>
    <col min="7690" max="7690" width="9.42578125" bestFit="1" customWidth="1"/>
    <col min="7691" max="7697" width="9.28515625" bestFit="1" customWidth="1"/>
    <col min="7698" max="7698" width="10.5703125" customWidth="1"/>
    <col min="7942" max="7942" width="4.140625" customWidth="1"/>
    <col min="7943" max="7943" width="9.28515625" bestFit="1" customWidth="1"/>
    <col min="7945" max="7945" width="10.85546875" customWidth="1"/>
    <col min="7946" max="7946" width="9.42578125" bestFit="1" customWidth="1"/>
    <col min="7947" max="7953" width="9.28515625" bestFit="1" customWidth="1"/>
    <col min="7954" max="7954" width="10.5703125" customWidth="1"/>
    <col min="8198" max="8198" width="4.140625" customWidth="1"/>
    <col min="8199" max="8199" width="9.28515625" bestFit="1" customWidth="1"/>
    <col min="8201" max="8201" width="10.85546875" customWidth="1"/>
    <col min="8202" max="8202" width="9.42578125" bestFit="1" customWidth="1"/>
    <col min="8203" max="8209" width="9.28515625" bestFit="1" customWidth="1"/>
    <col min="8210" max="8210" width="10.5703125" customWidth="1"/>
    <col min="8454" max="8454" width="4.140625" customWidth="1"/>
    <col min="8455" max="8455" width="9.28515625" bestFit="1" customWidth="1"/>
    <col min="8457" max="8457" width="10.85546875" customWidth="1"/>
    <col min="8458" max="8458" width="9.42578125" bestFit="1" customWidth="1"/>
    <col min="8459" max="8465" width="9.28515625" bestFit="1" customWidth="1"/>
    <col min="8466" max="8466" width="10.5703125" customWidth="1"/>
    <col min="8710" max="8710" width="4.140625" customWidth="1"/>
    <col min="8711" max="8711" width="9.28515625" bestFit="1" customWidth="1"/>
    <col min="8713" max="8713" width="10.85546875" customWidth="1"/>
    <col min="8714" max="8714" width="9.42578125" bestFit="1" customWidth="1"/>
    <col min="8715" max="8721" width="9.28515625" bestFit="1" customWidth="1"/>
    <col min="8722" max="8722" width="10.5703125" customWidth="1"/>
    <col min="8966" max="8966" width="4.140625" customWidth="1"/>
    <col min="8967" max="8967" width="9.28515625" bestFit="1" customWidth="1"/>
    <col min="8969" max="8969" width="10.85546875" customWidth="1"/>
    <col min="8970" max="8970" width="9.42578125" bestFit="1" customWidth="1"/>
    <col min="8971" max="8977" width="9.28515625" bestFit="1" customWidth="1"/>
    <col min="8978" max="8978" width="10.5703125" customWidth="1"/>
    <col min="9222" max="9222" width="4.140625" customWidth="1"/>
    <col min="9223" max="9223" width="9.28515625" bestFit="1" customWidth="1"/>
    <col min="9225" max="9225" width="10.85546875" customWidth="1"/>
    <col min="9226" max="9226" width="9.42578125" bestFit="1" customWidth="1"/>
    <col min="9227" max="9233" width="9.28515625" bestFit="1" customWidth="1"/>
    <col min="9234" max="9234" width="10.5703125" customWidth="1"/>
    <col min="9478" max="9478" width="4.140625" customWidth="1"/>
    <col min="9479" max="9479" width="9.28515625" bestFit="1" customWidth="1"/>
    <col min="9481" max="9481" width="10.85546875" customWidth="1"/>
    <col min="9482" max="9482" width="9.42578125" bestFit="1" customWidth="1"/>
    <col min="9483" max="9489" width="9.28515625" bestFit="1" customWidth="1"/>
    <col min="9490" max="9490" width="10.5703125" customWidth="1"/>
    <col min="9734" max="9734" width="4.140625" customWidth="1"/>
    <col min="9735" max="9735" width="9.28515625" bestFit="1" customWidth="1"/>
    <col min="9737" max="9737" width="10.85546875" customWidth="1"/>
    <col min="9738" max="9738" width="9.42578125" bestFit="1" customWidth="1"/>
    <col min="9739" max="9745" width="9.28515625" bestFit="1" customWidth="1"/>
    <col min="9746" max="9746" width="10.5703125" customWidth="1"/>
    <col min="9990" max="9990" width="4.140625" customWidth="1"/>
    <col min="9991" max="9991" width="9.28515625" bestFit="1" customWidth="1"/>
    <col min="9993" max="9993" width="10.85546875" customWidth="1"/>
    <col min="9994" max="9994" width="9.42578125" bestFit="1" customWidth="1"/>
    <col min="9995" max="10001" width="9.28515625" bestFit="1" customWidth="1"/>
    <col min="10002" max="10002" width="10.5703125" customWidth="1"/>
    <col min="10246" max="10246" width="4.140625" customWidth="1"/>
    <col min="10247" max="10247" width="9.28515625" bestFit="1" customWidth="1"/>
    <col min="10249" max="10249" width="10.85546875" customWidth="1"/>
    <col min="10250" max="10250" width="9.42578125" bestFit="1" customWidth="1"/>
    <col min="10251" max="10257" width="9.28515625" bestFit="1" customWidth="1"/>
    <col min="10258" max="10258" width="10.5703125" customWidth="1"/>
    <col min="10502" max="10502" width="4.140625" customWidth="1"/>
    <col min="10503" max="10503" width="9.28515625" bestFit="1" customWidth="1"/>
    <col min="10505" max="10505" width="10.85546875" customWidth="1"/>
    <col min="10506" max="10506" width="9.42578125" bestFit="1" customWidth="1"/>
    <col min="10507" max="10513" width="9.28515625" bestFit="1" customWidth="1"/>
    <col min="10514" max="10514" width="10.5703125" customWidth="1"/>
    <col min="10758" max="10758" width="4.140625" customWidth="1"/>
    <col min="10759" max="10759" width="9.28515625" bestFit="1" customWidth="1"/>
    <col min="10761" max="10761" width="10.85546875" customWidth="1"/>
    <col min="10762" max="10762" width="9.42578125" bestFit="1" customWidth="1"/>
    <col min="10763" max="10769" width="9.28515625" bestFit="1" customWidth="1"/>
    <col min="10770" max="10770" width="10.5703125" customWidth="1"/>
    <col min="11014" max="11014" width="4.140625" customWidth="1"/>
    <col min="11015" max="11015" width="9.28515625" bestFit="1" customWidth="1"/>
    <col min="11017" max="11017" width="10.85546875" customWidth="1"/>
    <col min="11018" max="11018" width="9.42578125" bestFit="1" customWidth="1"/>
    <col min="11019" max="11025" width="9.28515625" bestFit="1" customWidth="1"/>
    <col min="11026" max="11026" width="10.5703125" customWidth="1"/>
    <col min="11270" max="11270" width="4.140625" customWidth="1"/>
    <col min="11271" max="11271" width="9.28515625" bestFit="1" customWidth="1"/>
    <col min="11273" max="11273" width="10.85546875" customWidth="1"/>
    <col min="11274" max="11274" width="9.42578125" bestFit="1" customWidth="1"/>
    <col min="11275" max="11281" width="9.28515625" bestFit="1" customWidth="1"/>
    <col min="11282" max="11282" width="10.5703125" customWidth="1"/>
    <col min="11526" max="11526" width="4.140625" customWidth="1"/>
    <col min="11527" max="11527" width="9.28515625" bestFit="1" customWidth="1"/>
    <col min="11529" max="11529" width="10.85546875" customWidth="1"/>
    <col min="11530" max="11530" width="9.42578125" bestFit="1" customWidth="1"/>
    <col min="11531" max="11537" width="9.28515625" bestFit="1" customWidth="1"/>
    <col min="11538" max="11538" width="10.5703125" customWidth="1"/>
    <col min="11782" max="11782" width="4.140625" customWidth="1"/>
    <col min="11783" max="11783" width="9.28515625" bestFit="1" customWidth="1"/>
    <col min="11785" max="11785" width="10.85546875" customWidth="1"/>
    <col min="11786" max="11786" width="9.42578125" bestFit="1" customWidth="1"/>
    <col min="11787" max="11793" width="9.28515625" bestFit="1" customWidth="1"/>
    <col min="11794" max="11794" width="10.5703125" customWidth="1"/>
    <col min="12038" max="12038" width="4.140625" customWidth="1"/>
    <col min="12039" max="12039" width="9.28515625" bestFit="1" customWidth="1"/>
    <col min="12041" max="12041" width="10.85546875" customWidth="1"/>
    <col min="12042" max="12042" width="9.42578125" bestFit="1" customWidth="1"/>
    <col min="12043" max="12049" width="9.28515625" bestFit="1" customWidth="1"/>
    <col min="12050" max="12050" width="10.5703125" customWidth="1"/>
    <col min="12294" max="12294" width="4.140625" customWidth="1"/>
    <col min="12295" max="12295" width="9.28515625" bestFit="1" customWidth="1"/>
    <col min="12297" max="12297" width="10.85546875" customWidth="1"/>
    <col min="12298" max="12298" width="9.42578125" bestFit="1" customWidth="1"/>
    <col min="12299" max="12305" width="9.28515625" bestFit="1" customWidth="1"/>
    <col min="12306" max="12306" width="10.5703125" customWidth="1"/>
    <col min="12550" max="12550" width="4.140625" customWidth="1"/>
    <col min="12551" max="12551" width="9.28515625" bestFit="1" customWidth="1"/>
    <col min="12553" max="12553" width="10.85546875" customWidth="1"/>
    <col min="12554" max="12554" width="9.42578125" bestFit="1" customWidth="1"/>
    <col min="12555" max="12561" width="9.28515625" bestFit="1" customWidth="1"/>
    <col min="12562" max="12562" width="10.5703125" customWidth="1"/>
    <col min="12806" max="12806" width="4.140625" customWidth="1"/>
    <col min="12807" max="12807" width="9.28515625" bestFit="1" customWidth="1"/>
    <col min="12809" max="12809" width="10.85546875" customWidth="1"/>
    <col min="12810" max="12810" width="9.42578125" bestFit="1" customWidth="1"/>
    <col min="12811" max="12817" width="9.28515625" bestFit="1" customWidth="1"/>
    <col min="12818" max="12818" width="10.5703125" customWidth="1"/>
    <col min="13062" max="13062" width="4.140625" customWidth="1"/>
    <col min="13063" max="13063" width="9.28515625" bestFit="1" customWidth="1"/>
    <col min="13065" max="13065" width="10.85546875" customWidth="1"/>
    <col min="13066" max="13066" width="9.42578125" bestFit="1" customWidth="1"/>
    <col min="13067" max="13073" width="9.28515625" bestFit="1" customWidth="1"/>
    <col min="13074" max="13074" width="10.5703125" customWidth="1"/>
    <col min="13318" max="13318" width="4.140625" customWidth="1"/>
    <col min="13319" max="13319" width="9.28515625" bestFit="1" customWidth="1"/>
    <col min="13321" max="13321" width="10.85546875" customWidth="1"/>
    <col min="13322" max="13322" width="9.42578125" bestFit="1" customWidth="1"/>
    <col min="13323" max="13329" width="9.28515625" bestFit="1" customWidth="1"/>
    <col min="13330" max="13330" width="10.5703125" customWidth="1"/>
    <col min="13574" max="13574" width="4.140625" customWidth="1"/>
    <col min="13575" max="13575" width="9.28515625" bestFit="1" customWidth="1"/>
    <col min="13577" max="13577" width="10.85546875" customWidth="1"/>
    <col min="13578" max="13578" width="9.42578125" bestFit="1" customWidth="1"/>
    <col min="13579" max="13585" width="9.28515625" bestFit="1" customWidth="1"/>
    <col min="13586" max="13586" width="10.5703125" customWidth="1"/>
    <col min="13830" max="13830" width="4.140625" customWidth="1"/>
    <col min="13831" max="13831" width="9.28515625" bestFit="1" customWidth="1"/>
    <col min="13833" max="13833" width="10.85546875" customWidth="1"/>
    <col min="13834" max="13834" width="9.42578125" bestFit="1" customWidth="1"/>
    <col min="13835" max="13841" width="9.28515625" bestFit="1" customWidth="1"/>
    <col min="13842" max="13842" width="10.5703125" customWidth="1"/>
    <col min="14086" max="14086" width="4.140625" customWidth="1"/>
    <col min="14087" max="14087" width="9.28515625" bestFit="1" customWidth="1"/>
    <col min="14089" max="14089" width="10.85546875" customWidth="1"/>
    <col min="14090" max="14090" width="9.42578125" bestFit="1" customWidth="1"/>
    <col min="14091" max="14097" width="9.28515625" bestFit="1" customWidth="1"/>
    <col min="14098" max="14098" width="10.5703125" customWidth="1"/>
    <col min="14342" max="14342" width="4.140625" customWidth="1"/>
    <col min="14343" max="14343" width="9.28515625" bestFit="1" customWidth="1"/>
    <col min="14345" max="14345" width="10.85546875" customWidth="1"/>
    <col min="14346" max="14346" width="9.42578125" bestFit="1" customWidth="1"/>
    <col min="14347" max="14353" width="9.28515625" bestFit="1" customWidth="1"/>
    <col min="14354" max="14354" width="10.5703125" customWidth="1"/>
    <col min="14598" max="14598" width="4.140625" customWidth="1"/>
    <col min="14599" max="14599" width="9.28515625" bestFit="1" customWidth="1"/>
    <col min="14601" max="14601" width="10.85546875" customWidth="1"/>
    <col min="14602" max="14602" width="9.42578125" bestFit="1" customWidth="1"/>
    <col min="14603" max="14609" width="9.28515625" bestFit="1" customWidth="1"/>
    <col min="14610" max="14610" width="10.5703125" customWidth="1"/>
    <col min="14854" max="14854" width="4.140625" customWidth="1"/>
    <col min="14855" max="14855" width="9.28515625" bestFit="1" customWidth="1"/>
    <col min="14857" max="14857" width="10.85546875" customWidth="1"/>
    <col min="14858" max="14858" width="9.42578125" bestFit="1" customWidth="1"/>
    <col min="14859" max="14865" width="9.28515625" bestFit="1" customWidth="1"/>
    <col min="14866" max="14866" width="10.5703125" customWidth="1"/>
    <col min="15110" max="15110" width="4.140625" customWidth="1"/>
    <col min="15111" max="15111" width="9.28515625" bestFit="1" customWidth="1"/>
    <col min="15113" max="15113" width="10.85546875" customWidth="1"/>
    <col min="15114" max="15114" width="9.42578125" bestFit="1" customWidth="1"/>
    <col min="15115" max="15121" width="9.28515625" bestFit="1" customWidth="1"/>
    <col min="15122" max="15122" width="10.5703125" customWidth="1"/>
    <col min="15366" max="15366" width="4.140625" customWidth="1"/>
    <col min="15367" max="15367" width="9.28515625" bestFit="1" customWidth="1"/>
    <col min="15369" max="15369" width="10.85546875" customWidth="1"/>
    <col min="15370" max="15370" width="9.42578125" bestFit="1" customWidth="1"/>
    <col min="15371" max="15377" width="9.28515625" bestFit="1" customWidth="1"/>
    <col min="15378" max="15378" width="10.5703125" customWidth="1"/>
    <col min="15622" max="15622" width="4.140625" customWidth="1"/>
    <col min="15623" max="15623" width="9.28515625" bestFit="1" customWidth="1"/>
    <col min="15625" max="15625" width="10.85546875" customWidth="1"/>
    <col min="15626" max="15626" width="9.42578125" bestFit="1" customWidth="1"/>
    <col min="15627" max="15633" width="9.28515625" bestFit="1" customWidth="1"/>
    <col min="15634" max="15634" width="10.5703125" customWidth="1"/>
    <col min="15878" max="15878" width="4.140625" customWidth="1"/>
    <col min="15879" max="15879" width="9.28515625" bestFit="1" customWidth="1"/>
    <col min="15881" max="15881" width="10.85546875" customWidth="1"/>
    <col min="15882" max="15882" width="9.42578125" bestFit="1" customWidth="1"/>
    <col min="15883" max="15889" width="9.28515625" bestFit="1" customWidth="1"/>
    <col min="15890" max="15890" width="10.5703125" customWidth="1"/>
    <col min="16134" max="16134" width="4.140625" customWidth="1"/>
    <col min="16135" max="16135" width="9.28515625" bestFit="1" customWidth="1"/>
    <col min="16137" max="16137" width="10.85546875" customWidth="1"/>
    <col min="16138" max="16138" width="9.42578125" bestFit="1" customWidth="1"/>
    <col min="16139" max="16145" width="9.28515625" bestFit="1" customWidth="1"/>
    <col min="16146" max="16146" width="10.5703125" customWidth="1"/>
  </cols>
  <sheetData>
    <row r="1" spans="1:21" ht="15.75">
      <c r="A1" s="151"/>
      <c r="B1" s="151"/>
      <c r="C1" s="151"/>
      <c r="D1" s="151"/>
      <c r="E1" s="151"/>
      <c r="F1" s="143" t="s">
        <v>167</v>
      </c>
      <c r="G1" s="174"/>
      <c r="H1" s="174"/>
      <c r="I1" s="174"/>
      <c r="J1" s="174"/>
      <c r="K1" s="174"/>
      <c r="L1" s="174"/>
      <c r="M1" s="151"/>
      <c r="N1" s="151"/>
      <c r="O1" s="151"/>
      <c r="P1" s="151"/>
      <c r="Q1" s="151"/>
      <c r="R1" s="151"/>
      <c r="S1" s="151"/>
      <c r="T1" s="151"/>
      <c r="U1" s="151"/>
    </row>
    <row r="2" spans="1:21" ht="15.75">
      <c r="A2" s="151"/>
      <c r="B2" s="151"/>
      <c r="C2" s="151"/>
      <c r="D2" s="151"/>
      <c r="E2" s="151"/>
      <c r="F2" s="151"/>
      <c r="G2" s="151"/>
      <c r="H2" s="151"/>
      <c r="I2" s="143" t="s">
        <v>1335</v>
      </c>
      <c r="J2" s="174"/>
      <c r="K2" s="174"/>
      <c r="L2" s="151"/>
      <c r="M2" s="151"/>
      <c r="N2" s="151"/>
      <c r="O2" s="151"/>
      <c r="P2" s="151"/>
      <c r="Q2" s="151"/>
      <c r="R2" s="151"/>
      <c r="S2" s="151"/>
      <c r="T2" s="151"/>
      <c r="U2" s="151"/>
    </row>
    <row r="3" spans="1:21">
      <c r="A3" s="808" t="s">
        <v>4176</v>
      </c>
      <c r="B3" s="808"/>
      <c r="C3" s="808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</row>
    <row r="4" spans="1:21">
      <c r="A4" s="151" t="s">
        <v>1336</v>
      </c>
      <c r="B4" s="151"/>
      <c r="C4" s="151"/>
      <c r="D4" s="151"/>
      <c r="E4" s="1073" t="s">
        <v>1419</v>
      </c>
      <c r="F4" s="1073"/>
      <c r="G4" s="1073"/>
      <c r="H4" s="175"/>
      <c r="I4" s="151" t="s">
        <v>171</v>
      </c>
      <c r="J4" s="151"/>
      <c r="K4" s="151"/>
      <c r="L4" s="1040">
        <v>902240101</v>
      </c>
      <c r="M4" s="1042"/>
      <c r="N4" s="151" t="s">
        <v>5</v>
      </c>
      <c r="O4" s="151"/>
      <c r="P4" s="176">
        <v>550</v>
      </c>
      <c r="Q4" s="142" t="s">
        <v>1338</v>
      </c>
      <c r="R4" s="151"/>
      <c r="S4" s="176" t="s">
        <v>1339</v>
      </c>
      <c r="T4" s="151"/>
      <c r="U4" s="151"/>
    </row>
    <row r="5" spans="1:2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</row>
    <row r="6" spans="1:21">
      <c r="A6" s="151" t="s">
        <v>1340</v>
      </c>
      <c r="B6" s="151"/>
      <c r="C6" s="151"/>
      <c r="D6" s="151"/>
      <c r="E6" s="1073" t="s">
        <v>1420</v>
      </c>
      <c r="F6" s="1073"/>
      <c r="G6" s="1073"/>
      <c r="H6" s="175"/>
      <c r="I6" s="151" t="s">
        <v>1208</v>
      </c>
      <c r="J6" s="151"/>
      <c r="K6" s="151"/>
      <c r="L6" s="1073" t="s">
        <v>1421</v>
      </c>
      <c r="M6" s="1073"/>
      <c r="N6" s="1073"/>
      <c r="O6" s="175"/>
      <c r="P6" s="151"/>
      <c r="Q6" s="151"/>
      <c r="R6" s="151"/>
      <c r="S6" s="151"/>
      <c r="T6" s="151"/>
      <c r="U6" s="151"/>
    </row>
    <row r="7" spans="1:21">
      <c r="A7" s="151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</row>
    <row r="8" spans="1:21">
      <c r="A8" s="1062" t="s">
        <v>178</v>
      </c>
      <c r="B8" s="1062"/>
      <c r="C8" s="1062"/>
      <c r="D8" s="1045"/>
      <c r="E8" s="1073" t="s">
        <v>1269</v>
      </c>
      <c r="F8" s="1073"/>
      <c r="G8" s="1073"/>
      <c r="H8" s="175"/>
      <c r="I8" s="1045" t="s">
        <v>1344</v>
      </c>
      <c r="J8" s="1045"/>
      <c r="K8" s="1045"/>
      <c r="L8" s="1073" t="s">
        <v>1269</v>
      </c>
      <c r="M8" s="1073"/>
      <c r="N8" s="175"/>
      <c r="O8" s="175"/>
      <c r="P8" s="175"/>
      <c r="Q8" s="175"/>
      <c r="R8" s="151"/>
      <c r="S8" s="151"/>
      <c r="T8" s="151"/>
      <c r="U8" s="151"/>
    </row>
    <row r="9" spans="1:21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75"/>
      <c r="M9" s="175"/>
      <c r="N9" s="175"/>
      <c r="O9" s="175"/>
      <c r="P9" s="175"/>
      <c r="Q9" s="175"/>
      <c r="R9" s="151"/>
      <c r="S9" s="151"/>
      <c r="T9" s="151"/>
      <c r="U9" s="151"/>
    </row>
    <row r="10" spans="1:21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</row>
    <row r="11" spans="1:21">
      <c r="A11" s="1067" t="s">
        <v>838</v>
      </c>
      <c r="B11" s="1067"/>
      <c r="C11" s="1067"/>
      <c r="D11" s="1067"/>
      <c r="E11" s="1067"/>
      <c r="F11" s="1067"/>
      <c r="G11" s="1073" t="s">
        <v>1419</v>
      </c>
      <c r="H11" s="1073"/>
      <c r="I11" s="1073"/>
      <c r="J11" s="1073">
        <v>0</v>
      </c>
      <c r="K11" s="1073"/>
      <c r="L11" s="1073"/>
      <c r="M11" s="1073">
        <v>0</v>
      </c>
      <c r="N11" s="1073"/>
      <c r="O11" s="1073"/>
      <c r="P11" s="1073"/>
      <c r="Q11" s="1073">
        <v>0</v>
      </c>
      <c r="R11" s="1073"/>
      <c r="S11" s="1073"/>
      <c r="T11" s="1073"/>
      <c r="U11" s="151"/>
    </row>
    <row r="12" spans="1:21">
      <c r="A12" s="1067" t="s">
        <v>1346</v>
      </c>
      <c r="B12" s="1067"/>
      <c r="C12" s="1067"/>
      <c r="D12" s="1067"/>
      <c r="E12" s="1067"/>
      <c r="F12" s="1067"/>
      <c r="G12" s="1073">
        <v>0</v>
      </c>
      <c r="H12" s="1073"/>
      <c r="I12" s="1073"/>
      <c r="J12" s="1073">
        <v>0</v>
      </c>
      <c r="K12" s="1073"/>
      <c r="L12" s="1073"/>
      <c r="M12" s="1073">
        <v>0</v>
      </c>
      <c r="N12" s="1073"/>
      <c r="O12" s="1073"/>
      <c r="P12" s="1073"/>
      <c r="Q12" s="1073">
        <v>0</v>
      </c>
      <c r="R12" s="1073"/>
      <c r="S12" s="1073"/>
      <c r="T12" s="1073"/>
      <c r="U12" s="151"/>
    </row>
    <row r="13" spans="1:21">
      <c r="A13" s="1067" t="s">
        <v>192</v>
      </c>
      <c r="B13" s="1067"/>
      <c r="C13" s="1067"/>
      <c r="D13" s="1067"/>
      <c r="E13" s="1067"/>
      <c r="F13" s="1067"/>
      <c r="G13" s="1073" t="s">
        <v>1422</v>
      </c>
      <c r="H13" s="1073"/>
      <c r="I13" s="1073"/>
      <c r="J13" s="1073" t="s">
        <v>1423</v>
      </c>
      <c r="K13" s="1073"/>
      <c r="L13" s="1073"/>
      <c r="M13" s="1073" t="s">
        <v>1424</v>
      </c>
      <c r="N13" s="1073"/>
      <c r="O13" s="1073"/>
      <c r="P13" s="1073"/>
      <c r="Q13" s="1073"/>
      <c r="R13" s="1073"/>
      <c r="S13" s="1073"/>
      <c r="T13" s="1073"/>
      <c r="U13" s="151"/>
    </row>
    <row r="14" spans="1:21">
      <c r="A14" s="1067" t="s">
        <v>197</v>
      </c>
      <c r="B14" s="1067"/>
      <c r="C14" s="1067"/>
      <c r="D14" s="1067"/>
      <c r="E14" s="1067"/>
      <c r="F14" s="1067"/>
      <c r="G14" s="1073">
        <v>0</v>
      </c>
      <c r="H14" s="1073"/>
      <c r="I14" s="1073"/>
      <c r="J14" s="1073">
        <v>0</v>
      </c>
      <c r="K14" s="1073"/>
      <c r="L14" s="1073"/>
      <c r="M14" s="1073">
        <v>0</v>
      </c>
      <c r="N14" s="1073"/>
      <c r="O14" s="1073"/>
      <c r="P14" s="1073"/>
      <c r="Q14" s="1073">
        <v>0</v>
      </c>
      <c r="R14" s="1073"/>
      <c r="S14" s="1073"/>
      <c r="T14" s="1073"/>
      <c r="U14" s="151"/>
    </row>
    <row r="15" spans="1:21">
      <c r="A15" s="151"/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</row>
    <row r="16" spans="1:21">
      <c r="A16" s="151" t="s">
        <v>1356</v>
      </c>
      <c r="B16" s="151"/>
      <c r="C16" s="151"/>
      <c r="D16" s="151"/>
      <c r="E16" s="151"/>
      <c r="F16" s="1073">
        <v>1</v>
      </c>
      <c r="G16" s="1073"/>
      <c r="H16" s="1073"/>
      <c r="I16" s="151" t="s">
        <v>1357</v>
      </c>
      <c r="J16" s="151"/>
      <c r="K16" s="151"/>
      <c r="L16" s="1040">
        <v>0</v>
      </c>
      <c r="M16" s="1042"/>
      <c r="N16" s="151" t="s">
        <v>643</v>
      </c>
      <c r="O16" s="151"/>
      <c r="P16" s="177">
        <v>11</v>
      </c>
      <c r="Q16" s="151" t="s">
        <v>1358</v>
      </c>
      <c r="R16" s="177">
        <v>1</v>
      </c>
      <c r="S16" s="151" t="s">
        <v>1386</v>
      </c>
      <c r="T16" s="177">
        <v>10</v>
      </c>
      <c r="U16" s="151"/>
    </row>
    <row r="17" spans="1:21">
      <c r="A17" s="151"/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</row>
    <row r="18" spans="1:21">
      <c r="A18" s="151" t="s">
        <v>203</v>
      </c>
      <c r="B18" s="151"/>
      <c r="C18" s="151"/>
      <c r="D18" s="151"/>
      <c r="E18" s="151" t="s">
        <v>204</v>
      </c>
      <c r="F18" s="151"/>
      <c r="G18" s="1073">
        <v>157</v>
      </c>
      <c r="H18" s="1073"/>
      <c r="I18" s="151" t="s">
        <v>205</v>
      </c>
      <c r="J18" s="176">
        <v>0</v>
      </c>
      <c r="K18" s="151" t="s">
        <v>206</v>
      </c>
      <c r="L18" s="151"/>
      <c r="M18" s="1073">
        <v>0</v>
      </c>
      <c r="N18" s="1073"/>
      <c r="O18" s="151" t="s">
        <v>230</v>
      </c>
      <c r="P18" s="177">
        <v>157</v>
      </c>
      <c r="Q18" s="151" t="s">
        <v>207</v>
      </c>
      <c r="R18" s="176">
        <v>15</v>
      </c>
      <c r="S18" s="1074" t="s">
        <v>1360</v>
      </c>
      <c r="T18" s="1075"/>
      <c r="U18" s="177">
        <v>27</v>
      </c>
    </row>
    <row r="19" spans="1:21">
      <c r="A19" s="151"/>
      <c r="B19" s="151"/>
      <c r="C19" s="151"/>
      <c r="D19" s="151"/>
      <c r="E19" s="151" t="s">
        <v>210</v>
      </c>
      <c r="F19" s="151"/>
      <c r="G19" s="1073">
        <v>509</v>
      </c>
      <c r="H19" s="1073"/>
      <c r="I19" s="151" t="s">
        <v>211</v>
      </c>
      <c r="J19" s="176">
        <v>0</v>
      </c>
      <c r="K19" s="151" t="s">
        <v>212</v>
      </c>
      <c r="L19" s="151"/>
      <c r="M19" s="1073">
        <v>0</v>
      </c>
      <c r="N19" s="1073"/>
      <c r="O19" s="151" t="s">
        <v>411</v>
      </c>
      <c r="P19" s="177">
        <v>509</v>
      </c>
      <c r="Q19" s="175"/>
      <c r="R19" s="151"/>
      <c r="S19" s="151"/>
      <c r="T19" s="151"/>
      <c r="U19" s="151"/>
    </row>
    <row r="20" spans="1:21">
      <c r="A20" s="151"/>
      <c r="B20" s="151"/>
      <c r="C20" s="151"/>
      <c r="D20" s="151"/>
      <c r="E20" s="151" t="s">
        <v>213</v>
      </c>
      <c r="F20" s="151"/>
      <c r="G20" s="1040">
        <v>522</v>
      </c>
      <c r="H20" s="1042"/>
      <c r="I20" s="178" t="s">
        <v>650</v>
      </c>
      <c r="J20" s="176">
        <v>0</v>
      </c>
      <c r="K20" s="151" t="s">
        <v>215</v>
      </c>
      <c r="L20" s="151"/>
      <c r="M20" s="1073">
        <v>0</v>
      </c>
      <c r="N20" s="1073"/>
      <c r="O20" s="178" t="s">
        <v>410</v>
      </c>
      <c r="P20" s="177">
        <v>522</v>
      </c>
      <c r="Q20" s="175"/>
      <c r="R20" s="151"/>
      <c r="S20" s="151"/>
      <c r="T20" s="151"/>
      <c r="U20" s="151"/>
    </row>
    <row r="21" spans="1:21">
      <c r="A21" s="151"/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</row>
    <row r="22" spans="1:21">
      <c r="A22" s="174" t="s">
        <v>216</v>
      </c>
      <c r="B22" s="174"/>
      <c r="C22" s="174"/>
      <c r="D22" s="174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</row>
    <row r="23" spans="1:21">
      <c r="A23" s="151"/>
      <c r="B23" s="151"/>
      <c r="C23" s="151"/>
      <c r="D23" s="151"/>
      <c r="E23" s="151"/>
      <c r="F23" s="151"/>
      <c r="G23" s="1072" t="s">
        <v>1361</v>
      </c>
      <c r="H23" s="1073" t="s">
        <v>1362</v>
      </c>
      <c r="I23" s="1072" t="s">
        <v>1363</v>
      </c>
      <c r="J23" s="1072" t="s">
        <v>1364</v>
      </c>
      <c r="K23" s="1073" t="s">
        <v>222</v>
      </c>
      <c r="L23" s="1073"/>
      <c r="M23" s="1073"/>
      <c r="N23" s="1073"/>
      <c r="O23" s="1073"/>
      <c r="P23" s="1073"/>
      <c r="Q23" s="1073"/>
      <c r="R23" s="1073"/>
      <c r="S23" s="1073"/>
      <c r="T23" s="151"/>
      <c r="U23" s="151"/>
    </row>
    <row r="24" spans="1:21">
      <c r="A24" s="1067" t="s">
        <v>217</v>
      </c>
      <c r="B24" s="1067"/>
      <c r="C24" s="1067"/>
      <c r="D24" s="1067"/>
      <c r="E24" s="1067"/>
      <c r="F24" s="1071"/>
      <c r="G24" s="1072"/>
      <c r="H24" s="1073"/>
      <c r="I24" s="1072"/>
      <c r="J24" s="1072"/>
      <c r="K24" s="176" t="s">
        <v>1365</v>
      </c>
      <c r="L24" s="176" t="s">
        <v>1366</v>
      </c>
      <c r="M24" s="176" t="s">
        <v>1367</v>
      </c>
      <c r="N24" s="176" t="s">
        <v>1368</v>
      </c>
      <c r="O24" s="176" t="s">
        <v>1369</v>
      </c>
      <c r="P24" s="176" t="s">
        <v>1370</v>
      </c>
      <c r="Q24" s="176" t="s">
        <v>1371</v>
      </c>
      <c r="R24" s="176" t="s">
        <v>230</v>
      </c>
      <c r="S24" s="176" t="s">
        <v>231</v>
      </c>
      <c r="T24" s="151"/>
      <c r="U24" s="151"/>
    </row>
    <row r="25" spans="1:21">
      <c r="A25" s="1067" t="s">
        <v>232</v>
      </c>
      <c r="B25" s="1067"/>
      <c r="C25" s="1067"/>
      <c r="D25" s="1067"/>
      <c r="E25" s="1067"/>
      <c r="F25" s="1067"/>
      <c r="G25" s="176">
        <v>8000</v>
      </c>
      <c r="H25" s="176" t="s">
        <v>1175</v>
      </c>
      <c r="I25" s="121">
        <f>+G25*P4/100000</f>
        <v>44</v>
      </c>
      <c r="J25" s="121">
        <f>4400000/100000</f>
        <v>44</v>
      </c>
      <c r="K25" s="165">
        <v>0</v>
      </c>
      <c r="L25" s="121">
        <f>63391/100000</f>
        <v>0.63390999999999997</v>
      </c>
      <c r="M25" s="121">
        <f>881999/100000</f>
        <v>8.8199900000000007</v>
      </c>
      <c r="N25" s="121">
        <f>1345389/100000</f>
        <v>13.453889999999999</v>
      </c>
      <c r="O25" s="121">
        <f>2109221/100000</f>
        <v>21.092210000000001</v>
      </c>
      <c r="P25" s="121">
        <f>-15684.19/100000</f>
        <v>-0.15684190000000001</v>
      </c>
      <c r="Q25" s="121">
        <v>0</v>
      </c>
      <c r="R25" s="118">
        <f>SUM(K25:Q25)</f>
        <v>43.843158099999997</v>
      </c>
      <c r="S25" s="121">
        <f>R25*100/J25</f>
        <v>99.643541136363638</v>
      </c>
      <c r="T25" s="151"/>
      <c r="U25" s="151"/>
    </row>
    <row r="26" spans="1:21">
      <c r="A26" s="1067" t="s">
        <v>234</v>
      </c>
      <c r="B26" s="1067"/>
      <c r="C26" s="1067"/>
      <c r="D26" s="1067"/>
      <c r="E26" s="1067"/>
      <c r="F26" s="1067"/>
      <c r="G26" s="176">
        <v>7000</v>
      </c>
      <c r="H26" s="176" t="s">
        <v>1175</v>
      </c>
      <c r="I26" s="121">
        <f>+G26*80/100000</f>
        <v>5.6</v>
      </c>
      <c r="J26" s="121">
        <f>560000/100000</f>
        <v>5.6</v>
      </c>
      <c r="K26" s="121">
        <v>0</v>
      </c>
      <c r="L26" s="121">
        <v>0</v>
      </c>
      <c r="M26" s="121">
        <v>0</v>
      </c>
      <c r="N26" s="121">
        <v>0</v>
      </c>
      <c r="O26" s="121">
        <f>333960/100000</f>
        <v>3.3395999999999999</v>
      </c>
      <c r="P26" s="121">
        <f>226040/100000</f>
        <v>2.2604000000000002</v>
      </c>
      <c r="Q26" s="121">
        <v>0</v>
      </c>
      <c r="R26" s="118">
        <f t="shared" ref="R26:R32" si="0">SUM(L26:Q26)</f>
        <v>5.6</v>
      </c>
      <c r="S26" s="121">
        <f t="shared" ref="S26:S33" si="1">R26*100/J26</f>
        <v>100</v>
      </c>
      <c r="T26" s="151"/>
      <c r="U26" s="151"/>
    </row>
    <row r="27" spans="1:21">
      <c r="A27" s="1067" t="s">
        <v>1373</v>
      </c>
      <c r="B27" s="1067"/>
      <c r="C27" s="1067"/>
      <c r="D27" s="1067"/>
      <c r="E27" s="1067"/>
      <c r="F27" s="1067"/>
      <c r="G27" s="176">
        <v>43000</v>
      </c>
      <c r="H27" s="176" t="s">
        <v>236</v>
      </c>
      <c r="I27" s="121">
        <f>143000/100000</f>
        <v>1.43</v>
      </c>
      <c r="J27" s="121">
        <f>63000/100000</f>
        <v>0.63</v>
      </c>
      <c r="K27" s="121">
        <v>0</v>
      </c>
      <c r="L27" s="121">
        <v>0</v>
      </c>
      <c r="M27" s="121">
        <v>0</v>
      </c>
      <c r="N27" s="121">
        <f>33000/100000</f>
        <v>0.33</v>
      </c>
      <c r="O27" s="121">
        <v>0</v>
      </c>
      <c r="P27" s="121">
        <f>10000/100000</f>
        <v>0.1</v>
      </c>
      <c r="Q27" s="121">
        <f>10000/100000</f>
        <v>0.1</v>
      </c>
      <c r="R27" s="118">
        <f t="shared" si="0"/>
        <v>0.53</v>
      </c>
      <c r="S27" s="121">
        <f t="shared" si="1"/>
        <v>84.126984126984127</v>
      </c>
      <c r="T27" s="151"/>
      <c r="U27" s="151"/>
    </row>
    <row r="28" spans="1:21">
      <c r="A28" s="1067" t="s">
        <v>237</v>
      </c>
      <c r="B28" s="1067"/>
      <c r="C28" s="1067"/>
      <c r="D28" s="1067"/>
      <c r="E28" s="1067"/>
      <c r="F28" s="1067"/>
      <c r="G28" s="176">
        <v>34000</v>
      </c>
      <c r="H28" s="176" t="s">
        <v>236</v>
      </c>
      <c r="I28" s="121">
        <f>34000/100000</f>
        <v>0.34</v>
      </c>
      <c r="J28" s="121">
        <f>34000/100000</f>
        <v>0.34</v>
      </c>
      <c r="K28" s="121">
        <v>0</v>
      </c>
      <c r="L28" s="121">
        <v>0</v>
      </c>
      <c r="M28" s="121">
        <v>0</v>
      </c>
      <c r="N28" s="121">
        <f>16000/100000</f>
        <v>0.16</v>
      </c>
      <c r="O28" s="121">
        <f>18000/100000</f>
        <v>0.18</v>
      </c>
      <c r="P28" s="121">
        <v>0</v>
      </c>
      <c r="Q28" s="121">
        <v>0</v>
      </c>
      <c r="R28" s="118">
        <f t="shared" si="0"/>
        <v>0.33999999999999997</v>
      </c>
      <c r="S28" s="121">
        <f t="shared" si="1"/>
        <v>99.999999999999986</v>
      </c>
      <c r="T28" s="151"/>
      <c r="U28" s="151"/>
    </row>
    <row r="29" spans="1:21">
      <c r="A29" s="1067" t="s">
        <v>1374</v>
      </c>
      <c r="B29" s="1067"/>
      <c r="C29" s="1067"/>
      <c r="D29" s="1067"/>
      <c r="E29" s="1067"/>
      <c r="F29" s="1067"/>
      <c r="G29" s="176">
        <v>1200</v>
      </c>
      <c r="H29" s="176" t="s">
        <v>1175</v>
      </c>
      <c r="I29" s="121">
        <f>+G29*P4/100000</f>
        <v>6.6</v>
      </c>
      <c r="J29" s="121">
        <f>660000/100000</f>
        <v>6.6</v>
      </c>
      <c r="K29" s="121">
        <v>0</v>
      </c>
      <c r="L29" s="121">
        <v>0</v>
      </c>
      <c r="M29" s="121">
        <v>0</v>
      </c>
      <c r="N29" s="121">
        <v>0</v>
      </c>
      <c r="O29" s="121">
        <f>100900/100000</f>
        <v>1.0089999999999999</v>
      </c>
      <c r="P29" s="121">
        <f>583512/100000</f>
        <v>5.8351199999999999</v>
      </c>
      <c r="Q29" s="121">
        <v>0</v>
      </c>
      <c r="R29" s="118">
        <f t="shared" si="0"/>
        <v>6.8441200000000002</v>
      </c>
      <c r="S29" s="121">
        <f t="shared" si="1"/>
        <v>103.69878787878788</v>
      </c>
      <c r="T29" s="151"/>
      <c r="U29" s="151"/>
    </row>
    <row r="30" spans="1:21">
      <c r="A30" s="1067" t="s">
        <v>1375</v>
      </c>
      <c r="B30" s="1067"/>
      <c r="C30" s="1067"/>
      <c r="D30" s="1067"/>
      <c r="E30" s="1067"/>
      <c r="F30" s="1067"/>
      <c r="G30" s="176">
        <v>565</v>
      </c>
      <c r="H30" s="176" t="s">
        <v>1175</v>
      </c>
      <c r="I30" s="121">
        <f>+G30*P4/100000</f>
        <v>3.1074999999999999</v>
      </c>
      <c r="J30" s="121">
        <f>310750/100000</f>
        <v>3.1074999999999999</v>
      </c>
      <c r="K30" s="121">
        <v>0</v>
      </c>
      <c r="L30" s="121">
        <v>0</v>
      </c>
      <c r="M30" s="121">
        <v>0</v>
      </c>
      <c r="N30" s="121">
        <f>53731/100000</f>
        <v>0.53730999999999995</v>
      </c>
      <c r="O30" s="121">
        <f>257019/100000</f>
        <v>2.5701900000000002</v>
      </c>
      <c r="P30" s="121">
        <v>0</v>
      </c>
      <c r="Q30" s="121">
        <v>0</v>
      </c>
      <c r="R30" s="121">
        <f t="shared" si="0"/>
        <v>3.1074999999999999</v>
      </c>
      <c r="S30" s="121">
        <f t="shared" si="1"/>
        <v>100</v>
      </c>
      <c r="T30" s="151"/>
      <c r="U30" s="151"/>
    </row>
    <row r="31" spans="1:21">
      <c r="A31" s="1067" t="s">
        <v>1376</v>
      </c>
      <c r="B31" s="1067"/>
      <c r="C31" s="1067"/>
      <c r="D31" s="1067"/>
      <c r="E31" s="1067"/>
      <c r="F31" s="1067"/>
      <c r="G31" s="176">
        <v>1000</v>
      </c>
      <c r="H31" s="176" t="s">
        <v>1175</v>
      </c>
      <c r="I31" s="121">
        <f>+G31*P4/100000</f>
        <v>5.5</v>
      </c>
      <c r="J31" s="121">
        <f>550000/100000</f>
        <v>5.5</v>
      </c>
      <c r="K31" s="121">
        <v>0</v>
      </c>
      <c r="L31" s="121">
        <f>80255/100000</f>
        <v>0.80254999999999999</v>
      </c>
      <c r="M31" s="121">
        <f>19745/100000</f>
        <v>0.19744999999999999</v>
      </c>
      <c r="N31" s="121">
        <v>0</v>
      </c>
      <c r="O31" s="121">
        <v>0</v>
      </c>
      <c r="P31" s="121">
        <f>418000/100000</f>
        <v>4.18</v>
      </c>
      <c r="Q31" s="121">
        <f>21000/100000</f>
        <v>0.21</v>
      </c>
      <c r="R31" s="118">
        <f t="shared" si="0"/>
        <v>5.39</v>
      </c>
      <c r="S31" s="121">
        <f t="shared" si="1"/>
        <v>98</v>
      </c>
      <c r="T31" s="151"/>
      <c r="U31" s="151"/>
    </row>
    <row r="32" spans="1:21">
      <c r="A32" s="1067" t="s">
        <v>394</v>
      </c>
      <c r="B32" s="1067"/>
      <c r="C32" s="1067"/>
      <c r="D32" s="1067"/>
      <c r="E32" s="1067"/>
      <c r="F32" s="1067"/>
      <c r="G32" s="176">
        <v>2750</v>
      </c>
      <c r="H32" s="176" t="s">
        <v>242</v>
      </c>
      <c r="I32" s="121">
        <f>175500/100000</f>
        <v>1.7549999999999999</v>
      </c>
      <c r="J32" s="121">
        <f>175500/100000</f>
        <v>1.7549999999999999</v>
      </c>
      <c r="K32" s="121">
        <v>0</v>
      </c>
      <c r="L32" s="121">
        <f>14938/100000</f>
        <v>0.14938000000000001</v>
      </c>
      <c r="M32" s="121">
        <f>21560/100000</f>
        <v>0.21560000000000001</v>
      </c>
      <c r="N32" s="121">
        <f>56502/100000</f>
        <v>0.56501999999999997</v>
      </c>
      <c r="O32" s="121">
        <f>33000/100000</f>
        <v>0.33</v>
      </c>
      <c r="P32" s="121">
        <f>23300/100000</f>
        <v>0.23300000000000001</v>
      </c>
      <c r="Q32" s="121">
        <f>16500/100000</f>
        <v>0.16500000000000001</v>
      </c>
      <c r="R32" s="118">
        <f t="shared" si="0"/>
        <v>1.6580000000000001</v>
      </c>
      <c r="S32" s="121">
        <f t="shared" si="1"/>
        <v>94.472934472934483</v>
      </c>
      <c r="T32" s="151"/>
      <c r="U32" s="151"/>
    </row>
    <row r="33" spans="1:21">
      <c r="A33" s="1068" t="s">
        <v>230</v>
      </c>
      <c r="B33" s="1069"/>
      <c r="C33" s="1069"/>
      <c r="D33" s="1069"/>
      <c r="E33" s="1069"/>
      <c r="F33" s="1070"/>
      <c r="G33" s="179"/>
      <c r="H33" s="179"/>
      <c r="I33" s="118">
        <f>SUM(I25:I32)</f>
        <v>68.33250000000001</v>
      </c>
      <c r="J33" s="118">
        <f>SUM(J25:J32)</f>
        <v>67.532499999999999</v>
      </c>
      <c r="K33" s="118"/>
      <c r="L33" s="118">
        <f t="shared" ref="L33:R33" si="2">SUM(L25:L32)</f>
        <v>1.5858399999999999</v>
      </c>
      <c r="M33" s="118">
        <f t="shared" si="2"/>
        <v>9.2330400000000008</v>
      </c>
      <c r="N33" s="118">
        <f t="shared" si="2"/>
        <v>15.04622</v>
      </c>
      <c r="O33" s="118">
        <f t="shared" si="2"/>
        <v>28.521000000000001</v>
      </c>
      <c r="P33" s="118">
        <f t="shared" si="2"/>
        <v>12.451678100000001</v>
      </c>
      <c r="Q33" s="118">
        <f t="shared" si="2"/>
        <v>0.47499999999999998</v>
      </c>
      <c r="R33" s="118">
        <f t="shared" si="2"/>
        <v>67.312778100000003</v>
      </c>
      <c r="S33" s="118">
        <f t="shared" si="1"/>
        <v>99.674642727575616</v>
      </c>
      <c r="T33" s="151"/>
      <c r="U33" s="151"/>
    </row>
  </sheetData>
  <mergeCells count="53">
    <mergeCell ref="A3:C3"/>
    <mergeCell ref="E4:G4"/>
    <mergeCell ref="L4:M4"/>
    <mergeCell ref="E6:G6"/>
    <mergeCell ref="L6:N6"/>
    <mergeCell ref="A8:D8"/>
    <mergeCell ref="E8:G8"/>
    <mergeCell ref="I8:K8"/>
    <mergeCell ref="L8:M8"/>
    <mergeCell ref="A12:F12"/>
    <mergeCell ref="G12:I12"/>
    <mergeCell ref="J12:L12"/>
    <mergeCell ref="M12:P12"/>
    <mergeCell ref="Q12:T12"/>
    <mergeCell ref="A11:F11"/>
    <mergeCell ref="G11:I11"/>
    <mergeCell ref="J11:L11"/>
    <mergeCell ref="M11:P11"/>
    <mergeCell ref="Q11:T11"/>
    <mergeCell ref="Q13:T13"/>
    <mergeCell ref="A14:F14"/>
    <mergeCell ref="G14:I14"/>
    <mergeCell ref="J14:L14"/>
    <mergeCell ref="M14:P14"/>
    <mergeCell ref="Q14:T14"/>
    <mergeCell ref="A13:F13"/>
    <mergeCell ref="G13:I13"/>
    <mergeCell ref="J13:L13"/>
    <mergeCell ref="M13:P13"/>
    <mergeCell ref="F16:H16"/>
    <mergeCell ref="L16:M16"/>
    <mergeCell ref="S18:T18"/>
    <mergeCell ref="G20:H20"/>
    <mergeCell ref="M20:N20"/>
    <mergeCell ref="G19:H19"/>
    <mergeCell ref="M19:N19"/>
    <mergeCell ref="G18:H18"/>
    <mergeCell ref="M18:N18"/>
    <mergeCell ref="G23:G24"/>
    <mergeCell ref="H23:H24"/>
    <mergeCell ref="I23:I24"/>
    <mergeCell ref="J23:J24"/>
    <mergeCell ref="K23:S23"/>
    <mergeCell ref="A30:F30"/>
    <mergeCell ref="A31:F31"/>
    <mergeCell ref="A32:F32"/>
    <mergeCell ref="A33:F33"/>
    <mergeCell ref="A24:F24"/>
    <mergeCell ref="A25:F25"/>
    <mergeCell ref="A26:F26"/>
    <mergeCell ref="A27:F27"/>
    <mergeCell ref="A28:F28"/>
    <mergeCell ref="A29:F29"/>
  </mergeCells>
  <hyperlinks>
    <hyperlink ref="A3" location="'Fact Sheet of VDC'!A1" display="&lt;&lt;Back"/>
  </hyperlinks>
  <pageMargins left="0.7" right="0.7" top="0.75" bottom="0.75" header="0.3" footer="0.3"/>
  <pageSetup paperSize="9" scale="68" orientation="landscape" r:id="rId1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T33"/>
  <sheetViews>
    <sheetView workbookViewId="0">
      <selection activeCell="A3" sqref="A3:C3"/>
    </sheetView>
  </sheetViews>
  <sheetFormatPr defaultRowHeight="15"/>
  <cols>
    <col min="4" max="4" width="8.140625" customWidth="1"/>
    <col min="5" max="6" width="9.140625" hidden="1" customWidth="1"/>
    <col min="9" max="9" width="10.140625" customWidth="1"/>
    <col min="260" max="260" width="8.140625" customWidth="1"/>
    <col min="261" max="262" width="0" hidden="1" customWidth="1"/>
    <col min="265" max="265" width="10.140625" customWidth="1"/>
    <col min="516" max="516" width="8.140625" customWidth="1"/>
    <col min="517" max="518" width="0" hidden="1" customWidth="1"/>
    <col min="521" max="521" width="10.140625" customWidth="1"/>
    <col min="772" max="772" width="8.140625" customWidth="1"/>
    <col min="773" max="774" width="0" hidden="1" customWidth="1"/>
    <col min="777" max="777" width="10.140625" customWidth="1"/>
    <col min="1028" max="1028" width="8.140625" customWidth="1"/>
    <col min="1029" max="1030" width="0" hidden="1" customWidth="1"/>
    <col min="1033" max="1033" width="10.140625" customWidth="1"/>
    <col min="1284" max="1284" width="8.140625" customWidth="1"/>
    <col min="1285" max="1286" width="0" hidden="1" customWidth="1"/>
    <col min="1289" max="1289" width="10.140625" customWidth="1"/>
    <col min="1540" max="1540" width="8.140625" customWidth="1"/>
    <col min="1541" max="1542" width="0" hidden="1" customWidth="1"/>
    <col min="1545" max="1545" width="10.140625" customWidth="1"/>
    <col min="1796" max="1796" width="8.140625" customWidth="1"/>
    <col min="1797" max="1798" width="0" hidden="1" customWidth="1"/>
    <col min="1801" max="1801" width="10.140625" customWidth="1"/>
    <col min="2052" max="2052" width="8.140625" customWidth="1"/>
    <col min="2053" max="2054" width="0" hidden="1" customWidth="1"/>
    <col min="2057" max="2057" width="10.140625" customWidth="1"/>
    <col min="2308" max="2308" width="8.140625" customWidth="1"/>
    <col min="2309" max="2310" width="0" hidden="1" customWidth="1"/>
    <col min="2313" max="2313" width="10.140625" customWidth="1"/>
    <col min="2564" max="2564" width="8.140625" customWidth="1"/>
    <col min="2565" max="2566" width="0" hidden="1" customWidth="1"/>
    <col min="2569" max="2569" width="10.140625" customWidth="1"/>
    <col min="2820" max="2820" width="8.140625" customWidth="1"/>
    <col min="2821" max="2822" width="0" hidden="1" customWidth="1"/>
    <col min="2825" max="2825" width="10.140625" customWidth="1"/>
    <col min="3076" max="3076" width="8.140625" customWidth="1"/>
    <col min="3077" max="3078" width="0" hidden="1" customWidth="1"/>
    <col min="3081" max="3081" width="10.140625" customWidth="1"/>
    <col min="3332" max="3332" width="8.140625" customWidth="1"/>
    <col min="3333" max="3334" width="0" hidden="1" customWidth="1"/>
    <col min="3337" max="3337" width="10.140625" customWidth="1"/>
    <col min="3588" max="3588" width="8.140625" customWidth="1"/>
    <col min="3589" max="3590" width="0" hidden="1" customWidth="1"/>
    <col min="3593" max="3593" width="10.140625" customWidth="1"/>
    <col min="3844" max="3844" width="8.140625" customWidth="1"/>
    <col min="3845" max="3846" width="0" hidden="1" customWidth="1"/>
    <col min="3849" max="3849" width="10.140625" customWidth="1"/>
    <col min="4100" max="4100" width="8.140625" customWidth="1"/>
    <col min="4101" max="4102" width="0" hidden="1" customWidth="1"/>
    <col min="4105" max="4105" width="10.140625" customWidth="1"/>
    <col min="4356" max="4356" width="8.140625" customWidth="1"/>
    <col min="4357" max="4358" width="0" hidden="1" customWidth="1"/>
    <col min="4361" max="4361" width="10.140625" customWidth="1"/>
    <col min="4612" max="4612" width="8.140625" customWidth="1"/>
    <col min="4613" max="4614" width="0" hidden="1" customWidth="1"/>
    <col min="4617" max="4617" width="10.140625" customWidth="1"/>
    <col min="4868" max="4868" width="8.140625" customWidth="1"/>
    <col min="4869" max="4870" width="0" hidden="1" customWidth="1"/>
    <col min="4873" max="4873" width="10.140625" customWidth="1"/>
    <col min="5124" max="5124" width="8.140625" customWidth="1"/>
    <col min="5125" max="5126" width="0" hidden="1" customWidth="1"/>
    <col min="5129" max="5129" width="10.140625" customWidth="1"/>
    <col min="5380" max="5380" width="8.140625" customWidth="1"/>
    <col min="5381" max="5382" width="0" hidden="1" customWidth="1"/>
    <col min="5385" max="5385" width="10.140625" customWidth="1"/>
    <col min="5636" max="5636" width="8.140625" customWidth="1"/>
    <col min="5637" max="5638" width="0" hidden="1" customWidth="1"/>
    <col min="5641" max="5641" width="10.140625" customWidth="1"/>
    <col min="5892" max="5892" width="8.140625" customWidth="1"/>
    <col min="5893" max="5894" width="0" hidden="1" customWidth="1"/>
    <col min="5897" max="5897" width="10.140625" customWidth="1"/>
    <col min="6148" max="6148" width="8.140625" customWidth="1"/>
    <col min="6149" max="6150" width="0" hidden="1" customWidth="1"/>
    <col min="6153" max="6153" width="10.140625" customWidth="1"/>
    <col min="6404" max="6404" width="8.140625" customWidth="1"/>
    <col min="6405" max="6406" width="0" hidden="1" customWidth="1"/>
    <col min="6409" max="6409" width="10.140625" customWidth="1"/>
    <col min="6660" max="6660" width="8.140625" customWidth="1"/>
    <col min="6661" max="6662" width="0" hidden="1" customWidth="1"/>
    <col min="6665" max="6665" width="10.140625" customWidth="1"/>
    <col min="6916" max="6916" width="8.140625" customWidth="1"/>
    <col min="6917" max="6918" width="0" hidden="1" customWidth="1"/>
    <col min="6921" max="6921" width="10.140625" customWidth="1"/>
    <col min="7172" max="7172" width="8.140625" customWidth="1"/>
    <col min="7173" max="7174" width="0" hidden="1" customWidth="1"/>
    <col min="7177" max="7177" width="10.140625" customWidth="1"/>
    <col min="7428" max="7428" width="8.140625" customWidth="1"/>
    <col min="7429" max="7430" width="0" hidden="1" customWidth="1"/>
    <col min="7433" max="7433" width="10.140625" customWidth="1"/>
    <col min="7684" max="7684" width="8.140625" customWidth="1"/>
    <col min="7685" max="7686" width="0" hidden="1" customWidth="1"/>
    <col min="7689" max="7689" width="10.140625" customWidth="1"/>
    <col min="7940" max="7940" width="8.140625" customWidth="1"/>
    <col min="7941" max="7942" width="0" hidden="1" customWidth="1"/>
    <col min="7945" max="7945" width="10.140625" customWidth="1"/>
    <col min="8196" max="8196" width="8.140625" customWidth="1"/>
    <col min="8197" max="8198" width="0" hidden="1" customWidth="1"/>
    <col min="8201" max="8201" width="10.140625" customWidth="1"/>
    <col min="8452" max="8452" width="8.140625" customWidth="1"/>
    <col min="8453" max="8454" width="0" hidden="1" customWidth="1"/>
    <col min="8457" max="8457" width="10.140625" customWidth="1"/>
    <col min="8708" max="8708" width="8.140625" customWidth="1"/>
    <col min="8709" max="8710" width="0" hidden="1" customWidth="1"/>
    <col min="8713" max="8713" width="10.140625" customWidth="1"/>
    <col min="8964" max="8964" width="8.140625" customWidth="1"/>
    <col min="8965" max="8966" width="0" hidden="1" customWidth="1"/>
    <col min="8969" max="8969" width="10.140625" customWidth="1"/>
    <col min="9220" max="9220" width="8.140625" customWidth="1"/>
    <col min="9221" max="9222" width="0" hidden="1" customWidth="1"/>
    <col min="9225" max="9225" width="10.140625" customWidth="1"/>
    <col min="9476" max="9476" width="8.140625" customWidth="1"/>
    <col min="9477" max="9478" width="0" hidden="1" customWidth="1"/>
    <col min="9481" max="9481" width="10.140625" customWidth="1"/>
    <col min="9732" max="9732" width="8.140625" customWidth="1"/>
    <col min="9733" max="9734" width="0" hidden="1" customWidth="1"/>
    <col min="9737" max="9737" width="10.140625" customWidth="1"/>
    <col min="9988" max="9988" width="8.140625" customWidth="1"/>
    <col min="9989" max="9990" width="0" hidden="1" customWidth="1"/>
    <col min="9993" max="9993" width="10.140625" customWidth="1"/>
    <col min="10244" max="10244" width="8.140625" customWidth="1"/>
    <col min="10245" max="10246" width="0" hidden="1" customWidth="1"/>
    <col min="10249" max="10249" width="10.140625" customWidth="1"/>
    <col min="10500" max="10500" width="8.140625" customWidth="1"/>
    <col min="10501" max="10502" width="0" hidden="1" customWidth="1"/>
    <col min="10505" max="10505" width="10.140625" customWidth="1"/>
    <col min="10756" max="10756" width="8.140625" customWidth="1"/>
    <col min="10757" max="10758" width="0" hidden="1" customWidth="1"/>
    <col min="10761" max="10761" width="10.140625" customWidth="1"/>
    <col min="11012" max="11012" width="8.140625" customWidth="1"/>
    <col min="11013" max="11014" width="0" hidden="1" customWidth="1"/>
    <col min="11017" max="11017" width="10.140625" customWidth="1"/>
    <col min="11268" max="11268" width="8.140625" customWidth="1"/>
    <col min="11269" max="11270" width="0" hidden="1" customWidth="1"/>
    <col min="11273" max="11273" width="10.140625" customWidth="1"/>
    <col min="11524" max="11524" width="8.140625" customWidth="1"/>
    <col min="11525" max="11526" width="0" hidden="1" customWidth="1"/>
    <col min="11529" max="11529" width="10.140625" customWidth="1"/>
    <col min="11780" max="11780" width="8.140625" customWidth="1"/>
    <col min="11781" max="11782" width="0" hidden="1" customWidth="1"/>
    <col min="11785" max="11785" width="10.140625" customWidth="1"/>
    <col min="12036" max="12036" width="8.140625" customWidth="1"/>
    <col min="12037" max="12038" width="0" hidden="1" customWidth="1"/>
    <col min="12041" max="12041" width="10.140625" customWidth="1"/>
    <col min="12292" max="12292" width="8.140625" customWidth="1"/>
    <col min="12293" max="12294" width="0" hidden="1" customWidth="1"/>
    <col min="12297" max="12297" width="10.140625" customWidth="1"/>
    <col min="12548" max="12548" width="8.140625" customWidth="1"/>
    <col min="12549" max="12550" width="0" hidden="1" customWidth="1"/>
    <col min="12553" max="12553" width="10.140625" customWidth="1"/>
    <col min="12804" max="12804" width="8.140625" customWidth="1"/>
    <col min="12805" max="12806" width="0" hidden="1" customWidth="1"/>
    <col min="12809" max="12809" width="10.140625" customWidth="1"/>
    <col min="13060" max="13060" width="8.140625" customWidth="1"/>
    <col min="13061" max="13062" width="0" hidden="1" customWidth="1"/>
    <col min="13065" max="13065" width="10.140625" customWidth="1"/>
    <col min="13316" max="13316" width="8.140625" customWidth="1"/>
    <col min="13317" max="13318" width="0" hidden="1" customWidth="1"/>
    <col min="13321" max="13321" width="10.140625" customWidth="1"/>
    <col min="13572" max="13572" width="8.140625" customWidth="1"/>
    <col min="13573" max="13574" width="0" hidden="1" customWidth="1"/>
    <col min="13577" max="13577" width="10.140625" customWidth="1"/>
    <col min="13828" max="13828" width="8.140625" customWidth="1"/>
    <col min="13829" max="13830" width="0" hidden="1" customWidth="1"/>
    <col min="13833" max="13833" width="10.140625" customWidth="1"/>
    <col min="14084" max="14084" width="8.140625" customWidth="1"/>
    <col min="14085" max="14086" width="0" hidden="1" customWidth="1"/>
    <col min="14089" max="14089" width="10.140625" customWidth="1"/>
    <col min="14340" max="14340" width="8.140625" customWidth="1"/>
    <col min="14341" max="14342" width="0" hidden="1" customWidth="1"/>
    <col min="14345" max="14345" width="10.140625" customWidth="1"/>
    <col min="14596" max="14596" width="8.140625" customWidth="1"/>
    <col min="14597" max="14598" width="0" hidden="1" customWidth="1"/>
    <col min="14601" max="14601" width="10.140625" customWidth="1"/>
    <col min="14852" max="14852" width="8.140625" customWidth="1"/>
    <col min="14853" max="14854" width="0" hidden="1" customWidth="1"/>
    <col min="14857" max="14857" width="10.140625" customWidth="1"/>
    <col min="15108" max="15108" width="8.140625" customWidth="1"/>
    <col min="15109" max="15110" width="0" hidden="1" customWidth="1"/>
    <col min="15113" max="15113" width="10.140625" customWidth="1"/>
    <col min="15364" max="15364" width="8.140625" customWidth="1"/>
    <col min="15365" max="15366" width="0" hidden="1" customWidth="1"/>
    <col min="15369" max="15369" width="10.140625" customWidth="1"/>
    <col min="15620" max="15620" width="8.140625" customWidth="1"/>
    <col min="15621" max="15622" width="0" hidden="1" customWidth="1"/>
    <col min="15625" max="15625" width="10.140625" customWidth="1"/>
    <col min="15876" max="15876" width="8.140625" customWidth="1"/>
    <col min="15877" max="15878" width="0" hidden="1" customWidth="1"/>
    <col min="15881" max="15881" width="10.140625" customWidth="1"/>
    <col min="16132" max="16132" width="8.140625" customWidth="1"/>
    <col min="16133" max="16134" width="0" hidden="1" customWidth="1"/>
    <col min="16137" max="16137" width="10.140625" customWidth="1"/>
  </cols>
  <sheetData>
    <row r="1" spans="1:20" ht="15.75">
      <c r="A1" s="180"/>
      <c r="B1" s="180"/>
      <c r="C1" s="180"/>
      <c r="D1" s="180"/>
      <c r="E1" s="180"/>
      <c r="F1" s="143" t="s">
        <v>167</v>
      </c>
      <c r="G1" s="181"/>
      <c r="H1" s="181"/>
      <c r="I1" s="181"/>
      <c r="J1" s="181"/>
      <c r="K1" s="181"/>
      <c r="L1" s="181"/>
      <c r="M1" s="180"/>
      <c r="N1" s="180"/>
      <c r="O1" s="180"/>
      <c r="P1" s="180"/>
      <c r="Q1" s="180"/>
      <c r="R1" s="180"/>
      <c r="S1" s="180"/>
      <c r="T1" s="180"/>
    </row>
    <row r="2" spans="1:20" ht="15.75">
      <c r="A2" s="180"/>
      <c r="B2" s="180"/>
      <c r="C2" s="180"/>
      <c r="D2" s="180"/>
      <c r="E2" s="180"/>
      <c r="F2" s="180"/>
      <c r="G2" s="180"/>
      <c r="H2" s="146"/>
      <c r="I2" s="143" t="s">
        <v>1335</v>
      </c>
      <c r="J2" s="181"/>
      <c r="K2" s="181"/>
      <c r="L2" s="180"/>
      <c r="M2" s="180"/>
      <c r="N2" s="180"/>
      <c r="O2" s="180"/>
      <c r="P2" s="180"/>
      <c r="Q2" s="180"/>
      <c r="R2" s="180"/>
      <c r="S2" s="180"/>
      <c r="T2" s="180"/>
    </row>
    <row r="3" spans="1:20">
      <c r="A3" s="808" t="s">
        <v>4176</v>
      </c>
      <c r="B3" s="808"/>
      <c r="C3" s="808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</row>
    <row r="4" spans="1:20">
      <c r="A4" s="151" t="s">
        <v>1336</v>
      </c>
      <c r="B4" s="151"/>
      <c r="C4" s="151"/>
      <c r="D4" s="151"/>
      <c r="E4" s="1073" t="s">
        <v>1425</v>
      </c>
      <c r="F4" s="1073"/>
      <c r="G4" s="1073"/>
      <c r="H4" s="1073"/>
      <c r="I4" s="151" t="s">
        <v>171</v>
      </c>
      <c r="J4" s="151"/>
      <c r="K4" s="151"/>
      <c r="L4" s="1073">
        <v>904210201</v>
      </c>
      <c r="M4" s="1073"/>
      <c r="N4" s="1073"/>
      <c r="O4" s="151" t="s">
        <v>5</v>
      </c>
      <c r="P4" s="151"/>
      <c r="Q4" s="176">
        <v>220</v>
      </c>
      <c r="R4" s="151" t="s">
        <v>1338</v>
      </c>
      <c r="S4" s="151"/>
      <c r="T4" s="176">
        <v>80</v>
      </c>
    </row>
    <row r="5" spans="1:20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</row>
    <row r="6" spans="1:20">
      <c r="A6" s="151" t="s">
        <v>1340</v>
      </c>
      <c r="B6" s="151"/>
      <c r="C6" s="151"/>
      <c r="D6" s="151"/>
      <c r="E6" s="1073" t="s">
        <v>1426</v>
      </c>
      <c r="F6" s="1073"/>
      <c r="G6" s="1073"/>
      <c r="H6" s="1073"/>
      <c r="I6" s="151" t="s">
        <v>1208</v>
      </c>
      <c r="J6" s="151"/>
      <c r="K6" s="151"/>
      <c r="L6" s="1073" t="s">
        <v>1427</v>
      </c>
      <c r="M6" s="1073"/>
      <c r="N6" s="1073"/>
      <c r="O6" s="1073"/>
      <c r="P6" s="151"/>
      <c r="Q6" s="151"/>
      <c r="R6" s="151"/>
      <c r="S6" s="151"/>
      <c r="T6" s="151"/>
    </row>
    <row r="7" spans="1:20">
      <c r="A7" s="151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</row>
    <row r="8" spans="1:20">
      <c r="A8" s="1062" t="s">
        <v>178</v>
      </c>
      <c r="B8" s="1062"/>
      <c r="C8" s="1062"/>
      <c r="D8" s="1075"/>
      <c r="E8" s="1073" t="s">
        <v>1428</v>
      </c>
      <c r="F8" s="1073"/>
      <c r="G8" s="1073"/>
      <c r="H8" s="1073"/>
      <c r="I8" s="1074" t="s">
        <v>1344</v>
      </c>
      <c r="J8" s="1045"/>
      <c r="K8" s="1045"/>
      <c r="L8" s="1040" t="s">
        <v>1429</v>
      </c>
      <c r="M8" s="1041"/>
      <c r="N8" s="1041"/>
      <c r="O8" s="1041"/>
      <c r="P8" s="1042"/>
      <c r="Q8" s="175"/>
      <c r="R8" s="151"/>
      <c r="S8" s="151"/>
      <c r="T8" s="151"/>
    </row>
    <row r="9" spans="1:20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75"/>
      <c r="M9" s="175"/>
      <c r="N9" s="175"/>
      <c r="O9" s="175"/>
      <c r="P9" s="175"/>
      <c r="Q9" s="175"/>
      <c r="R9" s="151"/>
      <c r="S9" s="151"/>
      <c r="T9" s="151"/>
    </row>
    <row r="10" spans="1:20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</row>
    <row r="11" spans="1:20">
      <c r="A11" s="1067" t="s">
        <v>838</v>
      </c>
      <c r="B11" s="1067"/>
      <c r="C11" s="1067"/>
      <c r="D11" s="1067"/>
      <c r="E11" s="1067"/>
      <c r="F11" s="1067"/>
      <c r="G11" s="1073" t="s">
        <v>1425</v>
      </c>
      <c r="H11" s="1073"/>
      <c r="I11" s="1073"/>
      <c r="J11" s="1073">
        <v>0</v>
      </c>
      <c r="K11" s="1073"/>
      <c r="L11" s="1073"/>
      <c r="M11" s="1073">
        <v>0</v>
      </c>
      <c r="N11" s="1073"/>
      <c r="O11" s="1073"/>
      <c r="P11" s="1073"/>
      <c r="Q11" s="1073">
        <v>0</v>
      </c>
      <c r="R11" s="1073"/>
      <c r="S11" s="1073"/>
      <c r="T11" s="1073"/>
    </row>
    <row r="12" spans="1:20">
      <c r="A12" s="1067" t="s">
        <v>1346</v>
      </c>
      <c r="B12" s="1067"/>
      <c r="C12" s="1067"/>
      <c r="D12" s="1067"/>
      <c r="E12" s="1067"/>
      <c r="F12" s="1067"/>
      <c r="G12" s="1073">
        <v>0</v>
      </c>
      <c r="H12" s="1073"/>
      <c r="I12" s="1073"/>
      <c r="J12" s="1073">
        <v>0</v>
      </c>
      <c r="K12" s="1073"/>
      <c r="L12" s="1073"/>
      <c r="M12" s="1073">
        <v>0</v>
      </c>
      <c r="N12" s="1073"/>
      <c r="O12" s="1073"/>
      <c r="P12" s="1073"/>
      <c r="Q12" s="1073">
        <v>0</v>
      </c>
      <c r="R12" s="1073"/>
      <c r="S12" s="1073"/>
      <c r="T12" s="1073"/>
    </row>
    <row r="13" spans="1:20">
      <c r="A13" s="1067" t="s">
        <v>192</v>
      </c>
      <c r="B13" s="1067"/>
      <c r="C13" s="1067"/>
      <c r="D13" s="1067"/>
      <c r="E13" s="1067"/>
      <c r="F13" s="1067"/>
      <c r="G13" s="1073" t="s">
        <v>1430</v>
      </c>
      <c r="H13" s="1073"/>
      <c r="I13" s="1073"/>
      <c r="J13" s="1073" t="s">
        <v>1431</v>
      </c>
      <c r="K13" s="1073"/>
      <c r="L13" s="1073"/>
      <c r="M13" s="1073" t="s">
        <v>1432</v>
      </c>
      <c r="N13" s="1073"/>
      <c r="O13" s="1073"/>
      <c r="P13" s="1073"/>
      <c r="Q13" s="1073">
        <v>0</v>
      </c>
      <c r="R13" s="1073"/>
      <c r="S13" s="1073"/>
      <c r="T13" s="1073"/>
    </row>
    <row r="14" spans="1:20">
      <c r="A14" s="1067" t="s">
        <v>197</v>
      </c>
      <c r="B14" s="1067"/>
      <c r="C14" s="1067"/>
      <c r="D14" s="1067"/>
      <c r="E14" s="1067"/>
      <c r="F14" s="1067"/>
      <c r="G14" s="1073">
        <v>0</v>
      </c>
      <c r="H14" s="1073"/>
      <c r="I14" s="1073"/>
      <c r="J14" s="1073">
        <v>0</v>
      </c>
      <c r="K14" s="1073"/>
      <c r="L14" s="1073"/>
      <c r="M14" s="1073">
        <v>0</v>
      </c>
      <c r="N14" s="1073"/>
      <c r="O14" s="1073"/>
      <c r="P14" s="1073"/>
      <c r="Q14" s="1073">
        <v>0</v>
      </c>
      <c r="R14" s="1073"/>
      <c r="S14" s="1073"/>
      <c r="T14" s="1073"/>
    </row>
    <row r="15" spans="1:20">
      <c r="A15" s="151"/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</row>
    <row r="16" spans="1:20">
      <c r="A16" s="151" t="s">
        <v>1356</v>
      </c>
      <c r="B16" s="151"/>
      <c r="C16" s="151"/>
      <c r="D16" s="151"/>
      <c r="E16" s="151"/>
      <c r="F16" s="1040">
        <v>1</v>
      </c>
      <c r="G16" s="1042"/>
      <c r="H16" s="151" t="s">
        <v>1357</v>
      </c>
      <c r="I16" s="146"/>
      <c r="J16" s="151"/>
      <c r="K16" s="177">
        <v>0</v>
      </c>
      <c r="L16" s="177"/>
      <c r="M16" s="151" t="s">
        <v>643</v>
      </c>
      <c r="N16" s="1073">
        <v>4</v>
      </c>
      <c r="O16" s="1073"/>
      <c r="P16" s="151" t="s">
        <v>1358</v>
      </c>
      <c r="Q16" s="1073">
        <v>1</v>
      </c>
      <c r="R16" s="1073"/>
      <c r="S16" s="151" t="s">
        <v>1386</v>
      </c>
      <c r="T16" s="146"/>
    </row>
    <row r="17" spans="1:20">
      <c r="A17" s="151"/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</row>
    <row r="18" spans="1:20">
      <c r="A18" s="151" t="s">
        <v>203</v>
      </c>
      <c r="B18" s="151"/>
      <c r="C18" s="151"/>
      <c r="D18" s="151"/>
      <c r="E18" s="151" t="s">
        <v>204</v>
      </c>
      <c r="F18" s="151"/>
      <c r="G18" s="1073">
        <v>49</v>
      </c>
      <c r="H18" s="1073"/>
      <c r="I18" s="151" t="s">
        <v>205</v>
      </c>
      <c r="J18" s="176">
        <v>0</v>
      </c>
      <c r="K18" s="151" t="s">
        <v>206</v>
      </c>
      <c r="L18" s="151"/>
      <c r="M18" s="182">
        <v>0</v>
      </c>
      <c r="N18" s="151" t="s">
        <v>230</v>
      </c>
      <c r="O18" s="177">
        <v>49</v>
      </c>
      <c r="P18" s="151" t="s">
        <v>207</v>
      </c>
      <c r="Q18" s="176">
        <v>9</v>
      </c>
      <c r="R18" s="151" t="s">
        <v>1360</v>
      </c>
      <c r="S18" s="146"/>
      <c r="T18" s="146"/>
    </row>
    <row r="19" spans="1:20">
      <c r="A19" s="151"/>
      <c r="B19" s="151"/>
      <c r="C19" s="151"/>
      <c r="D19" s="151"/>
      <c r="E19" s="151" t="s">
        <v>210</v>
      </c>
      <c r="F19" s="151"/>
      <c r="G19" s="1073">
        <v>140</v>
      </c>
      <c r="H19" s="1073"/>
      <c r="I19" s="151" t="s">
        <v>211</v>
      </c>
      <c r="J19" s="176">
        <v>0</v>
      </c>
      <c r="K19" s="151" t="s">
        <v>212</v>
      </c>
      <c r="L19" s="151"/>
      <c r="M19" s="182">
        <v>0</v>
      </c>
      <c r="N19" s="151" t="s">
        <v>411</v>
      </c>
      <c r="O19" s="177">
        <v>140</v>
      </c>
      <c r="P19" s="175"/>
      <c r="Q19" s="146"/>
      <c r="R19" s="151"/>
      <c r="S19" s="151"/>
      <c r="T19" s="151"/>
    </row>
    <row r="20" spans="1:20" ht="22.5">
      <c r="A20" s="151"/>
      <c r="B20" s="151"/>
      <c r="C20" s="151"/>
      <c r="D20" s="151"/>
      <c r="E20" s="151" t="s">
        <v>213</v>
      </c>
      <c r="F20" s="151"/>
      <c r="G20" s="1040">
        <v>137</v>
      </c>
      <c r="H20" s="1042"/>
      <c r="I20" s="178" t="s">
        <v>650</v>
      </c>
      <c r="J20" s="176">
        <v>0</v>
      </c>
      <c r="K20" s="151" t="s">
        <v>215</v>
      </c>
      <c r="L20" s="151"/>
      <c r="M20" s="177">
        <v>0</v>
      </c>
      <c r="N20" s="183" t="s">
        <v>410</v>
      </c>
      <c r="O20" s="177">
        <v>137</v>
      </c>
      <c r="P20" s="175"/>
      <c r="Q20" s="146"/>
      <c r="R20" s="151"/>
      <c r="S20" s="151"/>
      <c r="T20" s="151"/>
    </row>
    <row r="21" spans="1:20">
      <c r="A21" s="184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</row>
    <row r="22" spans="1:20">
      <c r="A22" s="185" t="s">
        <v>216</v>
      </c>
      <c r="B22" s="185"/>
      <c r="C22" s="185"/>
      <c r="D22" s="185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</row>
    <row r="23" spans="1:20">
      <c r="A23" s="186"/>
      <c r="B23" s="186"/>
      <c r="C23" s="186"/>
      <c r="D23" s="186"/>
      <c r="E23" s="146"/>
      <c r="F23" s="146"/>
      <c r="G23" s="1072" t="s">
        <v>1361</v>
      </c>
      <c r="H23" s="1073" t="s">
        <v>1362</v>
      </c>
      <c r="I23" s="1072" t="s">
        <v>1363</v>
      </c>
      <c r="J23" s="1072" t="s">
        <v>1364</v>
      </c>
      <c r="K23" s="1073" t="s">
        <v>222</v>
      </c>
      <c r="L23" s="1073"/>
      <c r="M23" s="1073"/>
      <c r="N23" s="1073"/>
      <c r="O23" s="1073"/>
      <c r="P23" s="1073"/>
      <c r="Q23" s="1073"/>
      <c r="R23" s="1073"/>
      <c r="S23" s="1073"/>
      <c r="T23" s="146"/>
    </row>
    <row r="24" spans="1:20" ht="25.5" customHeight="1">
      <c r="A24" s="1067" t="s">
        <v>217</v>
      </c>
      <c r="B24" s="1067"/>
      <c r="C24" s="1067"/>
      <c r="D24" s="1067"/>
      <c r="E24" s="1067"/>
      <c r="F24" s="1071"/>
      <c r="G24" s="1072"/>
      <c r="H24" s="1073"/>
      <c r="I24" s="1072"/>
      <c r="J24" s="1072"/>
      <c r="K24" s="176" t="s">
        <v>1365</v>
      </c>
      <c r="L24" s="176" t="s">
        <v>1366</v>
      </c>
      <c r="M24" s="176" t="s">
        <v>1367</v>
      </c>
      <c r="N24" s="176" t="s">
        <v>1368</v>
      </c>
      <c r="O24" s="176" t="s">
        <v>1369</v>
      </c>
      <c r="P24" s="176" t="s">
        <v>1370</v>
      </c>
      <c r="Q24" s="176" t="s">
        <v>1371</v>
      </c>
      <c r="R24" s="176" t="s">
        <v>230</v>
      </c>
      <c r="S24" s="176" t="s">
        <v>231</v>
      </c>
      <c r="T24" s="146"/>
    </row>
    <row r="25" spans="1:20">
      <c r="A25" s="1067" t="s">
        <v>232</v>
      </c>
      <c r="B25" s="1067"/>
      <c r="C25" s="1067"/>
      <c r="D25" s="1067"/>
      <c r="E25" s="1067"/>
      <c r="F25" s="1067"/>
      <c r="G25" s="546">
        <v>8000</v>
      </c>
      <c r="H25" s="546" t="s">
        <v>1175</v>
      </c>
      <c r="I25" s="168">
        <f>+G25*Q4/100000</f>
        <v>17.600000000000001</v>
      </c>
      <c r="J25" s="168">
        <f>1760000/100000</f>
        <v>17.600000000000001</v>
      </c>
      <c r="K25" s="121">
        <v>0</v>
      </c>
      <c r="L25" s="121">
        <f>51512/100000</f>
        <v>0.51512000000000002</v>
      </c>
      <c r="M25" s="121">
        <f>617517/100000</f>
        <v>6.1751699999999996</v>
      </c>
      <c r="N25" s="121">
        <f>565657/100000</f>
        <v>5.6565700000000003</v>
      </c>
      <c r="O25" s="121">
        <f>525230/100000</f>
        <v>5.2523</v>
      </c>
      <c r="P25" s="121">
        <f>-4421/100000</f>
        <v>-4.4209999999999999E-2</v>
      </c>
      <c r="Q25" s="121">
        <v>0</v>
      </c>
      <c r="R25" s="118">
        <f t="shared" ref="R25:R32" si="0">SUM(K25:Q25)</f>
        <v>17.554949999999998</v>
      </c>
      <c r="S25" s="121">
        <f>R25*100/J25</f>
        <v>99.744034090909082</v>
      </c>
      <c r="T25" s="146"/>
    </row>
    <row r="26" spans="1:20">
      <c r="A26" s="1067" t="s">
        <v>234</v>
      </c>
      <c r="B26" s="1067"/>
      <c r="C26" s="1067"/>
      <c r="D26" s="1067"/>
      <c r="E26" s="1067"/>
      <c r="F26" s="1067"/>
      <c r="G26" s="546">
        <v>7000</v>
      </c>
      <c r="H26" s="546" t="s">
        <v>1175</v>
      </c>
      <c r="I26" s="168">
        <f>+G26*80/100000</f>
        <v>5.6</v>
      </c>
      <c r="J26" s="168">
        <f>560000/100000</f>
        <v>5.6</v>
      </c>
      <c r="K26" s="121">
        <v>0</v>
      </c>
      <c r="L26" s="121">
        <v>0</v>
      </c>
      <c r="M26" s="121">
        <v>0</v>
      </c>
      <c r="N26" s="121"/>
      <c r="O26" s="121">
        <f>236830/100000</f>
        <v>2.3683000000000001</v>
      </c>
      <c r="P26" s="121">
        <f>323170/100000</f>
        <v>3.2317</v>
      </c>
      <c r="Q26" s="121">
        <v>0</v>
      </c>
      <c r="R26" s="118">
        <f t="shared" si="0"/>
        <v>5.6</v>
      </c>
      <c r="S26" s="121">
        <f t="shared" ref="S26:S33" si="1">R26*100/J26</f>
        <v>100</v>
      </c>
      <c r="T26" s="146"/>
    </row>
    <row r="27" spans="1:20">
      <c r="A27" s="1067" t="s">
        <v>1373</v>
      </c>
      <c r="B27" s="1067"/>
      <c r="C27" s="1067"/>
      <c r="D27" s="1067"/>
      <c r="E27" s="1067"/>
      <c r="F27" s="1067"/>
      <c r="G27" s="546">
        <v>43000</v>
      </c>
      <c r="H27" s="546" t="s">
        <v>236</v>
      </c>
      <c r="I27" s="168">
        <f>143000/100000</f>
        <v>1.43</v>
      </c>
      <c r="J27" s="168">
        <f>63000/100000</f>
        <v>0.63</v>
      </c>
      <c r="K27" s="121">
        <v>0</v>
      </c>
      <c r="L27" s="121">
        <v>0</v>
      </c>
      <c r="M27" s="121">
        <v>0</v>
      </c>
      <c r="N27" s="121">
        <f>18000/100000</f>
        <v>0.18</v>
      </c>
      <c r="O27" s="121">
        <f>15000/100000</f>
        <v>0.15</v>
      </c>
      <c r="P27" s="121">
        <f>10000/100000</f>
        <v>0.1</v>
      </c>
      <c r="Q27" s="121">
        <f>10000/100000</f>
        <v>0.1</v>
      </c>
      <c r="R27" s="118">
        <f t="shared" si="0"/>
        <v>0.52999999999999992</v>
      </c>
      <c r="S27" s="121">
        <f t="shared" si="1"/>
        <v>84.126984126984112</v>
      </c>
      <c r="T27" s="146"/>
    </row>
    <row r="28" spans="1:20">
      <c r="A28" s="1067" t="s">
        <v>237</v>
      </c>
      <c r="B28" s="1067"/>
      <c r="C28" s="1067"/>
      <c r="D28" s="1067"/>
      <c r="E28" s="1067"/>
      <c r="F28" s="1067"/>
      <c r="G28" s="546">
        <v>34000</v>
      </c>
      <c r="H28" s="546" t="s">
        <v>236</v>
      </c>
      <c r="I28" s="168">
        <f>34000/100000</f>
        <v>0.34</v>
      </c>
      <c r="J28" s="168">
        <f>34000/100000</f>
        <v>0.34</v>
      </c>
      <c r="K28" s="121">
        <v>0</v>
      </c>
      <c r="L28" s="121">
        <v>0</v>
      </c>
      <c r="M28" s="121">
        <v>0</v>
      </c>
      <c r="N28" s="121">
        <f>16000/100000</f>
        <v>0.16</v>
      </c>
      <c r="O28" s="121">
        <f>18000/100000</f>
        <v>0.18</v>
      </c>
      <c r="P28" s="121">
        <v>0</v>
      </c>
      <c r="Q28" s="121">
        <v>0</v>
      </c>
      <c r="R28" s="121">
        <f t="shared" si="0"/>
        <v>0.33999999999999997</v>
      </c>
      <c r="S28" s="121">
        <f t="shared" si="1"/>
        <v>99.999999999999986</v>
      </c>
      <c r="T28" s="146"/>
    </row>
    <row r="29" spans="1:20">
      <c r="A29" s="1067" t="s">
        <v>1374</v>
      </c>
      <c r="B29" s="1067"/>
      <c r="C29" s="1067"/>
      <c r="D29" s="1067"/>
      <c r="E29" s="1067"/>
      <c r="F29" s="1067"/>
      <c r="G29" s="546">
        <v>1200</v>
      </c>
      <c r="H29" s="546" t="s">
        <v>1175</v>
      </c>
      <c r="I29" s="168">
        <f>+G29*Q4/100000</f>
        <v>2.64</v>
      </c>
      <c r="J29" s="168">
        <f>264000/100000</f>
        <v>2.64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f>254400/100000</f>
        <v>2.544</v>
      </c>
      <c r="Q29" s="121">
        <v>0</v>
      </c>
      <c r="R29" s="118">
        <f t="shared" si="0"/>
        <v>2.544</v>
      </c>
      <c r="S29" s="121">
        <f t="shared" si="1"/>
        <v>96.36363636363636</v>
      </c>
      <c r="T29" s="146"/>
    </row>
    <row r="30" spans="1:20">
      <c r="A30" s="1067" t="s">
        <v>1375</v>
      </c>
      <c r="B30" s="1067"/>
      <c r="C30" s="1067"/>
      <c r="D30" s="1067"/>
      <c r="E30" s="1067"/>
      <c r="F30" s="1067"/>
      <c r="G30" s="546">
        <v>565</v>
      </c>
      <c r="H30" s="546" t="s">
        <v>1175</v>
      </c>
      <c r="I30" s="168">
        <f>+G30*Q4/100000</f>
        <v>1.2430000000000001</v>
      </c>
      <c r="J30" s="168">
        <f>124300/100000</f>
        <v>1.2430000000000001</v>
      </c>
      <c r="K30" s="121">
        <v>0</v>
      </c>
      <c r="L30" s="121">
        <v>0</v>
      </c>
      <c r="M30" s="121">
        <v>0</v>
      </c>
      <c r="N30" s="121">
        <f>21440/100000</f>
        <v>0.21440000000000001</v>
      </c>
      <c r="O30" s="121">
        <f>102250/100000</f>
        <v>1.0225</v>
      </c>
      <c r="P30" s="121">
        <v>0</v>
      </c>
      <c r="Q30" s="121">
        <f>610/100000</f>
        <v>6.1000000000000004E-3</v>
      </c>
      <c r="R30" s="121">
        <f t="shared" si="0"/>
        <v>1.2429999999999999</v>
      </c>
      <c r="S30" s="121">
        <f t="shared" si="1"/>
        <v>99.999999999999972</v>
      </c>
      <c r="T30" s="146"/>
    </row>
    <row r="31" spans="1:20">
      <c r="A31" s="1067" t="s">
        <v>1376</v>
      </c>
      <c r="B31" s="1067"/>
      <c r="C31" s="1067"/>
      <c r="D31" s="1067"/>
      <c r="E31" s="1067"/>
      <c r="F31" s="1067"/>
      <c r="G31" s="546">
        <v>1000</v>
      </c>
      <c r="H31" s="546" t="s">
        <v>1175</v>
      </c>
      <c r="I31" s="168">
        <f>+G31*Q4/100000</f>
        <v>2.2000000000000002</v>
      </c>
      <c r="J31" s="168">
        <f>220000/100000</f>
        <v>2.2000000000000002</v>
      </c>
      <c r="K31" s="121">
        <v>0</v>
      </c>
      <c r="L31" s="121">
        <f>31848/100000</f>
        <v>0.31847999999999999</v>
      </c>
      <c r="M31" s="121">
        <f>68152/100000</f>
        <v>0.68152000000000001</v>
      </c>
      <c r="N31" s="121">
        <v>0</v>
      </c>
      <c r="O31" s="121">
        <v>0</v>
      </c>
      <c r="P31" s="121">
        <f>124050/100000</f>
        <v>1.2404999999999999</v>
      </c>
      <c r="Q31" s="121">
        <v>0</v>
      </c>
      <c r="R31" s="118">
        <f t="shared" si="0"/>
        <v>2.2404999999999999</v>
      </c>
      <c r="S31" s="121">
        <f t="shared" si="1"/>
        <v>101.84090909090908</v>
      </c>
      <c r="T31" s="146"/>
    </row>
    <row r="32" spans="1:20">
      <c r="A32" s="1067" t="s">
        <v>394</v>
      </c>
      <c r="B32" s="1067"/>
      <c r="C32" s="1067"/>
      <c r="D32" s="1067"/>
      <c r="E32" s="1067"/>
      <c r="F32" s="1067"/>
      <c r="G32" s="546">
        <v>2750</v>
      </c>
      <c r="H32" s="546" t="s">
        <v>242</v>
      </c>
      <c r="I32" s="168">
        <f>192000/100000</f>
        <v>1.92</v>
      </c>
      <c r="J32" s="168">
        <f>192000/100000</f>
        <v>1.92</v>
      </c>
      <c r="K32" s="121">
        <v>0</v>
      </c>
      <c r="L32" s="121">
        <f>8765/100000</f>
        <v>8.7650000000000006E-2</v>
      </c>
      <c r="M32" s="121">
        <f>47356/100000</f>
        <v>0.47355999999999998</v>
      </c>
      <c r="N32" s="121">
        <f>36879/100000</f>
        <v>0.36879000000000001</v>
      </c>
      <c r="O32" s="121">
        <f>33000/100000</f>
        <v>0.33</v>
      </c>
      <c r="P32" s="121">
        <f>32788/100000</f>
        <v>0.32788</v>
      </c>
      <c r="Q32" s="121">
        <f>33000/100000</f>
        <v>0.33</v>
      </c>
      <c r="R32" s="118">
        <f t="shared" si="0"/>
        <v>1.91788</v>
      </c>
      <c r="S32" s="121">
        <f t="shared" si="1"/>
        <v>99.889583333333348</v>
      </c>
      <c r="T32" s="146"/>
    </row>
    <row r="33" spans="1:20">
      <c r="A33" s="1068" t="s">
        <v>230</v>
      </c>
      <c r="B33" s="1069"/>
      <c r="C33" s="1069"/>
      <c r="D33" s="1069"/>
      <c r="E33" s="1069"/>
      <c r="F33" s="1070"/>
      <c r="G33" s="187"/>
      <c r="H33" s="188"/>
      <c r="I33" s="170">
        <f t="shared" ref="I33:R33" si="2">SUM(I25:I32)</f>
        <v>32.972999999999999</v>
      </c>
      <c r="J33" s="170">
        <f t="shared" si="2"/>
        <v>32.173000000000002</v>
      </c>
      <c r="K33" s="118">
        <f t="shared" si="2"/>
        <v>0</v>
      </c>
      <c r="L33" s="118">
        <f t="shared" si="2"/>
        <v>0.92125000000000001</v>
      </c>
      <c r="M33" s="118">
        <f t="shared" si="2"/>
        <v>7.3302499999999995</v>
      </c>
      <c r="N33" s="118">
        <f t="shared" si="2"/>
        <v>6.5797600000000003</v>
      </c>
      <c r="O33" s="118">
        <f t="shared" si="2"/>
        <v>9.3030999999999988</v>
      </c>
      <c r="P33" s="118">
        <f t="shared" si="2"/>
        <v>7.3998700000000008</v>
      </c>
      <c r="Q33" s="118">
        <f t="shared" si="2"/>
        <v>0.43610000000000004</v>
      </c>
      <c r="R33" s="118">
        <f t="shared" si="2"/>
        <v>31.970330000000001</v>
      </c>
      <c r="S33" s="118">
        <f t="shared" si="1"/>
        <v>99.370061853106634</v>
      </c>
      <c r="T33" s="146"/>
    </row>
  </sheetData>
  <mergeCells count="50">
    <mergeCell ref="A3:C3"/>
    <mergeCell ref="E4:H4"/>
    <mergeCell ref="L4:N4"/>
    <mergeCell ref="E6:H6"/>
    <mergeCell ref="L6:O6"/>
    <mergeCell ref="A8:D8"/>
    <mergeCell ref="E8:H8"/>
    <mergeCell ref="I8:K8"/>
    <mergeCell ref="L8:P8"/>
    <mergeCell ref="A12:F12"/>
    <mergeCell ref="G12:I12"/>
    <mergeCell ref="J12:L12"/>
    <mergeCell ref="M12:P12"/>
    <mergeCell ref="Q12:T12"/>
    <mergeCell ref="A11:F11"/>
    <mergeCell ref="G11:I11"/>
    <mergeCell ref="J11:L11"/>
    <mergeCell ref="M11:P11"/>
    <mergeCell ref="Q11:T11"/>
    <mergeCell ref="A14:F14"/>
    <mergeCell ref="G14:I14"/>
    <mergeCell ref="J14:L14"/>
    <mergeCell ref="M14:P14"/>
    <mergeCell ref="Q14:T14"/>
    <mergeCell ref="A13:F13"/>
    <mergeCell ref="G13:I13"/>
    <mergeCell ref="J13:L13"/>
    <mergeCell ref="M13:P13"/>
    <mergeCell ref="Q13:T13"/>
    <mergeCell ref="A24:F24"/>
    <mergeCell ref="F16:G16"/>
    <mergeCell ref="N16:O16"/>
    <mergeCell ref="Q16:R16"/>
    <mergeCell ref="G18:H18"/>
    <mergeCell ref="G19:H19"/>
    <mergeCell ref="G20:H20"/>
    <mergeCell ref="G23:G24"/>
    <mergeCell ref="H23:H24"/>
    <mergeCell ref="I23:I24"/>
    <mergeCell ref="J23:J24"/>
    <mergeCell ref="K23:S23"/>
    <mergeCell ref="A31:F31"/>
    <mergeCell ref="A32:F32"/>
    <mergeCell ref="A33:F33"/>
    <mergeCell ref="A25:F25"/>
    <mergeCell ref="A26:F26"/>
    <mergeCell ref="A27:F27"/>
    <mergeCell ref="A28:F28"/>
    <mergeCell ref="A29:F29"/>
    <mergeCell ref="A30:F30"/>
  </mergeCells>
  <hyperlinks>
    <hyperlink ref="A3" location="'Fact Sheet of VDC'!A1" display="&lt;&lt;Back"/>
  </hyperlinks>
  <pageMargins left="0.7" right="0.7" top="0.75" bottom="0.75" header="0.3" footer="0.3"/>
  <pageSetup paperSize="9" scale="71" orientation="landscape" r:id="rId1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U33"/>
  <sheetViews>
    <sheetView workbookViewId="0">
      <selection activeCell="A3" sqref="A3:C3"/>
    </sheetView>
  </sheetViews>
  <sheetFormatPr defaultRowHeight="15"/>
  <cols>
    <col min="5" max="5" width="9.28515625" bestFit="1" customWidth="1"/>
    <col min="6" max="6" width="5.7109375" customWidth="1"/>
    <col min="7" max="7" width="9.28515625" bestFit="1" customWidth="1"/>
    <col min="9" max="17" width="9.28515625" bestFit="1" customWidth="1"/>
    <col min="18" max="18" width="9.7109375" bestFit="1" customWidth="1"/>
    <col min="19" max="20" width="9.28515625" bestFit="1" customWidth="1"/>
    <col min="261" max="261" width="9.28515625" bestFit="1" customWidth="1"/>
    <col min="262" max="262" width="5.7109375" customWidth="1"/>
    <col min="263" max="263" width="9.28515625" bestFit="1" customWidth="1"/>
    <col min="265" max="273" width="9.28515625" bestFit="1" customWidth="1"/>
    <col min="274" max="274" width="9.7109375" bestFit="1" customWidth="1"/>
    <col min="275" max="276" width="9.28515625" bestFit="1" customWidth="1"/>
    <col min="517" max="517" width="9.28515625" bestFit="1" customWidth="1"/>
    <col min="518" max="518" width="5.7109375" customWidth="1"/>
    <col min="519" max="519" width="9.28515625" bestFit="1" customWidth="1"/>
    <col min="521" max="529" width="9.28515625" bestFit="1" customWidth="1"/>
    <col min="530" max="530" width="9.7109375" bestFit="1" customWidth="1"/>
    <col min="531" max="532" width="9.28515625" bestFit="1" customWidth="1"/>
    <col min="773" max="773" width="9.28515625" bestFit="1" customWidth="1"/>
    <col min="774" max="774" width="5.7109375" customWidth="1"/>
    <col min="775" max="775" width="9.28515625" bestFit="1" customWidth="1"/>
    <col min="777" max="785" width="9.28515625" bestFit="1" customWidth="1"/>
    <col min="786" max="786" width="9.7109375" bestFit="1" customWidth="1"/>
    <col min="787" max="788" width="9.28515625" bestFit="1" customWidth="1"/>
    <col min="1029" max="1029" width="9.28515625" bestFit="1" customWidth="1"/>
    <col min="1030" max="1030" width="5.7109375" customWidth="1"/>
    <col min="1031" max="1031" width="9.28515625" bestFit="1" customWidth="1"/>
    <col min="1033" max="1041" width="9.28515625" bestFit="1" customWidth="1"/>
    <col min="1042" max="1042" width="9.7109375" bestFit="1" customWidth="1"/>
    <col min="1043" max="1044" width="9.28515625" bestFit="1" customWidth="1"/>
    <col min="1285" max="1285" width="9.28515625" bestFit="1" customWidth="1"/>
    <col min="1286" max="1286" width="5.7109375" customWidth="1"/>
    <col min="1287" max="1287" width="9.28515625" bestFit="1" customWidth="1"/>
    <col min="1289" max="1297" width="9.28515625" bestFit="1" customWidth="1"/>
    <col min="1298" max="1298" width="9.7109375" bestFit="1" customWidth="1"/>
    <col min="1299" max="1300" width="9.28515625" bestFit="1" customWidth="1"/>
    <col min="1541" max="1541" width="9.28515625" bestFit="1" customWidth="1"/>
    <col min="1542" max="1542" width="5.7109375" customWidth="1"/>
    <col min="1543" max="1543" width="9.28515625" bestFit="1" customWidth="1"/>
    <col min="1545" max="1553" width="9.28515625" bestFit="1" customWidth="1"/>
    <col min="1554" max="1554" width="9.7109375" bestFit="1" customWidth="1"/>
    <col min="1555" max="1556" width="9.28515625" bestFit="1" customWidth="1"/>
    <col min="1797" max="1797" width="9.28515625" bestFit="1" customWidth="1"/>
    <col min="1798" max="1798" width="5.7109375" customWidth="1"/>
    <col min="1799" max="1799" width="9.28515625" bestFit="1" customWidth="1"/>
    <col min="1801" max="1809" width="9.28515625" bestFit="1" customWidth="1"/>
    <col min="1810" max="1810" width="9.7109375" bestFit="1" customWidth="1"/>
    <col min="1811" max="1812" width="9.28515625" bestFit="1" customWidth="1"/>
    <col min="2053" max="2053" width="9.28515625" bestFit="1" customWidth="1"/>
    <col min="2054" max="2054" width="5.7109375" customWidth="1"/>
    <col min="2055" max="2055" width="9.28515625" bestFit="1" customWidth="1"/>
    <col min="2057" max="2065" width="9.28515625" bestFit="1" customWidth="1"/>
    <col min="2066" max="2066" width="9.7109375" bestFit="1" customWidth="1"/>
    <col min="2067" max="2068" width="9.28515625" bestFit="1" customWidth="1"/>
    <col min="2309" max="2309" width="9.28515625" bestFit="1" customWidth="1"/>
    <col min="2310" max="2310" width="5.7109375" customWidth="1"/>
    <col min="2311" max="2311" width="9.28515625" bestFit="1" customWidth="1"/>
    <col min="2313" max="2321" width="9.28515625" bestFit="1" customWidth="1"/>
    <col min="2322" max="2322" width="9.7109375" bestFit="1" customWidth="1"/>
    <col min="2323" max="2324" width="9.28515625" bestFit="1" customWidth="1"/>
    <col min="2565" max="2565" width="9.28515625" bestFit="1" customWidth="1"/>
    <col min="2566" max="2566" width="5.7109375" customWidth="1"/>
    <col min="2567" max="2567" width="9.28515625" bestFit="1" customWidth="1"/>
    <col min="2569" max="2577" width="9.28515625" bestFit="1" customWidth="1"/>
    <col min="2578" max="2578" width="9.7109375" bestFit="1" customWidth="1"/>
    <col min="2579" max="2580" width="9.28515625" bestFit="1" customWidth="1"/>
    <col min="2821" max="2821" width="9.28515625" bestFit="1" customWidth="1"/>
    <col min="2822" max="2822" width="5.7109375" customWidth="1"/>
    <col min="2823" max="2823" width="9.28515625" bestFit="1" customWidth="1"/>
    <col min="2825" max="2833" width="9.28515625" bestFit="1" customWidth="1"/>
    <col min="2834" max="2834" width="9.7109375" bestFit="1" customWidth="1"/>
    <col min="2835" max="2836" width="9.28515625" bestFit="1" customWidth="1"/>
    <col min="3077" max="3077" width="9.28515625" bestFit="1" customWidth="1"/>
    <col min="3078" max="3078" width="5.7109375" customWidth="1"/>
    <col min="3079" max="3079" width="9.28515625" bestFit="1" customWidth="1"/>
    <col min="3081" max="3089" width="9.28515625" bestFit="1" customWidth="1"/>
    <col min="3090" max="3090" width="9.7109375" bestFit="1" customWidth="1"/>
    <col min="3091" max="3092" width="9.28515625" bestFit="1" customWidth="1"/>
    <col min="3333" max="3333" width="9.28515625" bestFit="1" customWidth="1"/>
    <col min="3334" max="3334" width="5.7109375" customWidth="1"/>
    <col min="3335" max="3335" width="9.28515625" bestFit="1" customWidth="1"/>
    <col min="3337" max="3345" width="9.28515625" bestFit="1" customWidth="1"/>
    <col min="3346" max="3346" width="9.7109375" bestFit="1" customWidth="1"/>
    <col min="3347" max="3348" width="9.28515625" bestFit="1" customWidth="1"/>
    <col min="3589" max="3589" width="9.28515625" bestFit="1" customWidth="1"/>
    <col min="3590" max="3590" width="5.7109375" customWidth="1"/>
    <col min="3591" max="3591" width="9.28515625" bestFit="1" customWidth="1"/>
    <col min="3593" max="3601" width="9.28515625" bestFit="1" customWidth="1"/>
    <col min="3602" max="3602" width="9.7109375" bestFit="1" customWidth="1"/>
    <col min="3603" max="3604" width="9.28515625" bestFit="1" customWidth="1"/>
    <col min="3845" max="3845" width="9.28515625" bestFit="1" customWidth="1"/>
    <col min="3846" max="3846" width="5.7109375" customWidth="1"/>
    <col min="3847" max="3847" width="9.28515625" bestFit="1" customWidth="1"/>
    <col min="3849" max="3857" width="9.28515625" bestFit="1" customWidth="1"/>
    <col min="3858" max="3858" width="9.7109375" bestFit="1" customWidth="1"/>
    <col min="3859" max="3860" width="9.28515625" bestFit="1" customWidth="1"/>
    <col min="4101" max="4101" width="9.28515625" bestFit="1" customWidth="1"/>
    <col min="4102" max="4102" width="5.7109375" customWidth="1"/>
    <col min="4103" max="4103" width="9.28515625" bestFit="1" customWidth="1"/>
    <col min="4105" max="4113" width="9.28515625" bestFit="1" customWidth="1"/>
    <col min="4114" max="4114" width="9.7109375" bestFit="1" customWidth="1"/>
    <col min="4115" max="4116" width="9.28515625" bestFit="1" customWidth="1"/>
    <col min="4357" max="4357" width="9.28515625" bestFit="1" customWidth="1"/>
    <col min="4358" max="4358" width="5.7109375" customWidth="1"/>
    <col min="4359" max="4359" width="9.28515625" bestFit="1" customWidth="1"/>
    <col min="4361" max="4369" width="9.28515625" bestFit="1" customWidth="1"/>
    <col min="4370" max="4370" width="9.7109375" bestFit="1" customWidth="1"/>
    <col min="4371" max="4372" width="9.28515625" bestFit="1" customWidth="1"/>
    <col min="4613" max="4613" width="9.28515625" bestFit="1" customWidth="1"/>
    <col min="4614" max="4614" width="5.7109375" customWidth="1"/>
    <col min="4615" max="4615" width="9.28515625" bestFit="1" customWidth="1"/>
    <col min="4617" max="4625" width="9.28515625" bestFit="1" customWidth="1"/>
    <col min="4626" max="4626" width="9.7109375" bestFit="1" customWidth="1"/>
    <col min="4627" max="4628" width="9.28515625" bestFit="1" customWidth="1"/>
    <col min="4869" max="4869" width="9.28515625" bestFit="1" customWidth="1"/>
    <col min="4870" max="4870" width="5.7109375" customWidth="1"/>
    <col min="4871" max="4871" width="9.28515625" bestFit="1" customWidth="1"/>
    <col min="4873" max="4881" width="9.28515625" bestFit="1" customWidth="1"/>
    <col min="4882" max="4882" width="9.7109375" bestFit="1" customWidth="1"/>
    <col min="4883" max="4884" width="9.28515625" bestFit="1" customWidth="1"/>
    <col min="5125" max="5125" width="9.28515625" bestFit="1" customWidth="1"/>
    <col min="5126" max="5126" width="5.7109375" customWidth="1"/>
    <col min="5127" max="5127" width="9.28515625" bestFit="1" customWidth="1"/>
    <col min="5129" max="5137" width="9.28515625" bestFit="1" customWidth="1"/>
    <col min="5138" max="5138" width="9.7109375" bestFit="1" customWidth="1"/>
    <col min="5139" max="5140" width="9.28515625" bestFit="1" customWidth="1"/>
    <col min="5381" max="5381" width="9.28515625" bestFit="1" customWidth="1"/>
    <col min="5382" max="5382" width="5.7109375" customWidth="1"/>
    <col min="5383" max="5383" width="9.28515625" bestFit="1" customWidth="1"/>
    <col min="5385" max="5393" width="9.28515625" bestFit="1" customWidth="1"/>
    <col min="5394" max="5394" width="9.7109375" bestFit="1" customWidth="1"/>
    <col min="5395" max="5396" width="9.28515625" bestFit="1" customWidth="1"/>
    <col min="5637" max="5637" width="9.28515625" bestFit="1" customWidth="1"/>
    <col min="5638" max="5638" width="5.7109375" customWidth="1"/>
    <col min="5639" max="5639" width="9.28515625" bestFit="1" customWidth="1"/>
    <col min="5641" max="5649" width="9.28515625" bestFit="1" customWidth="1"/>
    <col min="5650" max="5650" width="9.7109375" bestFit="1" customWidth="1"/>
    <col min="5651" max="5652" width="9.28515625" bestFit="1" customWidth="1"/>
    <col min="5893" max="5893" width="9.28515625" bestFit="1" customWidth="1"/>
    <col min="5894" max="5894" width="5.7109375" customWidth="1"/>
    <col min="5895" max="5895" width="9.28515625" bestFit="1" customWidth="1"/>
    <col min="5897" max="5905" width="9.28515625" bestFit="1" customWidth="1"/>
    <col min="5906" max="5906" width="9.7109375" bestFit="1" customWidth="1"/>
    <col min="5907" max="5908" width="9.28515625" bestFit="1" customWidth="1"/>
    <col min="6149" max="6149" width="9.28515625" bestFit="1" customWidth="1"/>
    <col min="6150" max="6150" width="5.7109375" customWidth="1"/>
    <col min="6151" max="6151" width="9.28515625" bestFit="1" customWidth="1"/>
    <col min="6153" max="6161" width="9.28515625" bestFit="1" customWidth="1"/>
    <col min="6162" max="6162" width="9.7109375" bestFit="1" customWidth="1"/>
    <col min="6163" max="6164" width="9.28515625" bestFit="1" customWidth="1"/>
    <col min="6405" max="6405" width="9.28515625" bestFit="1" customWidth="1"/>
    <col min="6406" max="6406" width="5.7109375" customWidth="1"/>
    <col min="6407" max="6407" width="9.28515625" bestFit="1" customWidth="1"/>
    <col min="6409" max="6417" width="9.28515625" bestFit="1" customWidth="1"/>
    <col min="6418" max="6418" width="9.7109375" bestFit="1" customWidth="1"/>
    <col min="6419" max="6420" width="9.28515625" bestFit="1" customWidth="1"/>
    <col min="6661" max="6661" width="9.28515625" bestFit="1" customWidth="1"/>
    <col min="6662" max="6662" width="5.7109375" customWidth="1"/>
    <col min="6663" max="6663" width="9.28515625" bestFit="1" customWidth="1"/>
    <col min="6665" max="6673" width="9.28515625" bestFit="1" customWidth="1"/>
    <col min="6674" max="6674" width="9.7109375" bestFit="1" customWidth="1"/>
    <col min="6675" max="6676" width="9.28515625" bestFit="1" customWidth="1"/>
    <col min="6917" max="6917" width="9.28515625" bestFit="1" customWidth="1"/>
    <col min="6918" max="6918" width="5.7109375" customWidth="1"/>
    <col min="6919" max="6919" width="9.28515625" bestFit="1" customWidth="1"/>
    <col min="6921" max="6929" width="9.28515625" bestFit="1" customWidth="1"/>
    <col min="6930" max="6930" width="9.7109375" bestFit="1" customWidth="1"/>
    <col min="6931" max="6932" width="9.28515625" bestFit="1" customWidth="1"/>
    <col min="7173" max="7173" width="9.28515625" bestFit="1" customWidth="1"/>
    <col min="7174" max="7174" width="5.7109375" customWidth="1"/>
    <col min="7175" max="7175" width="9.28515625" bestFit="1" customWidth="1"/>
    <col min="7177" max="7185" width="9.28515625" bestFit="1" customWidth="1"/>
    <col min="7186" max="7186" width="9.7109375" bestFit="1" customWidth="1"/>
    <col min="7187" max="7188" width="9.28515625" bestFit="1" customWidth="1"/>
    <col min="7429" max="7429" width="9.28515625" bestFit="1" customWidth="1"/>
    <col min="7430" max="7430" width="5.7109375" customWidth="1"/>
    <col min="7431" max="7431" width="9.28515625" bestFit="1" customWidth="1"/>
    <col min="7433" max="7441" width="9.28515625" bestFit="1" customWidth="1"/>
    <col min="7442" max="7442" width="9.7109375" bestFit="1" customWidth="1"/>
    <col min="7443" max="7444" width="9.28515625" bestFit="1" customWidth="1"/>
    <col min="7685" max="7685" width="9.28515625" bestFit="1" customWidth="1"/>
    <col min="7686" max="7686" width="5.7109375" customWidth="1"/>
    <col min="7687" max="7687" width="9.28515625" bestFit="1" customWidth="1"/>
    <col min="7689" max="7697" width="9.28515625" bestFit="1" customWidth="1"/>
    <col min="7698" max="7698" width="9.7109375" bestFit="1" customWidth="1"/>
    <col min="7699" max="7700" width="9.28515625" bestFit="1" customWidth="1"/>
    <col min="7941" max="7941" width="9.28515625" bestFit="1" customWidth="1"/>
    <col min="7942" max="7942" width="5.7109375" customWidth="1"/>
    <col min="7943" max="7943" width="9.28515625" bestFit="1" customWidth="1"/>
    <col min="7945" max="7953" width="9.28515625" bestFit="1" customWidth="1"/>
    <col min="7954" max="7954" width="9.7109375" bestFit="1" customWidth="1"/>
    <col min="7955" max="7956" width="9.28515625" bestFit="1" customWidth="1"/>
    <col min="8197" max="8197" width="9.28515625" bestFit="1" customWidth="1"/>
    <col min="8198" max="8198" width="5.7109375" customWidth="1"/>
    <col min="8199" max="8199" width="9.28515625" bestFit="1" customWidth="1"/>
    <col min="8201" max="8209" width="9.28515625" bestFit="1" customWidth="1"/>
    <col min="8210" max="8210" width="9.7109375" bestFit="1" customWidth="1"/>
    <col min="8211" max="8212" width="9.28515625" bestFit="1" customWidth="1"/>
    <col min="8453" max="8453" width="9.28515625" bestFit="1" customWidth="1"/>
    <col min="8454" max="8454" width="5.7109375" customWidth="1"/>
    <col min="8455" max="8455" width="9.28515625" bestFit="1" customWidth="1"/>
    <col min="8457" max="8465" width="9.28515625" bestFit="1" customWidth="1"/>
    <col min="8466" max="8466" width="9.7109375" bestFit="1" customWidth="1"/>
    <col min="8467" max="8468" width="9.28515625" bestFit="1" customWidth="1"/>
    <col min="8709" max="8709" width="9.28515625" bestFit="1" customWidth="1"/>
    <col min="8710" max="8710" width="5.7109375" customWidth="1"/>
    <col min="8711" max="8711" width="9.28515625" bestFit="1" customWidth="1"/>
    <col min="8713" max="8721" width="9.28515625" bestFit="1" customWidth="1"/>
    <col min="8722" max="8722" width="9.7109375" bestFit="1" customWidth="1"/>
    <col min="8723" max="8724" width="9.28515625" bestFit="1" customWidth="1"/>
    <col min="8965" max="8965" width="9.28515625" bestFit="1" customWidth="1"/>
    <col min="8966" max="8966" width="5.7109375" customWidth="1"/>
    <col min="8967" max="8967" width="9.28515625" bestFit="1" customWidth="1"/>
    <col min="8969" max="8977" width="9.28515625" bestFit="1" customWidth="1"/>
    <col min="8978" max="8978" width="9.7109375" bestFit="1" customWidth="1"/>
    <col min="8979" max="8980" width="9.28515625" bestFit="1" customWidth="1"/>
    <col min="9221" max="9221" width="9.28515625" bestFit="1" customWidth="1"/>
    <col min="9222" max="9222" width="5.7109375" customWidth="1"/>
    <col min="9223" max="9223" width="9.28515625" bestFit="1" customWidth="1"/>
    <col min="9225" max="9233" width="9.28515625" bestFit="1" customWidth="1"/>
    <col min="9234" max="9234" width="9.7109375" bestFit="1" customWidth="1"/>
    <col min="9235" max="9236" width="9.28515625" bestFit="1" customWidth="1"/>
    <col min="9477" max="9477" width="9.28515625" bestFit="1" customWidth="1"/>
    <col min="9478" max="9478" width="5.7109375" customWidth="1"/>
    <col min="9479" max="9479" width="9.28515625" bestFit="1" customWidth="1"/>
    <col min="9481" max="9489" width="9.28515625" bestFit="1" customWidth="1"/>
    <col min="9490" max="9490" width="9.7109375" bestFit="1" customWidth="1"/>
    <col min="9491" max="9492" width="9.28515625" bestFit="1" customWidth="1"/>
    <col min="9733" max="9733" width="9.28515625" bestFit="1" customWidth="1"/>
    <col min="9734" max="9734" width="5.7109375" customWidth="1"/>
    <col min="9735" max="9735" width="9.28515625" bestFit="1" customWidth="1"/>
    <col min="9737" max="9745" width="9.28515625" bestFit="1" customWidth="1"/>
    <col min="9746" max="9746" width="9.7109375" bestFit="1" customWidth="1"/>
    <col min="9747" max="9748" width="9.28515625" bestFit="1" customWidth="1"/>
    <col min="9989" max="9989" width="9.28515625" bestFit="1" customWidth="1"/>
    <col min="9990" max="9990" width="5.7109375" customWidth="1"/>
    <col min="9991" max="9991" width="9.28515625" bestFit="1" customWidth="1"/>
    <col min="9993" max="10001" width="9.28515625" bestFit="1" customWidth="1"/>
    <col min="10002" max="10002" width="9.7109375" bestFit="1" customWidth="1"/>
    <col min="10003" max="10004" width="9.28515625" bestFit="1" customWidth="1"/>
    <col min="10245" max="10245" width="9.28515625" bestFit="1" customWidth="1"/>
    <col min="10246" max="10246" width="5.7109375" customWidth="1"/>
    <col min="10247" max="10247" width="9.28515625" bestFit="1" customWidth="1"/>
    <col min="10249" max="10257" width="9.28515625" bestFit="1" customWidth="1"/>
    <col min="10258" max="10258" width="9.7109375" bestFit="1" customWidth="1"/>
    <col min="10259" max="10260" width="9.28515625" bestFit="1" customWidth="1"/>
    <col min="10501" max="10501" width="9.28515625" bestFit="1" customWidth="1"/>
    <col min="10502" max="10502" width="5.7109375" customWidth="1"/>
    <col min="10503" max="10503" width="9.28515625" bestFit="1" customWidth="1"/>
    <col min="10505" max="10513" width="9.28515625" bestFit="1" customWidth="1"/>
    <col min="10514" max="10514" width="9.7109375" bestFit="1" customWidth="1"/>
    <col min="10515" max="10516" width="9.28515625" bestFit="1" customWidth="1"/>
    <col min="10757" max="10757" width="9.28515625" bestFit="1" customWidth="1"/>
    <col min="10758" max="10758" width="5.7109375" customWidth="1"/>
    <col min="10759" max="10759" width="9.28515625" bestFit="1" customWidth="1"/>
    <col min="10761" max="10769" width="9.28515625" bestFit="1" customWidth="1"/>
    <col min="10770" max="10770" width="9.7109375" bestFit="1" customWidth="1"/>
    <col min="10771" max="10772" width="9.28515625" bestFit="1" customWidth="1"/>
    <col min="11013" max="11013" width="9.28515625" bestFit="1" customWidth="1"/>
    <col min="11014" max="11014" width="5.7109375" customWidth="1"/>
    <col min="11015" max="11015" width="9.28515625" bestFit="1" customWidth="1"/>
    <col min="11017" max="11025" width="9.28515625" bestFit="1" customWidth="1"/>
    <col min="11026" max="11026" width="9.7109375" bestFit="1" customWidth="1"/>
    <col min="11027" max="11028" width="9.28515625" bestFit="1" customWidth="1"/>
    <col min="11269" max="11269" width="9.28515625" bestFit="1" customWidth="1"/>
    <col min="11270" max="11270" width="5.7109375" customWidth="1"/>
    <col min="11271" max="11271" width="9.28515625" bestFit="1" customWidth="1"/>
    <col min="11273" max="11281" width="9.28515625" bestFit="1" customWidth="1"/>
    <col min="11282" max="11282" width="9.7109375" bestFit="1" customWidth="1"/>
    <col min="11283" max="11284" width="9.28515625" bestFit="1" customWidth="1"/>
    <col min="11525" max="11525" width="9.28515625" bestFit="1" customWidth="1"/>
    <col min="11526" max="11526" width="5.7109375" customWidth="1"/>
    <col min="11527" max="11527" width="9.28515625" bestFit="1" customWidth="1"/>
    <col min="11529" max="11537" width="9.28515625" bestFit="1" customWidth="1"/>
    <col min="11538" max="11538" width="9.7109375" bestFit="1" customWidth="1"/>
    <col min="11539" max="11540" width="9.28515625" bestFit="1" customWidth="1"/>
    <col min="11781" max="11781" width="9.28515625" bestFit="1" customWidth="1"/>
    <col min="11782" max="11782" width="5.7109375" customWidth="1"/>
    <col min="11783" max="11783" width="9.28515625" bestFit="1" customWidth="1"/>
    <col min="11785" max="11793" width="9.28515625" bestFit="1" customWidth="1"/>
    <col min="11794" max="11794" width="9.7109375" bestFit="1" customWidth="1"/>
    <col min="11795" max="11796" width="9.28515625" bestFit="1" customWidth="1"/>
    <col min="12037" max="12037" width="9.28515625" bestFit="1" customWidth="1"/>
    <col min="12038" max="12038" width="5.7109375" customWidth="1"/>
    <col min="12039" max="12039" width="9.28515625" bestFit="1" customWidth="1"/>
    <col min="12041" max="12049" width="9.28515625" bestFit="1" customWidth="1"/>
    <col min="12050" max="12050" width="9.7109375" bestFit="1" customWidth="1"/>
    <col min="12051" max="12052" width="9.28515625" bestFit="1" customWidth="1"/>
    <col min="12293" max="12293" width="9.28515625" bestFit="1" customWidth="1"/>
    <col min="12294" max="12294" width="5.7109375" customWidth="1"/>
    <col min="12295" max="12295" width="9.28515625" bestFit="1" customWidth="1"/>
    <col min="12297" max="12305" width="9.28515625" bestFit="1" customWidth="1"/>
    <col min="12306" max="12306" width="9.7109375" bestFit="1" customWidth="1"/>
    <col min="12307" max="12308" width="9.28515625" bestFit="1" customWidth="1"/>
    <col min="12549" max="12549" width="9.28515625" bestFit="1" customWidth="1"/>
    <col min="12550" max="12550" width="5.7109375" customWidth="1"/>
    <col min="12551" max="12551" width="9.28515625" bestFit="1" customWidth="1"/>
    <col min="12553" max="12561" width="9.28515625" bestFit="1" customWidth="1"/>
    <col min="12562" max="12562" width="9.7109375" bestFit="1" customWidth="1"/>
    <col min="12563" max="12564" width="9.28515625" bestFit="1" customWidth="1"/>
    <col min="12805" max="12805" width="9.28515625" bestFit="1" customWidth="1"/>
    <col min="12806" max="12806" width="5.7109375" customWidth="1"/>
    <col min="12807" max="12807" width="9.28515625" bestFit="1" customWidth="1"/>
    <col min="12809" max="12817" width="9.28515625" bestFit="1" customWidth="1"/>
    <col min="12818" max="12818" width="9.7109375" bestFit="1" customWidth="1"/>
    <col min="12819" max="12820" width="9.28515625" bestFit="1" customWidth="1"/>
    <col min="13061" max="13061" width="9.28515625" bestFit="1" customWidth="1"/>
    <col min="13062" max="13062" width="5.7109375" customWidth="1"/>
    <col min="13063" max="13063" width="9.28515625" bestFit="1" customWidth="1"/>
    <col min="13065" max="13073" width="9.28515625" bestFit="1" customWidth="1"/>
    <col min="13074" max="13074" width="9.7109375" bestFit="1" customWidth="1"/>
    <col min="13075" max="13076" width="9.28515625" bestFit="1" customWidth="1"/>
    <col min="13317" max="13317" width="9.28515625" bestFit="1" customWidth="1"/>
    <col min="13318" max="13318" width="5.7109375" customWidth="1"/>
    <col min="13319" max="13319" width="9.28515625" bestFit="1" customWidth="1"/>
    <col min="13321" max="13329" width="9.28515625" bestFit="1" customWidth="1"/>
    <col min="13330" max="13330" width="9.7109375" bestFit="1" customWidth="1"/>
    <col min="13331" max="13332" width="9.28515625" bestFit="1" customWidth="1"/>
    <col min="13573" max="13573" width="9.28515625" bestFit="1" customWidth="1"/>
    <col min="13574" max="13574" width="5.7109375" customWidth="1"/>
    <col min="13575" max="13575" width="9.28515625" bestFit="1" customWidth="1"/>
    <col min="13577" max="13585" width="9.28515625" bestFit="1" customWidth="1"/>
    <col min="13586" max="13586" width="9.7109375" bestFit="1" customWidth="1"/>
    <col min="13587" max="13588" width="9.28515625" bestFit="1" customWidth="1"/>
    <col min="13829" max="13829" width="9.28515625" bestFit="1" customWidth="1"/>
    <col min="13830" max="13830" width="5.7109375" customWidth="1"/>
    <col min="13831" max="13831" width="9.28515625" bestFit="1" customWidth="1"/>
    <col min="13833" max="13841" width="9.28515625" bestFit="1" customWidth="1"/>
    <col min="13842" max="13842" width="9.7109375" bestFit="1" customWidth="1"/>
    <col min="13843" max="13844" width="9.28515625" bestFit="1" customWidth="1"/>
    <col min="14085" max="14085" width="9.28515625" bestFit="1" customWidth="1"/>
    <col min="14086" max="14086" width="5.7109375" customWidth="1"/>
    <col min="14087" max="14087" width="9.28515625" bestFit="1" customWidth="1"/>
    <col min="14089" max="14097" width="9.28515625" bestFit="1" customWidth="1"/>
    <col min="14098" max="14098" width="9.7109375" bestFit="1" customWidth="1"/>
    <col min="14099" max="14100" width="9.28515625" bestFit="1" customWidth="1"/>
    <col min="14341" max="14341" width="9.28515625" bestFit="1" customWidth="1"/>
    <col min="14342" max="14342" width="5.7109375" customWidth="1"/>
    <col min="14343" max="14343" width="9.28515625" bestFit="1" customWidth="1"/>
    <col min="14345" max="14353" width="9.28515625" bestFit="1" customWidth="1"/>
    <col min="14354" max="14354" width="9.7109375" bestFit="1" customWidth="1"/>
    <col min="14355" max="14356" width="9.28515625" bestFit="1" customWidth="1"/>
    <col min="14597" max="14597" width="9.28515625" bestFit="1" customWidth="1"/>
    <col min="14598" max="14598" width="5.7109375" customWidth="1"/>
    <col min="14599" max="14599" width="9.28515625" bestFit="1" customWidth="1"/>
    <col min="14601" max="14609" width="9.28515625" bestFit="1" customWidth="1"/>
    <col min="14610" max="14610" width="9.7109375" bestFit="1" customWidth="1"/>
    <col min="14611" max="14612" width="9.28515625" bestFit="1" customWidth="1"/>
    <col min="14853" max="14853" width="9.28515625" bestFit="1" customWidth="1"/>
    <col min="14854" max="14854" width="5.7109375" customWidth="1"/>
    <col min="14855" max="14855" width="9.28515625" bestFit="1" customWidth="1"/>
    <col min="14857" max="14865" width="9.28515625" bestFit="1" customWidth="1"/>
    <col min="14866" max="14866" width="9.7109375" bestFit="1" customWidth="1"/>
    <col min="14867" max="14868" width="9.28515625" bestFit="1" customWidth="1"/>
    <col min="15109" max="15109" width="9.28515625" bestFit="1" customWidth="1"/>
    <col min="15110" max="15110" width="5.7109375" customWidth="1"/>
    <col min="15111" max="15111" width="9.28515625" bestFit="1" customWidth="1"/>
    <col min="15113" max="15121" width="9.28515625" bestFit="1" customWidth="1"/>
    <col min="15122" max="15122" width="9.7109375" bestFit="1" customWidth="1"/>
    <col min="15123" max="15124" width="9.28515625" bestFit="1" customWidth="1"/>
    <col min="15365" max="15365" width="9.28515625" bestFit="1" customWidth="1"/>
    <col min="15366" max="15366" width="5.7109375" customWidth="1"/>
    <col min="15367" max="15367" width="9.28515625" bestFit="1" customWidth="1"/>
    <col min="15369" max="15377" width="9.28515625" bestFit="1" customWidth="1"/>
    <col min="15378" max="15378" width="9.7109375" bestFit="1" customWidth="1"/>
    <col min="15379" max="15380" width="9.28515625" bestFit="1" customWidth="1"/>
    <col min="15621" max="15621" width="9.28515625" bestFit="1" customWidth="1"/>
    <col min="15622" max="15622" width="5.7109375" customWidth="1"/>
    <col min="15623" max="15623" width="9.28515625" bestFit="1" customWidth="1"/>
    <col min="15625" max="15633" width="9.28515625" bestFit="1" customWidth="1"/>
    <col min="15634" max="15634" width="9.7109375" bestFit="1" customWidth="1"/>
    <col min="15635" max="15636" width="9.28515625" bestFit="1" customWidth="1"/>
    <col min="15877" max="15877" width="9.28515625" bestFit="1" customWidth="1"/>
    <col min="15878" max="15878" width="5.7109375" customWidth="1"/>
    <col min="15879" max="15879" width="9.28515625" bestFit="1" customWidth="1"/>
    <col min="15881" max="15889" width="9.28515625" bestFit="1" customWidth="1"/>
    <col min="15890" max="15890" width="9.7109375" bestFit="1" customWidth="1"/>
    <col min="15891" max="15892" width="9.28515625" bestFit="1" customWidth="1"/>
    <col min="16133" max="16133" width="9.28515625" bestFit="1" customWidth="1"/>
    <col min="16134" max="16134" width="5.7109375" customWidth="1"/>
    <col min="16135" max="16135" width="9.28515625" bestFit="1" customWidth="1"/>
    <col min="16137" max="16145" width="9.28515625" bestFit="1" customWidth="1"/>
    <col min="16146" max="16146" width="9.7109375" bestFit="1" customWidth="1"/>
    <col min="16147" max="16148" width="9.28515625" bestFit="1" customWidth="1"/>
  </cols>
  <sheetData>
    <row r="1" spans="1:21" ht="15.75">
      <c r="A1" s="142"/>
      <c r="B1" s="142"/>
      <c r="C1" s="142"/>
      <c r="D1" s="142"/>
      <c r="E1" s="142"/>
      <c r="F1" s="143" t="s">
        <v>167</v>
      </c>
      <c r="G1" s="144"/>
      <c r="H1" s="144"/>
      <c r="I1" s="144"/>
      <c r="J1" s="144"/>
      <c r="K1" s="144"/>
      <c r="L1" s="144"/>
      <c r="M1" s="142"/>
      <c r="N1" s="142"/>
      <c r="O1" s="142"/>
      <c r="P1" s="142"/>
      <c r="Q1" s="142"/>
      <c r="R1" s="142"/>
      <c r="S1" s="142"/>
      <c r="T1" s="142"/>
      <c r="U1" s="142"/>
    </row>
    <row r="2" spans="1:21" ht="15.75">
      <c r="A2" s="142"/>
      <c r="B2" s="142"/>
      <c r="C2" s="142"/>
      <c r="D2" s="142"/>
      <c r="E2" s="142"/>
      <c r="F2" s="142"/>
      <c r="G2" s="142"/>
      <c r="H2" s="146"/>
      <c r="I2" s="143" t="s">
        <v>1335</v>
      </c>
      <c r="J2" s="144"/>
      <c r="K2" s="144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1:21">
      <c r="A3" s="808" t="s">
        <v>4176</v>
      </c>
      <c r="B3" s="808"/>
      <c r="C3" s="808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</row>
    <row r="4" spans="1:21">
      <c r="A4" s="142" t="s">
        <v>1336</v>
      </c>
      <c r="B4" s="142"/>
      <c r="C4" s="142"/>
      <c r="D4" s="142"/>
      <c r="E4" s="1035" t="s">
        <v>1433</v>
      </c>
      <c r="F4" s="1035"/>
      <c r="G4" s="1035"/>
      <c r="H4" s="149"/>
      <c r="I4" s="142" t="s">
        <v>171</v>
      </c>
      <c r="J4" s="142"/>
      <c r="K4" s="142"/>
      <c r="L4" s="1038">
        <v>904280103</v>
      </c>
      <c r="M4" s="1039"/>
      <c r="N4" s="149"/>
      <c r="O4" s="142" t="s">
        <v>5</v>
      </c>
      <c r="P4" s="102">
        <v>550</v>
      </c>
      <c r="Q4" s="142" t="s">
        <v>1338</v>
      </c>
      <c r="R4" s="146"/>
      <c r="S4" s="102">
        <v>0</v>
      </c>
      <c r="T4" s="146"/>
      <c r="U4" s="142"/>
    </row>
    <row r="5" spans="1:21">
      <c r="A5" s="142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</row>
    <row r="6" spans="1:21">
      <c r="A6" s="142" t="s">
        <v>1340</v>
      </c>
      <c r="B6" s="142"/>
      <c r="C6" s="142"/>
      <c r="D6" s="142"/>
      <c r="E6" s="1035" t="s">
        <v>1246</v>
      </c>
      <c r="F6" s="1035"/>
      <c r="G6" s="1035"/>
      <c r="H6" s="149"/>
      <c r="I6" s="142" t="s">
        <v>1208</v>
      </c>
      <c r="J6" s="142"/>
      <c r="K6" s="142"/>
      <c r="L6" s="1035" t="s">
        <v>1434</v>
      </c>
      <c r="M6" s="1035"/>
      <c r="N6" s="149"/>
      <c r="O6" s="149"/>
      <c r="P6" s="142"/>
      <c r="Q6" s="142"/>
      <c r="R6" s="142"/>
      <c r="S6" s="142"/>
      <c r="T6" s="142"/>
      <c r="U6" s="142"/>
    </row>
    <row r="7" spans="1:21">
      <c r="A7" s="142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</row>
    <row r="8" spans="1:21">
      <c r="A8" s="1043" t="s">
        <v>178</v>
      </c>
      <c r="B8" s="1043"/>
      <c r="C8" s="1043"/>
      <c r="D8" s="1044"/>
      <c r="E8" s="1035" t="s">
        <v>1435</v>
      </c>
      <c r="F8" s="1035"/>
      <c r="G8" s="1035"/>
      <c r="H8" s="149"/>
      <c r="I8" s="1045" t="s">
        <v>1344</v>
      </c>
      <c r="J8" s="1045"/>
      <c r="K8" s="1045"/>
      <c r="L8" s="1030" t="s">
        <v>1436</v>
      </c>
      <c r="M8" s="1030"/>
      <c r="N8" s="1030"/>
      <c r="O8" s="1030"/>
      <c r="P8" s="149"/>
      <c r="Q8" s="149"/>
      <c r="R8" s="142"/>
      <c r="S8" s="142"/>
      <c r="T8" s="142"/>
      <c r="U8" s="142"/>
    </row>
    <row r="9" spans="1:21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9"/>
      <c r="M9" s="149"/>
      <c r="N9" s="149"/>
      <c r="O9" s="149"/>
      <c r="P9" s="149"/>
      <c r="Q9" s="149"/>
      <c r="R9" s="142"/>
      <c r="S9" s="142"/>
      <c r="T9" s="142"/>
      <c r="U9" s="142"/>
    </row>
    <row r="10" spans="1:21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</row>
    <row r="11" spans="1:21">
      <c r="A11" s="1037" t="s">
        <v>838</v>
      </c>
      <c r="B11" s="1037"/>
      <c r="C11" s="1037"/>
      <c r="D11" s="1037"/>
      <c r="E11" s="1037"/>
      <c r="F11" s="1037"/>
      <c r="G11" s="1035" t="s">
        <v>1433</v>
      </c>
      <c r="H11" s="1035"/>
      <c r="I11" s="1035"/>
      <c r="J11" s="1035">
        <v>0</v>
      </c>
      <c r="K11" s="1035"/>
      <c r="L11" s="1035"/>
      <c r="M11" s="1035">
        <v>0</v>
      </c>
      <c r="N11" s="1035"/>
      <c r="O11" s="1035"/>
      <c r="P11" s="1035"/>
      <c r="Q11" s="1035">
        <v>0</v>
      </c>
      <c r="R11" s="1035"/>
      <c r="S11" s="1035"/>
      <c r="T11" s="1035"/>
      <c r="U11" s="142"/>
    </row>
    <row r="12" spans="1:21">
      <c r="A12" s="1037" t="s">
        <v>1346</v>
      </c>
      <c r="B12" s="1037"/>
      <c r="C12" s="1037"/>
      <c r="D12" s="1037"/>
      <c r="E12" s="1037"/>
      <c r="F12" s="1037"/>
      <c r="G12" s="1035" t="s">
        <v>1437</v>
      </c>
      <c r="H12" s="1035"/>
      <c r="I12" s="1035"/>
      <c r="J12" s="1035" t="s">
        <v>1438</v>
      </c>
      <c r="K12" s="1035"/>
      <c r="L12" s="1035"/>
      <c r="M12" s="1035" t="s">
        <v>1439</v>
      </c>
      <c r="N12" s="1035"/>
      <c r="O12" s="1035"/>
      <c r="P12" s="1035"/>
      <c r="Q12" s="1035" t="s">
        <v>1440</v>
      </c>
      <c r="R12" s="1035"/>
      <c r="S12" s="1035"/>
      <c r="T12" s="1035"/>
      <c r="U12" s="142"/>
    </row>
    <row r="13" spans="1:21">
      <c r="A13" s="1037" t="s">
        <v>192</v>
      </c>
      <c r="B13" s="1037"/>
      <c r="C13" s="1037"/>
      <c r="D13" s="1037"/>
      <c r="E13" s="1037"/>
      <c r="F13" s="1037"/>
      <c r="G13" s="1035" t="s">
        <v>1441</v>
      </c>
      <c r="H13" s="1035"/>
      <c r="I13" s="1035"/>
      <c r="J13" s="1035" t="s">
        <v>1442</v>
      </c>
      <c r="K13" s="1035"/>
      <c r="L13" s="1035"/>
      <c r="M13" s="1035" t="s">
        <v>1443</v>
      </c>
      <c r="N13" s="1035"/>
      <c r="O13" s="1035"/>
      <c r="P13" s="1035"/>
      <c r="Q13" s="1035" t="s">
        <v>1444</v>
      </c>
      <c r="R13" s="1035"/>
      <c r="S13" s="1035"/>
      <c r="T13" s="1035"/>
      <c r="U13" s="142"/>
    </row>
    <row r="14" spans="1:21">
      <c r="A14" s="1037" t="s">
        <v>197</v>
      </c>
      <c r="B14" s="1037"/>
      <c r="C14" s="1037"/>
      <c r="D14" s="1037"/>
      <c r="E14" s="1037"/>
      <c r="F14" s="1037"/>
      <c r="G14" s="1035">
        <v>0</v>
      </c>
      <c r="H14" s="1035"/>
      <c r="I14" s="1035"/>
      <c r="J14" s="1035">
        <v>0</v>
      </c>
      <c r="K14" s="1035"/>
      <c r="L14" s="1035"/>
      <c r="M14" s="1035">
        <v>0</v>
      </c>
      <c r="N14" s="1035"/>
      <c r="O14" s="1035"/>
      <c r="P14" s="1035"/>
      <c r="Q14" s="1035">
        <v>0</v>
      </c>
      <c r="R14" s="1035"/>
      <c r="S14" s="1035"/>
      <c r="T14" s="1035"/>
      <c r="U14" s="142"/>
    </row>
    <row r="15" spans="1:21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6"/>
      <c r="P15" s="146"/>
      <c r="Q15" s="142"/>
      <c r="R15" s="142"/>
      <c r="S15" s="142"/>
      <c r="T15" s="142"/>
      <c r="U15" s="142"/>
    </row>
    <row r="16" spans="1:21">
      <c r="A16" s="142" t="s">
        <v>1356</v>
      </c>
      <c r="B16" s="142"/>
      <c r="C16" s="142"/>
      <c r="D16" s="142"/>
      <c r="E16" s="147">
        <v>1</v>
      </c>
      <c r="F16" s="189"/>
      <c r="G16" s="148"/>
      <c r="H16" s="142" t="s">
        <v>1357</v>
      </c>
      <c r="I16" s="146"/>
      <c r="J16" s="142"/>
      <c r="K16" s="150">
        <v>2</v>
      </c>
      <c r="L16" s="150"/>
      <c r="M16" s="142" t="s">
        <v>643</v>
      </c>
      <c r="N16" s="146"/>
      <c r="O16" s="150">
        <v>9</v>
      </c>
      <c r="P16" s="142" t="s">
        <v>1358</v>
      </c>
      <c r="Q16" s="147">
        <v>0</v>
      </c>
      <c r="R16" s="148"/>
      <c r="S16" s="142" t="s">
        <v>1386</v>
      </c>
      <c r="T16" s="150">
        <v>10</v>
      </c>
      <c r="U16" s="149"/>
    </row>
    <row r="17" spans="1:21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</row>
    <row r="18" spans="1:21">
      <c r="A18" s="142" t="s">
        <v>203</v>
      </c>
      <c r="B18" s="142"/>
      <c r="C18" s="142"/>
      <c r="D18" s="142" t="s">
        <v>204</v>
      </c>
      <c r="E18" s="150">
        <v>78</v>
      </c>
      <c r="F18" s="142"/>
      <c r="G18" s="142" t="s">
        <v>205</v>
      </c>
      <c r="H18" s="149"/>
      <c r="I18" s="102">
        <v>0</v>
      </c>
      <c r="J18" s="142" t="s">
        <v>206</v>
      </c>
      <c r="K18" s="147">
        <v>0</v>
      </c>
      <c r="L18" s="148"/>
      <c r="M18" s="142" t="s">
        <v>230</v>
      </c>
      <c r="N18" s="150">
        <v>78</v>
      </c>
      <c r="O18" s="142" t="s">
        <v>207</v>
      </c>
      <c r="P18" s="102">
        <v>25</v>
      </c>
      <c r="Q18" s="142" t="s">
        <v>1360</v>
      </c>
      <c r="R18" s="146"/>
      <c r="S18" s="150">
        <v>28</v>
      </c>
      <c r="T18" s="146"/>
      <c r="U18" s="146"/>
    </row>
    <row r="19" spans="1:21">
      <c r="A19" s="142"/>
      <c r="B19" s="142"/>
      <c r="C19" s="142"/>
      <c r="D19" s="142" t="s">
        <v>210</v>
      </c>
      <c r="E19" s="150">
        <v>195</v>
      </c>
      <c r="F19" s="142"/>
      <c r="G19" s="142" t="s">
        <v>211</v>
      </c>
      <c r="H19" s="149"/>
      <c r="I19" s="102">
        <v>0</v>
      </c>
      <c r="J19" s="142" t="s">
        <v>212</v>
      </c>
      <c r="K19" s="147">
        <v>0</v>
      </c>
      <c r="L19" s="148"/>
      <c r="M19" s="142" t="s">
        <v>411</v>
      </c>
      <c r="N19" s="150">
        <v>195</v>
      </c>
      <c r="O19" s="146"/>
      <c r="P19" s="146"/>
      <c r="Q19" s="149"/>
      <c r="R19" s="142"/>
      <c r="S19" s="142"/>
      <c r="T19" s="142"/>
      <c r="U19" s="142"/>
    </row>
    <row r="20" spans="1:21">
      <c r="A20" s="142"/>
      <c r="B20" s="142"/>
      <c r="C20" s="142"/>
      <c r="D20" s="190" t="s">
        <v>213</v>
      </c>
      <c r="E20" s="150">
        <v>209</v>
      </c>
      <c r="F20" s="142"/>
      <c r="G20" s="154" t="s">
        <v>650</v>
      </c>
      <c r="H20" s="149"/>
      <c r="I20" s="102">
        <v>0</v>
      </c>
      <c r="J20" s="190" t="s">
        <v>215</v>
      </c>
      <c r="K20" s="147">
        <v>0</v>
      </c>
      <c r="L20" s="148"/>
      <c r="M20" s="167" t="s">
        <v>410</v>
      </c>
      <c r="N20" s="150">
        <v>209</v>
      </c>
      <c r="O20" s="146"/>
      <c r="P20" s="146"/>
      <c r="Q20" s="149"/>
      <c r="R20" s="142"/>
      <c r="S20" s="142"/>
      <c r="T20" s="142"/>
      <c r="U20" s="142"/>
    </row>
    <row r="21" spans="1:21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</row>
    <row r="22" spans="1:21">
      <c r="A22" s="144" t="s">
        <v>216</v>
      </c>
      <c r="B22" s="144"/>
      <c r="C22" s="144"/>
      <c r="D22" s="144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</row>
    <row r="23" spans="1:21">
      <c r="A23" s="142"/>
      <c r="B23" s="142"/>
      <c r="C23" s="142"/>
      <c r="D23" s="142"/>
      <c r="E23" s="142"/>
      <c r="F23" s="142"/>
      <c r="G23" s="1030" t="s">
        <v>1361</v>
      </c>
      <c r="H23" s="1035" t="s">
        <v>1362</v>
      </c>
      <c r="I23" s="1030" t="s">
        <v>1363</v>
      </c>
      <c r="J23" s="1030" t="s">
        <v>1364</v>
      </c>
      <c r="K23" s="1035" t="s">
        <v>222</v>
      </c>
      <c r="L23" s="1035"/>
      <c r="M23" s="1035"/>
      <c r="N23" s="1035"/>
      <c r="O23" s="1035"/>
      <c r="P23" s="1035"/>
      <c r="Q23" s="1035"/>
      <c r="R23" s="1035"/>
      <c r="S23" s="1035"/>
      <c r="T23" s="142"/>
      <c r="U23" s="142"/>
    </row>
    <row r="24" spans="1:21" ht="23.25" customHeight="1">
      <c r="A24" s="1037" t="s">
        <v>217</v>
      </c>
      <c r="B24" s="1037"/>
      <c r="C24" s="1037"/>
      <c r="D24" s="1037"/>
      <c r="E24" s="1037"/>
      <c r="F24" s="1058"/>
      <c r="G24" s="1030"/>
      <c r="H24" s="1035"/>
      <c r="I24" s="1030"/>
      <c r="J24" s="1030"/>
      <c r="K24" s="102" t="s">
        <v>1365</v>
      </c>
      <c r="L24" s="102" t="s">
        <v>1366</v>
      </c>
      <c r="M24" s="102" t="s">
        <v>1367</v>
      </c>
      <c r="N24" s="102" t="s">
        <v>1368</v>
      </c>
      <c r="O24" s="102" t="s">
        <v>1369</v>
      </c>
      <c r="P24" s="102" t="s">
        <v>1370</v>
      </c>
      <c r="Q24" s="102" t="s">
        <v>1371</v>
      </c>
      <c r="R24" s="102" t="s">
        <v>230</v>
      </c>
      <c r="S24" s="102" t="s">
        <v>231</v>
      </c>
      <c r="T24" s="142"/>
      <c r="U24" s="142"/>
    </row>
    <row r="25" spans="1:21">
      <c r="A25" s="1037" t="s">
        <v>232</v>
      </c>
      <c r="B25" s="1037"/>
      <c r="C25" s="1037"/>
      <c r="D25" s="1037"/>
      <c r="E25" s="1037"/>
      <c r="F25" s="1037"/>
      <c r="G25" s="102">
        <v>8000</v>
      </c>
      <c r="H25" s="102" t="s">
        <v>1175</v>
      </c>
      <c r="I25" s="55">
        <f>+G25*P4/100000</f>
        <v>44</v>
      </c>
      <c r="J25" s="55">
        <f>4400000/100000</f>
        <v>44</v>
      </c>
      <c r="K25" s="71">
        <v>0</v>
      </c>
      <c r="L25" s="55">
        <f>116856/100000</f>
        <v>1.16856</v>
      </c>
      <c r="M25" s="55">
        <f>673658/100000</f>
        <v>6.73658</v>
      </c>
      <c r="N25" s="55">
        <f>1003609/100000</f>
        <v>10.03609</v>
      </c>
      <c r="O25" s="55">
        <f>2434222/100000</f>
        <v>24.342220000000001</v>
      </c>
      <c r="P25" s="55">
        <f>140387/100000</f>
        <v>1.40387</v>
      </c>
      <c r="Q25" s="55">
        <v>0</v>
      </c>
      <c r="R25" s="54">
        <f>SUM(K25:Q25)</f>
        <v>43.68732</v>
      </c>
      <c r="S25" s="121">
        <f>R25*100/J25</f>
        <v>99.289363636363632</v>
      </c>
      <c r="T25" s="142"/>
      <c r="U25" s="142"/>
    </row>
    <row r="26" spans="1:21">
      <c r="A26" s="1037" t="s">
        <v>234</v>
      </c>
      <c r="B26" s="1037"/>
      <c r="C26" s="1037"/>
      <c r="D26" s="1037"/>
      <c r="E26" s="1037"/>
      <c r="F26" s="1037"/>
      <c r="G26" s="102">
        <v>7000</v>
      </c>
      <c r="H26" s="102" t="s">
        <v>1175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f t="shared" ref="R26:R32" si="0">SUM(L26:Q26)</f>
        <v>0</v>
      </c>
      <c r="S26" s="121"/>
      <c r="T26" s="142"/>
      <c r="U26" s="142"/>
    </row>
    <row r="27" spans="1:21">
      <c r="A27" s="1037" t="s">
        <v>1373</v>
      </c>
      <c r="B27" s="1037"/>
      <c r="C27" s="1037"/>
      <c r="D27" s="1037"/>
      <c r="E27" s="1037"/>
      <c r="F27" s="1037"/>
      <c r="G27" s="102">
        <v>63000</v>
      </c>
      <c r="H27" s="102" t="s">
        <v>236</v>
      </c>
      <c r="I27" s="55">
        <f>143000/100000</f>
        <v>1.43</v>
      </c>
      <c r="J27" s="55">
        <f>63000/100000</f>
        <v>0.63</v>
      </c>
      <c r="K27" s="55">
        <v>0</v>
      </c>
      <c r="L27" s="55">
        <v>0</v>
      </c>
      <c r="M27" s="55">
        <v>0</v>
      </c>
      <c r="N27" s="55">
        <f>18000/100000</f>
        <v>0.18</v>
      </c>
      <c r="O27" s="55">
        <f>15000/100000</f>
        <v>0.15</v>
      </c>
      <c r="P27" s="55">
        <f>10000/100000</f>
        <v>0.1</v>
      </c>
      <c r="Q27" s="55">
        <f>10000/100000</f>
        <v>0.1</v>
      </c>
      <c r="R27" s="54">
        <f t="shared" si="0"/>
        <v>0.52999999999999992</v>
      </c>
      <c r="S27" s="121">
        <f t="shared" ref="S27:S32" si="1">R27*100/J27</f>
        <v>84.126984126984112</v>
      </c>
      <c r="T27" s="142"/>
      <c r="U27" s="142"/>
    </row>
    <row r="28" spans="1:21">
      <c r="A28" s="1037" t="s">
        <v>237</v>
      </c>
      <c r="B28" s="1037"/>
      <c r="C28" s="1037"/>
      <c r="D28" s="1037"/>
      <c r="E28" s="1037"/>
      <c r="F28" s="1037"/>
      <c r="G28" s="102">
        <v>43000</v>
      </c>
      <c r="H28" s="102" t="s">
        <v>236</v>
      </c>
      <c r="I28" s="55">
        <f>34000/100000</f>
        <v>0.34</v>
      </c>
      <c r="J28" s="55">
        <f>34000/100000</f>
        <v>0.34</v>
      </c>
      <c r="K28" s="55">
        <v>0</v>
      </c>
      <c r="L28" s="55">
        <v>0</v>
      </c>
      <c r="M28" s="55">
        <v>0</v>
      </c>
      <c r="N28" s="55">
        <f>16000/100000</f>
        <v>0.16</v>
      </c>
      <c r="O28" s="55">
        <f>18000/100000</f>
        <v>0.18</v>
      </c>
      <c r="P28" s="55">
        <v>0</v>
      </c>
      <c r="Q28" s="55">
        <v>0</v>
      </c>
      <c r="R28" s="55">
        <f t="shared" si="0"/>
        <v>0.33999999999999997</v>
      </c>
      <c r="S28" s="121">
        <f t="shared" si="1"/>
        <v>99.999999999999986</v>
      </c>
      <c r="T28" s="142"/>
      <c r="U28" s="142"/>
    </row>
    <row r="29" spans="1:21">
      <c r="A29" s="1037" t="s">
        <v>1374</v>
      </c>
      <c r="B29" s="1037"/>
      <c r="C29" s="1037"/>
      <c r="D29" s="1037"/>
      <c r="E29" s="1037"/>
      <c r="F29" s="1037"/>
      <c r="G29" s="102">
        <v>1200</v>
      </c>
      <c r="H29" s="102" t="s">
        <v>1175</v>
      </c>
      <c r="I29" s="55">
        <f>+G29*P4/100000</f>
        <v>6.6</v>
      </c>
      <c r="J29" s="55">
        <f>660000/100000</f>
        <v>6.6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f>660000/100000</f>
        <v>6.6</v>
      </c>
      <c r="Q29" s="55">
        <v>0</v>
      </c>
      <c r="R29" s="54">
        <f t="shared" si="0"/>
        <v>6.6</v>
      </c>
      <c r="S29" s="121">
        <f t="shared" si="1"/>
        <v>100</v>
      </c>
      <c r="T29" s="142"/>
      <c r="U29" s="142"/>
    </row>
    <row r="30" spans="1:21">
      <c r="A30" s="1037" t="s">
        <v>1375</v>
      </c>
      <c r="B30" s="1037"/>
      <c r="C30" s="1037"/>
      <c r="D30" s="1037"/>
      <c r="E30" s="1037"/>
      <c r="F30" s="1037"/>
      <c r="G30" s="102">
        <v>565</v>
      </c>
      <c r="H30" s="102" t="s">
        <v>1175</v>
      </c>
      <c r="I30" s="55">
        <f>+G30*P4/100000</f>
        <v>3.1074999999999999</v>
      </c>
      <c r="J30" s="55">
        <f>310750/100000</f>
        <v>3.1074999999999999</v>
      </c>
      <c r="K30" s="55">
        <v>0</v>
      </c>
      <c r="L30" s="55">
        <v>0</v>
      </c>
      <c r="M30" s="55">
        <f>35000/100000</f>
        <v>0.35</v>
      </c>
      <c r="N30" s="55">
        <f>2800/100000</f>
        <v>2.8000000000000001E-2</v>
      </c>
      <c r="O30" s="55">
        <f>272950/100000</f>
        <v>2.7294999999999998</v>
      </c>
      <c r="P30" s="55">
        <v>0</v>
      </c>
      <c r="Q30" s="55"/>
      <c r="R30" s="55">
        <f t="shared" si="0"/>
        <v>3.1074999999999999</v>
      </c>
      <c r="S30" s="121">
        <f t="shared" si="1"/>
        <v>100</v>
      </c>
      <c r="T30" s="142"/>
      <c r="U30" s="142"/>
    </row>
    <row r="31" spans="1:21">
      <c r="A31" s="1037" t="s">
        <v>1376</v>
      </c>
      <c r="B31" s="1037"/>
      <c r="C31" s="1037"/>
      <c r="D31" s="1037"/>
      <c r="E31" s="1037"/>
      <c r="F31" s="1037"/>
      <c r="G31" s="102">
        <v>1000</v>
      </c>
      <c r="H31" s="102" t="s">
        <v>1175</v>
      </c>
      <c r="I31" s="55">
        <f>+G31*P4/100000</f>
        <v>5.5</v>
      </c>
      <c r="J31" s="55">
        <f>550000/100000</f>
        <v>5.5</v>
      </c>
      <c r="K31" s="55">
        <v>0</v>
      </c>
      <c r="L31" s="55">
        <f>12630/100000</f>
        <v>0.1263</v>
      </c>
      <c r="M31" s="55">
        <f>87370/100000</f>
        <v>0.87370000000000003</v>
      </c>
      <c r="N31" s="55">
        <v>0</v>
      </c>
      <c r="O31" s="55">
        <v>0</v>
      </c>
      <c r="P31" s="55">
        <f>467133/100000</f>
        <v>4.6713300000000002</v>
      </c>
      <c r="Q31" s="55">
        <v>0</v>
      </c>
      <c r="R31" s="54">
        <f t="shared" si="0"/>
        <v>5.6713300000000002</v>
      </c>
      <c r="S31" s="121">
        <f t="shared" si="1"/>
        <v>103.11509090909091</v>
      </c>
      <c r="T31" s="142"/>
      <c r="U31" s="142"/>
    </row>
    <row r="32" spans="1:21">
      <c r="A32" s="1037" t="s">
        <v>394</v>
      </c>
      <c r="B32" s="1037"/>
      <c r="C32" s="1037"/>
      <c r="D32" s="1037"/>
      <c r="E32" s="1037"/>
      <c r="F32" s="1037"/>
      <c r="G32" s="102">
        <v>2750</v>
      </c>
      <c r="H32" s="102" t="s">
        <v>242</v>
      </c>
      <c r="I32" s="55">
        <f>192000/100000</f>
        <v>1.92</v>
      </c>
      <c r="J32" s="55">
        <f>192000/100000</f>
        <v>1.92</v>
      </c>
      <c r="K32" s="55">
        <v>0</v>
      </c>
      <c r="L32" s="55">
        <f>7206/100000</f>
        <v>7.2059999999999999E-2</v>
      </c>
      <c r="M32" s="55">
        <f>40255/100000</f>
        <v>0.40255000000000002</v>
      </c>
      <c r="N32" s="55">
        <f>45539/100000</f>
        <v>0.45539000000000002</v>
      </c>
      <c r="O32" s="55">
        <f>33000/100000</f>
        <v>0.33</v>
      </c>
      <c r="P32" s="55">
        <f>33000/100000</f>
        <v>0.33</v>
      </c>
      <c r="Q32" s="55">
        <f>33000/100000</f>
        <v>0.33</v>
      </c>
      <c r="R32" s="54">
        <f t="shared" si="0"/>
        <v>1.9200000000000002</v>
      </c>
      <c r="S32" s="121">
        <f t="shared" si="1"/>
        <v>100.00000000000001</v>
      </c>
      <c r="T32" s="142"/>
      <c r="U32" s="142"/>
    </row>
    <row r="33" spans="1:21">
      <c r="A33" s="1032" t="s">
        <v>230</v>
      </c>
      <c r="B33" s="1033"/>
      <c r="C33" s="1033"/>
      <c r="D33" s="1033"/>
      <c r="E33" s="1033"/>
      <c r="F33" s="1034"/>
      <c r="G33" s="191"/>
      <c r="H33" s="191"/>
      <c r="I33" s="54">
        <f>SUM(I25:I32)</f>
        <v>62.897500000000008</v>
      </c>
      <c r="J33" s="54">
        <f>SUM(J25:J32)</f>
        <v>62.097500000000011</v>
      </c>
      <c r="K33" s="54"/>
      <c r="L33" s="54">
        <f t="shared" ref="L33:R33" si="2">SUM(L25:L32)</f>
        <v>1.3669200000000001</v>
      </c>
      <c r="M33" s="54">
        <f t="shared" si="2"/>
        <v>8.3628300000000007</v>
      </c>
      <c r="N33" s="54">
        <f t="shared" si="2"/>
        <v>10.85948</v>
      </c>
      <c r="O33" s="54">
        <f t="shared" si="2"/>
        <v>27.731719999999996</v>
      </c>
      <c r="P33" s="54">
        <f t="shared" si="2"/>
        <v>13.105200000000002</v>
      </c>
      <c r="Q33" s="54">
        <f t="shared" si="2"/>
        <v>0.43000000000000005</v>
      </c>
      <c r="R33" s="54">
        <f t="shared" si="2"/>
        <v>61.856150000000007</v>
      </c>
      <c r="S33" s="118">
        <f>R33*100/J33</f>
        <v>99.611337010346631</v>
      </c>
      <c r="T33" s="142"/>
      <c r="U33" s="142"/>
    </row>
  </sheetData>
  <mergeCells count="44">
    <mergeCell ref="A3:C3"/>
    <mergeCell ref="E4:G4"/>
    <mergeCell ref="L4:M4"/>
    <mergeCell ref="E6:G6"/>
    <mergeCell ref="L6:M6"/>
    <mergeCell ref="A8:D8"/>
    <mergeCell ref="E8:G8"/>
    <mergeCell ref="I8:K8"/>
    <mergeCell ref="L8:O8"/>
    <mergeCell ref="A12:F12"/>
    <mergeCell ref="G12:I12"/>
    <mergeCell ref="J12:L12"/>
    <mergeCell ref="M12:P12"/>
    <mergeCell ref="Q12:T12"/>
    <mergeCell ref="A11:F11"/>
    <mergeCell ref="G11:I11"/>
    <mergeCell ref="J11:L11"/>
    <mergeCell ref="M11:P11"/>
    <mergeCell ref="Q11:T11"/>
    <mergeCell ref="A24:F24"/>
    <mergeCell ref="A13:F13"/>
    <mergeCell ref="G13:I13"/>
    <mergeCell ref="J13:L13"/>
    <mergeCell ref="M13:P13"/>
    <mergeCell ref="G23:G24"/>
    <mergeCell ref="H23:H24"/>
    <mergeCell ref="I23:I24"/>
    <mergeCell ref="J23:J24"/>
    <mergeCell ref="K23:S23"/>
    <mergeCell ref="Q13:T13"/>
    <mergeCell ref="A14:F14"/>
    <mergeCell ref="G14:I14"/>
    <mergeCell ref="J14:L14"/>
    <mergeCell ref="M14:P14"/>
    <mergeCell ref="Q14:T14"/>
    <mergeCell ref="A31:F31"/>
    <mergeCell ref="A32:F32"/>
    <mergeCell ref="A33:F33"/>
    <mergeCell ref="A25:F25"/>
    <mergeCell ref="A26:F26"/>
    <mergeCell ref="A27:F27"/>
    <mergeCell ref="A28:F28"/>
    <mergeCell ref="A29:F29"/>
    <mergeCell ref="A30:F30"/>
  </mergeCells>
  <hyperlinks>
    <hyperlink ref="A3" location="'Fact Sheet of VDC'!A1" display="&lt;&lt;Back"/>
  </hyperlinks>
  <pageMargins left="0.7" right="0.7" top="0.75" bottom="0.75" header="0.3" footer="0.3"/>
  <pageSetup paperSize="9" scale="68"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U37"/>
  <sheetViews>
    <sheetView workbookViewId="0">
      <selection activeCell="A3" sqref="A3:C3"/>
    </sheetView>
  </sheetViews>
  <sheetFormatPr defaultRowHeight="15"/>
  <cols>
    <col min="5" max="5" width="9.28515625" bestFit="1" customWidth="1"/>
    <col min="6" max="6" width="6.85546875" customWidth="1"/>
    <col min="7" max="17" width="9.28515625" bestFit="1" customWidth="1"/>
    <col min="18" max="18" width="9.85546875" bestFit="1" customWidth="1"/>
    <col min="19" max="19" width="9.28515625" bestFit="1" customWidth="1"/>
    <col min="261" max="261" width="9.28515625" bestFit="1" customWidth="1"/>
    <col min="262" max="262" width="6.85546875" customWidth="1"/>
    <col min="263" max="273" width="9.28515625" bestFit="1" customWidth="1"/>
    <col min="274" max="274" width="9.85546875" bestFit="1" customWidth="1"/>
    <col min="275" max="275" width="9.28515625" bestFit="1" customWidth="1"/>
    <col min="517" max="517" width="9.28515625" bestFit="1" customWidth="1"/>
    <col min="518" max="518" width="6.85546875" customWidth="1"/>
    <col min="519" max="529" width="9.28515625" bestFit="1" customWidth="1"/>
    <col min="530" max="530" width="9.85546875" bestFit="1" customWidth="1"/>
    <col min="531" max="531" width="9.28515625" bestFit="1" customWidth="1"/>
    <col min="773" max="773" width="9.28515625" bestFit="1" customWidth="1"/>
    <col min="774" max="774" width="6.85546875" customWidth="1"/>
    <col min="775" max="785" width="9.28515625" bestFit="1" customWidth="1"/>
    <col min="786" max="786" width="9.85546875" bestFit="1" customWidth="1"/>
    <col min="787" max="787" width="9.28515625" bestFit="1" customWidth="1"/>
    <col min="1029" max="1029" width="9.28515625" bestFit="1" customWidth="1"/>
    <col min="1030" max="1030" width="6.85546875" customWidth="1"/>
    <col min="1031" max="1041" width="9.28515625" bestFit="1" customWidth="1"/>
    <col min="1042" max="1042" width="9.85546875" bestFit="1" customWidth="1"/>
    <col min="1043" max="1043" width="9.28515625" bestFit="1" customWidth="1"/>
    <col min="1285" max="1285" width="9.28515625" bestFit="1" customWidth="1"/>
    <col min="1286" max="1286" width="6.85546875" customWidth="1"/>
    <col min="1287" max="1297" width="9.28515625" bestFit="1" customWidth="1"/>
    <col min="1298" max="1298" width="9.85546875" bestFit="1" customWidth="1"/>
    <col min="1299" max="1299" width="9.28515625" bestFit="1" customWidth="1"/>
    <col min="1541" max="1541" width="9.28515625" bestFit="1" customWidth="1"/>
    <col min="1542" max="1542" width="6.85546875" customWidth="1"/>
    <col min="1543" max="1553" width="9.28515625" bestFit="1" customWidth="1"/>
    <col min="1554" max="1554" width="9.85546875" bestFit="1" customWidth="1"/>
    <col min="1555" max="1555" width="9.28515625" bestFit="1" customWidth="1"/>
    <col min="1797" max="1797" width="9.28515625" bestFit="1" customWidth="1"/>
    <col min="1798" max="1798" width="6.85546875" customWidth="1"/>
    <col min="1799" max="1809" width="9.28515625" bestFit="1" customWidth="1"/>
    <col min="1810" max="1810" width="9.85546875" bestFit="1" customWidth="1"/>
    <col min="1811" max="1811" width="9.28515625" bestFit="1" customWidth="1"/>
    <col min="2053" max="2053" width="9.28515625" bestFit="1" customWidth="1"/>
    <col min="2054" max="2054" width="6.85546875" customWidth="1"/>
    <col min="2055" max="2065" width="9.28515625" bestFit="1" customWidth="1"/>
    <col min="2066" max="2066" width="9.85546875" bestFit="1" customWidth="1"/>
    <col min="2067" max="2067" width="9.28515625" bestFit="1" customWidth="1"/>
    <col min="2309" max="2309" width="9.28515625" bestFit="1" customWidth="1"/>
    <col min="2310" max="2310" width="6.85546875" customWidth="1"/>
    <col min="2311" max="2321" width="9.28515625" bestFit="1" customWidth="1"/>
    <col min="2322" max="2322" width="9.85546875" bestFit="1" customWidth="1"/>
    <col min="2323" max="2323" width="9.28515625" bestFit="1" customWidth="1"/>
    <col min="2565" max="2565" width="9.28515625" bestFit="1" customWidth="1"/>
    <col min="2566" max="2566" width="6.85546875" customWidth="1"/>
    <col min="2567" max="2577" width="9.28515625" bestFit="1" customWidth="1"/>
    <col min="2578" max="2578" width="9.85546875" bestFit="1" customWidth="1"/>
    <col min="2579" max="2579" width="9.28515625" bestFit="1" customWidth="1"/>
    <col min="2821" max="2821" width="9.28515625" bestFit="1" customWidth="1"/>
    <col min="2822" max="2822" width="6.85546875" customWidth="1"/>
    <col min="2823" max="2833" width="9.28515625" bestFit="1" customWidth="1"/>
    <col min="2834" max="2834" width="9.85546875" bestFit="1" customWidth="1"/>
    <col min="2835" max="2835" width="9.28515625" bestFit="1" customWidth="1"/>
    <col min="3077" max="3077" width="9.28515625" bestFit="1" customWidth="1"/>
    <col min="3078" max="3078" width="6.85546875" customWidth="1"/>
    <col min="3079" max="3089" width="9.28515625" bestFit="1" customWidth="1"/>
    <col min="3090" max="3090" width="9.85546875" bestFit="1" customWidth="1"/>
    <col min="3091" max="3091" width="9.28515625" bestFit="1" customWidth="1"/>
    <col min="3333" max="3333" width="9.28515625" bestFit="1" customWidth="1"/>
    <col min="3334" max="3334" width="6.85546875" customWidth="1"/>
    <col min="3335" max="3345" width="9.28515625" bestFit="1" customWidth="1"/>
    <col min="3346" max="3346" width="9.85546875" bestFit="1" customWidth="1"/>
    <col min="3347" max="3347" width="9.28515625" bestFit="1" customWidth="1"/>
    <col min="3589" max="3589" width="9.28515625" bestFit="1" customWidth="1"/>
    <col min="3590" max="3590" width="6.85546875" customWidth="1"/>
    <col min="3591" max="3601" width="9.28515625" bestFit="1" customWidth="1"/>
    <col min="3602" max="3602" width="9.85546875" bestFit="1" customWidth="1"/>
    <col min="3603" max="3603" width="9.28515625" bestFit="1" customWidth="1"/>
    <col min="3845" max="3845" width="9.28515625" bestFit="1" customWidth="1"/>
    <col min="3846" max="3846" width="6.85546875" customWidth="1"/>
    <col min="3847" max="3857" width="9.28515625" bestFit="1" customWidth="1"/>
    <col min="3858" max="3858" width="9.85546875" bestFit="1" customWidth="1"/>
    <col min="3859" max="3859" width="9.28515625" bestFit="1" customWidth="1"/>
    <col min="4101" max="4101" width="9.28515625" bestFit="1" customWidth="1"/>
    <col min="4102" max="4102" width="6.85546875" customWidth="1"/>
    <col min="4103" max="4113" width="9.28515625" bestFit="1" customWidth="1"/>
    <col min="4114" max="4114" width="9.85546875" bestFit="1" customWidth="1"/>
    <col min="4115" max="4115" width="9.28515625" bestFit="1" customWidth="1"/>
    <col min="4357" max="4357" width="9.28515625" bestFit="1" customWidth="1"/>
    <col min="4358" max="4358" width="6.85546875" customWidth="1"/>
    <col min="4359" max="4369" width="9.28515625" bestFit="1" customWidth="1"/>
    <col min="4370" max="4370" width="9.85546875" bestFit="1" customWidth="1"/>
    <col min="4371" max="4371" width="9.28515625" bestFit="1" customWidth="1"/>
    <col min="4613" max="4613" width="9.28515625" bestFit="1" customWidth="1"/>
    <col min="4614" max="4614" width="6.85546875" customWidth="1"/>
    <col min="4615" max="4625" width="9.28515625" bestFit="1" customWidth="1"/>
    <col min="4626" max="4626" width="9.85546875" bestFit="1" customWidth="1"/>
    <col min="4627" max="4627" width="9.28515625" bestFit="1" customWidth="1"/>
    <col min="4869" max="4869" width="9.28515625" bestFit="1" customWidth="1"/>
    <col min="4870" max="4870" width="6.85546875" customWidth="1"/>
    <col min="4871" max="4881" width="9.28515625" bestFit="1" customWidth="1"/>
    <col min="4882" max="4882" width="9.85546875" bestFit="1" customWidth="1"/>
    <col min="4883" max="4883" width="9.28515625" bestFit="1" customWidth="1"/>
    <col min="5125" max="5125" width="9.28515625" bestFit="1" customWidth="1"/>
    <col min="5126" max="5126" width="6.85546875" customWidth="1"/>
    <col min="5127" max="5137" width="9.28515625" bestFit="1" customWidth="1"/>
    <col min="5138" max="5138" width="9.85546875" bestFit="1" customWidth="1"/>
    <col min="5139" max="5139" width="9.28515625" bestFit="1" customWidth="1"/>
    <col min="5381" max="5381" width="9.28515625" bestFit="1" customWidth="1"/>
    <col min="5382" max="5382" width="6.85546875" customWidth="1"/>
    <col min="5383" max="5393" width="9.28515625" bestFit="1" customWidth="1"/>
    <col min="5394" max="5394" width="9.85546875" bestFit="1" customWidth="1"/>
    <col min="5395" max="5395" width="9.28515625" bestFit="1" customWidth="1"/>
    <col min="5637" max="5637" width="9.28515625" bestFit="1" customWidth="1"/>
    <col min="5638" max="5638" width="6.85546875" customWidth="1"/>
    <col min="5639" max="5649" width="9.28515625" bestFit="1" customWidth="1"/>
    <col min="5650" max="5650" width="9.85546875" bestFit="1" customWidth="1"/>
    <col min="5651" max="5651" width="9.28515625" bestFit="1" customWidth="1"/>
    <col min="5893" max="5893" width="9.28515625" bestFit="1" customWidth="1"/>
    <col min="5894" max="5894" width="6.85546875" customWidth="1"/>
    <col min="5895" max="5905" width="9.28515625" bestFit="1" customWidth="1"/>
    <col min="5906" max="5906" width="9.85546875" bestFit="1" customWidth="1"/>
    <col min="5907" max="5907" width="9.28515625" bestFit="1" customWidth="1"/>
    <col min="6149" max="6149" width="9.28515625" bestFit="1" customWidth="1"/>
    <col min="6150" max="6150" width="6.85546875" customWidth="1"/>
    <col min="6151" max="6161" width="9.28515625" bestFit="1" customWidth="1"/>
    <col min="6162" max="6162" width="9.85546875" bestFit="1" customWidth="1"/>
    <col min="6163" max="6163" width="9.28515625" bestFit="1" customWidth="1"/>
    <col min="6405" max="6405" width="9.28515625" bestFit="1" customWidth="1"/>
    <col min="6406" max="6406" width="6.85546875" customWidth="1"/>
    <col min="6407" max="6417" width="9.28515625" bestFit="1" customWidth="1"/>
    <col min="6418" max="6418" width="9.85546875" bestFit="1" customWidth="1"/>
    <col min="6419" max="6419" width="9.28515625" bestFit="1" customWidth="1"/>
    <col min="6661" max="6661" width="9.28515625" bestFit="1" customWidth="1"/>
    <col min="6662" max="6662" width="6.85546875" customWidth="1"/>
    <col min="6663" max="6673" width="9.28515625" bestFit="1" customWidth="1"/>
    <col min="6674" max="6674" width="9.85546875" bestFit="1" customWidth="1"/>
    <col min="6675" max="6675" width="9.28515625" bestFit="1" customWidth="1"/>
    <col min="6917" max="6917" width="9.28515625" bestFit="1" customWidth="1"/>
    <col min="6918" max="6918" width="6.85546875" customWidth="1"/>
    <col min="6919" max="6929" width="9.28515625" bestFit="1" customWidth="1"/>
    <col min="6930" max="6930" width="9.85546875" bestFit="1" customWidth="1"/>
    <col min="6931" max="6931" width="9.28515625" bestFit="1" customWidth="1"/>
    <col min="7173" max="7173" width="9.28515625" bestFit="1" customWidth="1"/>
    <col min="7174" max="7174" width="6.85546875" customWidth="1"/>
    <col min="7175" max="7185" width="9.28515625" bestFit="1" customWidth="1"/>
    <col min="7186" max="7186" width="9.85546875" bestFit="1" customWidth="1"/>
    <col min="7187" max="7187" width="9.28515625" bestFit="1" customWidth="1"/>
    <col min="7429" max="7429" width="9.28515625" bestFit="1" customWidth="1"/>
    <col min="7430" max="7430" width="6.85546875" customWidth="1"/>
    <col min="7431" max="7441" width="9.28515625" bestFit="1" customWidth="1"/>
    <col min="7442" max="7442" width="9.85546875" bestFit="1" customWidth="1"/>
    <col min="7443" max="7443" width="9.28515625" bestFit="1" customWidth="1"/>
    <col min="7685" max="7685" width="9.28515625" bestFit="1" customWidth="1"/>
    <col min="7686" max="7686" width="6.85546875" customWidth="1"/>
    <col min="7687" max="7697" width="9.28515625" bestFit="1" customWidth="1"/>
    <col min="7698" max="7698" width="9.85546875" bestFit="1" customWidth="1"/>
    <col min="7699" max="7699" width="9.28515625" bestFit="1" customWidth="1"/>
    <col min="7941" max="7941" width="9.28515625" bestFit="1" customWidth="1"/>
    <col min="7942" max="7942" width="6.85546875" customWidth="1"/>
    <col min="7943" max="7953" width="9.28515625" bestFit="1" customWidth="1"/>
    <col min="7954" max="7954" width="9.85546875" bestFit="1" customWidth="1"/>
    <col min="7955" max="7955" width="9.28515625" bestFit="1" customWidth="1"/>
    <col min="8197" max="8197" width="9.28515625" bestFit="1" customWidth="1"/>
    <col min="8198" max="8198" width="6.85546875" customWidth="1"/>
    <col min="8199" max="8209" width="9.28515625" bestFit="1" customWidth="1"/>
    <col min="8210" max="8210" width="9.85546875" bestFit="1" customWidth="1"/>
    <col min="8211" max="8211" width="9.28515625" bestFit="1" customWidth="1"/>
    <col min="8453" max="8453" width="9.28515625" bestFit="1" customWidth="1"/>
    <col min="8454" max="8454" width="6.85546875" customWidth="1"/>
    <col min="8455" max="8465" width="9.28515625" bestFit="1" customWidth="1"/>
    <col min="8466" max="8466" width="9.85546875" bestFit="1" customWidth="1"/>
    <col min="8467" max="8467" width="9.28515625" bestFit="1" customWidth="1"/>
    <col min="8709" max="8709" width="9.28515625" bestFit="1" customWidth="1"/>
    <col min="8710" max="8710" width="6.85546875" customWidth="1"/>
    <col min="8711" max="8721" width="9.28515625" bestFit="1" customWidth="1"/>
    <col min="8722" max="8722" width="9.85546875" bestFit="1" customWidth="1"/>
    <col min="8723" max="8723" width="9.28515625" bestFit="1" customWidth="1"/>
    <col min="8965" max="8965" width="9.28515625" bestFit="1" customWidth="1"/>
    <col min="8966" max="8966" width="6.85546875" customWidth="1"/>
    <col min="8967" max="8977" width="9.28515625" bestFit="1" customWidth="1"/>
    <col min="8978" max="8978" width="9.85546875" bestFit="1" customWidth="1"/>
    <col min="8979" max="8979" width="9.28515625" bestFit="1" customWidth="1"/>
    <col min="9221" max="9221" width="9.28515625" bestFit="1" customWidth="1"/>
    <col min="9222" max="9222" width="6.85546875" customWidth="1"/>
    <col min="9223" max="9233" width="9.28515625" bestFit="1" customWidth="1"/>
    <col min="9234" max="9234" width="9.85546875" bestFit="1" customWidth="1"/>
    <col min="9235" max="9235" width="9.28515625" bestFit="1" customWidth="1"/>
    <col min="9477" max="9477" width="9.28515625" bestFit="1" customWidth="1"/>
    <col min="9478" max="9478" width="6.85546875" customWidth="1"/>
    <col min="9479" max="9489" width="9.28515625" bestFit="1" customWidth="1"/>
    <col min="9490" max="9490" width="9.85546875" bestFit="1" customWidth="1"/>
    <col min="9491" max="9491" width="9.28515625" bestFit="1" customWidth="1"/>
    <col min="9733" max="9733" width="9.28515625" bestFit="1" customWidth="1"/>
    <col min="9734" max="9734" width="6.85546875" customWidth="1"/>
    <col min="9735" max="9745" width="9.28515625" bestFit="1" customWidth="1"/>
    <col min="9746" max="9746" width="9.85546875" bestFit="1" customWidth="1"/>
    <col min="9747" max="9747" width="9.28515625" bestFit="1" customWidth="1"/>
    <col min="9989" max="9989" width="9.28515625" bestFit="1" customWidth="1"/>
    <col min="9990" max="9990" width="6.85546875" customWidth="1"/>
    <col min="9991" max="10001" width="9.28515625" bestFit="1" customWidth="1"/>
    <col min="10002" max="10002" width="9.85546875" bestFit="1" customWidth="1"/>
    <col min="10003" max="10003" width="9.28515625" bestFit="1" customWidth="1"/>
    <col min="10245" max="10245" width="9.28515625" bestFit="1" customWidth="1"/>
    <col min="10246" max="10246" width="6.85546875" customWidth="1"/>
    <col min="10247" max="10257" width="9.28515625" bestFit="1" customWidth="1"/>
    <col min="10258" max="10258" width="9.85546875" bestFit="1" customWidth="1"/>
    <col min="10259" max="10259" width="9.28515625" bestFit="1" customWidth="1"/>
    <col min="10501" max="10501" width="9.28515625" bestFit="1" customWidth="1"/>
    <col min="10502" max="10502" width="6.85546875" customWidth="1"/>
    <col min="10503" max="10513" width="9.28515625" bestFit="1" customWidth="1"/>
    <col min="10514" max="10514" width="9.85546875" bestFit="1" customWidth="1"/>
    <col min="10515" max="10515" width="9.28515625" bestFit="1" customWidth="1"/>
    <col min="10757" max="10757" width="9.28515625" bestFit="1" customWidth="1"/>
    <col min="10758" max="10758" width="6.85546875" customWidth="1"/>
    <col min="10759" max="10769" width="9.28515625" bestFit="1" customWidth="1"/>
    <col min="10770" max="10770" width="9.85546875" bestFit="1" customWidth="1"/>
    <col min="10771" max="10771" width="9.28515625" bestFit="1" customWidth="1"/>
    <col min="11013" max="11013" width="9.28515625" bestFit="1" customWidth="1"/>
    <col min="11014" max="11014" width="6.85546875" customWidth="1"/>
    <col min="11015" max="11025" width="9.28515625" bestFit="1" customWidth="1"/>
    <col min="11026" max="11026" width="9.85546875" bestFit="1" customWidth="1"/>
    <col min="11027" max="11027" width="9.28515625" bestFit="1" customWidth="1"/>
    <col min="11269" max="11269" width="9.28515625" bestFit="1" customWidth="1"/>
    <col min="11270" max="11270" width="6.85546875" customWidth="1"/>
    <col min="11271" max="11281" width="9.28515625" bestFit="1" customWidth="1"/>
    <col min="11282" max="11282" width="9.85546875" bestFit="1" customWidth="1"/>
    <col min="11283" max="11283" width="9.28515625" bestFit="1" customWidth="1"/>
    <col min="11525" max="11525" width="9.28515625" bestFit="1" customWidth="1"/>
    <col min="11526" max="11526" width="6.85546875" customWidth="1"/>
    <col min="11527" max="11537" width="9.28515625" bestFit="1" customWidth="1"/>
    <col min="11538" max="11538" width="9.85546875" bestFit="1" customWidth="1"/>
    <col min="11539" max="11539" width="9.28515625" bestFit="1" customWidth="1"/>
    <col min="11781" max="11781" width="9.28515625" bestFit="1" customWidth="1"/>
    <col min="11782" max="11782" width="6.85546875" customWidth="1"/>
    <col min="11783" max="11793" width="9.28515625" bestFit="1" customWidth="1"/>
    <col min="11794" max="11794" width="9.85546875" bestFit="1" customWidth="1"/>
    <col min="11795" max="11795" width="9.28515625" bestFit="1" customWidth="1"/>
    <col min="12037" max="12037" width="9.28515625" bestFit="1" customWidth="1"/>
    <col min="12038" max="12038" width="6.85546875" customWidth="1"/>
    <col min="12039" max="12049" width="9.28515625" bestFit="1" customWidth="1"/>
    <col min="12050" max="12050" width="9.85546875" bestFit="1" customWidth="1"/>
    <col min="12051" max="12051" width="9.28515625" bestFit="1" customWidth="1"/>
    <col min="12293" max="12293" width="9.28515625" bestFit="1" customWidth="1"/>
    <col min="12294" max="12294" width="6.85546875" customWidth="1"/>
    <col min="12295" max="12305" width="9.28515625" bestFit="1" customWidth="1"/>
    <col min="12306" max="12306" width="9.85546875" bestFit="1" customWidth="1"/>
    <col min="12307" max="12307" width="9.28515625" bestFit="1" customWidth="1"/>
    <col min="12549" max="12549" width="9.28515625" bestFit="1" customWidth="1"/>
    <col min="12550" max="12550" width="6.85546875" customWidth="1"/>
    <col min="12551" max="12561" width="9.28515625" bestFit="1" customWidth="1"/>
    <col min="12562" max="12562" width="9.85546875" bestFit="1" customWidth="1"/>
    <col min="12563" max="12563" width="9.28515625" bestFit="1" customWidth="1"/>
    <col min="12805" max="12805" width="9.28515625" bestFit="1" customWidth="1"/>
    <col min="12806" max="12806" width="6.85546875" customWidth="1"/>
    <col min="12807" max="12817" width="9.28515625" bestFit="1" customWidth="1"/>
    <col min="12818" max="12818" width="9.85546875" bestFit="1" customWidth="1"/>
    <col min="12819" max="12819" width="9.28515625" bestFit="1" customWidth="1"/>
    <col min="13061" max="13061" width="9.28515625" bestFit="1" customWidth="1"/>
    <col min="13062" max="13062" width="6.85546875" customWidth="1"/>
    <col min="13063" max="13073" width="9.28515625" bestFit="1" customWidth="1"/>
    <col min="13074" max="13074" width="9.85546875" bestFit="1" customWidth="1"/>
    <col min="13075" max="13075" width="9.28515625" bestFit="1" customWidth="1"/>
    <col min="13317" max="13317" width="9.28515625" bestFit="1" customWidth="1"/>
    <col min="13318" max="13318" width="6.85546875" customWidth="1"/>
    <col min="13319" max="13329" width="9.28515625" bestFit="1" customWidth="1"/>
    <col min="13330" max="13330" width="9.85546875" bestFit="1" customWidth="1"/>
    <col min="13331" max="13331" width="9.28515625" bestFit="1" customWidth="1"/>
    <col min="13573" max="13573" width="9.28515625" bestFit="1" customWidth="1"/>
    <col min="13574" max="13574" width="6.85546875" customWidth="1"/>
    <col min="13575" max="13585" width="9.28515625" bestFit="1" customWidth="1"/>
    <col min="13586" max="13586" width="9.85546875" bestFit="1" customWidth="1"/>
    <col min="13587" max="13587" width="9.28515625" bestFit="1" customWidth="1"/>
    <col min="13829" max="13829" width="9.28515625" bestFit="1" customWidth="1"/>
    <col min="13830" max="13830" width="6.85546875" customWidth="1"/>
    <col min="13831" max="13841" width="9.28515625" bestFit="1" customWidth="1"/>
    <col min="13842" max="13842" width="9.85546875" bestFit="1" customWidth="1"/>
    <col min="13843" max="13843" width="9.28515625" bestFit="1" customWidth="1"/>
    <col min="14085" max="14085" width="9.28515625" bestFit="1" customWidth="1"/>
    <col min="14086" max="14086" width="6.85546875" customWidth="1"/>
    <col min="14087" max="14097" width="9.28515625" bestFit="1" customWidth="1"/>
    <col min="14098" max="14098" width="9.85546875" bestFit="1" customWidth="1"/>
    <col min="14099" max="14099" width="9.28515625" bestFit="1" customWidth="1"/>
    <col min="14341" max="14341" width="9.28515625" bestFit="1" customWidth="1"/>
    <col min="14342" max="14342" width="6.85546875" customWidth="1"/>
    <col min="14343" max="14353" width="9.28515625" bestFit="1" customWidth="1"/>
    <col min="14354" max="14354" width="9.85546875" bestFit="1" customWidth="1"/>
    <col min="14355" max="14355" width="9.28515625" bestFit="1" customWidth="1"/>
    <col min="14597" max="14597" width="9.28515625" bestFit="1" customWidth="1"/>
    <col min="14598" max="14598" width="6.85546875" customWidth="1"/>
    <col min="14599" max="14609" width="9.28515625" bestFit="1" customWidth="1"/>
    <col min="14610" max="14610" width="9.85546875" bestFit="1" customWidth="1"/>
    <col min="14611" max="14611" width="9.28515625" bestFit="1" customWidth="1"/>
    <col min="14853" max="14853" width="9.28515625" bestFit="1" customWidth="1"/>
    <col min="14854" max="14854" width="6.85546875" customWidth="1"/>
    <col min="14855" max="14865" width="9.28515625" bestFit="1" customWidth="1"/>
    <col min="14866" max="14866" width="9.85546875" bestFit="1" customWidth="1"/>
    <col min="14867" max="14867" width="9.28515625" bestFit="1" customWidth="1"/>
    <col min="15109" max="15109" width="9.28515625" bestFit="1" customWidth="1"/>
    <col min="15110" max="15110" width="6.85546875" customWidth="1"/>
    <col min="15111" max="15121" width="9.28515625" bestFit="1" customWidth="1"/>
    <col min="15122" max="15122" width="9.85546875" bestFit="1" customWidth="1"/>
    <col min="15123" max="15123" width="9.28515625" bestFit="1" customWidth="1"/>
    <col min="15365" max="15365" width="9.28515625" bestFit="1" customWidth="1"/>
    <col min="15366" max="15366" width="6.85546875" customWidth="1"/>
    <col min="15367" max="15377" width="9.28515625" bestFit="1" customWidth="1"/>
    <col min="15378" max="15378" width="9.85546875" bestFit="1" customWidth="1"/>
    <col min="15379" max="15379" width="9.28515625" bestFit="1" customWidth="1"/>
    <col min="15621" max="15621" width="9.28515625" bestFit="1" customWidth="1"/>
    <col min="15622" max="15622" width="6.85546875" customWidth="1"/>
    <col min="15623" max="15633" width="9.28515625" bestFit="1" customWidth="1"/>
    <col min="15634" max="15634" width="9.85546875" bestFit="1" customWidth="1"/>
    <col min="15635" max="15635" width="9.28515625" bestFit="1" customWidth="1"/>
    <col min="15877" max="15877" width="9.28515625" bestFit="1" customWidth="1"/>
    <col min="15878" max="15878" width="6.85546875" customWidth="1"/>
    <col min="15879" max="15889" width="9.28515625" bestFit="1" customWidth="1"/>
    <col min="15890" max="15890" width="9.85546875" bestFit="1" customWidth="1"/>
    <col min="15891" max="15891" width="9.28515625" bestFit="1" customWidth="1"/>
    <col min="16133" max="16133" width="9.28515625" bestFit="1" customWidth="1"/>
    <col min="16134" max="16134" width="6.85546875" customWidth="1"/>
    <col min="16135" max="16145" width="9.28515625" bestFit="1" customWidth="1"/>
    <col min="16146" max="16146" width="9.85546875" bestFit="1" customWidth="1"/>
    <col min="16147" max="16147" width="9.28515625" bestFit="1" customWidth="1"/>
  </cols>
  <sheetData>
    <row r="1" spans="1:21" ht="15.75">
      <c r="A1" s="142"/>
      <c r="B1" s="142"/>
      <c r="C1" s="142"/>
      <c r="D1" s="142"/>
      <c r="E1" s="142"/>
      <c r="F1" s="143" t="s">
        <v>167</v>
      </c>
      <c r="G1" s="144"/>
      <c r="H1" s="144"/>
      <c r="I1" s="144"/>
      <c r="J1" s="144"/>
      <c r="K1" s="144"/>
      <c r="L1" s="144"/>
      <c r="M1" s="142"/>
      <c r="N1" s="142"/>
      <c r="O1" s="142"/>
      <c r="P1" s="142"/>
      <c r="Q1" s="142"/>
      <c r="R1" s="142"/>
      <c r="S1" s="142"/>
      <c r="T1" s="142"/>
      <c r="U1" s="145"/>
    </row>
    <row r="2" spans="1:21" ht="15.75">
      <c r="A2" s="142"/>
      <c r="B2" s="142"/>
      <c r="C2" s="142"/>
      <c r="D2" s="142"/>
      <c r="E2" s="142"/>
      <c r="F2" s="142"/>
      <c r="G2" s="142"/>
      <c r="H2" s="146"/>
      <c r="I2" s="143" t="s">
        <v>1335</v>
      </c>
      <c r="J2" s="144"/>
      <c r="K2" s="144"/>
      <c r="L2" s="142"/>
      <c r="M2" s="142"/>
      <c r="N2" s="142"/>
      <c r="O2" s="142"/>
      <c r="P2" s="142"/>
      <c r="Q2" s="142"/>
      <c r="R2" s="142"/>
      <c r="S2" s="142"/>
      <c r="T2" s="142"/>
      <c r="U2" s="145"/>
    </row>
    <row r="3" spans="1:21">
      <c r="A3" s="808" t="s">
        <v>4176</v>
      </c>
      <c r="B3" s="808"/>
      <c r="C3" s="808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5"/>
    </row>
    <row r="4" spans="1:21">
      <c r="A4" s="142" t="s">
        <v>1336</v>
      </c>
      <c r="B4" s="142"/>
      <c r="C4" s="142"/>
      <c r="D4" s="142"/>
      <c r="E4" s="1035" t="s">
        <v>1445</v>
      </c>
      <c r="F4" s="1035"/>
      <c r="G4" s="1035"/>
      <c r="H4" s="149"/>
      <c r="I4" s="142" t="s">
        <v>171</v>
      </c>
      <c r="J4" s="142"/>
      <c r="K4" s="142"/>
      <c r="L4" s="1038">
        <v>904240202</v>
      </c>
      <c r="M4" s="1039"/>
      <c r="N4" s="149"/>
      <c r="O4" s="142" t="s">
        <v>5</v>
      </c>
      <c r="P4" s="142"/>
      <c r="Q4" s="102">
        <v>464</v>
      </c>
      <c r="R4" s="142" t="s">
        <v>1338</v>
      </c>
      <c r="S4" s="142"/>
      <c r="T4" s="102" t="s">
        <v>1339</v>
      </c>
      <c r="U4" s="145"/>
    </row>
    <row r="5" spans="1:21">
      <c r="A5" s="142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5"/>
    </row>
    <row r="6" spans="1:21">
      <c r="A6" s="142" t="s">
        <v>1340</v>
      </c>
      <c r="B6" s="142"/>
      <c r="C6" s="142"/>
      <c r="D6" s="142"/>
      <c r="E6" s="1035" t="s">
        <v>1446</v>
      </c>
      <c r="F6" s="1035"/>
      <c r="G6" s="1035"/>
      <c r="H6" s="149"/>
      <c r="I6" s="142" t="s">
        <v>1208</v>
      </c>
      <c r="J6" s="142"/>
      <c r="K6" s="142"/>
      <c r="L6" s="1035" t="s">
        <v>1447</v>
      </c>
      <c r="M6" s="1035"/>
      <c r="N6" s="149"/>
      <c r="O6" s="149"/>
      <c r="P6" s="142"/>
      <c r="Q6" s="142"/>
      <c r="R6" s="142"/>
      <c r="S6" s="142"/>
      <c r="T6" s="142"/>
      <c r="U6" s="145"/>
    </row>
    <row r="7" spans="1:21" ht="15.75" thickBot="1">
      <c r="A7" s="142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5"/>
    </row>
    <row r="8" spans="1:21" ht="15" customHeight="1" thickBot="1">
      <c r="A8" s="1043" t="s">
        <v>178</v>
      </c>
      <c r="B8" s="1043"/>
      <c r="C8" s="1043"/>
      <c r="D8" s="1044"/>
      <c r="E8" s="1035" t="s">
        <v>1448</v>
      </c>
      <c r="F8" s="1035"/>
      <c r="G8" s="1035"/>
      <c r="H8" s="149"/>
      <c r="I8" s="1045" t="s">
        <v>1344</v>
      </c>
      <c r="J8" s="1045"/>
      <c r="K8" s="1045"/>
      <c r="L8" s="1046" t="s">
        <v>1449</v>
      </c>
      <c r="M8" s="1047"/>
      <c r="N8" s="1047"/>
      <c r="O8" s="1047"/>
      <c r="P8" s="1048"/>
      <c r="Q8" s="149"/>
      <c r="R8" s="142"/>
      <c r="S8" s="142"/>
      <c r="T8" s="142"/>
      <c r="U8" s="145"/>
    </row>
    <row r="9" spans="1:21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9"/>
      <c r="M9" s="149"/>
      <c r="N9" s="149"/>
      <c r="O9" s="149"/>
      <c r="P9" s="149"/>
      <c r="Q9" s="149"/>
      <c r="R9" s="142"/>
      <c r="S9" s="142"/>
      <c r="T9" s="142"/>
      <c r="U9" s="145"/>
    </row>
    <row r="10" spans="1:21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5"/>
    </row>
    <row r="11" spans="1:21">
      <c r="A11" s="1037" t="s">
        <v>838</v>
      </c>
      <c r="B11" s="1037"/>
      <c r="C11" s="1037"/>
      <c r="D11" s="1037"/>
      <c r="E11" s="1037"/>
      <c r="F11" s="1037"/>
      <c r="G11" s="1035" t="s">
        <v>1445</v>
      </c>
      <c r="H11" s="1035"/>
      <c r="I11" s="1035"/>
      <c r="J11" s="1035">
        <v>0</v>
      </c>
      <c r="K11" s="1035"/>
      <c r="L11" s="1035"/>
      <c r="M11" s="1035">
        <v>0</v>
      </c>
      <c r="N11" s="1035"/>
      <c r="O11" s="1035"/>
      <c r="P11" s="1035"/>
      <c r="Q11" s="1035">
        <v>0</v>
      </c>
      <c r="R11" s="1035"/>
      <c r="S11" s="1035"/>
      <c r="T11" s="1035"/>
      <c r="U11" s="145"/>
    </row>
    <row r="12" spans="1:21">
      <c r="A12" s="1037" t="s">
        <v>1346</v>
      </c>
      <c r="B12" s="1037"/>
      <c r="C12" s="1037"/>
      <c r="D12" s="1037"/>
      <c r="E12" s="1037"/>
      <c r="F12" s="1037"/>
      <c r="G12" s="1035" t="s">
        <v>1450</v>
      </c>
      <c r="H12" s="1035"/>
      <c r="I12" s="1035"/>
      <c r="J12" s="1035" t="s">
        <v>1451</v>
      </c>
      <c r="K12" s="1035"/>
      <c r="L12" s="1035"/>
      <c r="M12" s="1035" t="s">
        <v>1452</v>
      </c>
      <c r="N12" s="1035"/>
      <c r="O12" s="1035"/>
      <c r="P12" s="1035"/>
      <c r="Q12" s="1040" t="s">
        <v>1453</v>
      </c>
      <c r="R12" s="1041"/>
      <c r="S12" s="1041"/>
      <c r="T12" s="1042"/>
      <c r="U12" s="145"/>
    </row>
    <row r="13" spans="1:21">
      <c r="A13" s="1037" t="s">
        <v>192</v>
      </c>
      <c r="B13" s="1037"/>
      <c r="C13" s="1037"/>
      <c r="D13" s="1037"/>
      <c r="E13" s="1037"/>
      <c r="F13" s="1037"/>
      <c r="G13" s="1035" t="s">
        <v>1454</v>
      </c>
      <c r="H13" s="1035"/>
      <c r="I13" s="1035"/>
      <c r="J13" s="1035" t="s">
        <v>1455</v>
      </c>
      <c r="K13" s="1035"/>
      <c r="L13" s="1035"/>
      <c r="M13" s="1035" t="s">
        <v>1456</v>
      </c>
      <c r="N13" s="1035"/>
      <c r="O13" s="1035"/>
      <c r="P13" s="1035"/>
      <c r="Q13" s="1035"/>
      <c r="R13" s="1035"/>
      <c r="S13" s="1035"/>
      <c r="T13" s="1035"/>
      <c r="U13" s="145"/>
    </row>
    <row r="14" spans="1:21">
      <c r="A14" s="1037" t="s">
        <v>197</v>
      </c>
      <c r="B14" s="1037"/>
      <c r="C14" s="1037"/>
      <c r="D14" s="1037"/>
      <c r="E14" s="1037"/>
      <c r="F14" s="1037"/>
      <c r="G14" s="1035">
        <v>0</v>
      </c>
      <c r="H14" s="1035"/>
      <c r="I14" s="1035"/>
      <c r="J14" s="1035">
        <v>0</v>
      </c>
      <c r="K14" s="1035"/>
      <c r="L14" s="1035"/>
      <c r="M14" s="1035">
        <v>0</v>
      </c>
      <c r="N14" s="1035"/>
      <c r="O14" s="1035"/>
      <c r="P14" s="1035"/>
      <c r="Q14" s="1035">
        <v>0</v>
      </c>
      <c r="R14" s="1035"/>
      <c r="S14" s="1035"/>
      <c r="T14" s="1035"/>
      <c r="U14" s="145"/>
    </row>
    <row r="15" spans="1:21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5"/>
    </row>
    <row r="16" spans="1:21">
      <c r="A16" s="142" t="s">
        <v>1356</v>
      </c>
      <c r="B16" s="142"/>
      <c r="C16" s="142"/>
      <c r="D16" s="142"/>
      <c r="E16" s="149">
        <v>1</v>
      </c>
      <c r="F16" s="149"/>
      <c r="G16" s="142" t="s">
        <v>1357</v>
      </c>
      <c r="H16" s="149"/>
      <c r="I16" s="146"/>
      <c r="J16" s="147">
        <v>2</v>
      </c>
      <c r="K16" s="189"/>
      <c r="L16" s="148"/>
      <c r="M16" s="142" t="s">
        <v>643</v>
      </c>
      <c r="N16" s="146"/>
      <c r="O16" s="150">
        <v>9</v>
      </c>
      <c r="P16" s="142" t="s">
        <v>1358</v>
      </c>
      <c r="Q16" s="150">
        <v>1</v>
      </c>
      <c r="R16" s="142" t="s">
        <v>1386</v>
      </c>
      <c r="S16" s="147">
        <v>10</v>
      </c>
      <c r="T16" s="148"/>
    </row>
    <row r="17" spans="1:21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5"/>
    </row>
    <row r="18" spans="1:21">
      <c r="A18" s="142" t="s">
        <v>203</v>
      </c>
      <c r="B18" s="142"/>
      <c r="C18" s="142"/>
      <c r="D18" s="142" t="s">
        <v>204</v>
      </c>
      <c r="E18" s="147">
        <v>126</v>
      </c>
      <c r="F18" s="148"/>
      <c r="G18" s="142" t="s">
        <v>205</v>
      </c>
      <c r="H18" s="102">
        <v>0</v>
      </c>
      <c r="I18" s="142" t="s">
        <v>206</v>
      </c>
      <c r="J18" s="146"/>
      <c r="K18" s="150">
        <v>2</v>
      </c>
      <c r="L18" s="142" t="s">
        <v>230</v>
      </c>
      <c r="M18" s="146"/>
      <c r="N18" s="150">
        <v>126</v>
      </c>
      <c r="O18" s="142" t="s">
        <v>207</v>
      </c>
      <c r="P18" s="102">
        <v>12</v>
      </c>
      <c r="Q18" s="142" t="s">
        <v>1360</v>
      </c>
      <c r="R18" s="146"/>
      <c r="S18" s="147">
        <v>36</v>
      </c>
      <c r="T18" s="148"/>
      <c r="U18" s="145"/>
    </row>
    <row r="19" spans="1:21">
      <c r="A19" s="142"/>
      <c r="B19" s="142"/>
      <c r="C19" s="142"/>
      <c r="D19" s="142" t="s">
        <v>210</v>
      </c>
      <c r="E19" s="147">
        <v>337</v>
      </c>
      <c r="F19" s="148"/>
      <c r="G19" s="142" t="s">
        <v>211</v>
      </c>
      <c r="H19" s="102">
        <v>0</v>
      </c>
      <c r="I19" s="142" t="s">
        <v>212</v>
      </c>
      <c r="J19" s="146"/>
      <c r="K19" s="150">
        <v>4</v>
      </c>
      <c r="L19" s="142" t="s">
        <v>411</v>
      </c>
      <c r="M19" s="146"/>
      <c r="N19" s="150">
        <v>337</v>
      </c>
      <c r="O19" s="149"/>
      <c r="P19" s="146"/>
      <c r="Q19" s="146"/>
      <c r="R19" s="142"/>
      <c r="S19" s="142"/>
      <c r="T19" s="142"/>
      <c r="U19" s="145"/>
    </row>
    <row r="20" spans="1:21">
      <c r="A20" s="142"/>
      <c r="B20" s="142"/>
      <c r="C20" s="142"/>
      <c r="D20" s="142" t="s">
        <v>213</v>
      </c>
      <c r="E20" s="147">
        <v>332</v>
      </c>
      <c r="F20" s="148"/>
      <c r="G20" s="154" t="s">
        <v>650</v>
      </c>
      <c r="H20" s="102">
        <v>0</v>
      </c>
      <c r="I20" s="142" t="s">
        <v>215</v>
      </c>
      <c r="J20" s="146"/>
      <c r="K20" s="150">
        <v>3</v>
      </c>
      <c r="L20" s="154" t="s">
        <v>410</v>
      </c>
      <c r="M20" s="146"/>
      <c r="N20" s="150">
        <v>332</v>
      </c>
      <c r="O20" s="149"/>
      <c r="P20" s="146"/>
      <c r="Q20" s="146"/>
      <c r="R20" s="142"/>
      <c r="S20" s="142"/>
      <c r="T20" s="142"/>
      <c r="U20" s="145"/>
    </row>
    <row r="21" spans="1:21">
      <c r="A21" s="142"/>
      <c r="B21" s="142"/>
      <c r="C21" s="142"/>
      <c r="D21" s="142"/>
      <c r="E21" s="142"/>
      <c r="F21" s="142"/>
      <c r="G21" s="146"/>
      <c r="H21" s="146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5"/>
    </row>
    <row r="22" spans="1:21">
      <c r="A22" s="144" t="s">
        <v>216</v>
      </c>
      <c r="B22" s="144"/>
      <c r="C22" s="144"/>
      <c r="D22" s="144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5"/>
    </row>
    <row r="23" spans="1:21">
      <c r="A23" s="155"/>
      <c r="B23" s="155"/>
      <c r="C23" s="155"/>
      <c r="D23" s="155"/>
      <c r="E23" s="155"/>
      <c r="F23" s="155"/>
      <c r="G23" s="1077" t="s">
        <v>1361</v>
      </c>
      <c r="H23" s="1078" t="s">
        <v>1362</v>
      </c>
      <c r="I23" s="1077" t="s">
        <v>1363</v>
      </c>
      <c r="J23" s="1077" t="s">
        <v>1364</v>
      </c>
      <c r="K23" s="1078" t="s">
        <v>222</v>
      </c>
      <c r="L23" s="1078"/>
      <c r="M23" s="1078"/>
      <c r="N23" s="1078"/>
      <c r="O23" s="1078"/>
      <c r="P23" s="1078"/>
      <c r="Q23" s="1078"/>
      <c r="R23" s="1078"/>
      <c r="S23" s="1078"/>
      <c r="T23" s="142"/>
      <c r="U23" s="145"/>
    </row>
    <row r="24" spans="1:21" ht="25.5" customHeight="1">
      <c r="A24" s="1031" t="s">
        <v>217</v>
      </c>
      <c r="B24" s="1031"/>
      <c r="C24" s="1031"/>
      <c r="D24" s="1031"/>
      <c r="E24" s="1031"/>
      <c r="F24" s="1036"/>
      <c r="G24" s="1077"/>
      <c r="H24" s="1078"/>
      <c r="I24" s="1077"/>
      <c r="J24" s="1077"/>
      <c r="K24" s="52" t="s">
        <v>1365</v>
      </c>
      <c r="L24" s="52" t="s">
        <v>1366</v>
      </c>
      <c r="M24" s="52" t="s">
        <v>1367</v>
      </c>
      <c r="N24" s="52" t="s">
        <v>1368</v>
      </c>
      <c r="O24" s="52" t="s">
        <v>1369</v>
      </c>
      <c r="P24" s="52" t="s">
        <v>1370</v>
      </c>
      <c r="Q24" s="52" t="s">
        <v>1371</v>
      </c>
      <c r="R24" s="52" t="s">
        <v>230</v>
      </c>
      <c r="S24" s="52" t="s">
        <v>231</v>
      </c>
      <c r="T24" s="142"/>
      <c r="U24" s="145"/>
    </row>
    <row r="25" spans="1:21">
      <c r="A25" s="1031" t="s">
        <v>232</v>
      </c>
      <c r="B25" s="1031"/>
      <c r="C25" s="1031"/>
      <c r="D25" s="1031"/>
      <c r="E25" s="1031"/>
      <c r="F25" s="1031"/>
      <c r="G25" s="52">
        <v>8000</v>
      </c>
      <c r="H25" s="52" t="s">
        <v>1175</v>
      </c>
      <c r="I25" s="55">
        <f>+Q4*G25/100000</f>
        <v>37.119999999999997</v>
      </c>
      <c r="J25" s="55">
        <f>3712000/100000</f>
        <v>37.119999999999997</v>
      </c>
      <c r="K25" s="71">
        <v>0</v>
      </c>
      <c r="L25" s="55">
        <f>110689/100000</f>
        <v>1.1068899999999999</v>
      </c>
      <c r="M25" s="55">
        <f>630955/100000</f>
        <v>6.3095499999999998</v>
      </c>
      <c r="N25" s="55">
        <f>1703251/100000</f>
        <v>17.032509999999998</v>
      </c>
      <c r="O25" s="55">
        <f>1267105/100000</f>
        <v>12.671049999999999</v>
      </c>
      <c r="P25" s="55">
        <f>-91563.99/100000</f>
        <v>-0.91563990000000006</v>
      </c>
      <c r="Q25" s="55">
        <f>40000/100000</f>
        <v>0.4</v>
      </c>
      <c r="R25" s="54">
        <f>SUM(K25:Q25)</f>
        <v>36.604360099999994</v>
      </c>
      <c r="S25" s="55">
        <f>R25*100/J25</f>
        <v>98.6108838900862</v>
      </c>
      <c r="T25" s="142"/>
      <c r="U25" s="145"/>
    </row>
    <row r="26" spans="1:21">
      <c r="A26" s="1031" t="s">
        <v>234</v>
      </c>
      <c r="B26" s="1031"/>
      <c r="C26" s="1031"/>
      <c r="D26" s="1031"/>
      <c r="E26" s="1031"/>
      <c r="F26" s="1031"/>
      <c r="G26" s="52">
        <v>7000</v>
      </c>
      <c r="H26" s="52" t="s">
        <v>1175</v>
      </c>
      <c r="I26" s="55">
        <f>80*G26/100000</f>
        <v>5.6</v>
      </c>
      <c r="J26" s="55">
        <f>560000/100000</f>
        <v>5.6</v>
      </c>
      <c r="K26" s="55">
        <v>0</v>
      </c>
      <c r="L26" s="55">
        <v>0</v>
      </c>
      <c r="M26" s="55">
        <v>0</v>
      </c>
      <c r="N26" s="55">
        <v>0</v>
      </c>
      <c r="O26" s="55">
        <f>411740/100000</f>
        <v>4.1173999999999999</v>
      </c>
      <c r="P26" s="55">
        <f>145613/100000</f>
        <v>1.4561299999999999</v>
      </c>
      <c r="Q26" s="55">
        <f>600/100000</f>
        <v>6.0000000000000001E-3</v>
      </c>
      <c r="R26" s="54">
        <f t="shared" ref="R26:R32" si="0">SUM(L26:Q26)</f>
        <v>5.5795300000000001</v>
      </c>
      <c r="S26" s="55">
        <f t="shared" ref="S26:S33" si="1">R26*100/J26</f>
        <v>99.634464285714287</v>
      </c>
      <c r="T26" s="142"/>
      <c r="U26" s="145"/>
    </row>
    <row r="27" spans="1:21">
      <c r="A27" s="1031" t="s">
        <v>1373</v>
      </c>
      <c r="B27" s="1031"/>
      <c r="C27" s="1031"/>
      <c r="D27" s="1031"/>
      <c r="E27" s="1031"/>
      <c r="F27" s="1031"/>
      <c r="G27" s="52">
        <v>63000</v>
      </c>
      <c r="H27" s="52" t="s">
        <v>236</v>
      </c>
      <c r="I27" s="55">
        <f>143000/100000</f>
        <v>1.43</v>
      </c>
      <c r="J27" s="55">
        <f>63000/100000</f>
        <v>0.63</v>
      </c>
      <c r="K27" s="55">
        <v>0</v>
      </c>
      <c r="L27" s="55">
        <v>0</v>
      </c>
      <c r="M27" s="55">
        <v>0</v>
      </c>
      <c r="N27" s="55">
        <f>18000/100000</f>
        <v>0.18</v>
      </c>
      <c r="O27" s="55">
        <f>15000/100000</f>
        <v>0.15</v>
      </c>
      <c r="P27" s="55">
        <f>10000/100000</f>
        <v>0.1</v>
      </c>
      <c r="Q27" s="55">
        <f>10000/100000</f>
        <v>0.1</v>
      </c>
      <c r="R27" s="54">
        <f t="shared" si="0"/>
        <v>0.52999999999999992</v>
      </c>
      <c r="S27" s="55">
        <f t="shared" si="1"/>
        <v>84.126984126984112</v>
      </c>
      <c r="T27" s="142"/>
      <c r="U27" s="145"/>
    </row>
    <row r="28" spans="1:21">
      <c r="A28" s="1031" t="s">
        <v>237</v>
      </c>
      <c r="B28" s="1031"/>
      <c r="C28" s="1031"/>
      <c r="D28" s="1031"/>
      <c r="E28" s="1031"/>
      <c r="F28" s="1031"/>
      <c r="G28" s="52">
        <v>34000</v>
      </c>
      <c r="H28" s="52" t="s">
        <v>236</v>
      </c>
      <c r="I28" s="55">
        <f>34000/100000</f>
        <v>0.34</v>
      </c>
      <c r="J28" s="55">
        <f>34000/100000</f>
        <v>0.34</v>
      </c>
      <c r="K28" s="55">
        <v>0</v>
      </c>
      <c r="L28" s="55">
        <v>0</v>
      </c>
      <c r="M28" s="55">
        <v>0</v>
      </c>
      <c r="N28" s="55">
        <f>16000/100000</f>
        <v>0.16</v>
      </c>
      <c r="O28" s="55">
        <f>18000/100000</f>
        <v>0.18</v>
      </c>
      <c r="P28" s="55">
        <f>200/100000</f>
        <v>2E-3</v>
      </c>
      <c r="Q28" s="55">
        <v>0</v>
      </c>
      <c r="R28" s="54">
        <f t="shared" si="0"/>
        <v>0.34199999999999997</v>
      </c>
      <c r="S28" s="55">
        <f t="shared" si="1"/>
        <v>100.58823529411762</v>
      </c>
      <c r="T28" s="142"/>
      <c r="U28" s="145"/>
    </row>
    <row r="29" spans="1:21">
      <c r="A29" s="1031" t="s">
        <v>1374</v>
      </c>
      <c r="B29" s="1031"/>
      <c r="C29" s="1031"/>
      <c r="D29" s="1031"/>
      <c r="E29" s="1031"/>
      <c r="F29" s="1031"/>
      <c r="G29" s="52">
        <v>1200</v>
      </c>
      <c r="H29" s="52" t="s">
        <v>1175</v>
      </c>
      <c r="I29" s="55">
        <f>+Q4*G29/100000</f>
        <v>5.5679999999999996</v>
      </c>
      <c r="J29" s="55">
        <f>556800/100000</f>
        <v>5.5679999999999996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f>309900/100000</f>
        <v>3.0990000000000002</v>
      </c>
      <c r="Q29" s="55">
        <f>23000/100000</f>
        <v>0.23</v>
      </c>
      <c r="R29" s="54">
        <f t="shared" si="0"/>
        <v>3.3290000000000002</v>
      </c>
      <c r="S29" s="55">
        <f t="shared" si="1"/>
        <v>59.788074712643692</v>
      </c>
      <c r="T29" s="142"/>
      <c r="U29" s="145"/>
    </row>
    <row r="30" spans="1:21">
      <c r="A30" s="1031" t="s">
        <v>1375</v>
      </c>
      <c r="B30" s="1031"/>
      <c r="C30" s="1031"/>
      <c r="D30" s="1031"/>
      <c r="E30" s="1031"/>
      <c r="F30" s="1031"/>
      <c r="G30" s="52">
        <v>565</v>
      </c>
      <c r="H30" s="52" t="s">
        <v>1175</v>
      </c>
      <c r="I30" s="55">
        <f>+Q4*G30/100000</f>
        <v>2.6215999999999999</v>
      </c>
      <c r="J30" s="55">
        <f>262160/100000</f>
        <v>2.6215999999999999</v>
      </c>
      <c r="K30" s="55">
        <v>0</v>
      </c>
      <c r="L30" s="55">
        <v>0</v>
      </c>
      <c r="M30" s="55">
        <f>30000/100000</f>
        <v>0.3</v>
      </c>
      <c r="N30" s="55">
        <f>3185/100000</f>
        <v>3.1850000000000003E-2</v>
      </c>
      <c r="O30" s="55">
        <f>228975/100000</f>
        <v>2.2897500000000002</v>
      </c>
      <c r="P30" s="55">
        <v>0</v>
      </c>
      <c r="Q30" s="55">
        <v>0</v>
      </c>
      <c r="R30" s="55">
        <f t="shared" si="0"/>
        <v>2.6215999999999999</v>
      </c>
      <c r="S30" s="55">
        <f t="shared" si="1"/>
        <v>99.999999999999986</v>
      </c>
      <c r="T30" s="142"/>
      <c r="U30" s="145"/>
    </row>
    <row r="31" spans="1:21">
      <c r="A31" s="1031" t="s">
        <v>1376</v>
      </c>
      <c r="B31" s="1031"/>
      <c r="C31" s="1031"/>
      <c r="D31" s="1031"/>
      <c r="E31" s="1031"/>
      <c r="F31" s="1031"/>
      <c r="G31" s="52">
        <v>1000</v>
      </c>
      <c r="H31" s="52" t="s">
        <v>1175</v>
      </c>
      <c r="I31" s="55">
        <f>+Q4*G31/100000</f>
        <v>4.6399999999999997</v>
      </c>
      <c r="J31" s="55">
        <f>464000/100000</f>
        <v>4.6399999999999997</v>
      </c>
      <c r="K31" s="55">
        <v>0</v>
      </c>
      <c r="L31" s="55">
        <f>34041/100000</f>
        <v>0.34040999999999999</v>
      </c>
      <c r="M31" s="55">
        <f>65959/100000</f>
        <v>0.65959000000000001</v>
      </c>
      <c r="N31" s="55">
        <v>0</v>
      </c>
      <c r="O31" s="55">
        <v>0</v>
      </c>
      <c r="P31" s="55">
        <f>399522.75/100000</f>
        <v>3.9952274999999999</v>
      </c>
      <c r="Q31" s="55">
        <v>0</v>
      </c>
      <c r="R31" s="54">
        <f t="shared" si="0"/>
        <v>4.9952275000000004</v>
      </c>
      <c r="S31" s="55">
        <f t="shared" si="1"/>
        <v>107.65576508620691</v>
      </c>
      <c r="T31" s="142"/>
      <c r="U31" s="145"/>
    </row>
    <row r="32" spans="1:21">
      <c r="A32" s="1031" t="s">
        <v>394</v>
      </c>
      <c r="B32" s="1031"/>
      <c r="C32" s="1031"/>
      <c r="D32" s="1031"/>
      <c r="E32" s="1031"/>
      <c r="F32" s="1031"/>
      <c r="G32" s="52">
        <v>2750</v>
      </c>
      <c r="H32" s="52" t="s">
        <v>242</v>
      </c>
      <c r="I32" s="55">
        <f>192000/100000</f>
        <v>1.92</v>
      </c>
      <c r="J32" s="55">
        <f>192000/100000</f>
        <v>1.92</v>
      </c>
      <c r="K32" s="55">
        <v>0</v>
      </c>
      <c r="L32" s="55">
        <f>10652/100000</f>
        <v>0.10652</v>
      </c>
      <c r="M32" s="55">
        <f>33291/100000</f>
        <v>0.33290999999999998</v>
      </c>
      <c r="N32" s="55">
        <f>49057/100000</f>
        <v>0.49057000000000001</v>
      </c>
      <c r="O32" s="55">
        <f>33000/100000</f>
        <v>0.33</v>
      </c>
      <c r="P32" s="55">
        <f>27983.24/100000</f>
        <v>0.27983240000000004</v>
      </c>
      <c r="Q32" s="55">
        <f>33000/100000</f>
        <v>0.33</v>
      </c>
      <c r="R32" s="54">
        <f t="shared" si="0"/>
        <v>1.8698324000000002</v>
      </c>
      <c r="S32" s="55">
        <f t="shared" si="1"/>
        <v>97.387104166666688</v>
      </c>
      <c r="T32" s="142"/>
      <c r="U32" s="145"/>
    </row>
    <row r="33" spans="1:21">
      <c r="A33" s="1076" t="s">
        <v>230</v>
      </c>
      <c r="B33" s="1076"/>
      <c r="C33" s="1076"/>
      <c r="D33" s="1076"/>
      <c r="E33" s="1076"/>
      <c r="F33" s="1076"/>
      <c r="G33" s="30"/>
      <c r="H33" s="30"/>
      <c r="I33" s="54">
        <f>SUM(I25:I32)</f>
        <v>59.239600000000003</v>
      </c>
      <c r="J33" s="54">
        <f>SUM(J25:J32)</f>
        <v>58.439600000000006</v>
      </c>
      <c r="K33" s="54"/>
      <c r="L33" s="54">
        <f t="shared" ref="L33:R33" si="2">SUM(L25:L32)</f>
        <v>1.5538199999999998</v>
      </c>
      <c r="M33" s="54">
        <f t="shared" si="2"/>
        <v>7.6020499999999993</v>
      </c>
      <c r="N33" s="54">
        <f t="shared" si="2"/>
        <v>17.894929999999999</v>
      </c>
      <c r="O33" s="54">
        <f t="shared" si="2"/>
        <v>19.738199999999996</v>
      </c>
      <c r="P33" s="54">
        <f t="shared" si="2"/>
        <v>8.0165500000000005</v>
      </c>
      <c r="Q33" s="54">
        <f t="shared" si="2"/>
        <v>1.0660000000000001</v>
      </c>
      <c r="R33" s="54">
        <f t="shared" si="2"/>
        <v>55.871549999999992</v>
      </c>
      <c r="S33" s="54">
        <f t="shared" si="1"/>
        <v>95.605633851018794</v>
      </c>
      <c r="T33" s="142"/>
      <c r="U33" s="145"/>
    </row>
    <row r="37" spans="1:21">
      <c r="Q37" s="646"/>
    </row>
  </sheetData>
  <mergeCells count="44">
    <mergeCell ref="A3:C3"/>
    <mergeCell ref="E4:G4"/>
    <mergeCell ref="L4:M4"/>
    <mergeCell ref="E6:G6"/>
    <mergeCell ref="L6:M6"/>
    <mergeCell ref="A8:D8"/>
    <mergeCell ref="E8:G8"/>
    <mergeCell ref="I8:K8"/>
    <mergeCell ref="L8:P8"/>
    <mergeCell ref="A12:F12"/>
    <mergeCell ref="G12:I12"/>
    <mergeCell ref="J12:L12"/>
    <mergeCell ref="M12:P12"/>
    <mergeCell ref="Q12:T12"/>
    <mergeCell ref="A11:F11"/>
    <mergeCell ref="G11:I11"/>
    <mergeCell ref="J11:L11"/>
    <mergeCell ref="M11:P11"/>
    <mergeCell ref="Q11:T11"/>
    <mergeCell ref="A24:F24"/>
    <mergeCell ref="A13:F13"/>
    <mergeCell ref="G13:I13"/>
    <mergeCell ref="J13:L13"/>
    <mergeCell ref="M13:P13"/>
    <mergeCell ref="G23:G24"/>
    <mergeCell ref="H23:H24"/>
    <mergeCell ref="I23:I24"/>
    <mergeCell ref="J23:J24"/>
    <mergeCell ref="K23:S23"/>
    <mergeCell ref="Q13:T13"/>
    <mergeCell ref="A14:F14"/>
    <mergeCell ref="G14:I14"/>
    <mergeCell ref="J14:L14"/>
    <mergeCell ref="M14:P14"/>
    <mergeCell ref="Q14:T14"/>
    <mergeCell ref="A31:F31"/>
    <mergeCell ref="A32:F32"/>
    <mergeCell ref="A33:F33"/>
    <mergeCell ref="A25:F25"/>
    <mergeCell ref="A26:F26"/>
    <mergeCell ref="A27:F27"/>
    <mergeCell ref="A28:F28"/>
    <mergeCell ref="A29:F29"/>
    <mergeCell ref="A30:F30"/>
  </mergeCells>
  <hyperlinks>
    <hyperlink ref="A3" location="'Fact Sheet of VDC'!A1" display="&lt;&lt;Back"/>
  </hyperlinks>
  <pageMargins left="0.7" right="0.7" top="0.75" bottom="0.75" header="0.3" footer="0.3"/>
  <pageSetup scale="66"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U35"/>
  <sheetViews>
    <sheetView workbookViewId="0">
      <selection activeCell="A3" sqref="A3:C3"/>
    </sheetView>
  </sheetViews>
  <sheetFormatPr defaultRowHeight="15"/>
  <cols>
    <col min="9" max="9" width="10.28515625" bestFit="1" customWidth="1"/>
    <col min="265" max="265" width="10.28515625" bestFit="1" customWidth="1"/>
    <col min="521" max="521" width="10.28515625" bestFit="1" customWidth="1"/>
    <col min="777" max="777" width="10.28515625" bestFit="1" customWidth="1"/>
    <col min="1033" max="1033" width="10.28515625" bestFit="1" customWidth="1"/>
    <col min="1289" max="1289" width="10.28515625" bestFit="1" customWidth="1"/>
    <col min="1545" max="1545" width="10.28515625" bestFit="1" customWidth="1"/>
    <col min="1801" max="1801" width="10.28515625" bestFit="1" customWidth="1"/>
    <col min="2057" max="2057" width="10.28515625" bestFit="1" customWidth="1"/>
    <col min="2313" max="2313" width="10.28515625" bestFit="1" customWidth="1"/>
    <col min="2569" max="2569" width="10.28515625" bestFit="1" customWidth="1"/>
    <col min="2825" max="2825" width="10.28515625" bestFit="1" customWidth="1"/>
    <col min="3081" max="3081" width="10.28515625" bestFit="1" customWidth="1"/>
    <col min="3337" max="3337" width="10.28515625" bestFit="1" customWidth="1"/>
    <col min="3593" max="3593" width="10.28515625" bestFit="1" customWidth="1"/>
    <col min="3849" max="3849" width="10.28515625" bestFit="1" customWidth="1"/>
    <col min="4105" max="4105" width="10.28515625" bestFit="1" customWidth="1"/>
    <col min="4361" max="4361" width="10.28515625" bestFit="1" customWidth="1"/>
    <col min="4617" max="4617" width="10.28515625" bestFit="1" customWidth="1"/>
    <col min="4873" max="4873" width="10.28515625" bestFit="1" customWidth="1"/>
    <col min="5129" max="5129" width="10.28515625" bestFit="1" customWidth="1"/>
    <col min="5385" max="5385" width="10.28515625" bestFit="1" customWidth="1"/>
    <col min="5641" max="5641" width="10.28515625" bestFit="1" customWidth="1"/>
    <col min="5897" max="5897" width="10.28515625" bestFit="1" customWidth="1"/>
    <col min="6153" max="6153" width="10.28515625" bestFit="1" customWidth="1"/>
    <col min="6409" max="6409" width="10.28515625" bestFit="1" customWidth="1"/>
    <col min="6665" max="6665" width="10.28515625" bestFit="1" customWidth="1"/>
    <col min="6921" max="6921" width="10.28515625" bestFit="1" customWidth="1"/>
    <col min="7177" max="7177" width="10.28515625" bestFit="1" customWidth="1"/>
    <col min="7433" max="7433" width="10.28515625" bestFit="1" customWidth="1"/>
    <col min="7689" max="7689" width="10.28515625" bestFit="1" customWidth="1"/>
    <col min="7945" max="7945" width="10.28515625" bestFit="1" customWidth="1"/>
    <col min="8201" max="8201" width="10.28515625" bestFit="1" customWidth="1"/>
    <col min="8457" max="8457" width="10.28515625" bestFit="1" customWidth="1"/>
    <col min="8713" max="8713" width="10.28515625" bestFit="1" customWidth="1"/>
    <col min="8969" max="8969" width="10.28515625" bestFit="1" customWidth="1"/>
    <col min="9225" max="9225" width="10.28515625" bestFit="1" customWidth="1"/>
    <col min="9481" max="9481" width="10.28515625" bestFit="1" customWidth="1"/>
    <col min="9737" max="9737" width="10.28515625" bestFit="1" customWidth="1"/>
    <col min="9993" max="9993" width="10.28515625" bestFit="1" customWidth="1"/>
    <col min="10249" max="10249" width="10.28515625" bestFit="1" customWidth="1"/>
    <col min="10505" max="10505" width="10.28515625" bestFit="1" customWidth="1"/>
    <col min="10761" max="10761" width="10.28515625" bestFit="1" customWidth="1"/>
    <col min="11017" max="11017" width="10.28515625" bestFit="1" customWidth="1"/>
    <col min="11273" max="11273" width="10.28515625" bestFit="1" customWidth="1"/>
    <col min="11529" max="11529" width="10.28515625" bestFit="1" customWidth="1"/>
    <col min="11785" max="11785" width="10.28515625" bestFit="1" customWidth="1"/>
    <col min="12041" max="12041" width="10.28515625" bestFit="1" customWidth="1"/>
    <col min="12297" max="12297" width="10.28515625" bestFit="1" customWidth="1"/>
    <col min="12553" max="12553" width="10.28515625" bestFit="1" customWidth="1"/>
    <col min="12809" max="12809" width="10.28515625" bestFit="1" customWidth="1"/>
    <col min="13065" max="13065" width="10.28515625" bestFit="1" customWidth="1"/>
    <col min="13321" max="13321" width="10.28515625" bestFit="1" customWidth="1"/>
    <col min="13577" max="13577" width="10.28515625" bestFit="1" customWidth="1"/>
    <col min="13833" max="13833" width="10.28515625" bestFit="1" customWidth="1"/>
    <col min="14089" max="14089" width="10.28515625" bestFit="1" customWidth="1"/>
    <col min="14345" max="14345" width="10.28515625" bestFit="1" customWidth="1"/>
    <col min="14601" max="14601" width="10.28515625" bestFit="1" customWidth="1"/>
    <col min="14857" max="14857" width="10.28515625" bestFit="1" customWidth="1"/>
    <col min="15113" max="15113" width="10.28515625" bestFit="1" customWidth="1"/>
    <col min="15369" max="15369" width="10.28515625" bestFit="1" customWidth="1"/>
    <col min="15625" max="15625" width="10.28515625" bestFit="1" customWidth="1"/>
    <col min="15881" max="15881" width="10.28515625" bestFit="1" customWidth="1"/>
    <col min="16137" max="16137" width="10.28515625" bestFit="1" customWidth="1"/>
  </cols>
  <sheetData>
    <row r="1" spans="1:21">
      <c r="A1" s="163"/>
      <c r="B1" s="163"/>
      <c r="C1" s="163"/>
      <c r="D1" s="163"/>
      <c r="E1" s="163"/>
      <c r="F1" s="192" t="s">
        <v>167</v>
      </c>
      <c r="G1" s="193"/>
      <c r="H1" s="193"/>
      <c r="I1" s="193"/>
      <c r="J1" s="193"/>
      <c r="K1" s="193"/>
      <c r="L1" s="193"/>
      <c r="M1" s="163"/>
      <c r="N1" s="163"/>
      <c r="O1" s="163"/>
      <c r="P1" s="163"/>
      <c r="Q1" s="163"/>
      <c r="R1" s="163"/>
      <c r="S1" s="163"/>
      <c r="T1" s="163"/>
      <c r="U1" s="163"/>
    </row>
    <row r="2" spans="1:21">
      <c r="A2" s="163"/>
      <c r="B2" s="163"/>
      <c r="C2" s="163"/>
      <c r="D2" s="163"/>
      <c r="E2" s="163"/>
      <c r="F2" s="163"/>
      <c r="G2" s="163"/>
      <c r="H2" s="163"/>
      <c r="I2" s="192" t="s">
        <v>1335</v>
      </c>
      <c r="J2" s="193"/>
      <c r="K2" s="193"/>
      <c r="L2" s="163"/>
      <c r="M2" s="163"/>
      <c r="N2" s="163"/>
      <c r="O2" s="163"/>
      <c r="P2" s="163"/>
      <c r="Q2" s="163"/>
      <c r="R2" s="163"/>
      <c r="S2" s="163"/>
      <c r="T2" s="163"/>
      <c r="U2" s="163"/>
    </row>
    <row r="3" spans="1:21">
      <c r="A3" s="808" t="s">
        <v>4176</v>
      </c>
      <c r="B3" s="808"/>
      <c r="C3" s="808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</row>
    <row r="4" spans="1:21">
      <c r="A4" s="184" t="s">
        <v>1336</v>
      </c>
      <c r="B4" s="184"/>
      <c r="C4" s="184"/>
      <c r="D4" s="184"/>
      <c r="E4" s="1085" t="s">
        <v>1457</v>
      </c>
      <c r="F4" s="1085"/>
      <c r="G4" s="1085"/>
      <c r="H4" s="1085"/>
      <c r="I4" s="184" t="s">
        <v>171</v>
      </c>
      <c r="J4" s="184"/>
      <c r="K4" s="184"/>
      <c r="L4" s="1085">
        <v>904120101</v>
      </c>
      <c r="M4" s="1085"/>
      <c r="N4" s="1085"/>
      <c r="O4" s="184" t="s">
        <v>5</v>
      </c>
      <c r="P4" s="184"/>
      <c r="Q4" s="194">
        <v>500</v>
      </c>
      <c r="R4" s="1086" t="s">
        <v>1338</v>
      </c>
      <c r="S4" s="1090"/>
      <c r="T4" s="1085" t="s">
        <v>1269</v>
      </c>
      <c r="U4" s="1085"/>
    </row>
    <row r="5" spans="1:21">
      <c r="A5" s="184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</row>
    <row r="6" spans="1:21">
      <c r="A6" s="184" t="s">
        <v>1340</v>
      </c>
      <c r="B6" s="184"/>
      <c r="C6" s="184"/>
      <c r="D6" s="184"/>
      <c r="E6" s="1085" t="s">
        <v>1458</v>
      </c>
      <c r="F6" s="1085"/>
      <c r="G6" s="1085"/>
      <c r="H6" s="1085"/>
      <c r="I6" s="184" t="s">
        <v>1208</v>
      </c>
      <c r="J6" s="184"/>
      <c r="K6" s="184"/>
      <c r="L6" s="1085" t="s">
        <v>1459</v>
      </c>
      <c r="M6" s="1085"/>
      <c r="N6" s="1085"/>
      <c r="O6" s="1085"/>
      <c r="P6" s="184"/>
      <c r="Q6" s="184"/>
      <c r="R6" s="184"/>
      <c r="S6" s="184"/>
      <c r="T6" s="184"/>
      <c r="U6" s="184"/>
    </row>
    <row r="7" spans="1:21">
      <c r="A7" s="184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</row>
    <row r="8" spans="1:21">
      <c r="A8" s="1087" t="s">
        <v>178</v>
      </c>
      <c r="B8" s="1087"/>
      <c r="C8" s="1087"/>
      <c r="D8" s="1090"/>
      <c r="E8" s="1088" t="s">
        <v>1269</v>
      </c>
      <c r="F8" s="1091"/>
      <c r="G8" s="1091"/>
      <c r="H8" s="1089"/>
      <c r="I8" s="1086" t="s">
        <v>1344</v>
      </c>
      <c r="J8" s="1092"/>
      <c r="K8" s="1092"/>
      <c r="L8" s="1085" t="s">
        <v>1269</v>
      </c>
      <c r="M8" s="1085"/>
      <c r="N8" s="1085"/>
      <c r="O8" s="1085"/>
      <c r="P8" s="195"/>
      <c r="Q8" s="195"/>
      <c r="R8" s="184"/>
      <c r="S8" s="184"/>
      <c r="T8" s="184"/>
      <c r="U8" s="184"/>
    </row>
    <row r="9" spans="1:21">
      <c r="A9" s="184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95"/>
      <c r="M9" s="195"/>
      <c r="N9" s="195"/>
      <c r="O9" s="195"/>
      <c r="P9" s="195"/>
      <c r="Q9" s="195"/>
      <c r="R9" s="184"/>
      <c r="S9" s="184"/>
      <c r="T9" s="184"/>
      <c r="U9" s="184"/>
    </row>
    <row r="10" spans="1:21">
      <c r="A10" s="184"/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</row>
    <row r="11" spans="1:21">
      <c r="A11" s="1079" t="s">
        <v>838</v>
      </c>
      <c r="B11" s="1079"/>
      <c r="C11" s="1079"/>
      <c r="D11" s="1079"/>
      <c r="E11" s="1079"/>
      <c r="F11" s="1079"/>
      <c r="G11" s="1085" t="s">
        <v>1457</v>
      </c>
      <c r="H11" s="1085"/>
      <c r="I11" s="1085"/>
      <c r="J11" s="1085">
        <v>0</v>
      </c>
      <c r="K11" s="1085"/>
      <c r="L11" s="1085"/>
      <c r="M11" s="1085">
        <v>0</v>
      </c>
      <c r="N11" s="1085"/>
      <c r="O11" s="1085"/>
      <c r="P11" s="1085"/>
      <c r="Q11" s="1085">
        <v>0</v>
      </c>
      <c r="R11" s="1085"/>
      <c r="S11" s="1085"/>
      <c r="T11" s="1085"/>
      <c r="U11" s="184"/>
    </row>
    <row r="12" spans="1:21">
      <c r="A12" s="1079" t="s">
        <v>1346</v>
      </c>
      <c r="B12" s="1079"/>
      <c r="C12" s="1079"/>
      <c r="D12" s="1079"/>
      <c r="E12" s="1079"/>
      <c r="F12" s="1079"/>
      <c r="G12" s="1085">
        <v>0</v>
      </c>
      <c r="H12" s="1085"/>
      <c r="I12" s="1085"/>
      <c r="J12" s="1085">
        <v>0</v>
      </c>
      <c r="K12" s="1085"/>
      <c r="L12" s="1085"/>
      <c r="M12" s="1085">
        <v>0</v>
      </c>
      <c r="N12" s="1085"/>
      <c r="O12" s="1085"/>
      <c r="P12" s="1085"/>
      <c r="Q12" s="1085">
        <v>0</v>
      </c>
      <c r="R12" s="1085"/>
      <c r="S12" s="1085"/>
      <c r="T12" s="1085"/>
      <c r="U12" s="184"/>
    </row>
    <row r="13" spans="1:21">
      <c r="A13" s="1079" t="s">
        <v>192</v>
      </c>
      <c r="B13" s="1079"/>
      <c r="C13" s="1079"/>
      <c r="D13" s="1079"/>
      <c r="E13" s="1079"/>
      <c r="F13" s="1079"/>
      <c r="G13" s="1085" t="s">
        <v>1460</v>
      </c>
      <c r="H13" s="1085"/>
      <c r="I13" s="1085"/>
      <c r="J13" s="1085" t="s">
        <v>1461</v>
      </c>
      <c r="K13" s="1085"/>
      <c r="L13" s="1085"/>
      <c r="M13" s="1085" t="s">
        <v>1462</v>
      </c>
      <c r="N13" s="1085"/>
      <c r="O13" s="1085"/>
      <c r="P13" s="1085"/>
      <c r="Q13" s="1085">
        <v>0</v>
      </c>
      <c r="R13" s="1085"/>
      <c r="S13" s="1085"/>
      <c r="T13" s="1085"/>
      <c r="U13" s="184"/>
    </row>
    <row r="14" spans="1:21">
      <c r="A14" s="1079" t="s">
        <v>197</v>
      </c>
      <c r="B14" s="1079"/>
      <c r="C14" s="1079"/>
      <c r="D14" s="1079"/>
      <c r="E14" s="1079"/>
      <c r="F14" s="1079"/>
      <c r="G14" s="1085">
        <v>0</v>
      </c>
      <c r="H14" s="1085"/>
      <c r="I14" s="1085"/>
      <c r="J14" s="1085">
        <v>0</v>
      </c>
      <c r="K14" s="1085"/>
      <c r="L14" s="1085"/>
      <c r="M14" s="1085">
        <v>0</v>
      </c>
      <c r="N14" s="1085"/>
      <c r="O14" s="1085"/>
      <c r="P14" s="1085"/>
      <c r="Q14" s="1085">
        <v>0</v>
      </c>
      <c r="R14" s="1085"/>
      <c r="S14" s="1085"/>
      <c r="T14" s="1085"/>
      <c r="U14" s="184"/>
    </row>
    <row r="15" spans="1:21">
      <c r="A15" s="184"/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</row>
    <row r="16" spans="1:21">
      <c r="A16" s="184" t="s">
        <v>1356</v>
      </c>
      <c r="B16" s="184"/>
      <c r="C16" s="184"/>
      <c r="D16" s="184"/>
      <c r="E16" s="184"/>
      <c r="F16" s="1085">
        <v>1</v>
      </c>
      <c r="G16" s="1085"/>
      <c r="H16" s="1085"/>
      <c r="I16" s="184" t="s">
        <v>1357</v>
      </c>
      <c r="J16" s="184"/>
      <c r="K16" s="184"/>
      <c r="L16" s="1085">
        <v>0</v>
      </c>
      <c r="M16" s="1085"/>
      <c r="N16" s="1085"/>
      <c r="O16" s="184" t="s">
        <v>643</v>
      </c>
      <c r="P16" s="196">
        <v>5</v>
      </c>
      <c r="Q16" s="184" t="s">
        <v>1358</v>
      </c>
      <c r="R16" s="196">
        <v>0</v>
      </c>
      <c r="S16" s="184" t="s">
        <v>1386</v>
      </c>
      <c r="T16" s="196">
        <v>14</v>
      </c>
      <c r="U16" s="184"/>
    </row>
    <row r="17" spans="1:21">
      <c r="A17" s="184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</row>
    <row r="18" spans="1:21">
      <c r="A18" s="184" t="s">
        <v>203</v>
      </c>
      <c r="B18" s="184"/>
      <c r="C18" s="184"/>
      <c r="D18" s="184"/>
      <c r="E18" s="184" t="s">
        <v>204</v>
      </c>
      <c r="F18" s="184"/>
      <c r="G18" s="1085">
        <v>110</v>
      </c>
      <c r="H18" s="1085"/>
      <c r="I18" s="184" t="s">
        <v>205</v>
      </c>
      <c r="J18" s="194">
        <v>0</v>
      </c>
      <c r="K18" s="184" t="s">
        <v>206</v>
      </c>
      <c r="L18" s="184"/>
      <c r="M18" s="1085">
        <v>0</v>
      </c>
      <c r="N18" s="1085"/>
      <c r="O18" s="184" t="s">
        <v>230</v>
      </c>
      <c r="P18" s="197">
        <v>110</v>
      </c>
      <c r="Q18" s="184" t="s">
        <v>207</v>
      </c>
      <c r="R18" s="194">
        <v>29</v>
      </c>
      <c r="S18" s="1086" t="s">
        <v>1360</v>
      </c>
      <c r="T18" s="1087"/>
      <c r="U18" s="196">
        <v>17</v>
      </c>
    </row>
    <row r="19" spans="1:21">
      <c r="A19" s="184"/>
      <c r="B19" s="184"/>
      <c r="C19" s="184"/>
      <c r="D19" s="184"/>
      <c r="E19" s="184" t="s">
        <v>210</v>
      </c>
      <c r="F19" s="184"/>
      <c r="G19" s="1085">
        <v>264</v>
      </c>
      <c r="H19" s="1085"/>
      <c r="I19" s="184" t="s">
        <v>211</v>
      </c>
      <c r="J19" s="194">
        <v>0</v>
      </c>
      <c r="K19" s="184" t="s">
        <v>212</v>
      </c>
      <c r="L19" s="184"/>
      <c r="M19" s="1085">
        <v>0</v>
      </c>
      <c r="N19" s="1085"/>
      <c r="O19" s="184" t="s">
        <v>411</v>
      </c>
      <c r="P19" s="197">
        <v>264</v>
      </c>
      <c r="Q19" s="195"/>
      <c r="R19" s="184"/>
      <c r="S19" s="184"/>
      <c r="T19" s="184"/>
      <c r="U19" s="184"/>
    </row>
    <row r="20" spans="1:21">
      <c r="A20" s="184"/>
      <c r="B20" s="184"/>
      <c r="C20" s="184"/>
      <c r="D20" s="184"/>
      <c r="E20" s="184" t="s">
        <v>213</v>
      </c>
      <c r="F20" s="184"/>
      <c r="G20" s="1088">
        <v>248</v>
      </c>
      <c r="H20" s="1089"/>
      <c r="I20" s="198" t="s">
        <v>650</v>
      </c>
      <c r="J20" s="194">
        <v>0</v>
      </c>
      <c r="K20" s="184" t="s">
        <v>215</v>
      </c>
      <c r="L20" s="184"/>
      <c r="M20" s="1085">
        <v>0</v>
      </c>
      <c r="N20" s="1085"/>
      <c r="O20" s="198" t="s">
        <v>410</v>
      </c>
      <c r="P20" s="196">
        <v>248</v>
      </c>
      <c r="Q20" s="195"/>
      <c r="R20" s="184"/>
      <c r="S20" s="184"/>
      <c r="T20" s="184"/>
      <c r="U20" s="184"/>
    </row>
    <row r="21" spans="1:21">
      <c r="A21" s="184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</row>
    <row r="22" spans="1:21">
      <c r="A22" s="192" t="s">
        <v>216</v>
      </c>
      <c r="B22" s="192"/>
      <c r="C22" s="192"/>
      <c r="D22" s="192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</row>
    <row r="23" spans="1:21">
      <c r="A23" s="184"/>
      <c r="B23" s="184"/>
      <c r="C23" s="184"/>
      <c r="D23" s="184"/>
      <c r="E23" s="184"/>
      <c r="F23" s="184"/>
      <c r="G23" s="1084" t="s">
        <v>1361</v>
      </c>
      <c r="H23" s="1085" t="s">
        <v>1362</v>
      </c>
      <c r="I23" s="1030" t="s">
        <v>1363</v>
      </c>
      <c r="J23" s="1084" t="s">
        <v>1364</v>
      </c>
      <c r="K23" s="1085" t="s">
        <v>222</v>
      </c>
      <c r="L23" s="1085"/>
      <c r="M23" s="1085"/>
      <c r="N23" s="1085"/>
      <c r="O23" s="1085"/>
      <c r="P23" s="1085"/>
      <c r="Q23" s="1085"/>
      <c r="R23" s="1085"/>
      <c r="S23" s="1085"/>
      <c r="T23" s="184"/>
      <c r="U23" s="184"/>
    </row>
    <row r="24" spans="1:21">
      <c r="A24" s="1079" t="s">
        <v>217</v>
      </c>
      <c r="B24" s="1079"/>
      <c r="C24" s="1079"/>
      <c r="D24" s="1079"/>
      <c r="E24" s="1079"/>
      <c r="F24" s="1083"/>
      <c r="G24" s="1084"/>
      <c r="H24" s="1085"/>
      <c r="I24" s="1030"/>
      <c r="J24" s="1084"/>
      <c r="K24" s="549" t="s">
        <v>1365</v>
      </c>
      <c r="L24" s="549" t="s">
        <v>1366</v>
      </c>
      <c r="M24" s="549" t="s">
        <v>1367</v>
      </c>
      <c r="N24" s="549" t="s">
        <v>1368</v>
      </c>
      <c r="O24" s="549" t="s">
        <v>1369</v>
      </c>
      <c r="P24" s="549" t="s">
        <v>1370</v>
      </c>
      <c r="Q24" s="549" t="s">
        <v>1371</v>
      </c>
      <c r="R24" s="194" t="s">
        <v>230</v>
      </c>
      <c r="S24" s="194" t="s">
        <v>231</v>
      </c>
      <c r="T24" s="184"/>
      <c r="U24" s="184"/>
    </row>
    <row r="25" spans="1:21">
      <c r="A25" s="1079" t="s">
        <v>232</v>
      </c>
      <c r="B25" s="1079"/>
      <c r="C25" s="1079"/>
      <c r="D25" s="1079"/>
      <c r="E25" s="1079"/>
      <c r="F25" s="1079"/>
      <c r="G25" s="549">
        <v>8000</v>
      </c>
      <c r="H25" s="194" t="s">
        <v>1463</v>
      </c>
      <c r="I25" s="199">
        <f>+G25*Q4/100000</f>
        <v>40</v>
      </c>
      <c r="J25" s="199">
        <f>4000000/100000</f>
        <v>40</v>
      </c>
      <c r="K25" s="199">
        <v>0</v>
      </c>
      <c r="L25" s="199">
        <f>44682/100000</f>
        <v>0.44681999999999999</v>
      </c>
      <c r="M25" s="199">
        <f>513735/100000</f>
        <v>5.1373499999999996</v>
      </c>
      <c r="N25" s="199">
        <f>1324844/100000</f>
        <v>13.24844</v>
      </c>
      <c r="O25" s="199">
        <f>2116739/100000</f>
        <v>21.167390000000001</v>
      </c>
      <c r="P25" s="199">
        <f>-5226/100000</f>
        <v>-5.2260000000000001E-2</v>
      </c>
      <c r="Q25" s="199">
        <v>0</v>
      </c>
      <c r="R25" s="200">
        <f>SUM(L25:Q25)</f>
        <v>39.947740000000003</v>
      </c>
      <c r="S25" s="199">
        <f>R25*100/J25</f>
        <v>99.869350000000011</v>
      </c>
      <c r="T25" s="184"/>
      <c r="U25" s="184"/>
    </row>
    <row r="26" spans="1:21">
      <c r="A26" s="1079" t="s">
        <v>234</v>
      </c>
      <c r="B26" s="1079"/>
      <c r="C26" s="1079"/>
      <c r="D26" s="1079"/>
      <c r="E26" s="1079"/>
      <c r="F26" s="1079"/>
      <c r="G26" s="549">
        <v>7000</v>
      </c>
      <c r="H26" s="194" t="s">
        <v>1463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201"/>
      <c r="T26" s="184"/>
      <c r="U26" s="184"/>
    </row>
    <row r="27" spans="1:21">
      <c r="A27" s="1079" t="s">
        <v>1373</v>
      </c>
      <c r="B27" s="1079"/>
      <c r="C27" s="1079"/>
      <c r="D27" s="1079"/>
      <c r="E27" s="1079"/>
      <c r="F27" s="1079"/>
      <c r="G27" s="549">
        <v>43000</v>
      </c>
      <c r="H27" s="194" t="s">
        <v>236</v>
      </c>
      <c r="I27" s="199">
        <f>143000/100000</f>
        <v>1.43</v>
      </c>
      <c r="J27" s="199">
        <f>63000/100000</f>
        <v>0.63</v>
      </c>
      <c r="K27" s="199">
        <v>0</v>
      </c>
      <c r="L27" s="199">
        <v>0</v>
      </c>
      <c r="M27" s="199">
        <v>0</v>
      </c>
      <c r="N27" s="199">
        <f>18000/100000</f>
        <v>0.18</v>
      </c>
      <c r="O27" s="199">
        <f>15000/100000</f>
        <v>0.15</v>
      </c>
      <c r="P27" s="199">
        <f>10000/100000</f>
        <v>0.1</v>
      </c>
      <c r="Q27" s="199">
        <f>10000/100000</f>
        <v>0.1</v>
      </c>
      <c r="R27" s="200">
        <f>SUM(K27:Q27)</f>
        <v>0.52999999999999992</v>
      </c>
      <c r="S27" s="199">
        <f t="shared" ref="S27:S32" si="0">R27*100/J27</f>
        <v>84.126984126984112</v>
      </c>
      <c r="T27" s="184"/>
      <c r="U27" s="184"/>
    </row>
    <row r="28" spans="1:21">
      <c r="A28" s="1079" t="s">
        <v>237</v>
      </c>
      <c r="B28" s="1079"/>
      <c r="C28" s="1079"/>
      <c r="D28" s="1079"/>
      <c r="E28" s="1079"/>
      <c r="F28" s="1079"/>
      <c r="G28" s="549">
        <v>34000</v>
      </c>
      <c r="H28" s="194" t="s">
        <v>236</v>
      </c>
      <c r="I28" s="199">
        <f>34000/100000</f>
        <v>0.34</v>
      </c>
      <c r="J28" s="199">
        <f>34000/100000</f>
        <v>0.34</v>
      </c>
      <c r="K28" s="199">
        <v>0</v>
      </c>
      <c r="L28" s="199">
        <v>0</v>
      </c>
      <c r="M28" s="199">
        <v>0</v>
      </c>
      <c r="N28" s="199">
        <f>16000/100000</f>
        <v>0.16</v>
      </c>
      <c r="O28" s="199">
        <f>18000/100000</f>
        <v>0.18</v>
      </c>
      <c r="P28" s="199">
        <v>0</v>
      </c>
      <c r="Q28" s="199">
        <v>0</v>
      </c>
      <c r="R28" s="199">
        <f>SUM(N28:Q28)</f>
        <v>0.33999999999999997</v>
      </c>
      <c r="S28" s="199">
        <f t="shared" si="0"/>
        <v>99.999999999999986</v>
      </c>
      <c r="T28" s="184"/>
      <c r="U28" s="184"/>
    </row>
    <row r="29" spans="1:21">
      <c r="A29" s="1079" t="s">
        <v>1374</v>
      </c>
      <c r="B29" s="1079"/>
      <c r="C29" s="1079"/>
      <c r="D29" s="1079"/>
      <c r="E29" s="1079"/>
      <c r="F29" s="1079"/>
      <c r="G29" s="549">
        <v>1200</v>
      </c>
      <c r="H29" s="194" t="s">
        <v>1463</v>
      </c>
      <c r="I29" s="199">
        <f>+G29*Q4/100000</f>
        <v>6</v>
      </c>
      <c r="J29" s="199">
        <f>600000/100000</f>
        <v>6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f>600000/100000</f>
        <v>6</v>
      </c>
      <c r="Q29" s="199">
        <v>0</v>
      </c>
      <c r="R29" s="200">
        <f>SUM(N29:Q29)</f>
        <v>6</v>
      </c>
      <c r="S29" s="199">
        <f t="shared" si="0"/>
        <v>100</v>
      </c>
      <c r="T29" s="184"/>
      <c r="U29" s="184"/>
    </row>
    <row r="30" spans="1:21">
      <c r="A30" s="1079" t="s">
        <v>1375</v>
      </c>
      <c r="B30" s="1079"/>
      <c r="C30" s="1079"/>
      <c r="D30" s="1079"/>
      <c r="E30" s="1079"/>
      <c r="F30" s="1079"/>
      <c r="G30" s="549">
        <v>565</v>
      </c>
      <c r="H30" s="194" t="s">
        <v>1463</v>
      </c>
      <c r="I30" s="199">
        <f>+G30*Q4/100000</f>
        <v>2.8250000000000002</v>
      </c>
      <c r="J30" s="199">
        <f>282500/100000</f>
        <v>2.8250000000000002</v>
      </c>
      <c r="K30" s="199">
        <v>0</v>
      </c>
      <c r="L30" s="199">
        <v>0</v>
      </c>
      <c r="M30" s="199">
        <v>0</v>
      </c>
      <c r="N30" s="199">
        <f>26665/100000</f>
        <v>0.26665</v>
      </c>
      <c r="O30" s="199">
        <f>255835/100000</f>
        <v>2.5583499999999999</v>
      </c>
      <c r="P30" s="199">
        <v>0</v>
      </c>
      <c r="Q30" s="199"/>
      <c r="R30" s="199">
        <f>SUM(N30:Q30)</f>
        <v>2.8249999999999997</v>
      </c>
      <c r="S30" s="199">
        <f t="shared" si="0"/>
        <v>100</v>
      </c>
      <c r="T30" s="184"/>
      <c r="U30" s="184"/>
    </row>
    <row r="31" spans="1:21">
      <c r="A31" s="1079" t="s">
        <v>1376</v>
      </c>
      <c r="B31" s="1079"/>
      <c r="C31" s="1079"/>
      <c r="D31" s="1079"/>
      <c r="E31" s="1079"/>
      <c r="F31" s="1079"/>
      <c r="G31" s="549">
        <v>1000</v>
      </c>
      <c r="H31" s="194" t="s">
        <v>1463</v>
      </c>
      <c r="I31" s="199">
        <f>+G31*Q4/100000</f>
        <v>5</v>
      </c>
      <c r="J31" s="199">
        <f>500000/100000</f>
        <v>5</v>
      </c>
      <c r="K31" s="199">
        <v>0</v>
      </c>
      <c r="L31" s="199">
        <f>19258/100000</f>
        <v>0.19258</v>
      </c>
      <c r="M31" s="199">
        <f>80742/100000</f>
        <v>0.80742000000000003</v>
      </c>
      <c r="N31" s="199">
        <v>0</v>
      </c>
      <c r="O31" s="199">
        <v>0</v>
      </c>
      <c r="P31" s="199">
        <f>400000.5/100000</f>
        <v>4.0000049999999998</v>
      </c>
      <c r="Q31" s="199">
        <v>0</v>
      </c>
      <c r="R31" s="200">
        <f>SUM(K31:Q31)</f>
        <v>5.0000049999999998</v>
      </c>
      <c r="S31" s="199">
        <f t="shared" si="0"/>
        <v>100.0001</v>
      </c>
      <c r="T31" s="184"/>
      <c r="U31" s="184"/>
    </row>
    <row r="32" spans="1:21">
      <c r="A32" s="1079" t="s">
        <v>394</v>
      </c>
      <c r="B32" s="1079"/>
      <c r="C32" s="1079"/>
      <c r="D32" s="1079"/>
      <c r="E32" s="1079"/>
      <c r="F32" s="1079"/>
      <c r="G32" s="549">
        <v>2750</v>
      </c>
      <c r="H32" s="194" t="s">
        <v>242</v>
      </c>
      <c r="I32" s="199">
        <f>192000/100000</f>
        <v>1.92</v>
      </c>
      <c r="J32" s="199">
        <f>192000/100000</f>
        <v>1.92</v>
      </c>
      <c r="K32" s="199">
        <v>0</v>
      </c>
      <c r="L32" s="199">
        <f>9361/100000</f>
        <v>9.3609999999999999E-2</v>
      </c>
      <c r="M32" s="199">
        <f>33563/100000</f>
        <v>0.33562999999999998</v>
      </c>
      <c r="N32" s="199">
        <f>50076/100000</f>
        <v>0.50075999999999998</v>
      </c>
      <c r="O32" s="199">
        <f>33000/100000</f>
        <v>0.33</v>
      </c>
      <c r="P32" s="199">
        <f>31408.5/100000</f>
        <v>0.314085</v>
      </c>
      <c r="Q32" s="199">
        <f>33000/100000</f>
        <v>0.33</v>
      </c>
      <c r="R32" s="200">
        <f>SUM(K32:Q32)</f>
        <v>1.904085</v>
      </c>
      <c r="S32" s="199">
        <f t="shared" si="0"/>
        <v>99.171093750000011</v>
      </c>
      <c r="T32" s="184"/>
      <c r="U32" s="184"/>
    </row>
    <row r="33" spans="1:21">
      <c r="A33" s="1080" t="s">
        <v>230</v>
      </c>
      <c r="B33" s="1081"/>
      <c r="C33" s="1081"/>
      <c r="D33" s="1081"/>
      <c r="E33" s="1081"/>
      <c r="F33" s="1082"/>
      <c r="G33" s="549"/>
      <c r="H33" s="194"/>
      <c r="I33" s="200">
        <f>SUM(I25:I32)</f>
        <v>57.515000000000008</v>
      </c>
      <c r="J33" s="200">
        <f>SUM(J25:J32)</f>
        <v>56.715000000000011</v>
      </c>
      <c r="K33" s="200">
        <f t="shared" ref="K33:P33" si="1">SUM(K25:K32)</f>
        <v>0</v>
      </c>
      <c r="L33" s="200">
        <f t="shared" si="1"/>
        <v>0.73300999999999994</v>
      </c>
      <c r="M33" s="200">
        <f t="shared" si="1"/>
        <v>6.2804000000000002</v>
      </c>
      <c r="N33" s="200">
        <f t="shared" si="1"/>
        <v>14.35585</v>
      </c>
      <c r="O33" s="200">
        <f t="shared" si="1"/>
        <v>24.385739999999998</v>
      </c>
      <c r="P33" s="200">
        <f t="shared" si="1"/>
        <v>10.361829999999999</v>
      </c>
      <c r="Q33" s="200">
        <f>SUM(Q24:Q32)</f>
        <v>0.43000000000000005</v>
      </c>
      <c r="R33" s="200">
        <f>SUM(R25:R32)</f>
        <v>56.546830000000014</v>
      </c>
      <c r="S33" s="200">
        <f>R33*100/J33</f>
        <v>99.703482323900218</v>
      </c>
      <c r="T33" s="184"/>
      <c r="U33" s="184"/>
    </row>
    <row r="34" spans="1:21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</row>
    <row r="35" spans="1:21">
      <c r="J35" s="202"/>
    </row>
  </sheetData>
  <mergeCells count="55">
    <mergeCell ref="A3:C3"/>
    <mergeCell ref="E4:H4"/>
    <mergeCell ref="L4:N4"/>
    <mergeCell ref="R4:S4"/>
    <mergeCell ref="T4:U4"/>
    <mergeCell ref="E6:H6"/>
    <mergeCell ref="L6:O6"/>
    <mergeCell ref="A8:D8"/>
    <mergeCell ref="E8:H8"/>
    <mergeCell ref="I8:K8"/>
    <mergeCell ref="L8:O8"/>
    <mergeCell ref="A11:F11"/>
    <mergeCell ref="G11:I11"/>
    <mergeCell ref="J11:L11"/>
    <mergeCell ref="M11:P11"/>
    <mergeCell ref="Q11:T11"/>
    <mergeCell ref="A12:F12"/>
    <mergeCell ref="G12:I12"/>
    <mergeCell ref="J12:L12"/>
    <mergeCell ref="M12:P12"/>
    <mergeCell ref="Q12:T12"/>
    <mergeCell ref="Q13:T13"/>
    <mergeCell ref="A14:F14"/>
    <mergeCell ref="G14:I14"/>
    <mergeCell ref="J14:L14"/>
    <mergeCell ref="M14:P14"/>
    <mergeCell ref="Q14:T14"/>
    <mergeCell ref="A13:F13"/>
    <mergeCell ref="G13:I13"/>
    <mergeCell ref="J13:L13"/>
    <mergeCell ref="M13:P13"/>
    <mergeCell ref="F16:H16"/>
    <mergeCell ref="L16:N16"/>
    <mergeCell ref="S18:T18"/>
    <mergeCell ref="G20:H20"/>
    <mergeCell ref="M20:N20"/>
    <mergeCell ref="G19:H19"/>
    <mergeCell ref="M19:N19"/>
    <mergeCell ref="G18:H18"/>
    <mergeCell ref="M18:N18"/>
    <mergeCell ref="G23:G24"/>
    <mergeCell ref="H23:H24"/>
    <mergeCell ref="I23:I24"/>
    <mergeCell ref="J23:J24"/>
    <mergeCell ref="K23:S23"/>
    <mergeCell ref="A30:F30"/>
    <mergeCell ref="A31:F31"/>
    <mergeCell ref="A32:F32"/>
    <mergeCell ref="A33:F33"/>
    <mergeCell ref="A24:F24"/>
    <mergeCell ref="A25:F25"/>
    <mergeCell ref="A26:F26"/>
    <mergeCell ref="A27:F27"/>
    <mergeCell ref="A28:F28"/>
    <mergeCell ref="A29:F29"/>
  </mergeCells>
  <hyperlinks>
    <hyperlink ref="A3" location="'Fact Sheet of VDC'!A1" display="&lt;&lt;Back"/>
  </hyperlinks>
  <pageMargins left="0.7" right="0.7" top="0.75" bottom="0.75" header="0.3" footer="0.3"/>
  <pageSetup paperSize="9" scale="6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480</v>
      </c>
      <c r="H6" t="s">
        <v>437</v>
      </c>
      <c r="K6" t="s">
        <v>5714</v>
      </c>
      <c r="R6" t="s">
        <v>172</v>
      </c>
      <c r="T6">
        <v>274</v>
      </c>
      <c r="U6" t="s">
        <v>436</v>
      </c>
      <c r="W6">
        <v>80</v>
      </c>
    </row>
    <row r="9" spans="1:23">
      <c r="A9" t="s">
        <v>435</v>
      </c>
      <c r="D9" t="s">
        <v>476</v>
      </c>
      <c r="H9" t="s">
        <v>176</v>
      </c>
      <c r="K9" t="s">
        <v>479</v>
      </c>
    </row>
    <row r="12" spans="1:23">
      <c r="A12" t="s">
        <v>432</v>
      </c>
      <c r="H12" t="s">
        <v>431</v>
      </c>
      <c r="K12" t="s">
        <v>478</v>
      </c>
    </row>
    <row r="13" spans="1:23">
      <c r="H13" t="s">
        <v>429</v>
      </c>
    </row>
    <row r="17" spans="1:24">
      <c r="A17" t="s">
        <v>428</v>
      </c>
      <c r="D17" t="s">
        <v>477</v>
      </c>
    </row>
    <row r="18" spans="1:24">
      <c r="A18" t="s">
        <v>425</v>
      </c>
      <c r="D18" t="s">
        <v>476</v>
      </c>
    </row>
    <row r="19" spans="1:24">
      <c r="A19" t="s">
        <v>192</v>
      </c>
      <c r="D19" t="s">
        <v>475</v>
      </c>
      <c r="G19" t="s">
        <v>474</v>
      </c>
      <c r="K19" t="s">
        <v>473</v>
      </c>
    </row>
    <row r="20" spans="1:24">
      <c r="A20" t="s">
        <v>420</v>
      </c>
      <c r="G20" t="s">
        <v>419</v>
      </c>
      <c r="O20" t="s">
        <v>419</v>
      </c>
    </row>
    <row r="23" spans="1:24">
      <c r="A23" t="s">
        <v>198</v>
      </c>
      <c r="E23">
        <v>2</v>
      </c>
      <c r="G23" t="s">
        <v>418</v>
      </c>
      <c r="J23">
        <v>1</v>
      </c>
      <c r="L23" t="s">
        <v>200</v>
      </c>
      <c r="N23">
        <v>3</v>
      </c>
      <c r="S23" t="s">
        <v>417</v>
      </c>
      <c r="U23">
        <v>1</v>
      </c>
      <c r="W23" t="s">
        <v>202</v>
      </c>
      <c r="X23">
        <v>6</v>
      </c>
    </row>
    <row r="26" spans="1:24">
      <c r="A26" t="s">
        <v>416</v>
      </c>
      <c r="D26" t="s">
        <v>204</v>
      </c>
      <c r="E26">
        <v>28</v>
      </c>
      <c r="G26" t="s">
        <v>205</v>
      </c>
      <c r="H26">
        <v>3</v>
      </c>
      <c r="J26" t="s">
        <v>415</v>
      </c>
      <c r="K26">
        <v>0</v>
      </c>
      <c r="M26" t="s">
        <v>230</v>
      </c>
      <c r="N26">
        <f>E26+H26+K26</f>
        <v>31</v>
      </c>
      <c r="S26" t="s">
        <v>414</v>
      </c>
      <c r="T26">
        <v>11</v>
      </c>
      <c r="V26" t="s">
        <v>472</v>
      </c>
    </row>
    <row r="27" spans="1:24">
      <c r="A27" t="s">
        <v>412</v>
      </c>
      <c r="D27" t="s">
        <v>210</v>
      </c>
      <c r="E27">
        <v>54</v>
      </c>
      <c r="G27" t="s">
        <v>211</v>
      </c>
      <c r="H27">
        <v>6</v>
      </c>
      <c r="J27" t="s">
        <v>212</v>
      </c>
      <c r="K27">
        <v>0</v>
      </c>
      <c r="M27" t="s">
        <v>411</v>
      </c>
      <c r="N27">
        <f>E27+H27+K27</f>
        <v>60</v>
      </c>
    </row>
    <row r="28" spans="1:24">
      <c r="D28" t="s">
        <v>213</v>
      </c>
      <c r="E28">
        <v>60</v>
      </c>
      <c r="G28" t="s">
        <v>214</v>
      </c>
      <c r="H28">
        <v>7</v>
      </c>
      <c r="J28" t="s">
        <v>215</v>
      </c>
      <c r="K28">
        <v>0</v>
      </c>
      <c r="M28" t="s">
        <v>410</v>
      </c>
      <c r="N28">
        <f>E28+H28+K28</f>
        <v>67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21.92</v>
      </c>
      <c r="G37">
        <v>2192000</v>
      </c>
      <c r="J37">
        <v>3880</v>
      </c>
      <c r="L37">
        <v>992087</v>
      </c>
      <c r="N37">
        <v>337947</v>
      </c>
      <c r="S37">
        <v>252454</v>
      </c>
      <c r="U37">
        <v>168248</v>
      </c>
      <c r="X37">
        <f t="shared" ref="X37:X45" si="0">J37+L37+N37+S37+U37+W37</f>
        <v>1754616</v>
      </c>
      <c r="Y37">
        <f t="shared" ref="Y37:Y44" si="1">X37*100/G37</f>
        <v>80.046350364963502</v>
      </c>
    </row>
    <row r="38" spans="1:25">
      <c r="A38" t="s">
        <v>234</v>
      </c>
      <c r="D38">
        <v>7000</v>
      </c>
      <c r="E38" t="str">
        <f>+E37</f>
        <v>Hectare</v>
      </c>
      <c r="F38">
        <v>5.6</v>
      </c>
      <c r="G38">
        <v>400000</v>
      </c>
      <c r="J38">
        <v>0</v>
      </c>
      <c r="L38">
        <v>34443</v>
      </c>
      <c r="N38">
        <v>135160</v>
      </c>
      <c r="S38">
        <v>234838</v>
      </c>
      <c r="U38">
        <v>39550</v>
      </c>
      <c r="X38">
        <f t="shared" si="0"/>
        <v>443991</v>
      </c>
      <c r="Y38">
        <f t="shared" si="1"/>
        <v>110.99775</v>
      </c>
    </row>
    <row r="39" spans="1:25">
      <c r="A39" t="s">
        <v>397</v>
      </c>
      <c r="D39">
        <v>86</v>
      </c>
      <c r="E39" t="str">
        <f>+E38</f>
        <v>Hectare</v>
      </c>
      <c r="F39">
        <v>0.24</v>
      </c>
      <c r="G39">
        <v>43000</v>
      </c>
      <c r="J39">
        <v>0</v>
      </c>
      <c r="L39">
        <v>0</v>
      </c>
      <c r="N39">
        <v>34800</v>
      </c>
      <c r="S39">
        <v>4171</v>
      </c>
      <c r="U39">
        <v>4871</v>
      </c>
      <c r="X39">
        <f t="shared" si="0"/>
        <v>43842</v>
      </c>
      <c r="Y39">
        <f t="shared" si="1"/>
        <v>101.95813953488373</v>
      </c>
    </row>
    <row r="40" spans="1:25">
      <c r="A40" t="s">
        <v>396</v>
      </c>
      <c r="D40">
        <v>68</v>
      </c>
      <c r="E40" t="str">
        <f>+E39</f>
        <v>Hectare</v>
      </c>
      <c r="F40">
        <v>0.19</v>
      </c>
      <c r="G40">
        <v>34000</v>
      </c>
      <c r="J40">
        <v>0</v>
      </c>
      <c r="L40">
        <v>16109</v>
      </c>
      <c r="N40">
        <v>2778</v>
      </c>
      <c r="S40">
        <v>12937</v>
      </c>
      <c r="U40">
        <v>0</v>
      </c>
      <c r="X40">
        <f t="shared" si="0"/>
        <v>31824</v>
      </c>
      <c r="Y40">
        <f t="shared" si="1"/>
        <v>93.6</v>
      </c>
    </row>
    <row r="41" spans="1:25">
      <c r="A41" t="s">
        <v>238</v>
      </c>
      <c r="D41">
        <v>1200</v>
      </c>
      <c r="E41" t="str">
        <f>+E38</f>
        <v>Hectare</v>
      </c>
      <c r="F41">
        <v>3.29</v>
      </c>
      <c r="G41">
        <v>320000</v>
      </c>
      <c r="J41">
        <v>0</v>
      </c>
      <c r="L41">
        <v>24400</v>
      </c>
      <c r="N41">
        <v>22792</v>
      </c>
      <c r="S41">
        <v>113016</v>
      </c>
      <c r="U41">
        <v>36963</v>
      </c>
      <c r="X41">
        <f t="shared" si="0"/>
        <v>197171</v>
      </c>
      <c r="Y41">
        <f t="shared" si="1"/>
        <v>61.615937500000001</v>
      </c>
    </row>
    <row r="42" spans="1:25">
      <c r="A42" t="s">
        <v>395</v>
      </c>
      <c r="D42">
        <v>565</v>
      </c>
      <c r="E42" t="str">
        <f>+E38</f>
        <v>Hectare</v>
      </c>
      <c r="F42">
        <v>1.41</v>
      </c>
      <c r="G42">
        <v>122500</v>
      </c>
      <c r="J42">
        <v>0</v>
      </c>
      <c r="L42">
        <v>0</v>
      </c>
      <c r="N42">
        <v>64000</v>
      </c>
      <c r="S42">
        <v>86000</v>
      </c>
      <c r="U42">
        <v>0</v>
      </c>
      <c r="X42">
        <f t="shared" si="0"/>
        <v>150000</v>
      </c>
      <c r="Y42">
        <f t="shared" si="1"/>
        <v>122.44897959183673</v>
      </c>
    </row>
    <row r="43" spans="1:25">
      <c r="A43" t="s">
        <v>240</v>
      </c>
      <c r="D43">
        <v>1000</v>
      </c>
      <c r="E43" t="str">
        <f>+E41</f>
        <v>Hectare</v>
      </c>
      <c r="F43">
        <v>2.74</v>
      </c>
      <c r="G43">
        <v>274000</v>
      </c>
      <c r="J43">
        <v>36750</v>
      </c>
      <c r="L43">
        <v>57554</v>
      </c>
      <c r="N43">
        <v>109346</v>
      </c>
      <c r="S43">
        <v>9200</v>
      </c>
      <c r="U43">
        <v>0</v>
      </c>
      <c r="X43">
        <f t="shared" si="0"/>
        <v>212850</v>
      </c>
      <c r="Y43">
        <f t="shared" si="1"/>
        <v>77.682481751824824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132000</v>
      </c>
      <c r="J44">
        <v>18765</v>
      </c>
      <c r="L44">
        <v>18606</v>
      </c>
      <c r="N44">
        <v>22912</v>
      </c>
      <c r="S44">
        <v>22256</v>
      </c>
      <c r="U44">
        <v>12000</v>
      </c>
      <c r="X44">
        <f t="shared" si="0"/>
        <v>94539</v>
      </c>
      <c r="Y44">
        <f t="shared" si="1"/>
        <v>71.62045454545455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37.800000000000004</v>
      </c>
      <c r="G46">
        <f>SUM(G37:G45)</f>
        <v>3517500</v>
      </c>
      <c r="J46">
        <f>SUM(J37:J45)</f>
        <v>59395</v>
      </c>
      <c r="L46">
        <f>SUM(L37:L45)</f>
        <v>1143199</v>
      </c>
      <c r="N46">
        <f>SUM(N37:N45)</f>
        <v>729735</v>
      </c>
      <c r="S46">
        <f>SUM(S37:S45)</f>
        <v>734872</v>
      </c>
      <c r="U46">
        <f>SUM(U37:U45)</f>
        <v>261632</v>
      </c>
      <c r="X46">
        <f>SUM(X37:X45)</f>
        <v>2928833</v>
      </c>
      <c r="Y46">
        <f>SUM(Y37:Y45)</f>
        <v>719.97009328896331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O32"/>
  <sheetViews>
    <sheetView zoomScale="84" zoomScaleNormal="84" workbookViewId="0">
      <selection activeCell="A4" sqref="A4:C4"/>
    </sheetView>
  </sheetViews>
  <sheetFormatPr defaultRowHeight="12.75"/>
  <cols>
    <col min="1" max="1" width="12.7109375" style="342" customWidth="1"/>
    <col min="2" max="2" width="13.7109375" style="342" customWidth="1"/>
    <col min="3" max="4" width="9.85546875" style="342" customWidth="1"/>
    <col min="5" max="5" width="11.85546875" style="342" customWidth="1"/>
    <col min="6" max="6" width="10.85546875" style="342" customWidth="1"/>
    <col min="7" max="8" width="10.7109375" style="342" customWidth="1"/>
    <col min="9" max="9" width="12.85546875" style="342" customWidth="1"/>
    <col min="10" max="10" width="8.140625" style="342" customWidth="1"/>
    <col min="11" max="11" width="8.28515625" style="342" customWidth="1"/>
    <col min="12" max="12" width="10.42578125" style="342" customWidth="1"/>
    <col min="13" max="13" width="8.42578125" style="342" customWidth="1"/>
    <col min="14" max="15" width="10.5703125" style="342" bestFit="1" customWidth="1"/>
    <col min="16" max="256" width="9.140625" style="342"/>
    <col min="257" max="257" width="12.7109375" style="342" customWidth="1"/>
    <col min="258" max="258" width="13.7109375" style="342" customWidth="1"/>
    <col min="259" max="260" width="9.85546875" style="342" customWidth="1"/>
    <col min="261" max="261" width="11.85546875" style="342" customWidth="1"/>
    <col min="262" max="262" width="10.85546875" style="342" customWidth="1"/>
    <col min="263" max="264" width="10.7109375" style="342" customWidth="1"/>
    <col min="265" max="265" width="12.85546875" style="342" customWidth="1"/>
    <col min="266" max="266" width="8.140625" style="342" customWidth="1"/>
    <col min="267" max="267" width="8.28515625" style="342" customWidth="1"/>
    <col min="268" max="268" width="10.42578125" style="342" customWidth="1"/>
    <col min="269" max="269" width="8.42578125" style="342" customWidth="1"/>
    <col min="270" max="271" width="10.5703125" style="342" bestFit="1" customWidth="1"/>
    <col min="272" max="512" width="9.140625" style="342"/>
    <col min="513" max="513" width="12.7109375" style="342" customWidth="1"/>
    <col min="514" max="514" width="13.7109375" style="342" customWidth="1"/>
    <col min="515" max="516" width="9.85546875" style="342" customWidth="1"/>
    <col min="517" max="517" width="11.85546875" style="342" customWidth="1"/>
    <col min="518" max="518" width="10.85546875" style="342" customWidth="1"/>
    <col min="519" max="520" width="10.7109375" style="342" customWidth="1"/>
    <col min="521" max="521" width="12.85546875" style="342" customWidth="1"/>
    <col min="522" max="522" width="8.140625" style="342" customWidth="1"/>
    <col min="523" max="523" width="8.28515625" style="342" customWidth="1"/>
    <col min="524" max="524" width="10.42578125" style="342" customWidth="1"/>
    <col min="525" max="525" width="8.42578125" style="342" customWidth="1"/>
    <col min="526" max="527" width="10.5703125" style="342" bestFit="1" customWidth="1"/>
    <col min="528" max="768" width="9.140625" style="342"/>
    <col min="769" max="769" width="12.7109375" style="342" customWidth="1"/>
    <col min="770" max="770" width="13.7109375" style="342" customWidth="1"/>
    <col min="771" max="772" width="9.85546875" style="342" customWidth="1"/>
    <col min="773" max="773" width="11.85546875" style="342" customWidth="1"/>
    <col min="774" max="774" width="10.85546875" style="342" customWidth="1"/>
    <col min="775" max="776" width="10.7109375" style="342" customWidth="1"/>
    <col min="777" max="777" width="12.85546875" style="342" customWidth="1"/>
    <col min="778" max="778" width="8.140625" style="342" customWidth="1"/>
    <col min="779" max="779" width="8.28515625" style="342" customWidth="1"/>
    <col min="780" max="780" width="10.42578125" style="342" customWidth="1"/>
    <col min="781" max="781" width="8.42578125" style="342" customWidth="1"/>
    <col min="782" max="783" width="10.5703125" style="342" bestFit="1" customWidth="1"/>
    <col min="784" max="1024" width="9.140625" style="342"/>
    <col min="1025" max="1025" width="12.7109375" style="342" customWidth="1"/>
    <col min="1026" max="1026" width="13.7109375" style="342" customWidth="1"/>
    <col min="1027" max="1028" width="9.85546875" style="342" customWidth="1"/>
    <col min="1029" max="1029" width="11.85546875" style="342" customWidth="1"/>
    <col min="1030" max="1030" width="10.85546875" style="342" customWidth="1"/>
    <col min="1031" max="1032" width="10.7109375" style="342" customWidth="1"/>
    <col min="1033" max="1033" width="12.85546875" style="342" customWidth="1"/>
    <col min="1034" max="1034" width="8.140625" style="342" customWidth="1"/>
    <col min="1035" max="1035" width="8.28515625" style="342" customWidth="1"/>
    <col min="1036" max="1036" width="10.42578125" style="342" customWidth="1"/>
    <col min="1037" max="1037" width="8.42578125" style="342" customWidth="1"/>
    <col min="1038" max="1039" width="10.5703125" style="342" bestFit="1" customWidth="1"/>
    <col min="1040" max="1280" width="9.140625" style="342"/>
    <col min="1281" max="1281" width="12.7109375" style="342" customWidth="1"/>
    <col min="1282" max="1282" width="13.7109375" style="342" customWidth="1"/>
    <col min="1283" max="1284" width="9.85546875" style="342" customWidth="1"/>
    <col min="1285" max="1285" width="11.85546875" style="342" customWidth="1"/>
    <col min="1286" max="1286" width="10.85546875" style="342" customWidth="1"/>
    <col min="1287" max="1288" width="10.7109375" style="342" customWidth="1"/>
    <col min="1289" max="1289" width="12.85546875" style="342" customWidth="1"/>
    <col min="1290" max="1290" width="8.140625" style="342" customWidth="1"/>
    <col min="1291" max="1291" width="8.28515625" style="342" customWidth="1"/>
    <col min="1292" max="1292" width="10.42578125" style="342" customWidth="1"/>
    <col min="1293" max="1293" width="8.42578125" style="342" customWidth="1"/>
    <col min="1294" max="1295" width="10.5703125" style="342" bestFit="1" customWidth="1"/>
    <col min="1296" max="1536" width="9.140625" style="342"/>
    <col min="1537" max="1537" width="12.7109375" style="342" customWidth="1"/>
    <col min="1538" max="1538" width="13.7109375" style="342" customWidth="1"/>
    <col min="1539" max="1540" width="9.85546875" style="342" customWidth="1"/>
    <col min="1541" max="1541" width="11.85546875" style="342" customWidth="1"/>
    <col min="1542" max="1542" width="10.85546875" style="342" customWidth="1"/>
    <col min="1543" max="1544" width="10.7109375" style="342" customWidth="1"/>
    <col min="1545" max="1545" width="12.85546875" style="342" customWidth="1"/>
    <col min="1546" max="1546" width="8.140625" style="342" customWidth="1"/>
    <col min="1547" max="1547" width="8.28515625" style="342" customWidth="1"/>
    <col min="1548" max="1548" width="10.42578125" style="342" customWidth="1"/>
    <col min="1549" max="1549" width="8.42578125" style="342" customWidth="1"/>
    <col min="1550" max="1551" width="10.5703125" style="342" bestFit="1" customWidth="1"/>
    <col min="1552" max="1792" width="9.140625" style="342"/>
    <col min="1793" max="1793" width="12.7109375" style="342" customWidth="1"/>
    <col min="1794" max="1794" width="13.7109375" style="342" customWidth="1"/>
    <col min="1795" max="1796" width="9.85546875" style="342" customWidth="1"/>
    <col min="1797" max="1797" width="11.85546875" style="342" customWidth="1"/>
    <col min="1798" max="1798" width="10.85546875" style="342" customWidth="1"/>
    <col min="1799" max="1800" width="10.7109375" style="342" customWidth="1"/>
    <col min="1801" max="1801" width="12.85546875" style="342" customWidth="1"/>
    <col min="1802" max="1802" width="8.140625" style="342" customWidth="1"/>
    <col min="1803" max="1803" width="8.28515625" style="342" customWidth="1"/>
    <col min="1804" max="1804" width="10.42578125" style="342" customWidth="1"/>
    <col min="1805" max="1805" width="8.42578125" style="342" customWidth="1"/>
    <col min="1806" max="1807" width="10.5703125" style="342" bestFit="1" customWidth="1"/>
    <col min="1808" max="2048" width="9.140625" style="342"/>
    <col min="2049" max="2049" width="12.7109375" style="342" customWidth="1"/>
    <col min="2050" max="2050" width="13.7109375" style="342" customWidth="1"/>
    <col min="2051" max="2052" width="9.85546875" style="342" customWidth="1"/>
    <col min="2053" max="2053" width="11.85546875" style="342" customWidth="1"/>
    <col min="2054" max="2054" width="10.85546875" style="342" customWidth="1"/>
    <col min="2055" max="2056" width="10.7109375" style="342" customWidth="1"/>
    <col min="2057" max="2057" width="12.85546875" style="342" customWidth="1"/>
    <col min="2058" max="2058" width="8.140625" style="342" customWidth="1"/>
    <col min="2059" max="2059" width="8.28515625" style="342" customWidth="1"/>
    <col min="2060" max="2060" width="10.42578125" style="342" customWidth="1"/>
    <col min="2061" max="2061" width="8.42578125" style="342" customWidth="1"/>
    <col min="2062" max="2063" width="10.5703125" style="342" bestFit="1" customWidth="1"/>
    <col min="2064" max="2304" width="9.140625" style="342"/>
    <col min="2305" max="2305" width="12.7109375" style="342" customWidth="1"/>
    <col min="2306" max="2306" width="13.7109375" style="342" customWidth="1"/>
    <col min="2307" max="2308" width="9.85546875" style="342" customWidth="1"/>
    <col min="2309" max="2309" width="11.85546875" style="342" customWidth="1"/>
    <col min="2310" max="2310" width="10.85546875" style="342" customWidth="1"/>
    <col min="2311" max="2312" width="10.7109375" style="342" customWidth="1"/>
    <col min="2313" max="2313" width="12.85546875" style="342" customWidth="1"/>
    <col min="2314" max="2314" width="8.140625" style="342" customWidth="1"/>
    <col min="2315" max="2315" width="8.28515625" style="342" customWidth="1"/>
    <col min="2316" max="2316" width="10.42578125" style="342" customWidth="1"/>
    <col min="2317" max="2317" width="8.42578125" style="342" customWidth="1"/>
    <col min="2318" max="2319" width="10.5703125" style="342" bestFit="1" customWidth="1"/>
    <col min="2320" max="2560" width="9.140625" style="342"/>
    <col min="2561" max="2561" width="12.7109375" style="342" customWidth="1"/>
    <col min="2562" max="2562" width="13.7109375" style="342" customWidth="1"/>
    <col min="2563" max="2564" width="9.85546875" style="342" customWidth="1"/>
    <col min="2565" max="2565" width="11.85546875" style="342" customWidth="1"/>
    <col min="2566" max="2566" width="10.85546875" style="342" customWidth="1"/>
    <col min="2567" max="2568" width="10.7109375" style="342" customWidth="1"/>
    <col min="2569" max="2569" width="12.85546875" style="342" customWidth="1"/>
    <col min="2570" max="2570" width="8.140625" style="342" customWidth="1"/>
    <col min="2571" max="2571" width="8.28515625" style="342" customWidth="1"/>
    <col min="2572" max="2572" width="10.42578125" style="342" customWidth="1"/>
    <col min="2573" max="2573" width="8.42578125" style="342" customWidth="1"/>
    <col min="2574" max="2575" width="10.5703125" style="342" bestFit="1" customWidth="1"/>
    <col min="2576" max="2816" width="9.140625" style="342"/>
    <col min="2817" max="2817" width="12.7109375" style="342" customWidth="1"/>
    <col min="2818" max="2818" width="13.7109375" style="342" customWidth="1"/>
    <col min="2819" max="2820" width="9.85546875" style="342" customWidth="1"/>
    <col min="2821" max="2821" width="11.85546875" style="342" customWidth="1"/>
    <col min="2822" max="2822" width="10.85546875" style="342" customWidth="1"/>
    <col min="2823" max="2824" width="10.7109375" style="342" customWidth="1"/>
    <col min="2825" max="2825" width="12.85546875" style="342" customWidth="1"/>
    <col min="2826" max="2826" width="8.140625" style="342" customWidth="1"/>
    <col min="2827" max="2827" width="8.28515625" style="342" customWidth="1"/>
    <col min="2828" max="2828" width="10.42578125" style="342" customWidth="1"/>
    <col min="2829" max="2829" width="8.42578125" style="342" customWidth="1"/>
    <col min="2830" max="2831" width="10.5703125" style="342" bestFit="1" customWidth="1"/>
    <col min="2832" max="3072" width="9.140625" style="342"/>
    <col min="3073" max="3073" width="12.7109375" style="342" customWidth="1"/>
    <col min="3074" max="3074" width="13.7109375" style="342" customWidth="1"/>
    <col min="3075" max="3076" width="9.85546875" style="342" customWidth="1"/>
    <col min="3077" max="3077" width="11.85546875" style="342" customWidth="1"/>
    <col min="3078" max="3078" width="10.85546875" style="342" customWidth="1"/>
    <col min="3079" max="3080" width="10.7109375" style="342" customWidth="1"/>
    <col min="3081" max="3081" width="12.85546875" style="342" customWidth="1"/>
    <col min="3082" max="3082" width="8.140625" style="342" customWidth="1"/>
    <col min="3083" max="3083" width="8.28515625" style="342" customWidth="1"/>
    <col min="3084" max="3084" width="10.42578125" style="342" customWidth="1"/>
    <col min="3085" max="3085" width="8.42578125" style="342" customWidth="1"/>
    <col min="3086" max="3087" width="10.5703125" style="342" bestFit="1" customWidth="1"/>
    <col min="3088" max="3328" width="9.140625" style="342"/>
    <col min="3329" max="3329" width="12.7109375" style="342" customWidth="1"/>
    <col min="3330" max="3330" width="13.7109375" style="342" customWidth="1"/>
    <col min="3331" max="3332" width="9.85546875" style="342" customWidth="1"/>
    <col min="3333" max="3333" width="11.85546875" style="342" customWidth="1"/>
    <col min="3334" max="3334" width="10.85546875" style="342" customWidth="1"/>
    <col min="3335" max="3336" width="10.7109375" style="342" customWidth="1"/>
    <col min="3337" max="3337" width="12.85546875" style="342" customWidth="1"/>
    <col min="3338" max="3338" width="8.140625" style="342" customWidth="1"/>
    <col min="3339" max="3339" width="8.28515625" style="342" customWidth="1"/>
    <col min="3340" max="3340" width="10.42578125" style="342" customWidth="1"/>
    <col min="3341" max="3341" width="8.42578125" style="342" customWidth="1"/>
    <col min="3342" max="3343" width="10.5703125" style="342" bestFit="1" customWidth="1"/>
    <col min="3344" max="3584" width="9.140625" style="342"/>
    <col min="3585" max="3585" width="12.7109375" style="342" customWidth="1"/>
    <col min="3586" max="3586" width="13.7109375" style="342" customWidth="1"/>
    <col min="3587" max="3588" width="9.85546875" style="342" customWidth="1"/>
    <col min="3589" max="3589" width="11.85546875" style="342" customWidth="1"/>
    <col min="3590" max="3590" width="10.85546875" style="342" customWidth="1"/>
    <col min="3591" max="3592" width="10.7109375" style="342" customWidth="1"/>
    <col min="3593" max="3593" width="12.85546875" style="342" customWidth="1"/>
    <col min="3594" max="3594" width="8.140625" style="342" customWidth="1"/>
    <col min="3595" max="3595" width="8.28515625" style="342" customWidth="1"/>
    <col min="3596" max="3596" width="10.42578125" style="342" customWidth="1"/>
    <col min="3597" max="3597" width="8.42578125" style="342" customWidth="1"/>
    <col min="3598" max="3599" width="10.5703125" style="342" bestFit="1" customWidth="1"/>
    <col min="3600" max="3840" width="9.140625" style="342"/>
    <col min="3841" max="3841" width="12.7109375" style="342" customWidth="1"/>
    <col min="3842" max="3842" width="13.7109375" style="342" customWidth="1"/>
    <col min="3843" max="3844" width="9.85546875" style="342" customWidth="1"/>
    <col min="3845" max="3845" width="11.85546875" style="342" customWidth="1"/>
    <col min="3846" max="3846" width="10.85546875" style="342" customWidth="1"/>
    <col min="3847" max="3848" width="10.7109375" style="342" customWidth="1"/>
    <col min="3849" max="3849" width="12.85546875" style="342" customWidth="1"/>
    <col min="3850" max="3850" width="8.140625" style="342" customWidth="1"/>
    <col min="3851" max="3851" width="8.28515625" style="342" customWidth="1"/>
    <col min="3852" max="3852" width="10.42578125" style="342" customWidth="1"/>
    <col min="3853" max="3853" width="8.42578125" style="342" customWidth="1"/>
    <col min="3854" max="3855" width="10.5703125" style="342" bestFit="1" customWidth="1"/>
    <col min="3856" max="4096" width="9.140625" style="342"/>
    <col min="4097" max="4097" width="12.7109375" style="342" customWidth="1"/>
    <col min="4098" max="4098" width="13.7109375" style="342" customWidth="1"/>
    <col min="4099" max="4100" width="9.85546875" style="342" customWidth="1"/>
    <col min="4101" max="4101" width="11.85546875" style="342" customWidth="1"/>
    <col min="4102" max="4102" width="10.85546875" style="342" customWidth="1"/>
    <col min="4103" max="4104" width="10.7109375" style="342" customWidth="1"/>
    <col min="4105" max="4105" width="12.85546875" style="342" customWidth="1"/>
    <col min="4106" max="4106" width="8.140625" style="342" customWidth="1"/>
    <col min="4107" max="4107" width="8.28515625" style="342" customWidth="1"/>
    <col min="4108" max="4108" width="10.42578125" style="342" customWidth="1"/>
    <col min="4109" max="4109" width="8.42578125" style="342" customWidth="1"/>
    <col min="4110" max="4111" width="10.5703125" style="342" bestFit="1" customWidth="1"/>
    <col min="4112" max="4352" width="9.140625" style="342"/>
    <col min="4353" max="4353" width="12.7109375" style="342" customWidth="1"/>
    <col min="4354" max="4354" width="13.7109375" style="342" customWidth="1"/>
    <col min="4355" max="4356" width="9.85546875" style="342" customWidth="1"/>
    <col min="4357" max="4357" width="11.85546875" style="342" customWidth="1"/>
    <col min="4358" max="4358" width="10.85546875" style="342" customWidth="1"/>
    <col min="4359" max="4360" width="10.7109375" style="342" customWidth="1"/>
    <col min="4361" max="4361" width="12.85546875" style="342" customWidth="1"/>
    <col min="4362" max="4362" width="8.140625" style="342" customWidth="1"/>
    <col min="4363" max="4363" width="8.28515625" style="342" customWidth="1"/>
    <col min="4364" max="4364" width="10.42578125" style="342" customWidth="1"/>
    <col min="4365" max="4365" width="8.42578125" style="342" customWidth="1"/>
    <col min="4366" max="4367" width="10.5703125" style="342" bestFit="1" customWidth="1"/>
    <col min="4368" max="4608" width="9.140625" style="342"/>
    <col min="4609" max="4609" width="12.7109375" style="342" customWidth="1"/>
    <col min="4610" max="4610" width="13.7109375" style="342" customWidth="1"/>
    <col min="4611" max="4612" width="9.85546875" style="342" customWidth="1"/>
    <col min="4613" max="4613" width="11.85546875" style="342" customWidth="1"/>
    <col min="4614" max="4614" width="10.85546875" style="342" customWidth="1"/>
    <col min="4615" max="4616" width="10.7109375" style="342" customWidth="1"/>
    <col min="4617" max="4617" width="12.85546875" style="342" customWidth="1"/>
    <col min="4618" max="4618" width="8.140625" style="342" customWidth="1"/>
    <col min="4619" max="4619" width="8.28515625" style="342" customWidth="1"/>
    <col min="4620" max="4620" width="10.42578125" style="342" customWidth="1"/>
    <col min="4621" max="4621" width="8.42578125" style="342" customWidth="1"/>
    <col min="4622" max="4623" width="10.5703125" style="342" bestFit="1" customWidth="1"/>
    <col min="4624" max="4864" width="9.140625" style="342"/>
    <col min="4865" max="4865" width="12.7109375" style="342" customWidth="1"/>
    <col min="4866" max="4866" width="13.7109375" style="342" customWidth="1"/>
    <col min="4867" max="4868" width="9.85546875" style="342" customWidth="1"/>
    <col min="4869" max="4869" width="11.85546875" style="342" customWidth="1"/>
    <col min="4870" max="4870" width="10.85546875" style="342" customWidth="1"/>
    <col min="4871" max="4872" width="10.7109375" style="342" customWidth="1"/>
    <col min="4873" max="4873" width="12.85546875" style="342" customWidth="1"/>
    <col min="4874" max="4874" width="8.140625" style="342" customWidth="1"/>
    <col min="4875" max="4875" width="8.28515625" style="342" customWidth="1"/>
    <col min="4876" max="4876" width="10.42578125" style="342" customWidth="1"/>
    <col min="4877" max="4877" width="8.42578125" style="342" customWidth="1"/>
    <col min="4878" max="4879" width="10.5703125" style="342" bestFit="1" customWidth="1"/>
    <col min="4880" max="5120" width="9.140625" style="342"/>
    <col min="5121" max="5121" width="12.7109375" style="342" customWidth="1"/>
    <col min="5122" max="5122" width="13.7109375" style="342" customWidth="1"/>
    <col min="5123" max="5124" width="9.85546875" style="342" customWidth="1"/>
    <col min="5125" max="5125" width="11.85546875" style="342" customWidth="1"/>
    <col min="5126" max="5126" width="10.85546875" style="342" customWidth="1"/>
    <col min="5127" max="5128" width="10.7109375" style="342" customWidth="1"/>
    <col min="5129" max="5129" width="12.85546875" style="342" customWidth="1"/>
    <col min="5130" max="5130" width="8.140625" style="342" customWidth="1"/>
    <col min="5131" max="5131" width="8.28515625" style="342" customWidth="1"/>
    <col min="5132" max="5132" width="10.42578125" style="342" customWidth="1"/>
    <col min="5133" max="5133" width="8.42578125" style="342" customWidth="1"/>
    <col min="5134" max="5135" width="10.5703125" style="342" bestFit="1" customWidth="1"/>
    <col min="5136" max="5376" width="9.140625" style="342"/>
    <col min="5377" max="5377" width="12.7109375" style="342" customWidth="1"/>
    <col min="5378" max="5378" width="13.7109375" style="342" customWidth="1"/>
    <col min="5379" max="5380" width="9.85546875" style="342" customWidth="1"/>
    <col min="5381" max="5381" width="11.85546875" style="342" customWidth="1"/>
    <col min="5382" max="5382" width="10.85546875" style="342" customWidth="1"/>
    <col min="5383" max="5384" width="10.7109375" style="342" customWidth="1"/>
    <col min="5385" max="5385" width="12.85546875" style="342" customWidth="1"/>
    <col min="5386" max="5386" width="8.140625" style="342" customWidth="1"/>
    <col min="5387" max="5387" width="8.28515625" style="342" customWidth="1"/>
    <col min="5388" max="5388" width="10.42578125" style="342" customWidth="1"/>
    <col min="5389" max="5389" width="8.42578125" style="342" customWidth="1"/>
    <col min="5390" max="5391" width="10.5703125" style="342" bestFit="1" customWidth="1"/>
    <col min="5392" max="5632" width="9.140625" style="342"/>
    <col min="5633" max="5633" width="12.7109375" style="342" customWidth="1"/>
    <col min="5634" max="5634" width="13.7109375" style="342" customWidth="1"/>
    <col min="5635" max="5636" width="9.85546875" style="342" customWidth="1"/>
    <col min="5637" max="5637" width="11.85546875" style="342" customWidth="1"/>
    <col min="5638" max="5638" width="10.85546875" style="342" customWidth="1"/>
    <col min="5639" max="5640" width="10.7109375" style="342" customWidth="1"/>
    <col min="5641" max="5641" width="12.85546875" style="342" customWidth="1"/>
    <col min="5642" max="5642" width="8.140625" style="342" customWidth="1"/>
    <col min="5643" max="5643" width="8.28515625" style="342" customWidth="1"/>
    <col min="5644" max="5644" width="10.42578125" style="342" customWidth="1"/>
    <col min="5645" max="5645" width="8.42578125" style="342" customWidth="1"/>
    <col min="5646" max="5647" width="10.5703125" style="342" bestFit="1" customWidth="1"/>
    <col min="5648" max="5888" width="9.140625" style="342"/>
    <col min="5889" max="5889" width="12.7109375" style="342" customWidth="1"/>
    <col min="5890" max="5890" width="13.7109375" style="342" customWidth="1"/>
    <col min="5891" max="5892" width="9.85546875" style="342" customWidth="1"/>
    <col min="5893" max="5893" width="11.85546875" style="342" customWidth="1"/>
    <col min="5894" max="5894" width="10.85546875" style="342" customWidth="1"/>
    <col min="5895" max="5896" width="10.7109375" style="342" customWidth="1"/>
    <col min="5897" max="5897" width="12.85546875" style="342" customWidth="1"/>
    <col min="5898" max="5898" width="8.140625" style="342" customWidth="1"/>
    <col min="5899" max="5899" width="8.28515625" style="342" customWidth="1"/>
    <col min="5900" max="5900" width="10.42578125" style="342" customWidth="1"/>
    <col min="5901" max="5901" width="8.42578125" style="342" customWidth="1"/>
    <col min="5902" max="5903" width="10.5703125" style="342" bestFit="1" customWidth="1"/>
    <col min="5904" max="6144" width="9.140625" style="342"/>
    <col min="6145" max="6145" width="12.7109375" style="342" customWidth="1"/>
    <col min="6146" max="6146" width="13.7109375" style="342" customWidth="1"/>
    <col min="6147" max="6148" width="9.85546875" style="342" customWidth="1"/>
    <col min="6149" max="6149" width="11.85546875" style="342" customWidth="1"/>
    <col min="6150" max="6150" width="10.85546875" style="342" customWidth="1"/>
    <col min="6151" max="6152" width="10.7109375" style="342" customWidth="1"/>
    <col min="6153" max="6153" width="12.85546875" style="342" customWidth="1"/>
    <col min="6154" max="6154" width="8.140625" style="342" customWidth="1"/>
    <col min="6155" max="6155" width="8.28515625" style="342" customWidth="1"/>
    <col min="6156" max="6156" width="10.42578125" style="342" customWidth="1"/>
    <col min="6157" max="6157" width="8.42578125" style="342" customWidth="1"/>
    <col min="6158" max="6159" width="10.5703125" style="342" bestFit="1" customWidth="1"/>
    <col min="6160" max="6400" width="9.140625" style="342"/>
    <col min="6401" max="6401" width="12.7109375" style="342" customWidth="1"/>
    <col min="6402" max="6402" width="13.7109375" style="342" customWidth="1"/>
    <col min="6403" max="6404" width="9.85546875" style="342" customWidth="1"/>
    <col min="6405" max="6405" width="11.85546875" style="342" customWidth="1"/>
    <col min="6406" max="6406" width="10.85546875" style="342" customWidth="1"/>
    <col min="6407" max="6408" width="10.7109375" style="342" customWidth="1"/>
    <col min="6409" max="6409" width="12.85546875" style="342" customWidth="1"/>
    <col min="6410" max="6410" width="8.140625" style="342" customWidth="1"/>
    <col min="6411" max="6411" width="8.28515625" style="342" customWidth="1"/>
    <col min="6412" max="6412" width="10.42578125" style="342" customWidth="1"/>
    <col min="6413" max="6413" width="8.42578125" style="342" customWidth="1"/>
    <col min="6414" max="6415" width="10.5703125" style="342" bestFit="1" customWidth="1"/>
    <col min="6416" max="6656" width="9.140625" style="342"/>
    <col min="6657" max="6657" width="12.7109375" style="342" customWidth="1"/>
    <col min="6658" max="6658" width="13.7109375" style="342" customWidth="1"/>
    <col min="6659" max="6660" width="9.85546875" style="342" customWidth="1"/>
    <col min="6661" max="6661" width="11.85546875" style="342" customWidth="1"/>
    <col min="6662" max="6662" width="10.85546875" style="342" customWidth="1"/>
    <col min="6663" max="6664" width="10.7109375" style="342" customWidth="1"/>
    <col min="6665" max="6665" width="12.85546875" style="342" customWidth="1"/>
    <col min="6666" max="6666" width="8.140625" style="342" customWidth="1"/>
    <col min="6667" max="6667" width="8.28515625" style="342" customWidth="1"/>
    <col min="6668" max="6668" width="10.42578125" style="342" customWidth="1"/>
    <col min="6669" max="6669" width="8.42578125" style="342" customWidth="1"/>
    <col min="6670" max="6671" width="10.5703125" style="342" bestFit="1" customWidth="1"/>
    <col min="6672" max="6912" width="9.140625" style="342"/>
    <col min="6913" max="6913" width="12.7109375" style="342" customWidth="1"/>
    <col min="6914" max="6914" width="13.7109375" style="342" customWidth="1"/>
    <col min="6915" max="6916" width="9.85546875" style="342" customWidth="1"/>
    <col min="6917" max="6917" width="11.85546875" style="342" customWidth="1"/>
    <col min="6918" max="6918" width="10.85546875" style="342" customWidth="1"/>
    <col min="6919" max="6920" width="10.7109375" style="342" customWidth="1"/>
    <col min="6921" max="6921" width="12.85546875" style="342" customWidth="1"/>
    <col min="6922" max="6922" width="8.140625" style="342" customWidth="1"/>
    <col min="6923" max="6923" width="8.28515625" style="342" customWidth="1"/>
    <col min="6924" max="6924" width="10.42578125" style="342" customWidth="1"/>
    <col min="6925" max="6925" width="8.42578125" style="342" customWidth="1"/>
    <col min="6926" max="6927" width="10.5703125" style="342" bestFit="1" customWidth="1"/>
    <col min="6928" max="7168" width="9.140625" style="342"/>
    <col min="7169" max="7169" width="12.7109375" style="342" customWidth="1"/>
    <col min="7170" max="7170" width="13.7109375" style="342" customWidth="1"/>
    <col min="7171" max="7172" width="9.85546875" style="342" customWidth="1"/>
    <col min="7173" max="7173" width="11.85546875" style="342" customWidth="1"/>
    <col min="7174" max="7174" width="10.85546875" style="342" customWidth="1"/>
    <col min="7175" max="7176" width="10.7109375" style="342" customWidth="1"/>
    <col min="7177" max="7177" width="12.85546875" style="342" customWidth="1"/>
    <col min="7178" max="7178" width="8.140625" style="342" customWidth="1"/>
    <col min="7179" max="7179" width="8.28515625" style="342" customWidth="1"/>
    <col min="7180" max="7180" width="10.42578125" style="342" customWidth="1"/>
    <col min="7181" max="7181" width="8.42578125" style="342" customWidth="1"/>
    <col min="7182" max="7183" width="10.5703125" style="342" bestFit="1" customWidth="1"/>
    <col min="7184" max="7424" width="9.140625" style="342"/>
    <col min="7425" max="7425" width="12.7109375" style="342" customWidth="1"/>
    <col min="7426" max="7426" width="13.7109375" style="342" customWidth="1"/>
    <col min="7427" max="7428" width="9.85546875" style="342" customWidth="1"/>
    <col min="7429" max="7429" width="11.85546875" style="342" customWidth="1"/>
    <col min="7430" max="7430" width="10.85546875" style="342" customWidth="1"/>
    <col min="7431" max="7432" width="10.7109375" style="342" customWidth="1"/>
    <col min="7433" max="7433" width="12.85546875" style="342" customWidth="1"/>
    <col min="7434" max="7434" width="8.140625" style="342" customWidth="1"/>
    <col min="7435" max="7435" width="8.28515625" style="342" customWidth="1"/>
    <col min="7436" max="7436" width="10.42578125" style="342" customWidth="1"/>
    <col min="7437" max="7437" width="8.42578125" style="342" customWidth="1"/>
    <col min="7438" max="7439" width="10.5703125" style="342" bestFit="1" customWidth="1"/>
    <col min="7440" max="7680" width="9.140625" style="342"/>
    <col min="7681" max="7681" width="12.7109375" style="342" customWidth="1"/>
    <col min="7682" max="7682" width="13.7109375" style="342" customWidth="1"/>
    <col min="7683" max="7684" width="9.85546875" style="342" customWidth="1"/>
    <col min="7685" max="7685" width="11.85546875" style="342" customWidth="1"/>
    <col min="7686" max="7686" width="10.85546875" style="342" customWidth="1"/>
    <col min="7687" max="7688" width="10.7109375" style="342" customWidth="1"/>
    <col min="7689" max="7689" width="12.85546875" style="342" customWidth="1"/>
    <col min="7690" max="7690" width="8.140625" style="342" customWidth="1"/>
    <col min="7691" max="7691" width="8.28515625" style="342" customWidth="1"/>
    <col min="7692" max="7692" width="10.42578125" style="342" customWidth="1"/>
    <col min="7693" max="7693" width="8.42578125" style="342" customWidth="1"/>
    <col min="7694" max="7695" width="10.5703125" style="342" bestFit="1" customWidth="1"/>
    <col min="7696" max="7936" width="9.140625" style="342"/>
    <col min="7937" max="7937" width="12.7109375" style="342" customWidth="1"/>
    <col min="7938" max="7938" width="13.7109375" style="342" customWidth="1"/>
    <col min="7939" max="7940" width="9.85546875" style="342" customWidth="1"/>
    <col min="7941" max="7941" width="11.85546875" style="342" customWidth="1"/>
    <col min="7942" max="7942" width="10.85546875" style="342" customWidth="1"/>
    <col min="7943" max="7944" width="10.7109375" style="342" customWidth="1"/>
    <col min="7945" max="7945" width="12.85546875" style="342" customWidth="1"/>
    <col min="7946" max="7946" width="8.140625" style="342" customWidth="1"/>
    <col min="7947" max="7947" width="8.28515625" style="342" customWidth="1"/>
    <col min="7948" max="7948" width="10.42578125" style="342" customWidth="1"/>
    <col min="7949" max="7949" width="8.42578125" style="342" customWidth="1"/>
    <col min="7950" max="7951" width="10.5703125" style="342" bestFit="1" customWidth="1"/>
    <col min="7952" max="8192" width="9.140625" style="342"/>
    <col min="8193" max="8193" width="12.7109375" style="342" customWidth="1"/>
    <col min="8194" max="8194" width="13.7109375" style="342" customWidth="1"/>
    <col min="8195" max="8196" width="9.85546875" style="342" customWidth="1"/>
    <col min="8197" max="8197" width="11.85546875" style="342" customWidth="1"/>
    <col min="8198" max="8198" width="10.85546875" style="342" customWidth="1"/>
    <col min="8199" max="8200" width="10.7109375" style="342" customWidth="1"/>
    <col min="8201" max="8201" width="12.85546875" style="342" customWidth="1"/>
    <col min="8202" max="8202" width="8.140625" style="342" customWidth="1"/>
    <col min="8203" max="8203" width="8.28515625" style="342" customWidth="1"/>
    <col min="8204" max="8204" width="10.42578125" style="342" customWidth="1"/>
    <col min="8205" max="8205" width="8.42578125" style="342" customWidth="1"/>
    <col min="8206" max="8207" width="10.5703125" style="342" bestFit="1" customWidth="1"/>
    <col min="8208" max="8448" width="9.140625" style="342"/>
    <col min="8449" max="8449" width="12.7109375" style="342" customWidth="1"/>
    <col min="8450" max="8450" width="13.7109375" style="342" customWidth="1"/>
    <col min="8451" max="8452" width="9.85546875" style="342" customWidth="1"/>
    <col min="8453" max="8453" width="11.85546875" style="342" customWidth="1"/>
    <col min="8454" max="8454" width="10.85546875" style="342" customWidth="1"/>
    <col min="8455" max="8456" width="10.7109375" style="342" customWidth="1"/>
    <col min="8457" max="8457" width="12.85546875" style="342" customWidth="1"/>
    <col min="8458" max="8458" width="8.140625" style="342" customWidth="1"/>
    <col min="8459" max="8459" width="8.28515625" style="342" customWidth="1"/>
    <col min="8460" max="8460" width="10.42578125" style="342" customWidth="1"/>
    <col min="8461" max="8461" width="8.42578125" style="342" customWidth="1"/>
    <col min="8462" max="8463" width="10.5703125" style="342" bestFit="1" customWidth="1"/>
    <col min="8464" max="8704" width="9.140625" style="342"/>
    <col min="8705" max="8705" width="12.7109375" style="342" customWidth="1"/>
    <col min="8706" max="8706" width="13.7109375" style="342" customWidth="1"/>
    <col min="8707" max="8708" width="9.85546875" style="342" customWidth="1"/>
    <col min="8709" max="8709" width="11.85546875" style="342" customWidth="1"/>
    <col min="8710" max="8710" width="10.85546875" style="342" customWidth="1"/>
    <col min="8711" max="8712" width="10.7109375" style="342" customWidth="1"/>
    <col min="8713" max="8713" width="12.85546875" style="342" customWidth="1"/>
    <col min="8714" max="8714" width="8.140625" style="342" customWidth="1"/>
    <col min="8715" max="8715" width="8.28515625" style="342" customWidth="1"/>
    <col min="8716" max="8716" width="10.42578125" style="342" customWidth="1"/>
    <col min="8717" max="8717" width="8.42578125" style="342" customWidth="1"/>
    <col min="8718" max="8719" width="10.5703125" style="342" bestFit="1" customWidth="1"/>
    <col min="8720" max="8960" width="9.140625" style="342"/>
    <col min="8961" max="8961" width="12.7109375" style="342" customWidth="1"/>
    <col min="8962" max="8962" width="13.7109375" style="342" customWidth="1"/>
    <col min="8963" max="8964" width="9.85546875" style="342" customWidth="1"/>
    <col min="8965" max="8965" width="11.85546875" style="342" customWidth="1"/>
    <col min="8966" max="8966" width="10.85546875" style="342" customWidth="1"/>
    <col min="8967" max="8968" width="10.7109375" style="342" customWidth="1"/>
    <col min="8969" max="8969" width="12.85546875" style="342" customWidth="1"/>
    <col min="8970" max="8970" width="8.140625" style="342" customWidth="1"/>
    <col min="8971" max="8971" width="8.28515625" style="342" customWidth="1"/>
    <col min="8972" max="8972" width="10.42578125" style="342" customWidth="1"/>
    <col min="8973" max="8973" width="8.42578125" style="342" customWidth="1"/>
    <col min="8974" max="8975" width="10.5703125" style="342" bestFit="1" customWidth="1"/>
    <col min="8976" max="9216" width="9.140625" style="342"/>
    <col min="9217" max="9217" width="12.7109375" style="342" customWidth="1"/>
    <col min="9218" max="9218" width="13.7109375" style="342" customWidth="1"/>
    <col min="9219" max="9220" width="9.85546875" style="342" customWidth="1"/>
    <col min="9221" max="9221" width="11.85546875" style="342" customWidth="1"/>
    <col min="9222" max="9222" width="10.85546875" style="342" customWidth="1"/>
    <col min="9223" max="9224" width="10.7109375" style="342" customWidth="1"/>
    <col min="9225" max="9225" width="12.85546875" style="342" customWidth="1"/>
    <col min="9226" max="9226" width="8.140625" style="342" customWidth="1"/>
    <col min="9227" max="9227" width="8.28515625" style="342" customWidth="1"/>
    <col min="9228" max="9228" width="10.42578125" style="342" customWidth="1"/>
    <col min="9229" max="9229" width="8.42578125" style="342" customWidth="1"/>
    <col min="9230" max="9231" width="10.5703125" style="342" bestFit="1" customWidth="1"/>
    <col min="9232" max="9472" width="9.140625" style="342"/>
    <col min="9473" max="9473" width="12.7109375" style="342" customWidth="1"/>
    <col min="9474" max="9474" width="13.7109375" style="342" customWidth="1"/>
    <col min="9475" max="9476" width="9.85546875" style="342" customWidth="1"/>
    <col min="9477" max="9477" width="11.85546875" style="342" customWidth="1"/>
    <col min="9478" max="9478" width="10.85546875" style="342" customWidth="1"/>
    <col min="9479" max="9480" width="10.7109375" style="342" customWidth="1"/>
    <col min="9481" max="9481" width="12.85546875" style="342" customWidth="1"/>
    <col min="9482" max="9482" width="8.140625" style="342" customWidth="1"/>
    <col min="9483" max="9483" width="8.28515625" style="342" customWidth="1"/>
    <col min="9484" max="9484" width="10.42578125" style="342" customWidth="1"/>
    <col min="9485" max="9485" width="8.42578125" style="342" customWidth="1"/>
    <col min="9486" max="9487" width="10.5703125" style="342" bestFit="1" customWidth="1"/>
    <col min="9488" max="9728" width="9.140625" style="342"/>
    <col min="9729" max="9729" width="12.7109375" style="342" customWidth="1"/>
    <col min="9730" max="9730" width="13.7109375" style="342" customWidth="1"/>
    <col min="9731" max="9732" width="9.85546875" style="342" customWidth="1"/>
    <col min="9733" max="9733" width="11.85546875" style="342" customWidth="1"/>
    <col min="9734" max="9734" width="10.85546875" style="342" customWidth="1"/>
    <col min="9735" max="9736" width="10.7109375" style="342" customWidth="1"/>
    <col min="9737" max="9737" width="12.85546875" style="342" customWidth="1"/>
    <col min="9738" max="9738" width="8.140625" style="342" customWidth="1"/>
    <col min="9739" max="9739" width="8.28515625" style="342" customWidth="1"/>
    <col min="9740" max="9740" width="10.42578125" style="342" customWidth="1"/>
    <col min="9741" max="9741" width="8.42578125" style="342" customWidth="1"/>
    <col min="9742" max="9743" width="10.5703125" style="342" bestFit="1" customWidth="1"/>
    <col min="9744" max="9984" width="9.140625" style="342"/>
    <col min="9985" max="9985" width="12.7109375" style="342" customWidth="1"/>
    <col min="9986" max="9986" width="13.7109375" style="342" customWidth="1"/>
    <col min="9987" max="9988" width="9.85546875" style="342" customWidth="1"/>
    <col min="9989" max="9989" width="11.85546875" style="342" customWidth="1"/>
    <col min="9990" max="9990" width="10.85546875" style="342" customWidth="1"/>
    <col min="9991" max="9992" width="10.7109375" style="342" customWidth="1"/>
    <col min="9993" max="9993" width="12.85546875" style="342" customWidth="1"/>
    <col min="9994" max="9994" width="8.140625" style="342" customWidth="1"/>
    <col min="9995" max="9995" width="8.28515625" style="342" customWidth="1"/>
    <col min="9996" max="9996" width="10.42578125" style="342" customWidth="1"/>
    <col min="9997" max="9997" width="8.42578125" style="342" customWidth="1"/>
    <col min="9998" max="9999" width="10.5703125" style="342" bestFit="1" customWidth="1"/>
    <col min="10000" max="10240" width="9.140625" style="342"/>
    <col min="10241" max="10241" width="12.7109375" style="342" customWidth="1"/>
    <col min="10242" max="10242" width="13.7109375" style="342" customWidth="1"/>
    <col min="10243" max="10244" width="9.85546875" style="342" customWidth="1"/>
    <col min="10245" max="10245" width="11.85546875" style="342" customWidth="1"/>
    <col min="10246" max="10246" width="10.85546875" style="342" customWidth="1"/>
    <col min="10247" max="10248" width="10.7109375" style="342" customWidth="1"/>
    <col min="10249" max="10249" width="12.85546875" style="342" customWidth="1"/>
    <col min="10250" max="10250" width="8.140625" style="342" customWidth="1"/>
    <col min="10251" max="10251" width="8.28515625" style="342" customWidth="1"/>
    <col min="10252" max="10252" width="10.42578125" style="342" customWidth="1"/>
    <col min="10253" max="10253" width="8.42578125" style="342" customWidth="1"/>
    <col min="10254" max="10255" width="10.5703125" style="342" bestFit="1" customWidth="1"/>
    <col min="10256" max="10496" width="9.140625" style="342"/>
    <col min="10497" max="10497" width="12.7109375" style="342" customWidth="1"/>
    <col min="10498" max="10498" width="13.7109375" style="342" customWidth="1"/>
    <col min="10499" max="10500" width="9.85546875" style="342" customWidth="1"/>
    <col min="10501" max="10501" width="11.85546875" style="342" customWidth="1"/>
    <col min="10502" max="10502" width="10.85546875" style="342" customWidth="1"/>
    <col min="10503" max="10504" width="10.7109375" style="342" customWidth="1"/>
    <col min="10505" max="10505" width="12.85546875" style="342" customWidth="1"/>
    <col min="10506" max="10506" width="8.140625" style="342" customWidth="1"/>
    <col min="10507" max="10507" width="8.28515625" style="342" customWidth="1"/>
    <col min="10508" max="10508" width="10.42578125" style="342" customWidth="1"/>
    <col min="10509" max="10509" width="8.42578125" style="342" customWidth="1"/>
    <col min="10510" max="10511" width="10.5703125" style="342" bestFit="1" customWidth="1"/>
    <col min="10512" max="10752" width="9.140625" style="342"/>
    <col min="10753" max="10753" width="12.7109375" style="342" customWidth="1"/>
    <col min="10754" max="10754" width="13.7109375" style="342" customWidth="1"/>
    <col min="10755" max="10756" width="9.85546875" style="342" customWidth="1"/>
    <col min="10757" max="10757" width="11.85546875" style="342" customWidth="1"/>
    <col min="10758" max="10758" width="10.85546875" style="342" customWidth="1"/>
    <col min="10759" max="10760" width="10.7109375" style="342" customWidth="1"/>
    <col min="10761" max="10761" width="12.85546875" style="342" customWidth="1"/>
    <col min="10762" max="10762" width="8.140625" style="342" customWidth="1"/>
    <col min="10763" max="10763" width="8.28515625" style="342" customWidth="1"/>
    <col min="10764" max="10764" width="10.42578125" style="342" customWidth="1"/>
    <col min="10765" max="10765" width="8.42578125" style="342" customWidth="1"/>
    <col min="10766" max="10767" width="10.5703125" style="342" bestFit="1" customWidth="1"/>
    <col min="10768" max="11008" width="9.140625" style="342"/>
    <col min="11009" max="11009" width="12.7109375" style="342" customWidth="1"/>
    <col min="11010" max="11010" width="13.7109375" style="342" customWidth="1"/>
    <col min="11011" max="11012" width="9.85546875" style="342" customWidth="1"/>
    <col min="11013" max="11013" width="11.85546875" style="342" customWidth="1"/>
    <col min="11014" max="11014" width="10.85546875" style="342" customWidth="1"/>
    <col min="11015" max="11016" width="10.7109375" style="342" customWidth="1"/>
    <col min="11017" max="11017" width="12.85546875" style="342" customWidth="1"/>
    <col min="11018" max="11018" width="8.140625" style="342" customWidth="1"/>
    <col min="11019" max="11019" width="8.28515625" style="342" customWidth="1"/>
    <col min="11020" max="11020" width="10.42578125" style="342" customWidth="1"/>
    <col min="11021" max="11021" width="8.42578125" style="342" customWidth="1"/>
    <col min="11022" max="11023" width="10.5703125" style="342" bestFit="1" customWidth="1"/>
    <col min="11024" max="11264" width="9.140625" style="342"/>
    <col min="11265" max="11265" width="12.7109375" style="342" customWidth="1"/>
    <col min="11266" max="11266" width="13.7109375" style="342" customWidth="1"/>
    <col min="11267" max="11268" width="9.85546875" style="342" customWidth="1"/>
    <col min="11269" max="11269" width="11.85546875" style="342" customWidth="1"/>
    <col min="11270" max="11270" width="10.85546875" style="342" customWidth="1"/>
    <col min="11271" max="11272" width="10.7109375" style="342" customWidth="1"/>
    <col min="11273" max="11273" width="12.85546875" style="342" customWidth="1"/>
    <col min="11274" max="11274" width="8.140625" style="342" customWidth="1"/>
    <col min="11275" max="11275" width="8.28515625" style="342" customWidth="1"/>
    <col min="11276" max="11276" width="10.42578125" style="342" customWidth="1"/>
    <col min="11277" max="11277" width="8.42578125" style="342" customWidth="1"/>
    <col min="11278" max="11279" width="10.5703125" style="342" bestFit="1" customWidth="1"/>
    <col min="11280" max="11520" width="9.140625" style="342"/>
    <col min="11521" max="11521" width="12.7109375" style="342" customWidth="1"/>
    <col min="11522" max="11522" width="13.7109375" style="342" customWidth="1"/>
    <col min="11523" max="11524" width="9.85546875" style="342" customWidth="1"/>
    <col min="11525" max="11525" width="11.85546875" style="342" customWidth="1"/>
    <col min="11526" max="11526" width="10.85546875" style="342" customWidth="1"/>
    <col min="11527" max="11528" width="10.7109375" style="342" customWidth="1"/>
    <col min="11529" max="11529" width="12.85546875" style="342" customWidth="1"/>
    <col min="11530" max="11530" width="8.140625" style="342" customWidth="1"/>
    <col min="11531" max="11531" width="8.28515625" style="342" customWidth="1"/>
    <col min="11532" max="11532" width="10.42578125" style="342" customWidth="1"/>
    <col min="11533" max="11533" width="8.42578125" style="342" customWidth="1"/>
    <col min="11534" max="11535" width="10.5703125" style="342" bestFit="1" customWidth="1"/>
    <col min="11536" max="11776" width="9.140625" style="342"/>
    <col min="11777" max="11777" width="12.7109375" style="342" customWidth="1"/>
    <col min="11778" max="11778" width="13.7109375" style="342" customWidth="1"/>
    <col min="11779" max="11780" width="9.85546875" style="342" customWidth="1"/>
    <col min="11781" max="11781" width="11.85546875" style="342" customWidth="1"/>
    <col min="11782" max="11782" width="10.85546875" style="342" customWidth="1"/>
    <col min="11783" max="11784" width="10.7109375" style="342" customWidth="1"/>
    <col min="11785" max="11785" width="12.85546875" style="342" customWidth="1"/>
    <col min="11786" max="11786" width="8.140625" style="342" customWidth="1"/>
    <col min="11787" max="11787" width="8.28515625" style="342" customWidth="1"/>
    <col min="11788" max="11788" width="10.42578125" style="342" customWidth="1"/>
    <col min="11789" max="11789" width="8.42578125" style="342" customWidth="1"/>
    <col min="11790" max="11791" width="10.5703125" style="342" bestFit="1" customWidth="1"/>
    <col min="11792" max="12032" width="9.140625" style="342"/>
    <col min="12033" max="12033" width="12.7109375" style="342" customWidth="1"/>
    <col min="12034" max="12034" width="13.7109375" style="342" customWidth="1"/>
    <col min="12035" max="12036" width="9.85546875" style="342" customWidth="1"/>
    <col min="12037" max="12037" width="11.85546875" style="342" customWidth="1"/>
    <col min="12038" max="12038" width="10.85546875" style="342" customWidth="1"/>
    <col min="12039" max="12040" width="10.7109375" style="342" customWidth="1"/>
    <col min="12041" max="12041" width="12.85546875" style="342" customWidth="1"/>
    <col min="12042" max="12042" width="8.140625" style="342" customWidth="1"/>
    <col min="12043" max="12043" width="8.28515625" style="342" customWidth="1"/>
    <col min="12044" max="12044" width="10.42578125" style="342" customWidth="1"/>
    <col min="12045" max="12045" width="8.42578125" style="342" customWidth="1"/>
    <col min="12046" max="12047" width="10.5703125" style="342" bestFit="1" customWidth="1"/>
    <col min="12048" max="12288" width="9.140625" style="342"/>
    <col min="12289" max="12289" width="12.7109375" style="342" customWidth="1"/>
    <col min="12290" max="12290" width="13.7109375" style="342" customWidth="1"/>
    <col min="12291" max="12292" width="9.85546875" style="342" customWidth="1"/>
    <col min="12293" max="12293" width="11.85546875" style="342" customWidth="1"/>
    <col min="12294" max="12294" width="10.85546875" style="342" customWidth="1"/>
    <col min="12295" max="12296" width="10.7109375" style="342" customWidth="1"/>
    <col min="12297" max="12297" width="12.85546875" style="342" customWidth="1"/>
    <col min="12298" max="12298" width="8.140625" style="342" customWidth="1"/>
    <col min="12299" max="12299" width="8.28515625" style="342" customWidth="1"/>
    <col min="12300" max="12300" width="10.42578125" style="342" customWidth="1"/>
    <col min="12301" max="12301" width="8.42578125" style="342" customWidth="1"/>
    <col min="12302" max="12303" width="10.5703125" style="342" bestFit="1" customWidth="1"/>
    <col min="12304" max="12544" width="9.140625" style="342"/>
    <col min="12545" max="12545" width="12.7109375" style="342" customWidth="1"/>
    <col min="12546" max="12546" width="13.7109375" style="342" customWidth="1"/>
    <col min="12547" max="12548" width="9.85546875" style="342" customWidth="1"/>
    <col min="12549" max="12549" width="11.85546875" style="342" customWidth="1"/>
    <col min="12550" max="12550" width="10.85546875" style="342" customWidth="1"/>
    <col min="12551" max="12552" width="10.7109375" style="342" customWidth="1"/>
    <col min="12553" max="12553" width="12.85546875" style="342" customWidth="1"/>
    <col min="12554" max="12554" width="8.140625" style="342" customWidth="1"/>
    <col min="12555" max="12555" width="8.28515625" style="342" customWidth="1"/>
    <col min="12556" max="12556" width="10.42578125" style="342" customWidth="1"/>
    <col min="12557" max="12557" width="8.42578125" style="342" customWidth="1"/>
    <col min="12558" max="12559" width="10.5703125" style="342" bestFit="1" customWidth="1"/>
    <col min="12560" max="12800" width="9.140625" style="342"/>
    <col min="12801" max="12801" width="12.7109375" style="342" customWidth="1"/>
    <col min="12802" max="12802" width="13.7109375" style="342" customWidth="1"/>
    <col min="12803" max="12804" width="9.85546875" style="342" customWidth="1"/>
    <col min="12805" max="12805" width="11.85546875" style="342" customWidth="1"/>
    <col min="12806" max="12806" width="10.85546875" style="342" customWidth="1"/>
    <col min="12807" max="12808" width="10.7109375" style="342" customWidth="1"/>
    <col min="12809" max="12809" width="12.85546875" style="342" customWidth="1"/>
    <col min="12810" max="12810" width="8.140625" style="342" customWidth="1"/>
    <col min="12811" max="12811" width="8.28515625" style="342" customWidth="1"/>
    <col min="12812" max="12812" width="10.42578125" style="342" customWidth="1"/>
    <col min="12813" max="12813" width="8.42578125" style="342" customWidth="1"/>
    <col min="12814" max="12815" width="10.5703125" style="342" bestFit="1" customWidth="1"/>
    <col min="12816" max="13056" width="9.140625" style="342"/>
    <col min="13057" max="13057" width="12.7109375" style="342" customWidth="1"/>
    <col min="13058" max="13058" width="13.7109375" style="342" customWidth="1"/>
    <col min="13059" max="13060" width="9.85546875" style="342" customWidth="1"/>
    <col min="13061" max="13061" width="11.85546875" style="342" customWidth="1"/>
    <col min="13062" max="13062" width="10.85546875" style="342" customWidth="1"/>
    <col min="13063" max="13064" width="10.7109375" style="342" customWidth="1"/>
    <col min="13065" max="13065" width="12.85546875" style="342" customWidth="1"/>
    <col min="13066" max="13066" width="8.140625" style="342" customWidth="1"/>
    <col min="13067" max="13067" width="8.28515625" style="342" customWidth="1"/>
    <col min="13068" max="13068" width="10.42578125" style="342" customWidth="1"/>
    <col min="13069" max="13069" width="8.42578125" style="342" customWidth="1"/>
    <col min="13070" max="13071" width="10.5703125" style="342" bestFit="1" customWidth="1"/>
    <col min="13072" max="13312" width="9.140625" style="342"/>
    <col min="13313" max="13313" width="12.7109375" style="342" customWidth="1"/>
    <col min="13314" max="13314" width="13.7109375" style="342" customWidth="1"/>
    <col min="13315" max="13316" width="9.85546875" style="342" customWidth="1"/>
    <col min="13317" max="13317" width="11.85546875" style="342" customWidth="1"/>
    <col min="13318" max="13318" width="10.85546875" style="342" customWidth="1"/>
    <col min="13319" max="13320" width="10.7109375" style="342" customWidth="1"/>
    <col min="13321" max="13321" width="12.85546875" style="342" customWidth="1"/>
    <col min="13322" max="13322" width="8.140625" style="342" customWidth="1"/>
    <col min="13323" max="13323" width="8.28515625" style="342" customWidth="1"/>
    <col min="13324" max="13324" width="10.42578125" style="342" customWidth="1"/>
    <col min="13325" max="13325" width="8.42578125" style="342" customWidth="1"/>
    <col min="13326" max="13327" width="10.5703125" style="342" bestFit="1" customWidth="1"/>
    <col min="13328" max="13568" width="9.140625" style="342"/>
    <col min="13569" max="13569" width="12.7109375" style="342" customWidth="1"/>
    <col min="13570" max="13570" width="13.7109375" style="342" customWidth="1"/>
    <col min="13571" max="13572" width="9.85546875" style="342" customWidth="1"/>
    <col min="13573" max="13573" width="11.85546875" style="342" customWidth="1"/>
    <col min="13574" max="13574" width="10.85546875" style="342" customWidth="1"/>
    <col min="13575" max="13576" width="10.7109375" style="342" customWidth="1"/>
    <col min="13577" max="13577" width="12.85546875" style="342" customWidth="1"/>
    <col min="13578" max="13578" width="8.140625" style="342" customWidth="1"/>
    <col min="13579" max="13579" width="8.28515625" style="342" customWidth="1"/>
    <col min="13580" max="13580" width="10.42578125" style="342" customWidth="1"/>
    <col min="13581" max="13581" width="8.42578125" style="342" customWidth="1"/>
    <col min="13582" max="13583" width="10.5703125" style="342" bestFit="1" customWidth="1"/>
    <col min="13584" max="13824" width="9.140625" style="342"/>
    <col min="13825" max="13825" width="12.7109375" style="342" customWidth="1"/>
    <col min="13826" max="13826" width="13.7109375" style="342" customWidth="1"/>
    <col min="13827" max="13828" width="9.85546875" style="342" customWidth="1"/>
    <col min="13829" max="13829" width="11.85546875" style="342" customWidth="1"/>
    <col min="13830" max="13830" width="10.85546875" style="342" customWidth="1"/>
    <col min="13831" max="13832" width="10.7109375" style="342" customWidth="1"/>
    <col min="13833" max="13833" width="12.85546875" style="342" customWidth="1"/>
    <col min="13834" max="13834" width="8.140625" style="342" customWidth="1"/>
    <col min="13835" max="13835" width="8.28515625" style="342" customWidth="1"/>
    <col min="13836" max="13836" width="10.42578125" style="342" customWidth="1"/>
    <col min="13837" max="13837" width="8.42578125" style="342" customWidth="1"/>
    <col min="13838" max="13839" width="10.5703125" style="342" bestFit="1" customWidth="1"/>
    <col min="13840" max="14080" width="9.140625" style="342"/>
    <col min="14081" max="14081" width="12.7109375" style="342" customWidth="1"/>
    <col min="14082" max="14082" width="13.7109375" style="342" customWidth="1"/>
    <col min="14083" max="14084" width="9.85546875" style="342" customWidth="1"/>
    <col min="14085" max="14085" width="11.85546875" style="342" customWidth="1"/>
    <col min="14086" max="14086" width="10.85546875" style="342" customWidth="1"/>
    <col min="14087" max="14088" width="10.7109375" style="342" customWidth="1"/>
    <col min="14089" max="14089" width="12.85546875" style="342" customWidth="1"/>
    <col min="14090" max="14090" width="8.140625" style="342" customWidth="1"/>
    <col min="14091" max="14091" width="8.28515625" style="342" customWidth="1"/>
    <col min="14092" max="14092" width="10.42578125" style="342" customWidth="1"/>
    <col min="14093" max="14093" width="8.42578125" style="342" customWidth="1"/>
    <col min="14094" max="14095" width="10.5703125" style="342" bestFit="1" customWidth="1"/>
    <col min="14096" max="14336" width="9.140625" style="342"/>
    <col min="14337" max="14337" width="12.7109375" style="342" customWidth="1"/>
    <col min="14338" max="14338" width="13.7109375" style="342" customWidth="1"/>
    <col min="14339" max="14340" width="9.85546875" style="342" customWidth="1"/>
    <col min="14341" max="14341" width="11.85546875" style="342" customWidth="1"/>
    <col min="14342" max="14342" width="10.85546875" style="342" customWidth="1"/>
    <col min="14343" max="14344" width="10.7109375" style="342" customWidth="1"/>
    <col min="14345" max="14345" width="12.85546875" style="342" customWidth="1"/>
    <col min="14346" max="14346" width="8.140625" style="342" customWidth="1"/>
    <col min="14347" max="14347" width="8.28515625" style="342" customWidth="1"/>
    <col min="14348" max="14348" width="10.42578125" style="342" customWidth="1"/>
    <col min="14349" max="14349" width="8.42578125" style="342" customWidth="1"/>
    <col min="14350" max="14351" width="10.5703125" style="342" bestFit="1" customWidth="1"/>
    <col min="14352" max="14592" width="9.140625" style="342"/>
    <col min="14593" max="14593" width="12.7109375" style="342" customWidth="1"/>
    <col min="14594" max="14594" width="13.7109375" style="342" customWidth="1"/>
    <col min="14595" max="14596" width="9.85546875" style="342" customWidth="1"/>
    <col min="14597" max="14597" width="11.85546875" style="342" customWidth="1"/>
    <col min="14598" max="14598" width="10.85546875" style="342" customWidth="1"/>
    <col min="14599" max="14600" width="10.7109375" style="342" customWidth="1"/>
    <col min="14601" max="14601" width="12.85546875" style="342" customWidth="1"/>
    <col min="14602" max="14602" width="8.140625" style="342" customWidth="1"/>
    <col min="14603" max="14603" width="8.28515625" style="342" customWidth="1"/>
    <col min="14604" max="14604" width="10.42578125" style="342" customWidth="1"/>
    <col min="14605" max="14605" width="8.42578125" style="342" customWidth="1"/>
    <col min="14606" max="14607" width="10.5703125" style="342" bestFit="1" customWidth="1"/>
    <col min="14608" max="14848" width="9.140625" style="342"/>
    <col min="14849" max="14849" width="12.7109375" style="342" customWidth="1"/>
    <col min="14850" max="14850" width="13.7109375" style="342" customWidth="1"/>
    <col min="14851" max="14852" width="9.85546875" style="342" customWidth="1"/>
    <col min="14853" max="14853" width="11.85546875" style="342" customWidth="1"/>
    <col min="14854" max="14854" width="10.85546875" style="342" customWidth="1"/>
    <col min="14855" max="14856" width="10.7109375" style="342" customWidth="1"/>
    <col min="14857" max="14857" width="12.85546875" style="342" customWidth="1"/>
    <col min="14858" max="14858" width="8.140625" style="342" customWidth="1"/>
    <col min="14859" max="14859" width="8.28515625" style="342" customWidth="1"/>
    <col min="14860" max="14860" width="10.42578125" style="342" customWidth="1"/>
    <col min="14861" max="14861" width="8.42578125" style="342" customWidth="1"/>
    <col min="14862" max="14863" width="10.5703125" style="342" bestFit="1" customWidth="1"/>
    <col min="14864" max="15104" width="9.140625" style="342"/>
    <col min="15105" max="15105" width="12.7109375" style="342" customWidth="1"/>
    <col min="15106" max="15106" width="13.7109375" style="342" customWidth="1"/>
    <col min="15107" max="15108" width="9.85546875" style="342" customWidth="1"/>
    <col min="15109" max="15109" width="11.85546875" style="342" customWidth="1"/>
    <col min="15110" max="15110" width="10.85546875" style="342" customWidth="1"/>
    <col min="15111" max="15112" width="10.7109375" style="342" customWidth="1"/>
    <col min="15113" max="15113" width="12.85546875" style="342" customWidth="1"/>
    <col min="15114" max="15114" width="8.140625" style="342" customWidth="1"/>
    <col min="15115" max="15115" width="8.28515625" style="342" customWidth="1"/>
    <col min="15116" max="15116" width="10.42578125" style="342" customWidth="1"/>
    <col min="15117" max="15117" width="8.42578125" style="342" customWidth="1"/>
    <col min="15118" max="15119" width="10.5703125" style="342" bestFit="1" customWidth="1"/>
    <col min="15120" max="15360" width="9.140625" style="342"/>
    <col min="15361" max="15361" width="12.7109375" style="342" customWidth="1"/>
    <col min="15362" max="15362" width="13.7109375" style="342" customWidth="1"/>
    <col min="15363" max="15364" width="9.85546875" style="342" customWidth="1"/>
    <col min="15365" max="15365" width="11.85546875" style="342" customWidth="1"/>
    <col min="15366" max="15366" width="10.85546875" style="342" customWidth="1"/>
    <col min="15367" max="15368" width="10.7109375" style="342" customWidth="1"/>
    <col min="15369" max="15369" width="12.85546875" style="342" customWidth="1"/>
    <col min="15370" max="15370" width="8.140625" style="342" customWidth="1"/>
    <col min="15371" max="15371" width="8.28515625" style="342" customWidth="1"/>
    <col min="15372" max="15372" width="10.42578125" style="342" customWidth="1"/>
    <col min="15373" max="15373" width="8.42578125" style="342" customWidth="1"/>
    <col min="15374" max="15375" width="10.5703125" style="342" bestFit="1" customWidth="1"/>
    <col min="15376" max="15616" width="9.140625" style="342"/>
    <col min="15617" max="15617" width="12.7109375" style="342" customWidth="1"/>
    <col min="15618" max="15618" width="13.7109375" style="342" customWidth="1"/>
    <col min="15619" max="15620" width="9.85546875" style="342" customWidth="1"/>
    <col min="15621" max="15621" width="11.85546875" style="342" customWidth="1"/>
    <col min="15622" max="15622" width="10.85546875" style="342" customWidth="1"/>
    <col min="15623" max="15624" width="10.7109375" style="342" customWidth="1"/>
    <col min="15625" max="15625" width="12.85546875" style="342" customWidth="1"/>
    <col min="15626" max="15626" width="8.140625" style="342" customWidth="1"/>
    <col min="15627" max="15627" width="8.28515625" style="342" customWidth="1"/>
    <col min="15628" max="15628" width="10.42578125" style="342" customWidth="1"/>
    <col min="15629" max="15629" width="8.42578125" style="342" customWidth="1"/>
    <col min="15630" max="15631" width="10.5703125" style="342" bestFit="1" customWidth="1"/>
    <col min="15632" max="15872" width="9.140625" style="342"/>
    <col min="15873" max="15873" width="12.7109375" style="342" customWidth="1"/>
    <col min="15874" max="15874" width="13.7109375" style="342" customWidth="1"/>
    <col min="15875" max="15876" width="9.85546875" style="342" customWidth="1"/>
    <col min="15877" max="15877" width="11.85546875" style="342" customWidth="1"/>
    <col min="15878" max="15878" width="10.85546875" style="342" customWidth="1"/>
    <col min="15879" max="15880" width="10.7109375" style="342" customWidth="1"/>
    <col min="15881" max="15881" width="12.85546875" style="342" customWidth="1"/>
    <col min="15882" max="15882" width="8.140625" style="342" customWidth="1"/>
    <col min="15883" max="15883" width="8.28515625" style="342" customWidth="1"/>
    <col min="15884" max="15884" width="10.42578125" style="342" customWidth="1"/>
    <col min="15885" max="15885" width="8.42578125" style="342" customWidth="1"/>
    <col min="15886" max="15887" width="10.5703125" style="342" bestFit="1" customWidth="1"/>
    <col min="15888" max="16128" width="9.140625" style="342"/>
    <col min="16129" max="16129" width="12.7109375" style="342" customWidth="1"/>
    <col min="16130" max="16130" width="13.7109375" style="342" customWidth="1"/>
    <col min="16131" max="16132" width="9.85546875" style="342" customWidth="1"/>
    <col min="16133" max="16133" width="11.85546875" style="342" customWidth="1"/>
    <col min="16134" max="16134" width="10.85546875" style="342" customWidth="1"/>
    <col min="16135" max="16136" width="10.7109375" style="342" customWidth="1"/>
    <col min="16137" max="16137" width="12.85546875" style="342" customWidth="1"/>
    <col min="16138" max="16138" width="8.140625" style="342" customWidth="1"/>
    <col min="16139" max="16139" width="8.28515625" style="342" customWidth="1"/>
    <col min="16140" max="16140" width="10.42578125" style="342" customWidth="1"/>
    <col min="16141" max="16141" width="8.42578125" style="342" customWidth="1"/>
    <col min="16142" max="16143" width="10.5703125" style="342" bestFit="1" customWidth="1"/>
    <col min="16144" max="16384" width="9.140625" style="342"/>
  </cols>
  <sheetData>
    <row r="1" spans="1:13" ht="15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</row>
    <row r="2" spans="1:13" ht="15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</row>
    <row r="3" spans="1:13">
      <c r="A3" s="1114" t="s">
        <v>1214</v>
      </c>
      <c r="B3" s="1115"/>
      <c r="C3" s="1113" t="s">
        <v>5368</v>
      </c>
      <c r="D3" s="1113"/>
      <c r="E3" s="1116" t="s">
        <v>5369</v>
      </c>
      <c r="F3" s="1115"/>
      <c r="G3" s="419">
        <v>905180201</v>
      </c>
      <c r="H3" s="1116" t="s">
        <v>5370</v>
      </c>
      <c r="I3" s="1115"/>
      <c r="J3" s="419">
        <v>670.91899999999998</v>
      </c>
      <c r="K3" s="1116" t="s">
        <v>5371</v>
      </c>
      <c r="L3" s="1115"/>
      <c r="M3" s="420">
        <v>80</v>
      </c>
    </row>
    <row r="4" spans="1:13" ht="15">
      <c r="A4" s="808" t="s">
        <v>4176</v>
      </c>
      <c r="B4" s="808"/>
      <c r="C4" s="808"/>
      <c r="D4" s="421"/>
      <c r="E4" s="421"/>
      <c r="F4" s="421"/>
      <c r="G4" s="421"/>
      <c r="H4" s="422"/>
      <c r="I4" s="422"/>
      <c r="J4" s="422"/>
      <c r="K4" s="422"/>
      <c r="L4" s="422"/>
    </row>
    <row r="5" spans="1:13">
      <c r="A5" s="1114" t="s">
        <v>832</v>
      </c>
      <c r="B5" s="1115"/>
      <c r="C5" s="1113" t="s">
        <v>5372</v>
      </c>
      <c r="D5" s="1113"/>
      <c r="E5" s="1116" t="s">
        <v>5373</v>
      </c>
      <c r="F5" s="1115"/>
      <c r="G5" s="1108" t="s">
        <v>1334</v>
      </c>
      <c r="H5" s="1108"/>
      <c r="I5" s="423"/>
      <c r="K5" s="423"/>
      <c r="L5" s="422"/>
    </row>
    <row r="6" spans="1:13">
      <c r="A6" s="421"/>
      <c r="B6" s="422"/>
      <c r="C6" s="421"/>
      <c r="D6" s="421"/>
      <c r="E6" s="421"/>
      <c r="F6" s="421"/>
      <c r="G6" s="421"/>
      <c r="H6" s="422"/>
      <c r="I6" s="422"/>
      <c r="J6" s="422"/>
      <c r="K6" s="422"/>
      <c r="L6" s="422"/>
    </row>
    <row r="7" spans="1:13">
      <c r="A7" s="1114" t="s">
        <v>618</v>
      </c>
      <c r="B7" s="1115"/>
      <c r="C7" s="1113" t="s">
        <v>5374</v>
      </c>
      <c r="D7" s="1113"/>
      <c r="E7" s="1117" t="s">
        <v>1206</v>
      </c>
      <c r="F7" s="1118"/>
      <c r="G7" s="1100" t="s">
        <v>5375</v>
      </c>
      <c r="H7" s="1100"/>
      <c r="I7" s="422"/>
      <c r="J7" s="422"/>
      <c r="K7" s="422"/>
      <c r="L7" s="422"/>
    </row>
    <row r="8" spans="1:13">
      <c r="A8" s="421"/>
      <c r="B8" s="422"/>
      <c r="C8" s="421"/>
      <c r="D8" s="421"/>
      <c r="E8" s="421"/>
      <c r="F8" s="421"/>
      <c r="G8" s="421"/>
      <c r="H8" s="422"/>
      <c r="I8" s="422"/>
      <c r="J8" s="422"/>
      <c r="K8" s="422"/>
      <c r="L8" s="422"/>
    </row>
    <row r="9" spans="1:13">
      <c r="A9" s="1108" t="s">
        <v>838</v>
      </c>
      <c r="B9" s="1108"/>
      <c r="C9" s="1108"/>
      <c r="D9" s="1113" t="s">
        <v>5376</v>
      </c>
      <c r="E9" s="1113"/>
      <c r="F9" s="1108" t="s">
        <v>5377</v>
      </c>
      <c r="G9" s="1108"/>
      <c r="H9" s="1108"/>
      <c r="I9" s="1108"/>
      <c r="J9" s="1112"/>
      <c r="K9" s="1112"/>
      <c r="L9" s="422"/>
    </row>
    <row r="10" spans="1:13">
      <c r="A10" s="1108" t="s">
        <v>1203</v>
      </c>
      <c r="B10" s="1108"/>
      <c r="C10" s="1108"/>
      <c r="D10" s="1113" t="s">
        <v>5378</v>
      </c>
      <c r="E10" s="1113"/>
      <c r="F10" s="1108" t="s">
        <v>5379</v>
      </c>
      <c r="G10" s="1108"/>
      <c r="H10" s="1108"/>
      <c r="I10" s="1108"/>
      <c r="J10" s="1112"/>
      <c r="K10" s="1112"/>
      <c r="L10" s="422"/>
    </row>
    <row r="11" spans="1:13">
      <c r="A11" s="1108" t="s">
        <v>1202</v>
      </c>
      <c r="B11" s="1108"/>
      <c r="C11" s="1108"/>
      <c r="D11" s="1109" t="s">
        <v>5380</v>
      </c>
      <c r="E11" s="1110"/>
      <c r="F11" s="1108" t="s">
        <v>1962</v>
      </c>
      <c r="G11" s="1108"/>
      <c r="H11" s="1111" t="s">
        <v>1328</v>
      </c>
      <c r="I11" s="1111"/>
      <c r="J11" s="1112" t="s">
        <v>5381</v>
      </c>
      <c r="K11" s="1112"/>
      <c r="L11" s="422" t="s">
        <v>5382</v>
      </c>
    </row>
    <row r="12" spans="1:13">
      <c r="A12" s="1108" t="s">
        <v>1196</v>
      </c>
      <c r="B12" s="1108"/>
      <c r="C12" s="1108"/>
      <c r="D12" s="1113" t="s">
        <v>5383</v>
      </c>
      <c r="E12" s="1113"/>
      <c r="F12" s="1108"/>
      <c r="G12" s="1108"/>
      <c r="H12" s="1108"/>
      <c r="I12" s="1108"/>
      <c r="J12" s="1112"/>
      <c r="K12" s="1112"/>
      <c r="L12" s="422"/>
    </row>
    <row r="13" spans="1:13">
      <c r="A13" s="421"/>
      <c r="B13" s="422"/>
      <c r="C13" s="421"/>
      <c r="D13" s="421"/>
      <c r="E13" s="421"/>
      <c r="F13" s="421"/>
      <c r="G13" s="421"/>
      <c r="H13" s="422"/>
      <c r="I13" s="422"/>
      <c r="J13" s="422"/>
      <c r="K13" s="422"/>
      <c r="L13" s="422"/>
    </row>
    <row r="14" spans="1:13">
      <c r="A14" s="1101" t="s">
        <v>1194</v>
      </c>
      <c r="B14" s="1102"/>
      <c r="C14" s="552">
        <v>2</v>
      </c>
      <c r="D14" s="1103" t="s">
        <v>1193</v>
      </c>
      <c r="E14" s="1101"/>
      <c r="F14" s="424">
        <v>2</v>
      </c>
      <c r="G14" s="421" t="s">
        <v>643</v>
      </c>
      <c r="H14" s="424">
        <v>8</v>
      </c>
      <c r="I14" s="421" t="s">
        <v>644</v>
      </c>
      <c r="J14" s="420">
        <v>3</v>
      </c>
      <c r="K14" s="422" t="s">
        <v>645</v>
      </c>
      <c r="L14" s="420">
        <v>9</v>
      </c>
    </row>
    <row r="15" spans="1:13">
      <c r="A15" s="421"/>
      <c r="B15" s="425"/>
      <c r="C15" s="421"/>
      <c r="D15" s="423"/>
      <c r="E15" s="421"/>
      <c r="F15" s="423"/>
      <c r="G15" s="421"/>
      <c r="H15" s="426"/>
      <c r="I15" s="422"/>
      <c r="J15" s="422"/>
      <c r="K15" s="422"/>
      <c r="L15" s="422"/>
    </row>
    <row r="16" spans="1:13" ht="22.5">
      <c r="A16" s="427" t="s">
        <v>1192</v>
      </c>
      <c r="B16" s="428" t="s">
        <v>204</v>
      </c>
      <c r="C16" s="552">
        <v>98</v>
      </c>
      <c r="D16" s="550" t="s">
        <v>205</v>
      </c>
      <c r="E16" s="552">
        <v>0</v>
      </c>
      <c r="F16" s="421" t="s">
        <v>206</v>
      </c>
      <c r="G16" s="552">
        <v>1</v>
      </c>
      <c r="H16" s="422" t="s">
        <v>230</v>
      </c>
      <c r="I16" s="552">
        <f>G16+E16+C16</f>
        <v>99</v>
      </c>
      <c r="J16" s="422" t="s">
        <v>207</v>
      </c>
      <c r="K16" s="420">
        <v>2</v>
      </c>
      <c r="L16" s="427" t="s">
        <v>855</v>
      </c>
      <c r="M16" s="343">
        <v>6</v>
      </c>
    </row>
    <row r="17" spans="1:15">
      <c r="A17" s="1104" t="s">
        <v>1191</v>
      </c>
      <c r="B17" s="428" t="s">
        <v>210</v>
      </c>
      <c r="C17" s="552">
        <v>264</v>
      </c>
      <c r="D17" s="550" t="s">
        <v>211</v>
      </c>
      <c r="E17" s="552">
        <v>0</v>
      </c>
      <c r="F17" s="421" t="s">
        <v>212</v>
      </c>
      <c r="G17" s="552">
        <v>2</v>
      </c>
      <c r="H17" s="422" t="s">
        <v>411</v>
      </c>
      <c r="I17" s="552">
        <f>G17+E17+C17</f>
        <v>266</v>
      </c>
      <c r="J17" s="426"/>
      <c r="K17" s="426"/>
      <c r="L17" s="426"/>
      <c r="M17" s="429"/>
    </row>
    <row r="18" spans="1:15" ht="24">
      <c r="A18" s="1104"/>
      <c r="B18" s="428" t="s">
        <v>213</v>
      </c>
      <c r="C18" s="552">
        <v>278</v>
      </c>
      <c r="D18" s="550" t="s">
        <v>214</v>
      </c>
      <c r="E18" s="552">
        <v>0</v>
      </c>
      <c r="F18" s="421" t="s">
        <v>215</v>
      </c>
      <c r="G18" s="552">
        <v>3</v>
      </c>
      <c r="H18" s="422" t="s">
        <v>410</v>
      </c>
      <c r="I18" s="552">
        <v>281</v>
      </c>
      <c r="J18" s="426"/>
      <c r="K18" s="426"/>
      <c r="L18" s="426"/>
      <c r="M18" s="429"/>
    </row>
    <row r="19" spans="1:15">
      <c r="A19" s="421"/>
      <c r="B19" s="422"/>
      <c r="C19" s="421"/>
      <c r="D19" s="421"/>
      <c r="E19" s="421"/>
      <c r="F19" s="421"/>
      <c r="G19" s="421"/>
      <c r="H19" s="422"/>
      <c r="I19" s="422"/>
      <c r="J19" s="422"/>
      <c r="K19" s="422"/>
      <c r="L19" s="422"/>
    </row>
    <row r="20" spans="1:15">
      <c r="A20" s="1105" t="s">
        <v>409</v>
      </c>
      <c r="B20" s="1105"/>
      <c r="C20" s="421"/>
      <c r="D20" s="421"/>
      <c r="E20" s="421"/>
      <c r="F20" s="421"/>
      <c r="G20" s="421"/>
      <c r="H20" s="422"/>
      <c r="I20" s="422"/>
      <c r="J20" s="422"/>
      <c r="K20" s="422"/>
      <c r="L20" s="422"/>
    </row>
    <row r="21" spans="1:15">
      <c r="A21" s="1100" t="s">
        <v>1190</v>
      </c>
      <c r="B21" s="1100"/>
      <c r="C21" s="1106" t="s">
        <v>1189</v>
      </c>
      <c r="D21" s="1095" t="s">
        <v>219</v>
      </c>
      <c r="E21" s="1095" t="s">
        <v>5384</v>
      </c>
      <c r="F21" s="1095" t="s">
        <v>5385</v>
      </c>
      <c r="G21" s="1097" t="s">
        <v>5386</v>
      </c>
      <c r="H21" s="1098"/>
      <c r="I21" s="1098"/>
      <c r="J21" s="1098"/>
      <c r="K21" s="1098"/>
      <c r="L21" s="1098"/>
      <c r="M21" s="1099"/>
    </row>
    <row r="22" spans="1:15" ht="24">
      <c r="A22" s="1100"/>
      <c r="B22" s="1100"/>
      <c r="C22" s="1107"/>
      <c r="D22" s="1096"/>
      <c r="E22" s="1096"/>
      <c r="F22" s="1096"/>
      <c r="G22" s="420" t="s">
        <v>227</v>
      </c>
      <c r="H22" s="424" t="s">
        <v>228</v>
      </c>
      <c r="I22" s="420" t="s">
        <v>229</v>
      </c>
      <c r="J22" s="342" t="s">
        <v>1499</v>
      </c>
      <c r="K22" s="420" t="s">
        <v>4831</v>
      </c>
      <c r="L22" s="420" t="s">
        <v>4832</v>
      </c>
      <c r="M22" s="420" t="s">
        <v>4833</v>
      </c>
      <c r="N22" s="430" t="s">
        <v>5387</v>
      </c>
      <c r="O22" s="431" t="s">
        <v>662</v>
      </c>
    </row>
    <row r="23" spans="1:15">
      <c r="A23" s="1100" t="s">
        <v>232</v>
      </c>
      <c r="B23" s="1100"/>
      <c r="C23" s="420">
        <v>8000</v>
      </c>
      <c r="D23" s="432" t="s">
        <v>873</v>
      </c>
      <c r="E23" s="433">
        <f>+C23*J3/100000</f>
        <v>53.673520000000003</v>
      </c>
      <c r="F23" s="434">
        <f>1530000/100000</f>
        <v>15.3</v>
      </c>
      <c r="G23" s="433">
        <v>0</v>
      </c>
      <c r="H23" s="433">
        <f>95200/100000</f>
        <v>0.95199999999999996</v>
      </c>
      <c r="I23" s="435">
        <f>1158665/100000</f>
        <v>11.586650000000001</v>
      </c>
      <c r="J23" s="435"/>
      <c r="K23" s="435"/>
      <c r="L23" s="435"/>
      <c r="M23" s="435"/>
      <c r="N23" s="436">
        <f>+G23+H23+I23+J23+K23+L23+M23</f>
        <v>12.538650000000001</v>
      </c>
      <c r="O23" s="437">
        <f>N23*100/F23</f>
        <v>81.951960784313727</v>
      </c>
    </row>
    <row r="24" spans="1:15">
      <c r="A24" s="1100" t="s">
        <v>234</v>
      </c>
      <c r="B24" s="1100"/>
      <c r="C24" s="420">
        <v>7000</v>
      </c>
      <c r="D24" s="438" t="s">
        <v>873</v>
      </c>
      <c r="E24" s="433">
        <f>+C24*M3/100000</f>
        <v>5.6</v>
      </c>
      <c r="F24" s="433">
        <v>0</v>
      </c>
      <c r="G24" s="433">
        <v>0</v>
      </c>
      <c r="H24" s="433">
        <v>0</v>
      </c>
      <c r="I24" s="435">
        <v>0</v>
      </c>
      <c r="J24" s="435"/>
      <c r="K24" s="435"/>
      <c r="L24" s="435"/>
      <c r="M24" s="435"/>
      <c r="N24" s="437">
        <f t="shared" ref="N24:N31" si="0">+G24+H24+I24+J24+K24+L24+M24</f>
        <v>0</v>
      </c>
      <c r="O24" s="437">
        <v>0</v>
      </c>
    </row>
    <row r="25" spans="1:15">
      <c r="A25" s="1100" t="s">
        <v>235</v>
      </c>
      <c r="B25" s="1100"/>
      <c r="C25" s="420">
        <v>86</v>
      </c>
      <c r="D25" s="438" t="s">
        <v>5388</v>
      </c>
      <c r="E25" s="433">
        <v>0.43</v>
      </c>
      <c r="F25" s="434">
        <f>35000/100000</f>
        <v>0.35</v>
      </c>
      <c r="G25" s="433">
        <v>0</v>
      </c>
      <c r="H25" s="433">
        <f>3640/100000</f>
        <v>3.6400000000000002E-2</v>
      </c>
      <c r="I25" s="435">
        <f>7100/100000</f>
        <v>7.0999999999999994E-2</v>
      </c>
      <c r="J25" s="435"/>
      <c r="K25" s="435"/>
      <c r="L25" s="435"/>
      <c r="M25" s="435"/>
      <c r="N25" s="436">
        <f t="shared" si="0"/>
        <v>0.1074</v>
      </c>
      <c r="O25" s="437">
        <f t="shared" ref="O25:O32" si="1">N25*100/F25</f>
        <v>30.685714285714287</v>
      </c>
    </row>
    <row r="26" spans="1:15">
      <c r="A26" s="1100" t="s">
        <v>237</v>
      </c>
      <c r="B26" s="1100"/>
      <c r="C26" s="420">
        <v>68</v>
      </c>
      <c r="D26" s="438" t="s">
        <v>5388</v>
      </c>
      <c r="E26" s="433">
        <v>0.34</v>
      </c>
      <c r="F26" s="434">
        <f>16000/100000</f>
        <v>0.16</v>
      </c>
      <c r="G26" s="433">
        <v>0</v>
      </c>
      <c r="H26" s="433">
        <f>16000/100000</f>
        <v>0.16</v>
      </c>
      <c r="I26" s="435">
        <v>0</v>
      </c>
      <c r="J26" s="435"/>
      <c r="K26" s="435"/>
      <c r="L26" s="435"/>
      <c r="M26" s="435"/>
      <c r="N26" s="436">
        <f t="shared" si="0"/>
        <v>0.16</v>
      </c>
      <c r="O26" s="437">
        <f t="shared" si="1"/>
        <v>100</v>
      </c>
    </row>
    <row r="27" spans="1:15">
      <c r="A27" s="1100" t="s">
        <v>238</v>
      </c>
      <c r="B27" s="1100"/>
      <c r="C27" s="420">
        <v>1200</v>
      </c>
      <c r="D27" s="438" t="s">
        <v>873</v>
      </c>
      <c r="E27" s="433">
        <f>+C27*J3/100000</f>
        <v>8.0510279999999987</v>
      </c>
      <c r="F27" s="434">
        <f>200000/100000</f>
        <v>2</v>
      </c>
      <c r="G27" s="433">
        <v>0</v>
      </c>
      <c r="H27" s="433">
        <v>0</v>
      </c>
      <c r="I27" s="435">
        <f>95200/100000</f>
        <v>0.95199999999999996</v>
      </c>
      <c r="J27" s="435"/>
      <c r="K27" s="435"/>
      <c r="L27" s="435"/>
      <c r="M27" s="435"/>
      <c r="N27" s="436">
        <f t="shared" si="0"/>
        <v>0.95199999999999996</v>
      </c>
      <c r="O27" s="437">
        <f t="shared" si="1"/>
        <v>47.599999999999994</v>
      </c>
    </row>
    <row r="28" spans="1:15">
      <c r="A28" s="1100" t="s">
        <v>667</v>
      </c>
      <c r="B28" s="1100"/>
      <c r="C28" s="420">
        <v>565</v>
      </c>
      <c r="D28" s="438" t="s">
        <v>873</v>
      </c>
      <c r="E28" s="433">
        <f>+C28*J3/100000</f>
        <v>3.79069235</v>
      </c>
      <c r="F28" s="434">
        <f>378775/100000</f>
        <v>3.78775</v>
      </c>
      <c r="G28" s="433">
        <v>0</v>
      </c>
      <c r="H28" s="433">
        <f>378775/100000</f>
        <v>3.78775</v>
      </c>
      <c r="I28" s="435">
        <v>0</v>
      </c>
      <c r="J28" s="435"/>
      <c r="K28" s="435"/>
      <c r="L28" s="435"/>
      <c r="M28" s="435"/>
      <c r="N28" s="436">
        <f t="shared" si="0"/>
        <v>3.78775</v>
      </c>
      <c r="O28" s="437">
        <f t="shared" si="1"/>
        <v>100</v>
      </c>
    </row>
    <row r="29" spans="1:15">
      <c r="A29" s="1100" t="s">
        <v>1176</v>
      </c>
      <c r="B29" s="1100"/>
      <c r="C29" s="420">
        <v>1000</v>
      </c>
      <c r="D29" s="438" t="s">
        <v>873</v>
      </c>
      <c r="E29" s="433">
        <f>+C29*J3/100000</f>
        <v>6.7091900000000004</v>
      </c>
      <c r="F29" s="433">
        <v>0</v>
      </c>
      <c r="G29" s="433">
        <v>0</v>
      </c>
      <c r="H29" s="433">
        <v>0</v>
      </c>
      <c r="I29" s="435">
        <v>0</v>
      </c>
      <c r="J29" s="435"/>
      <c r="K29" s="435"/>
      <c r="L29" s="435"/>
      <c r="M29" s="435"/>
      <c r="N29" s="437">
        <f t="shared" si="0"/>
        <v>0</v>
      </c>
      <c r="O29" s="437">
        <v>0</v>
      </c>
    </row>
    <row r="30" spans="1:15">
      <c r="A30" s="1100" t="s">
        <v>394</v>
      </c>
      <c r="B30" s="1100"/>
      <c r="C30" s="420">
        <f>250*5+750+500</f>
        <v>2500</v>
      </c>
      <c r="D30" s="438" t="s">
        <v>5389</v>
      </c>
      <c r="E30" s="434">
        <f>66000/100000+1.687</f>
        <v>2.347</v>
      </c>
      <c r="F30" s="434">
        <f>66000/100000</f>
        <v>0.66</v>
      </c>
      <c r="G30" s="433">
        <v>0</v>
      </c>
      <c r="H30" s="433">
        <f>30205/100000</f>
        <v>0.30204999999999999</v>
      </c>
      <c r="I30" s="435">
        <f>27545/100000</f>
        <v>0.27544999999999997</v>
      </c>
      <c r="J30" s="435"/>
      <c r="K30" s="435"/>
      <c r="L30" s="435"/>
      <c r="M30" s="435"/>
      <c r="N30" s="436">
        <f>+G30+H30+I30+J30+K30+L30+M30</f>
        <v>0.5774999999999999</v>
      </c>
      <c r="O30" s="437">
        <f t="shared" si="1"/>
        <v>87.499999999999986</v>
      </c>
    </row>
    <row r="31" spans="1:15">
      <c r="A31" s="1100" t="s">
        <v>670</v>
      </c>
      <c r="B31" s="1100"/>
      <c r="C31" s="420">
        <v>2000</v>
      </c>
      <c r="D31" s="439" t="s">
        <v>5390</v>
      </c>
      <c r="E31" s="433">
        <f>10000/100000</f>
        <v>0.1</v>
      </c>
      <c r="F31" s="433">
        <f>10000/100000</f>
        <v>0.1</v>
      </c>
      <c r="G31" s="433">
        <v>0</v>
      </c>
      <c r="H31" s="433">
        <f>10000/100000</f>
        <v>0.1</v>
      </c>
      <c r="I31" s="435">
        <v>0</v>
      </c>
      <c r="J31" s="435"/>
      <c r="K31" s="435"/>
      <c r="L31" s="435"/>
      <c r="M31" s="435"/>
      <c r="N31" s="437">
        <f t="shared" si="0"/>
        <v>0.1</v>
      </c>
      <c r="O31" s="437">
        <f t="shared" si="1"/>
        <v>100</v>
      </c>
    </row>
    <row r="32" spans="1:15">
      <c r="A32" s="1093" t="s">
        <v>230</v>
      </c>
      <c r="B32" s="1094"/>
      <c r="C32" s="420"/>
      <c r="D32" s="424"/>
      <c r="E32" s="440">
        <f>SUM(E23:E31)</f>
        <v>81.041430349999999</v>
      </c>
      <c r="F32" s="440">
        <f>SUM(F23:F31)</f>
        <v>22.357750000000003</v>
      </c>
      <c r="G32" s="440">
        <f>SUM(G23:G31)</f>
        <v>0</v>
      </c>
      <c r="H32" s="440">
        <f>SUM(H23:H31)</f>
        <v>5.3381999999999996</v>
      </c>
      <c r="I32" s="440">
        <f>SUM(I23:I31)</f>
        <v>12.8851</v>
      </c>
      <c r="J32" s="441"/>
      <c r="K32" s="441"/>
      <c r="L32" s="441"/>
      <c r="M32" s="441"/>
      <c r="N32" s="440">
        <f>SUM(N23:N31)</f>
        <v>18.223300000000002</v>
      </c>
      <c r="O32" s="436">
        <f t="shared" si="1"/>
        <v>81.507754581744578</v>
      </c>
    </row>
  </sheetData>
  <mergeCells count="56">
    <mergeCell ref="A4:C4"/>
    <mergeCell ref="A1:M1"/>
    <mergeCell ref="A2:M2"/>
    <mergeCell ref="A3:B3"/>
    <mergeCell ref="C3:D3"/>
    <mergeCell ref="E3:F3"/>
    <mergeCell ref="H3:I3"/>
    <mergeCell ref="K3:L3"/>
    <mergeCell ref="A5:B5"/>
    <mergeCell ref="C5:D5"/>
    <mergeCell ref="E5:F5"/>
    <mergeCell ref="G5:H5"/>
    <mergeCell ref="A7:B7"/>
    <mergeCell ref="C7:D7"/>
    <mergeCell ref="E7:F7"/>
    <mergeCell ref="G7:H7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12:C12"/>
    <mergeCell ref="D12:E12"/>
    <mergeCell ref="F12:G12"/>
    <mergeCell ref="H12:I12"/>
    <mergeCell ref="J12:K12"/>
    <mergeCell ref="A11:C11"/>
    <mergeCell ref="D11:E11"/>
    <mergeCell ref="F11:G11"/>
    <mergeCell ref="H11:I11"/>
    <mergeCell ref="J11:K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G21:M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75" right="0.75" top="1" bottom="1" header="0.5" footer="0.5"/>
  <pageSetup scale="70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dimension ref="A1:O32"/>
  <sheetViews>
    <sheetView workbookViewId="0">
      <selection activeCell="A4" sqref="A4:C4"/>
    </sheetView>
  </sheetViews>
  <sheetFormatPr defaultRowHeight="12.75"/>
  <cols>
    <col min="1" max="1" width="8.85546875" style="342" customWidth="1"/>
    <col min="2" max="2" width="23" style="342" customWidth="1"/>
    <col min="3" max="3" width="9.85546875" style="342" customWidth="1"/>
    <col min="4" max="4" width="11" style="342" customWidth="1"/>
    <col min="5" max="5" width="11.85546875" style="342" customWidth="1"/>
    <col min="6" max="6" width="10.85546875" style="342" customWidth="1"/>
    <col min="7" max="7" width="10.7109375" style="342" customWidth="1"/>
    <col min="8" max="8" width="13.5703125" style="342" customWidth="1"/>
    <col min="9" max="9" width="11.42578125" style="342" customWidth="1"/>
    <col min="10" max="10" width="8.140625" style="342" customWidth="1"/>
    <col min="11" max="12" width="8.85546875" style="342" customWidth="1"/>
    <col min="13" max="13" width="8.42578125" style="342" customWidth="1"/>
    <col min="14" max="14" width="10.7109375" style="342" bestFit="1" customWidth="1"/>
    <col min="15" max="15" width="10.5703125" style="342" bestFit="1" customWidth="1"/>
    <col min="16" max="256" width="9.140625" style="342"/>
    <col min="257" max="257" width="8.85546875" style="342" customWidth="1"/>
    <col min="258" max="258" width="23" style="342" customWidth="1"/>
    <col min="259" max="259" width="9.85546875" style="342" customWidth="1"/>
    <col min="260" max="260" width="11" style="342" customWidth="1"/>
    <col min="261" max="261" width="11.85546875" style="342" customWidth="1"/>
    <col min="262" max="262" width="10.85546875" style="342" customWidth="1"/>
    <col min="263" max="263" width="10.7109375" style="342" customWidth="1"/>
    <col min="264" max="264" width="13.5703125" style="342" customWidth="1"/>
    <col min="265" max="265" width="11.42578125" style="342" customWidth="1"/>
    <col min="266" max="266" width="8.140625" style="342" customWidth="1"/>
    <col min="267" max="268" width="8.85546875" style="342" customWidth="1"/>
    <col min="269" max="269" width="8.42578125" style="342" customWidth="1"/>
    <col min="270" max="270" width="10.7109375" style="342" bestFit="1" customWidth="1"/>
    <col min="271" max="271" width="10.5703125" style="342" bestFit="1" customWidth="1"/>
    <col min="272" max="512" width="9.140625" style="342"/>
    <col min="513" max="513" width="8.85546875" style="342" customWidth="1"/>
    <col min="514" max="514" width="23" style="342" customWidth="1"/>
    <col min="515" max="515" width="9.85546875" style="342" customWidth="1"/>
    <col min="516" max="516" width="11" style="342" customWidth="1"/>
    <col min="517" max="517" width="11.85546875" style="342" customWidth="1"/>
    <col min="518" max="518" width="10.85546875" style="342" customWidth="1"/>
    <col min="519" max="519" width="10.7109375" style="342" customWidth="1"/>
    <col min="520" max="520" width="13.5703125" style="342" customWidth="1"/>
    <col min="521" max="521" width="11.42578125" style="342" customWidth="1"/>
    <col min="522" max="522" width="8.140625" style="342" customWidth="1"/>
    <col min="523" max="524" width="8.85546875" style="342" customWidth="1"/>
    <col min="525" max="525" width="8.42578125" style="342" customWidth="1"/>
    <col min="526" max="526" width="10.7109375" style="342" bestFit="1" customWidth="1"/>
    <col min="527" max="527" width="10.5703125" style="342" bestFit="1" customWidth="1"/>
    <col min="528" max="768" width="9.140625" style="342"/>
    <col min="769" max="769" width="8.85546875" style="342" customWidth="1"/>
    <col min="770" max="770" width="23" style="342" customWidth="1"/>
    <col min="771" max="771" width="9.85546875" style="342" customWidth="1"/>
    <col min="772" max="772" width="11" style="342" customWidth="1"/>
    <col min="773" max="773" width="11.85546875" style="342" customWidth="1"/>
    <col min="774" max="774" width="10.85546875" style="342" customWidth="1"/>
    <col min="775" max="775" width="10.7109375" style="342" customWidth="1"/>
    <col min="776" max="776" width="13.5703125" style="342" customWidth="1"/>
    <col min="777" max="777" width="11.42578125" style="342" customWidth="1"/>
    <col min="778" max="778" width="8.140625" style="342" customWidth="1"/>
    <col min="779" max="780" width="8.85546875" style="342" customWidth="1"/>
    <col min="781" max="781" width="8.42578125" style="342" customWidth="1"/>
    <col min="782" max="782" width="10.7109375" style="342" bestFit="1" customWidth="1"/>
    <col min="783" max="783" width="10.5703125" style="342" bestFit="1" customWidth="1"/>
    <col min="784" max="1024" width="9.140625" style="342"/>
    <col min="1025" max="1025" width="8.85546875" style="342" customWidth="1"/>
    <col min="1026" max="1026" width="23" style="342" customWidth="1"/>
    <col min="1027" max="1027" width="9.85546875" style="342" customWidth="1"/>
    <col min="1028" max="1028" width="11" style="342" customWidth="1"/>
    <col min="1029" max="1029" width="11.85546875" style="342" customWidth="1"/>
    <col min="1030" max="1030" width="10.85546875" style="342" customWidth="1"/>
    <col min="1031" max="1031" width="10.7109375" style="342" customWidth="1"/>
    <col min="1032" max="1032" width="13.5703125" style="342" customWidth="1"/>
    <col min="1033" max="1033" width="11.42578125" style="342" customWidth="1"/>
    <col min="1034" max="1034" width="8.140625" style="342" customWidth="1"/>
    <col min="1035" max="1036" width="8.85546875" style="342" customWidth="1"/>
    <col min="1037" max="1037" width="8.42578125" style="342" customWidth="1"/>
    <col min="1038" max="1038" width="10.7109375" style="342" bestFit="1" customWidth="1"/>
    <col min="1039" max="1039" width="10.5703125" style="342" bestFit="1" customWidth="1"/>
    <col min="1040" max="1280" width="9.140625" style="342"/>
    <col min="1281" max="1281" width="8.85546875" style="342" customWidth="1"/>
    <col min="1282" max="1282" width="23" style="342" customWidth="1"/>
    <col min="1283" max="1283" width="9.85546875" style="342" customWidth="1"/>
    <col min="1284" max="1284" width="11" style="342" customWidth="1"/>
    <col min="1285" max="1285" width="11.85546875" style="342" customWidth="1"/>
    <col min="1286" max="1286" width="10.85546875" style="342" customWidth="1"/>
    <col min="1287" max="1287" width="10.7109375" style="342" customWidth="1"/>
    <col min="1288" max="1288" width="13.5703125" style="342" customWidth="1"/>
    <col min="1289" max="1289" width="11.42578125" style="342" customWidth="1"/>
    <col min="1290" max="1290" width="8.140625" style="342" customWidth="1"/>
    <col min="1291" max="1292" width="8.85546875" style="342" customWidth="1"/>
    <col min="1293" max="1293" width="8.42578125" style="342" customWidth="1"/>
    <col min="1294" max="1294" width="10.7109375" style="342" bestFit="1" customWidth="1"/>
    <col min="1295" max="1295" width="10.5703125" style="342" bestFit="1" customWidth="1"/>
    <col min="1296" max="1536" width="9.140625" style="342"/>
    <col min="1537" max="1537" width="8.85546875" style="342" customWidth="1"/>
    <col min="1538" max="1538" width="23" style="342" customWidth="1"/>
    <col min="1539" max="1539" width="9.85546875" style="342" customWidth="1"/>
    <col min="1540" max="1540" width="11" style="342" customWidth="1"/>
    <col min="1541" max="1541" width="11.85546875" style="342" customWidth="1"/>
    <col min="1542" max="1542" width="10.85546875" style="342" customWidth="1"/>
    <col min="1543" max="1543" width="10.7109375" style="342" customWidth="1"/>
    <col min="1544" max="1544" width="13.5703125" style="342" customWidth="1"/>
    <col min="1545" max="1545" width="11.42578125" style="342" customWidth="1"/>
    <col min="1546" max="1546" width="8.140625" style="342" customWidth="1"/>
    <col min="1547" max="1548" width="8.85546875" style="342" customWidth="1"/>
    <col min="1549" max="1549" width="8.42578125" style="342" customWidth="1"/>
    <col min="1550" max="1550" width="10.7109375" style="342" bestFit="1" customWidth="1"/>
    <col min="1551" max="1551" width="10.5703125" style="342" bestFit="1" customWidth="1"/>
    <col min="1552" max="1792" width="9.140625" style="342"/>
    <col min="1793" max="1793" width="8.85546875" style="342" customWidth="1"/>
    <col min="1794" max="1794" width="23" style="342" customWidth="1"/>
    <col min="1795" max="1795" width="9.85546875" style="342" customWidth="1"/>
    <col min="1796" max="1796" width="11" style="342" customWidth="1"/>
    <col min="1797" max="1797" width="11.85546875" style="342" customWidth="1"/>
    <col min="1798" max="1798" width="10.85546875" style="342" customWidth="1"/>
    <col min="1799" max="1799" width="10.7109375" style="342" customWidth="1"/>
    <col min="1800" max="1800" width="13.5703125" style="342" customWidth="1"/>
    <col min="1801" max="1801" width="11.42578125" style="342" customWidth="1"/>
    <col min="1802" max="1802" width="8.140625" style="342" customWidth="1"/>
    <col min="1803" max="1804" width="8.85546875" style="342" customWidth="1"/>
    <col min="1805" max="1805" width="8.42578125" style="342" customWidth="1"/>
    <col min="1806" max="1806" width="10.7109375" style="342" bestFit="1" customWidth="1"/>
    <col min="1807" max="1807" width="10.5703125" style="342" bestFit="1" customWidth="1"/>
    <col min="1808" max="2048" width="9.140625" style="342"/>
    <col min="2049" max="2049" width="8.85546875" style="342" customWidth="1"/>
    <col min="2050" max="2050" width="23" style="342" customWidth="1"/>
    <col min="2051" max="2051" width="9.85546875" style="342" customWidth="1"/>
    <col min="2052" max="2052" width="11" style="342" customWidth="1"/>
    <col min="2053" max="2053" width="11.85546875" style="342" customWidth="1"/>
    <col min="2054" max="2054" width="10.85546875" style="342" customWidth="1"/>
    <col min="2055" max="2055" width="10.7109375" style="342" customWidth="1"/>
    <col min="2056" max="2056" width="13.5703125" style="342" customWidth="1"/>
    <col min="2057" max="2057" width="11.42578125" style="342" customWidth="1"/>
    <col min="2058" max="2058" width="8.140625" style="342" customWidth="1"/>
    <col min="2059" max="2060" width="8.85546875" style="342" customWidth="1"/>
    <col min="2061" max="2061" width="8.42578125" style="342" customWidth="1"/>
    <col min="2062" max="2062" width="10.7109375" style="342" bestFit="1" customWidth="1"/>
    <col min="2063" max="2063" width="10.5703125" style="342" bestFit="1" customWidth="1"/>
    <col min="2064" max="2304" width="9.140625" style="342"/>
    <col min="2305" max="2305" width="8.85546875" style="342" customWidth="1"/>
    <col min="2306" max="2306" width="23" style="342" customWidth="1"/>
    <col min="2307" max="2307" width="9.85546875" style="342" customWidth="1"/>
    <col min="2308" max="2308" width="11" style="342" customWidth="1"/>
    <col min="2309" max="2309" width="11.85546875" style="342" customWidth="1"/>
    <col min="2310" max="2310" width="10.85546875" style="342" customWidth="1"/>
    <col min="2311" max="2311" width="10.7109375" style="342" customWidth="1"/>
    <col min="2312" max="2312" width="13.5703125" style="342" customWidth="1"/>
    <col min="2313" max="2313" width="11.42578125" style="342" customWidth="1"/>
    <col min="2314" max="2314" width="8.140625" style="342" customWidth="1"/>
    <col min="2315" max="2316" width="8.85546875" style="342" customWidth="1"/>
    <col min="2317" max="2317" width="8.42578125" style="342" customWidth="1"/>
    <col min="2318" max="2318" width="10.7109375" style="342" bestFit="1" customWidth="1"/>
    <col min="2319" max="2319" width="10.5703125" style="342" bestFit="1" customWidth="1"/>
    <col min="2320" max="2560" width="9.140625" style="342"/>
    <col min="2561" max="2561" width="8.85546875" style="342" customWidth="1"/>
    <col min="2562" max="2562" width="23" style="342" customWidth="1"/>
    <col min="2563" max="2563" width="9.85546875" style="342" customWidth="1"/>
    <col min="2564" max="2564" width="11" style="342" customWidth="1"/>
    <col min="2565" max="2565" width="11.85546875" style="342" customWidth="1"/>
    <col min="2566" max="2566" width="10.85546875" style="342" customWidth="1"/>
    <col min="2567" max="2567" width="10.7109375" style="342" customWidth="1"/>
    <col min="2568" max="2568" width="13.5703125" style="342" customWidth="1"/>
    <col min="2569" max="2569" width="11.42578125" style="342" customWidth="1"/>
    <col min="2570" max="2570" width="8.140625" style="342" customWidth="1"/>
    <col min="2571" max="2572" width="8.85546875" style="342" customWidth="1"/>
    <col min="2573" max="2573" width="8.42578125" style="342" customWidth="1"/>
    <col min="2574" max="2574" width="10.7109375" style="342" bestFit="1" customWidth="1"/>
    <col min="2575" max="2575" width="10.5703125" style="342" bestFit="1" customWidth="1"/>
    <col min="2576" max="2816" width="9.140625" style="342"/>
    <col min="2817" max="2817" width="8.85546875" style="342" customWidth="1"/>
    <col min="2818" max="2818" width="23" style="342" customWidth="1"/>
    <col min="2819" max="2819" width="9.85546875" style="342" customWidth="1"/>
    <col min="2820" max="2820" width="11" style="342" customWidth="1"/>
    <col min="2821" max="2821" width="11.85546875" style="342" customWidth="1"/>
    <col min="2822" max="2822" width="10.85546875" style="342" customWidth="1"/>
    <col min="2823" max="2823" width="10.7109375" style="342" customWidth="1"/>
    <col min="2824" max="2824" width="13.5703125" style="342" customWidth="1"/>
    <col min="2825" max="2825" width="11.42578125" style="342" customWidth="1"/>
    <col min="2826" max="2826" width="8.140625" style="342" customWidth="1"/>
    <col min="2827" max="2828" width="8.85546875" style="342" customWidth="1"/>
    <col min="2829" max="2829" width="8.42578125" style="342" customWidth="1"/>
    <col min="2830" max="2830" width="10.7109375" style="342" bestFit="1" customWidth="1"/>
    <col min="2831" max="2831" width="10.5703125" style="342" bestFit="1" customWidth="1"/>
    <col min="2832" max="3072" width="9.140625" style="342"/>
    <col min="3073" max="3073" width="8.85546875" style="342" customWidth="1"/>
    <col min="3074" max="3074" width="23" style="342" customWidth="1"/>
    <col min="3075" max="3075" width="9.85546875" style="342" customWidth="1"/>
    <col min="3076" max="3076" width="11" style="342" customWidth="1"/>
    <col min="3077" max="3077" width="11.85546875" style="342" customWidth="1"/>
    <col min="3078" max="3078" width="10.85546875" style="342" customWidth="1"/>
    <col min="3079" max="3079" width="10.7109375" style="342" customWidth="1"/>
    <col min="3080" max="3080" width="13.5703125" style="342" customWidth="1"/>
    <col min="3081" max="3081" width="11.42578125" style="342" customWidth="1"/>
    <col min="3082" max="3082" width="8.140625" style="342" customWidth="1"/>
    <col min="3083" max="3084" width="8.85546875" style="342" customWidth="1"/>
    <col min="3085" max="3085" width="8.42578125" style="342" customWidth="1"/>
    <col min="3086" max="3086" width="10.7109375" style="342" bestFit="1" customWidth="1"/>
    <col min="3087" max="3087" width="10.5703125" style="342" bestFit="1" customWidth="1"/>
    <col min="3088" max="3328" width="9.140625" style="342"/>
    <col min="3329" max="3329" width="8.85546875" style="342" customWidth="1"/>
    <col min="3330" max="3330" width="23" style="342" customWidth="1"/>
    <col min="3331" max="3331" width="9.85546875" style="342" customWidth="1"/>
    <col min="3332" max="3332" width="11" style="342" customWidth="1"/>
    <col min="3333" max="3333" width="11.85546875" style="342" customWidth="1"/>
    <col min="3334" max="3334" width="10.85546875" style="342" customWidth="1"/>
    <col min="3335" max="3335" width="10.7109375" style="342" customWidth="1"/>
    <col min="3336" max="3336" width="13.5703125" style="342" customWidth="1"/>
    <col min="3337" max="3337" width="11.42578125" style="342" customWidth="1"/>
    <col min="3338" max="3338" width="8.140625" style="342" customWidth="1"/>
    <col min="3339" max="3340" width="8.85546875" style="342" customWidth="1"/>
    <col min="3341" max="3341" width="8.42578125" style="342" customWidth="1"/>
    <col min="3342" max="3342" width="10.7109375" style="342" bestFit="1" customWidth="1"/>
    <col min="3343" max="3343" width="10.5703125" style="342" bestFit="1" customWidth="1"/>
    <col min="3344" max="3584" width="9.140625" style="342"/>
    <col min="3585" max="3585" width="8.85546875" style="342" customWidth="1"/>
    <col min="3586" max="3586" width="23" style="342" customWidth="1"/>
    <col min="3587" max="3587" width="9.85546875" style="342" customWidth="1"/>
    <col min="3588" max="3588" width="11" style="342" customWidth="1"/>
    <col min="3589" max="3589" width="11.85546875" style="342" customWidth="1"/>
    <col min="3590" max="3590" width="10.85546875" style="342" customWidth="1"/>
    <col min="3591" max="3591" width="10.7109375" style="342" customWidth="1"/>
    <col min="3592" max="3592" width="13.5703125" style="342" customWidth="1"/>
    <col min="3593" max="3593" width="11.42578125" style="342" customWidth="1"/>
    <col min="3594" max="3594" width="8.140625" style="342" customWidth="1"/>
    <col min="3595" max="3596" width="8.85546875" style="342" customWidth="1"/>
    <col min="3597" max="3597" width="8.42578125" style="342" customWidth="1"/>
    <col min="3598" max="3598" width="10.7109375" style="342" bestFit="1" customWidth="1"/>
    <col min="3599" max="3599" width="10.5703125" style="342" bestFit="1" customWidth="1"/>
    <col min="3600" max="3840" width="9.140625" style="342"/>
    <col min="3841" max="3841" width="8.85546875" style="342" customWidth="1"/>
    <col min="3842" max="3842" width="23" style="342" customWidth="1"/>
    <col min="3843" max="3843" width="9.85546875" style="342" customWidth="1"/>
    <col min="3844" max="3844" width="11" style="342" customWidth="1"/>
    <col min="3845" max="3845" width="11.85546875" style="342" customWidth="1"/>
    <col min="3846" max="3846" width="10.85546875" style="342" customWidth="1"/>
    <col min="3847" max="3847" width="10.7109375" style="342" customWidth="1"/>
    <col min="3848" max="3848" width="13.5703125" style="342" customWidth="1"/>
    <col min="3849" max="3849" width="11.42578125" style="342" customWidth="1"/>
    <col min="3850" max="3850" width="8.140625" style="342" customWidth="1"/>
    <col min="3851" max="3852" width="8.85546875" style="342" customWidth="1"/>
    <col min="3853" max="3853" width="8.42578125" style="342" customWidth="1"/>
    <col min="3854" max="3854" width="10.7109375" style="342" bestFit="1" customWidth="1"/>
    <col min="3855" max="3855" width="10.5703125" style="342" bestFit="1" customWidth="1"/>
    <col min="3856" max="4096" width="9.140625" style="342"/>
    <col min="4097" max="4097" width="8.85546875" style="342" customWidth="1"/>
    <col min="4098" max="4098" width="23" style="342" customWidth="1"/>
    <col min="4099" max="4099" width="9.85546875" style="342" customWidth="1"/>
    <col min="4100" max="4100" width="11" style="342" customWidth="1"/>
    <col min="4101" max="4101" width="11.85546875" style="342" customWidth="1"/>
    <col min="4102" max="4102" width="10.85546875" style="342" customWidth="1"/>
    <col min="4103" max="4103" width="10.7109375" style="342" customWidth="1"/>
    <col min="4104" max="4104" width="13.5703125" style="342" customWidth="1"/>
    <col min="4105" max="4105" width="11.42578125" style="342" customWidth="1"/>
    <col min="4106" max="4106" width="8.140625" style="342" customWidth="1"/>
    <col min="4107" max="4108" width="8.85546875" style="342" customWidth="1"/>
    <col min="4109" max="4109" width="8.42578125" style="342" customWidth="1"/>
    <col min="4110" max="4110" width="10.7109375" style="342" bestFit="1" customWidth="1"/>
    <col min="4111" max="4111" width="10.5703125" style="342" bestFit="1" customWidth="1"/>
    <col min="4112" max="4352" width="9.140625" style="342"/>
    <col min="4353" max="4353" width="8.85546875" style="342" customWidth="1"/>
    <col min="4354" max="4354" width="23" style="342" customWidth="1"/>
    <col min="4355" max="4355" width="9.85546875" style="342" customWidth="1"/>
    <col min="4356" max="4356" width="11" style="342" customWidth="1"/>
    <col min="4357" max="4357" width="11.85546875" style="342" customWidth="1"/>
    <col min="4358" max="4358" width="10.85546875" style="342" customWidth="1"/>
    <col min="4359" max="4359" width="10.7109375" style="342" customWidth="1"/>
    <col min="4360" max="4360" width="13.5703125" style="342" customWidth="1"/>
    <col min="4361" max="4361" width="11.42578125" style="342" customWidth="1"/>
    <col min="4362" max="4362" width="8.140625" style="342" customWidth="1"/>
    <col min="4363" max="4364" width="8.85546875" style="342" customWidth="1"/>
    <col min="4365" max="4365" width="8.42578125" style="342" customWidth="1"/>
    <col min="4366" max="4366" width="10.7109375" style="342" bestFit="1" customWidth="1"/>
    <col min="4367" max="4367" width="10.5703125" style="342" bestFit="1" customWidth="1"/>
    <col min="4368" max="4608" width="9.140625" style="342"/>
    <col min="4609" max="4609" width="8.85546875" style="342" customWidth="1"/>
    <col min="4610" max="4610" width="23" style="342" customWidth="1"/>
    <col min="4611" max="4611" width="9.85546875" style="342" customWidth="1"/>
    <col min="4612" max="4612" width="11" style="342" customWidth="1"/>
    <col min="4613" max="4613" width="11.85546875" style="342" customWidth="1"/>
    <col min="4614" max="4614" width="10.85546875" style="342" customWidth="1"/>
    <col min="4615" max="4615" width="10.7109375" style="342" customWidth="1"/>
    <col min="4616" max="4616" width="13.5703125" style="342" customWidth="1"/>
    <col min="4617" max="4617" width="11.42578125" style="342" customWidth="1"/>
    <col min="4618" max="4618" width="8.140625" style="342" customWidth="1"/>
    <col min="4619" max="4620" width="8.85546875" style="342" customWidth="1"/>
    <col min="4621" max="4621" width="8.42578125" style="342" customWidth="1"/>
    <col min="4622" max="4622" width="10.7109375" style="342" bestFit="1" customWidth="1"/>
    <col min="4623" max="4623" width="10.5703125" style="342" bestFit="1" customWidth="1"/>
    <col min="4624" max="4864" width="9.140625" style="342"/>
    <col min="4865" max="4865" width="8.85546875" style="342" customWidth="1"/>
    <col min="4866" max="4866" width="23" style="342" customWidth="1"/>
    <col min="4867" max="4867" width="9.85546875" style="342" customWidth="1"/>
    <col min="4868" max="4868" width="11" style="342" customWidth="1"/>
    <col min="4869" max="4869" width="11.85546875" style="342" customWidth="1"/>
    <col min="4870" max="4870" width="10.85546875" style="342" customWidth="1"/>
    <col min="4871" max="4871" width="10.7109375" style="342" customWidth="1"/>
    <col min="4872" max="4872" width="13.5703125" style="342" customWidth="1"/>
    <col min="4873" max="4873" width="11.42578125" style="342" customWidth="1"/>
    <col min="4874" max="4874" width="8.140625" style="342" customWidth="1"/>
    <col min="4875" max="4876" width="8.85546875" style="342" customWidth="1"/>
    <col min="4877" max="4877" width="8.42578125" style="342" customWidth="1"/>
    <col min="4878" max="4878" width="10.7109375" style="342" bestFit="1" customWidth="1"/>
    <col min="4879" max="4879" width="10.5703125" style="342" bestFit="1" customWidth="1"/>
    <col min="4880" max="5120" width="9.140625" style="342"/>
    <col min="5121" max="5121" width="8.85546875" style="342" customWidth="1"/>
    <col min="5122" max="5122" width="23" style="342" customWidth="1"/>
    <col min="5123" max="5123" width="9.85546875" style="342" customWidth="1"/>
    <col min="5124" max="5124" width="11" style="342" customWidth="1"/>
    <col min="5125" max="5125" width="11.85546875" style="342" customWidth="1"/>
    <col min="5126" max="5126" width="10.85546875" style="342" customWidth="1"/>
    <col min="5127" max="5127" width="10.7109375" style="342" customWidth="1"/>
    <col min="5128" max="5128" width="13.5703125" style="342" customWidth="1"/>
    <col min="5129" max="5129" width="11.42578125" style="342" customWidth="1"/>
    <col min="5130" max="5130" width="8.140625" style="342" customWidth="1"/>
    <col min="5131" max="5132" width="8.85546875" style="342" customWidth="1"/>
    <col min="5133" max="5133" width="8.42578125" style="342" customWidth="1"/>
    <col min="5134" max="5134" width="10.7109375" style="342" bestFit="1" customWidth="1"/>
    <col min="5135" max="5135" width="10.5703125" style="342" bestFit="1" customWidth="1"/>
    <col min="5136" max="5376" width="9.140625" style="342"/>
    <col min="5377" max="5377" width="8.85546875" style="342" customWidth="1"/>
    <col min="5378" max="5378" width="23" style="342" customWidth="1"/>
    <col min="5379" max="5379" width="9.85546875" style="342" customWidth="1"/>
    <col min="5380" max="5380" width="11" style="342" customWidth="1"/>
    <col min="5381" max="5381" width="11.85546875" style="342" customWidth="1"/>
    <col min="5382" max="5382" width="10.85546875" style="342" customWidth="1"/>
    <col min="5383" max="5383" width="10.7109375" style="342" customWidth="1"/>
    <col min="5384" max="5384" width="13.5703125" style="342" customWidth="1"/>
    <col min="5385" max="5385" width="11.42578125" style="342" customWidth="1"/>
    <col min="5386" max="5386" width="8.140625" style="342" customWidth="1"/>
    <col min="5387" max="5388" width="8.85546875" style="342" customWidth="1"/>
    <col min="5389" max="5389" width="8.42578125" style="342" customWidth="1"/>
    <col min="5390" max="5390" width="10.7109375" style="342" bestFit="1" customWidth="1"/>
    <col min="5391" max="5391" width="10.5703125" style="342" bestFit="1" customWidth="1"/>
    <col min="5392" max="5632" width="9.140625" style="342"/>
    <col min="5633" max="5633" width="8.85546875" style="342" customWidth="1"/>
    <col min="5634" max="5634" width="23" style="342" customWidth="1"/>
    <col min="5635" max="5635" width="9.85546875" style="342" customWidth="1"/>
    <col min="5636" max="5636" width="11" style="342" customWidth="1"/>
    <col min="5637" max="5637" width="11.85546875" style="342" customWidth="1"/>
    <col min="5638" max="5638" width="10.85546875" style="342" customWidth="1"/>
    <col min="5639" max="5639" width="10.7109375" style="342" customWidth="1"/>
    <col min="5640" max="5640" width="13.5703125" style="342" customWidth="1"/>
    <col min="5641" max="5641" width="11.42578125" style="342" customWidth="1"/>
    <col min="5642" max="5642" width="8.140625" style="342" customWidth="1"/>
    <col min="5643" max="5644" width="8.85546875" style="342" customWidth="1"/>
    <col min="5645" max="5645" width="8.42578125" style="342" customWidth="1"/>
    <col min="5646" max="5646" width="10.7109375" style="342" bestFit="1" customWidth="1"/>
    <col min="5647" max="5647" width="10.5703125" style="342" bestFit="1" customWidth="1"/>
    <col min="5648" max="5888" width="9.140625" style="342"/>
    <col min="5889" max="5889" width="8.85546875" style="342" customWidth="1"/>
    <col min="5890" max="5890" width="23" style="342" customWidth="1"/>
    <col min="5891" max="5891" width="9.85546875" style="342" customWidth="1"/>
    <col min="5892" max="5892" width="11" style="342" customWidth="1"/>
    <col min="5893" max="5893" width="11.85546875" style="342" customWidth="1"/>
    <col min="5894" max="5894" width="10.85546875" style="342" customWidth="1"/>
    <col min="5895" max="5895" width="10.7109375" style="342" customWidth="1"/>
    <col min="5896" max="5896" width="13.5703125" style="342" customWidth="1"/>
    <col min="5897" max="5897" width="11.42578125" style="342" customWidth="1"/>
    <col min="5898" max="5898" width="8.140625" style="342" customWidth="1"/>
    <col min="5899" max="5900" width="8.85546875" style="342" customWidth="1"/>
    <col min="5901" max="5901" width="8.42578125" style="342" customWidth="1"/>
    <col min="5902" max="5902" width="10.7109375" style="342" bestFit="1" customWidth="1"/>
    <col min="5903" max="5903" width="10.5703125" style="342" bestFit="1" customWidth="1"/>
    <col min="5904" max="6144" width="9.140625" style="342"/>
    <col min="6145" max="6145" width="8.85546875" style="342" customWidth="1"/>
    <col min="6146" max="6146" width="23" style="342" customWidth="1"/>
    <col min="6147" max="6147" width="9.85546875" style="342" customWidth="1"/>
    <col min="6148" max="6148" width="11" style="342" customWidth="1"/>
    <col min="6149" max="6149" width="11.85546875" style="342" customWidth="1"/>
    <col min="6150" max="6150" width="10.85546875" style="342" customWidth="1"/>
    <col min="6151" max="6151" width="10.7109375" style="342" customWidth="1"/>
    <col min="6152" max="6152" width="13.5703125" style="342" customWidth="1"/>
    <col min="6153" max="6153" width="11.42578125" style="342" customWidth="1"/>
    <col min="6154" max="6154" width="8.140625" style="342" customWidth="1"/>
    <col min="6155" max="6156" width="8.85546875" style="342" customWidth="1"/>
    <col min="6157" max="6157" width="8.42578125" style="342" customWidth="1"/>
    <col min="6158" max="6158" width="10.7109375" style="342" bestFit="1" customWidth="1"/>
    <col min="6159" max="6159" width="10.5703125" style="342" bestFit="1" customWidth="1"/>
    <col min="6160" max="6400" width="9.140625" style="342"/>
    <col min="6401" max="6401" width="8.85546875" style="342" customWidth="1"/>
    <col min="6402" max="6402" width="23" style="342" customWidth="1"/>
    <col min="6403" max="6403" width="9.85546875" style="342" customWidth="1"/>
    <col min="6404" max="6404" width="11" style="342" customWidth="1"/>
    <col min="6405" max="6405" width="11.85546875" style="342" customWidth="1"/>
    <col min="6406" max="6406" width="10.85546875" style="342" customWidth="1"/>
    <col min="6407" max="6407" width="10.7109375" style="342" customWidth="1"/>
    <col min="6408" max="6408" width="13.5703125" style="342" customWidth="1"/>
    <col min="6409" max="6409" width="11.42578125" style="342" customWidth="1"/>
    <col min="6410" max="6410" width="8.140625" style="342" customWidth="1"/>
    <col min="6411" max="6412" width="8.85546875" style="342" customWidth="1"/>
    <col min="6413" max="6413" width="8.42578125" style="342" customWidth="1"/>
    <col min="6414" max="6414" width="10.7109375" style="342" bestFit="1" customWidth="1"/>
    <col min="6415" max="6415" width="10.5703125" style="342" bestFit="1" customWidth="1"/>
    <col min="6416" max="6656" width="9.140625" style="342"/>
    <col min="6657" max="6657" width="8.85546875" style="342" customWidth="1"/>
    <col min="6658" max="6658" width="23" style="342" customWidth="1"/>
    <col min="6659" max="6659" width="9.85546875" style="342" customWidth="1"/>
    <col min="6660" max="6660" width="11" style="342" customWidth="1"/>
    <col min="6661" max="6661" width="11.85546875" style="342" customWidth="1"/>
    <col min="6662" max="6662" width="10.85546875" style="342" customWidth="1"/>
    <col min="6663" max="6663" width="10.7109375" style="342" customWidth="1"/>
    <col min="6664" max="6664" width="13.5703125" style="342" customWidth="1"/>
    <col min="6665" max="6665" width="11.42578125" style="342" customWidth="1"/>
    <col min="6666" max="6666" width="8.140625" style="342" customWidth="1"/>
    <col min="6667" max="6668" width="8.85546875" style="342" customWidth="1"/>
    <col min="6669" max="6669" width="8.42578125" style="342" customWidth="1"/>
    <col min="6670" max="6670" width="10.7109375" style="342" bestFit="1" customWidth="1"/>
    <col min="6671" max="6671" width="10.5703125" style="342" bestFit="1" customWidth="1"/>
    <col min="6672" max="6912" width="9.140625" style="342"/>
    <col min="6913" max="6913" width="8.85546875" style="342" customWidth="1"/>
    <col min="6914" max="6914" width="23" style="342" customWidth="1"/>
    <col min="6915" max="6915" width="9.85546875" style="342" customWidth="1"/>
    <col min="6916" max="6916" width="11" style="342" customWidth="1"/>
    <col min="6917" max="6917" width="11.85546875" style="342" customWidth="1"/>
    <col min="6918" max="6918" width="10.85546875" style="342" customWidth="1"/>
    <col min="6919" max="6919" width="10.7109375" style="342" customWidth="1"/>
    <col min="6920" max="6920" width="13.5703125" style="342" customWidth="1"/>
    <col min="6921" max="6921" width="11.42578125" style="342" customWidth="1"/>
    <col min="6922" max="6922" width="8.140625" style="342" customWidth="1"/>
    <col min="6923" max="6924" width="8.85546875" style="342" customWidth="1"/>
    <col min="6925" max="6925" width="8.42578125" style="342" customWidth="1"/>
    <col min="6926" max="6926" width="10.7109375" style="342" bestFit="1" customWidth="1"/>
    <col min="6927" max="6927" width="10.5703125" style="342" bestFit="1" customWidth="1"/>
    <col min="6928" max="7168" width="9.140625" style="342"/>
    <col min="7169" max="7169" width="8.85546875" style="342" customWidth="1"/>
    <col min="7170" max="7170" width="23" style="342" customWidth="1"/>
    <col min="7171" max="7171" width="9.85546875" style="342" customWidth="1"/>
    <col min="7172" max="7172" width="11" style="342" customWidth="1"/>
    <col min="7173" max="7173" width="11.85546875" style="342" customWidth="1"/>
    <col min="7174" max="7174" width="10.85546875" style="342" customWidth="1"/>
    <col min="7175" max="7175" width="10.7109375" style="342" customWidth="1"/>
    <col min="7176" max="7176" width="13.5703125" style="342" customWidth="1"/>
    <col min="7177" max="7177" width="11.42578125" style="342" customWidth="1"/>
    <col min="7178" max="7178" width="8.140625" style="342" customWidth="1"/>
    <col min="7179" max="7180" width="8.85546875" style="342" customWidth="1"/>
    <col min="7181" max="7181" width="8.42578125" style="342" customWidth="1"/>
    <col min="7182" max="7182" width="10.7109375" style="342" bestFit="1" customWidth="1"/>
    <col min="7183" max="7183" width="10.5703125" style="342" bestFit="1" customWidth="1"/>
    <col min="7184" max="7424" width="9.140625" style="342"/>
    <col min="7425" max="7425" width="8.85546875" style="342" customWidth="1"/>
    <col min="7426" max="7426" width="23" style="342" customWidth="1"/>
    <col min="7427" max="7427" width="9.85546875" style="342" customWidth="1"/>
    <col min="7428" max="7428" width="11" style="342" customWidth="1"/>
    <col min="7429" max="7429" width="11.85546875" style="342" customWidth="1"/>
    <col min="7430" max="7430" width="10.85546875" style="342" customWidth="1"/>
    <col min="7431" max="7431" width="10.7109375" style="342" customWidth="1"/>
    <col min="7432" max="7432" width="13.5703125" style="342" customWidth="1"/>
    <col min="7433" max="7433" width="11.42578125" style="342" customWidth="1"/>
    <col min="7434" max="7434" width="8.140625" style="342" customWidth="1"/>
    <col min="7435" max="7436" width="8.85546875" style="342" customWidth="1"/>
    <col min="7437" max="7437" width="8.42578125" style="342" customWidth="1"/>
    <col min="7438" max="7438" width="10.7109375" style="342" bestFit="1" customWidth="1"/>
    <col min="7439" max="7439" width="10.5703125" style="342" bestFit="1" customWidth="1"/>
    <col min="7440" max="7680" width="9.140625" style="342"/>
    <col min="7681" max="7681" width="8.85546875" style="342" customWidth="1"/>
    <col min="7682" max="7682" width="23" style="342" customWidth="1"/>
    <col min="7683" max="7683" width="9.85546875" style="342" customWidth="1"/>
    <col min="7684" max="7684" width="11" style="342" customWidth="1"/>
    <col min="7685" max="7685" width="11.85546875" style="342" customWidth="1"/>
    <col min="7686" max="7686" width="10.85546875" style="342" customWidth="1"/>
    <col min="7687" max="7687" width="10.7109375" style="342" customWidth="1"/>
    <col min="7688" max="7688" width="13.5703125" style="342" customWidth="1"/>
    <col min="7689" max="7689" width="11.42578125" style="342" customWidth="1"/>
    <col min="7690" max="7690" width="8.140625" style="342" customWidth="1"/>
    <col min="7691" max="7692" width="8.85546875" style="342" customWidth="1"/>
    <col min="7693" max="7693" width="8.42578125" style="342" customWidth="1"/>
    <col min="7694" max="7694" width="10.7109375" style="342" bestFit="1" customWidth="1"/>
    <col min="7695" max="7695" width="10.5703125" style="342" bestFit="1" customWidth="1"/>
    <col min="7696" max="7936" width="9.140625" style="342"/>
    <col min="7937" max="7937" width="8.85546875" style="342" customWidth="1"/>
    <col min="7938" max="7938" width="23" style="342" customWidth="1"/>
    <col min="7939" max="7939" width="9.85546875" style="342" customWidth="1"/>
    <col min="7940" max="7940" width="11" style="342" customWidth="1"/>
    <col min="7941" max="7941" width="11.85546875" style="342" customWidth="1"/>
    <col min="7942" max="7942" width="10.85546875" style="342" customWidth="1"/>
    <col min="7943" max="7943" width="10.7109375" style="342" customWidth="1"/>
    <col min="7944" max="7944" width="13.5703125" style="342" customWidth="1"/>
    <col min="7945" max="7945" width="11.42578125" style="342" customWidth="1"/>
    <col min="7946" max="7946" width="8.140625" style="342" customWidth="1"/>
    <col min="7947" max="7948" width="8.85546875" style="342" customWidth="1"/>
    <col min="7949" max="7949" width="8.42578125" style="342" customWidth="1"/>
    <col min="7950" max="7950" width="10.7109375" style="342" bestFit="1" customWidth="1"/>
    <col min="7951" max="7951" width="10.5703125" style="342" bestFit="1" customWidth="1"/>
    <col min="7952" max="8192" width="9.140625" style="342"/>
    <col min="8193" max="8193" width="8.85546875" style="342" customWidth="1"/>
    <col min="8194" max="8194" width="23" style="342" customWidth="1"/>
    <col min="8195" max="8195" width="9.85546875" style="342" customWidth="1"/>
    <col min="8196" max="8196" width="11" style="342" customWidth="1"/>
    <col min="8197" max="8197" width="11.85546875" style="342" customWidth="1"/>
    <col min="8198" max="8198" width="10.85546875" style="342" customWidth="1"/>
    <col min="8199" max="8199" width="10.7109375" style="342" customWidth="1"/>
    <col min="8200" max="8200" width="13.5703125" style="342" customWidth="1"/>
    <col min="8201" max="8201" width="11.42578125" style="342" customWidth="1"/>
    <col min="8202" max="8202" width="8.140625" style="342" customWidth="1"/>
    <col min="8203" max="8204" width="8.85546875" style="342" customWidth="1"/>
    <col min="8205" max="8205" width="8.42578125" style="342" customWidth="1"/>
    <col min="8206" max="8206" width="10.7109375" style="342" bestFit="1" customWidth="1"/>
    <col min="8207" max="8207" width="10.5703125" style="342" bestFit="1" customWidth="1"/>
    <col min="8208" max="8448" width="9.140625" style="342"/>
    <col min="8449" max="8449" width="8.85546875" style="342" customWidth="1"/>
    <col min="8450" max="8450" width="23" style="342" customWidth="1"/>
    <col min="8451" max="8451" width="9.85546875" style="342" customWidth="1"/>
    <col min="8452" max="8452" width="11" style="342" customWidth="1"/>
    <col min="8453" max="8453" width="11.85546875" style="342" customWidth="1"/>
    <col min="8454" max="8454" width="10.85546875" style="342" customWidth="1"/>
    <col min="8455" max="8455" width="10.7109375" style="342" customWidth="1"/>
    <col min="8456" max="8456" width="13.5703125" style="342" customWidth="1"/>
    <col min="8457" max="8457" width="11.42578125" style="342" customWidth="1"/>
    <col min="8458" max="8458" width="8.140625" style="342" customWidth="1"/>
    <col min="8459" max="8460" width="8.85546875" style="342" customWidth="1"/>
    <col min="8461" max="8461" width="8.42578125" style="342" customWidth="1"/>
    <col min="8462" max="8462" width="10.7109375" style="342" bestFit="1" customWidth="1"/>
    <col min="8463" max="8463" width="10.5703125" style="342" bestFit="1" customWidth="1"/>
    <col min="8464" max="8704" width="9.140625" style="342"/>
    <col min="8705" max="8705" width="8.85546875" style="342" customWidth="1"/>
    <col min="8706" max="8706" width="23" style="342" customWidth="1"/>
    <col min="8707" max="8707" width="9.85546875" style="342" customWidth="1"/>
    <col min="8708" max="8708" width="11" style="342" customWidth="1"/>
    <col min="8709" max="8709" width="11.85546875" style="342" customWidth="1"/>
    <col min="8710" max="8710" width="10.85546875" style="342" customWidth="1"/>
    <col min="8711" max="8711" width="10.7109375" style="342" customWidth="1"/>
    <col min="8712" max="8712" width="13.5703125" style="342" customWidth="1"/>
    <col min="8713" max="8713" width="11.42578125" style="342" customWidth="1"/>
    <col min="8714" max="8714" width="8.140625" style="342" customWidth="1"/>
    <col min="8715" max="8716" width="8.85546875" style="342" customWidth="1"/>
    <col min="8717" max="8717" width="8.42578125" style="342" customWidth="1"/>
    <col min="8718" max="8718" width="10.7109375" style="342" bestFit="1" customWidth="1"/>
    <col min="8719" max="8719" width="10.5703125" style="342" bestFit="1" customWidth="1"/>
    <col min="8720" max="8960" width="9.140625" style="342"/>
    <col min="8961" max="8961" width="8.85546875" style="342" customWidth="1"/>
    <col min="8962" max="8962" width="23" style="342" customWidth="1"/>
    <col min="8963" max="8963" width="9.85546875" style="342" customWidth="1"/>
    <col min="8964" max="8964" width="11" style="342" customWidth="1"/>
    <col min="8965" max="8965" width="11.85546875" style="342" customWidth="1"/>
    <col min="8966" max="8966" width="10.85546875" style="342" customWidth="1"/>
    <col min="8967" max="8967" width="10.7109375" style="342" customWidth="1"/>
    <col min="8968" max="8968" width="13.5703125" style="342" customWidth="1"/>
    <col min="8969" max="8969" width="11.42578125" style="342" customWidth="1"/>
    <col min="8970" max="8970" width="8.140625" style="342" customWidth="1"/>
    <col min="8971" max="8972" width="8.85546875" style="342" customWidth="1"/>
    <col min="8973" max="8973" width="8.42578125" style="342" customWidth="1"/>
    <col min="8974" max="8974" width="10.7109375" style="342" bestFit="1" customWidth="1"/>
    <col min="8975" max="8975" width="10.5703125" style="342" bestFit="1" customWidth="1"/>
    <col min="8976" max="9216" width="9.140625" style="342"/>
    <col min="9217" max="9217" width="8.85546875" style="342" customWidth="1"/>
    <col min="9218" max="9218" width="23" style="342" customWidth="1"/>
    <col min="9219" max="9219" width="9.85546875" style="342" customWidth="1"/>
    <col min="9220" max="9220" width="11" style="342" customWidth="1"/>
    <col min="9221" max="9221" width="11.85546875" style="342" customWidth="1"/>
    <col min="9222" max="9222" width="10.85546875" style="342" customWidth="1"/>
    <col min="9223" max="9223" width="10.7109375" style="342" customWidth="1"/>
    <col min="9224" max="9224" width="13.5703125" style="342" customWidth="1"/>
    <col min="9225" max="9225" width="11.42578125" style="342" customWidth="1"/>
    <col min="9226" max="9226" width="8.140625" style="342" customWidth="1"/>
    <col min="9227" max="9228" width="8.85546875" style="342" customWidth="1"/>
    <col min="9229" max="9229" width="8.42578125" style="342" customWidth="1"/>
    <col min="9230" max="9230" width="10.7109375" style="342" bestFit="1" customWidth="1"/>
    <col min="9231" max="9231" width="10.5703125" style="342" bestFit="1" customWidth="1"/>
    <col min="9232" max="9472" width="9.140625" style="342"/>
    <col min="9473" max="9473" width="8.85546875" style="342" customWidth="1"/>
    <col min="9474" max="9474" width="23" style="342" customWidth="1"/>
    <col min="9475" max="9475" width="9.85546875" style="342" customWidth="1"/>
    <col min="9476" max="9476" width="11" style="342" customWidth="1"/>
    <col min="9477" max="9477" width="11.85546875" style="342" customWidth="1"/>
    <col min="9478" max="9478" width="10.85546875" style="342" customWidth="1"/>
    <col min="9479" max="9479" width="10.7109375" style="342" customWidth="1"/>
    <col min="9480" max="9480" width="13.5703125" style="342" customWidth="1"/>
    <col min="9481" max="9481" width="11.42578125" style="342" customWidth="1"/>
    <col min="9482" max="9482" width="8.140625" style="342" customWidth="1"/>
    <col min="9483" max="9484" width="8.85546875" style="342" customWidth="1"/>
    <col min="9485" max="9485" width="8.42578125" style="342" customWidth="1"/>
    <col min="9486" max="9486" width="10.7109375" style="342" bestFit="1" customWidth="1"/>
    <col min="9487" max="9487" width="10.5703125" style="342" bestFit="1" customWidth="1"/>
    <col min="9488" max="9728" width="9.140625" style="342"/>
    <col min="9729" max="9729" width="8.85546875" style="342" customWidth="1"/>
    <col min="9730" max="9730" width="23" style="342" customWidth="1"/>
    <col min="9731" max="9731" width="9.85546875" style="342" customWidth="1"/>
    <col min="9732" max="9732" width="11" style="342" customWidth="1"/>
    <col min="9733" max="9733" width="11.85546875" style="342" customWidth="1"/>
    <col min="9734" max="9734" width="10.85546875" style="342" customWidth="1"/>
    <col min="9735" max="9735" width="10.7109375" style="342" customWidth="1"/>
    <col min="9736" max="9736" width="13.5703125" style="342" customWidth="1"/>
    <col min="9737" max="9737" width="11.42578125" style="342" customWidth="1"/>
    <col min="9738" max="9738" width="8.140625" style="342" customWidth="1"/>
    <col min="9739" max="9740" width="8.85546875" style="342" customWidth="1"/>
    <col min="9741" max="9741" width="8.42578125" style="342" customWidth="1"/>
    <col min="9742" max="9742" width="10.7109375" style="342" bestFit="1" customWidth="1"/>
    <col min="9743" max="9743" width="10.5703125" style="342" bestFit="1" customWidth="1"/>
    <col min="9744" max="9984" width="9.140625" style="342"/>
    <col min="9985" max="9985" width="8.85546875" style="342" customWidth="1"/>
    <col min="9986" max="9986" width="23" style="342" customWidth="1"/>
    <col min="9987" max="9987" width="9.85546875" style="342" customWidth="1"/>
    <col min="9988" max="9988" width="11" style="342" customWidth="1"/>
    <col min="9989" max="9989" width="11.85546875" style="342" customWidth="1"/>
    <col min="9990" max="9990" width="10.85546875" style="342" customWidth="1"/>
    <col min="9991" max="9991" width="10.7109375" style="342" customWidth="1"/>
    <col min="9992" max="9992" width="13.5703125" style="342" customWidth="1"/>
    <col min="9993" max="9993" width="11.42578125" style="342" customWidth="1"/>
    <col min="9994" max="9994" width="8.140625" style="342" customWidth="1"/>
    <col min="9995" max="9996" width="8.85546875" style="342" customWidth="1"/>
    <col min="9997" max="9997" width="8.42578125" style="342" customWidth="1"/>
    <col min="9998" max="9998" width="10.7109375" style="342" bestFit="1" customWidth="1"/>
    <col min="9999" max="9999" width="10.5703125" style="342" bestFit="1" customWidth="1"/>
    <col min="10000" max="10240" width="9.140625" style="342"/>
    <col min="10241" max="10241" width="8.85546875" style="342" customWidth="1"/>
    <col min="10242" max="10242" width="23" style="342" customWidth="1"/>
    <col min="10243" max="10243" width="9.85546875" style="342" customWidth="1"/>
    <col min="10244" max="10244" width="11" style="342" customWidth="1"/>
    <col min="10245" max="10245" width="11.85546875" style="342" customWidth="1"/>
    <col min="10246" max="10246" width="10.85546875" style="342" customWidth="1"/>
    <col min="10247" max="10247" width="10.7109375" style="342" customWidth="1"/>
    <col min="10248" max="10248" width="13.5703125" style="342" customWidth="1"/>
    <col min="10249" max="10249" width="11.42578125" style="342" customWidth="1"/>
    <col min="10250" max="10250" width="8.140625" style="342" customWidth="1"/>
    <col min="10251" max="10252" width="8.85546875" style="342" customWidth="1"/>
    <col min="10253" max="10253" width="8.42578125" style="342" customWidth="1"/>
    <col min="10254" max="10254" width="10.7109375" style="342" bestFit="1" customWidth="1"/>
    <col min="10255" max="10255" width="10.5703125" style="342" bestFit="1" customWidth="1"/>
    <col min="10256" max="10496" width="9.140625" style="342"/>
    <col min="10497" max="10497" width="8.85546875" style="342" customWidth="1"/>
    <col min="10498" max="10498" width="23" style="342" customWidth="1"/>
    <col min="10499" max="10499" width="9.85546875" style="342" customWidth="1"/>
    <col min="10500" max="10500" width="11" style="342" customWidth="1"/>
    <col min="10501" max="10501" width="11.85546875" style="342" customWidth="1"/>
    <col min="10502" max="10502" width="10.85546875" style="342" customWidth="1"/>
    <col min="10503" max="10503" width="10.7109375" style="342" customWidth="1"/>
    <col min="10504" max="10504" width="13.5703125" style="342" customWidth="1"/>
    <col min="10505" max="10505" width="11.42578125" style="342" customWidth="1"/>
    <col min="10506" max="10506" width="8.140625" style="342" customWidth="1"/>
    <col min="10507" max="10508" width="8.85546875" style="342" customWidth="1"/>
    <col min="10509" max="10509" width="8.42578125" style="342" customWidth="1"/>
    <col min="10510" max="10510" width="10.7109375" style="342" bestFit="1" customWidth="1"/>
    <col min="10511" max="10511" width="10.5703125" style="342" bestFit="1" customWidth="1"/>
    <col min="10512" max="10752" width="9.140625" style="342"/>
    <col min="10753" max="10753" width="8.85546875" style="342" customWidth="1"/>
    <col min="10754" max="10754" width="23" style="342" customWidth="1"/>
    <col min="10755" max="10755" width="9.85546875" style="342" customWidth="1"/>
    <col min="10756" max="10756" width="11" style="342" customWidth="1"/>
    <col min="10757" max="10757" width="11.85546875" style="342" customWidth="1"/>
    <col min="10758" max="10758" width="10.85546875" style="342" customWidth="1"/>
    <col min="10759" max="10759" width="10.7109375" style="342" customWidth="1"/>
    <col min="10760" max="10760" width="13.5703125" style="342" customWidth="1"/>
    <col min="10761" max="10761" width="11.42578125" style="342" customWidth="1"/>
    <col min="10762" max="10762" width="8.140625" style="342" customWidth="1"/>
    <col min="10763" max="10764" width="8.85546875" style="342" customWidth="1"/>
    <col min="10765" max="10765" width="8.42578125" style="342" customWidth="1"/>
    <col min="10766" max="10766" width="10.7109375" style="342" bestFit="1" customWidth="1"/>
    <col min="10767" max="10767" width="10.5703125" style="342" bestFit="1" customWidth="1"/>
    <col min="10768" max="11008" width="9.140625" style="342"/>
    <col min="11009" max="11009" width="8.85546875" style="342" customWidth="1"/>
    <col min="11010" max="11010" width="23" style="342" customWidth="1"/>
    <col min="11011" max="11011" width="9.85546875" style="342" customWidth="1"/>
    <col min="11012" max="11012" width="11" style="342" customWidth="1"/>
    <col min="11013" max="11013" width="11.85546875" style="342" customWidth="1"/>
    <col min="11014" max="11014" width="10.85546875" style="342" customWidth="1"/>
    <col min="11015" max="11015" width="10.7109375" style="342" customWidth="1"/>
    <col min="11016" max="11016" width="13.5703125" style="342" customWidth="1"/>
    <col min="11017" max="11017" width="11.42578125" style="342" customWidth="1"/>
    <col min="11018" max="11018" width="8.140625" style="342" customWidth="1"/>
    <col min="11019" max="11020" width="8.85546875" style="342" customWidth="1"/>
    <col min="11021" max="11021" width="8.42578125" style="342" customWidth="1"/>
    <col min="11022" max="11022" width="10.7109375" style="342" bestFit="1" customWidth="1"/>
    <col min="11023" max="11023" width="10.5703125" style="342" bestFit="1" customWidth="1"/>
    <col min="11024" max="11264" width="9.140625" style="342"/>
    <col min="11265" max="11265" width="8.85546875" style="342" customWidth="1"/>
    <col min="11266" max="11266" width="23" style="342" customWidth="1"/>
    <col min="11267" max="11267" width="9.85546875" style="342" customWidth="1"/>
    <col min="11268" max="11268" width="11" style="342" customWidth="1"/>
    <col min="11269" max="11269" width="11.85546875" style="342" customWidth="1"/>
    <col min="11270" max="11270" width="10.85546875" style="342" customWidth="1"/>
    <col min="11271" max="11271" width="10.7109375" style="342" customWidth="1"/>
    <col min="11272" max="11272" width="13.5703125" style="342" customWidth="1"/>
    <col min="11273" max="11273" width="11.42578125" style="342" customWidth="1"/>
    <col min="11274" max="11274" width="8.140625" style="342" customWidth="1"/>
    <col min="11275" max="11276" width="8.85546875" style="342" customWidth="1"/>
    <col min="11277" max="11277" width="8.42578125" style="342" customWidth="1"/>
    <col min="11278" max="11278" width="10.7109375" style="342" bestFit="1" customWidth="1"/>
    <col min="11279" max="11279" width="10.5703125" style="342" bestFit="1" customWidth="1"/>
    <col min="11280" max="11520" width="9.140625" style="342"/>
    <col min="11521" max="11521" width="8.85546875" style="342" customWidth="1"/>
    <col min="11522" max="11522" width="23" style="342" customWidth="1"/>
    <col min="11523" max="11523" width="9.85546875" style="342" customWidth="1"/>
    <col min="11524" max="11524" width="11" style="342" customWidth="1"/>
    <col min="11525" max="11525" width="11.85546875" style="342" customWidth="1"/>
    <col min="11526" max="11526" width="10.85546875" style="342" customWidth="1"/>
    <col min="11527" max="11527" width="10.7109375" style="342" customWidth="1"/>
    <col min="11528" max="11528" width="13.5703125" style="342" customWidth="1"/>
    <col min="11529" max="11529" width="11.42578125" style="342" customWidth="1"/>
    <col min="11530" max="11530" width="8.140625" style="342" customWidth="1"/>
    <col min="11531" max="11532" width="8.85546875" style="342" customWidth="1"/>
    <col min="11533" max="11533" width="8.42578125" style="342" customWidth="1"/>
    <col min="11534" max="11534" width="10.7109375" style="342" bestFit="1" customWidth="1"/>
    <col min="11535" max="11535" width="10.5703125" style="342" bestFit="1" customWidth="1"/>
    <col min="11536" max="11776" width="9.140625" style="342"/>
    <col min="11777" max="11777" width="8.85546875" style="342" customWidth="1"/>
    <col min="11778" max="11778" width="23" style="342" customWidth="1"/>
    <col min="11779" max="11779" width="9.85546875" style="342" customWidth="1"/>
    <col min="11780" max="11780" width="11" style="342" customWidth="1"/>
    <col min="11781" max="11781" width="11.85546875" style="342" customWidth="1"/>
    <col min="11782" max="11782" width="10.85546875" style="342" customWidth="1"/>
    <col min="11783" max="11783" width="10.7109375" style="342" customWidth="1"/>
    <col min="11784" max="11784" width="13.5703125" style="342" customWidth="1"/>
    <col min="11785" max="11785" width="11.42578125" style="342" customWidth="1"/>
    <col min="11786" max="11786" width="8.140625" style="342" customWidth="1"/>
    <col min="11787" max="11788" width="8.85546875" style="342" customWidth="1"/>
    <col min="11789" max="11789" width="8.42578125" style="342" customWidth="1"/>
    <col min="11790" max="11790" width="10.7109375" style="342" bestFit="1" customWidth="1"/>
    <col min="11791" max="11791" width="10.5703125" style="342" bestFit="1" customWidth="1"/>
    <col min="11792" max="12032" width="9.140625" style="342"/>
    <col min="12033" max="12033" width="8.85546875" style="342" customWidth="1"/>
    <col min="12034" max="12034" width="23" style="342" customWidth="1"/>
    <col min="12035" max="12035" width="9.85546875" style="342" customWidth="1"/>
    <col min="12036" max="12036" width="11" style="342" customWidth="1"/>
    <col min="12037" max="12037" width="11.85546875" style="342" customWidth="1"/>
    <col min="12038" max="12038" width="10.85546875" style="342" customWidth="1"/>
    <col min="12039" max="12039" width="10.7109375" style="342" customWidth="1"/>
    <col min="12040" max="12040" width="13.5703125" style="342" customWidth="1"/>
    <col min="12041" max="12041" width="11.42578125" style="342" customWidth="1"/>
    <col min="12042" max="12042" width="8.140625" style="342" customWidth="1"/>
    <col min="12043" max="12044" width="8.85546875" style="342" customWidth="1"/>
    <col min="12045" max="12045" width="8.42578125" style="342" customWidth="1"/>
    <col min="12046" max="12046" width="10.7109375" style="342" bestFit="1" customWidth="1"/>
    <col min="12047" max="12047" width="10.5703125" style="342" bestFit="1" customWidth="1"/>
    <col min="12048" max="12288" width="9.140625" style="342"/>
    <col min="12289" max="12289" width="8.85546875" style="342" customWidth="1"/>
    <col min="12290" max="12290" width="23" style="342" customWidth="1"/>
    <col min="12291" max="12291" width="9.85546875" style="342" customWidth="1"/>
    <col min="12292" max="12292" width="11" style="342" customWidth="1"/>
    <col min="12293" max="12293" width="11.85546875" style="342" customWidth="1"/>
    <col min="12294" max="12294" width="10.85546875" style="342" customWidth="1"/>
    <col min="12295" max="12295" width="10.7109375" style="342" customWidth="1"/>
    <col min="12296" max="12296" width="13.5703125" style="342" customWidth="1"/>
    <col min="12297" max="12297" width="11.42578125" style="342" customWidth="1"/>
    <col min="12298" max="12298" width="8.140625" style="342" customWidth="1"/>
    <col min="12299" max="12300" width="8.85546875" style="342" customWidth="1"/>
    <col min="12301" max="12301" width="8.42578125" style="342" customWidth="1"/>
    <col min="12302" max="12302" width="10.7109375" style="342" bestFit="1" customWidth="1"/>
    <col min="12303" max="12303" width="10.5703125" style="342" bestFit="1" customWidth="1"/>
    <col min="12304" max="12544" width="9.140625" style="342"/>
    <col min="12545" max="12545" width="8.85546875" style="342" customWidth="1"/>
    <col min="12546" max="12546" width="23" style="342" customWidth="1"/>
    <col min="12547" max="12547" width="9.85546875" style="342" customWidth="1"/>
    <col min="12548" max="12548" width="11" style="342" customWidth="1"/>
    <col min="12549" max="12549" width="11.85546875" style="342" customWidth="1"/>
    <col min="12550" max="12550" width="10.85546875" style="342" customWidth="1"/>
    <col min="12551" max="12551" width="10.7109375" style="342" customWidth="1"/>
    <col min="12552" max="12552" width="13.5703125" style="342" customWidth="1"/>
    <col min="12553" max="12553" width="11.42578125" style="342" customWidth="1"/>
    <col min="12554" max="12554" width="8.140625" style="342" customWidth="1"/>
    <col min="12555" max="12556" width="8.85546875" style="342" customWidth="1"/>
    <col min="12557" max="12557" width="8.42578125" style="342" customWidth="1"/>
    <col min="12558" max="12558" width="10.7109375" style="342" bestFit="1" customWidth="1"/>
    <col min="12559" max="12559" width="10.5703125" style="342" bestFit="1" customWidth="1"/>
    <col min="12560" max="12800" width="9.140625" style="342"/>
    <col min="12801" max="12801" width="8.85546875" style="342" customWidth="1"/>
    <col min="12802" max="12802" width="23" style="342" customWidth="1"/>
    <col min="12803" max="12803" width="9.85546875" style="342" customWidth="1"/>
    <col min="12804" max="12804" width="11" style="342" customWidth="1"/>
    <col min="12805" max="12805" width="11.85546875" style="342" customWidth="1"/>
    <col min="12806" max="12806" width="10.85546875" style="342" customWidth="1"/>
    <col min="12807" max="12807" width="10.7109375" style="342" customWidth="1"/>
    <col min="12808" max="12808" width="13.5703125" style="342" customWidth="1"/>
    <col min="12809" max="12809" width="11.42578125" style="342" customWidth="1"/>
    <col min="12810" max="12810" width="8.140625" style="342" customWidth="1"/>
    <col min="12811" max="12812" width="8.85546875" style="342" customWidth="1"/>
    <col min="12813" max="12813" width="8.42578125" style="342" customWidth="1"/>
    <col min="12814" max="12814" width="10.7109375" style="342" bestFit="1" customWidth="1"/>
    <col min="12815" max="12815" width="10.5703125" style="342" bestFit="1" customWidth="1"/>
    <col min="12816" max="13056" width="9.140625" style="342"/>
    <col min="13057" max="13057" width="8.85546875" style="342" customWidth="1"/>
    <col min="13058" max="13058" width="23" style="342" customWidth="1"/>
    <col min="13059" max="13059" width="9.85546875" style="342" customWidth="1"/>
    <col min="13060" max="13060" width="11" style="342" customWidth="1"/>
    <col min="13061" max="13061" width="11.85546875" style="342" customWidth="1"/>
    <col min="13062" max="13062" width="10.85546875" style="342" customWidth="1"/>
    <col min="13063" max="13063" width="10.7109375" style="342" customWidth="1"/>
    <col min="13064" max="13064" width="13.5703125" style="342" customWidth="1"/>
    <col min="13065" max="13065" width="11.42578125" style="342" customWidth="1"/>
    <col min="13066" max="13066" width="8.140625" style="342" customWidth="1"/>
    <col min="13067" max="13068" width="8.85546875" style="342" customWidth="1"/>
    <col min="13069" max="13069" width="8.42578125" style="342" customWidth="1"/>
    <col min="13070" max="13070" width="10.7109375" style="342" bestFit="1" customWidth="1"/>
    <col min="13071" max="13071" width="10.5703125" style="342" bestFit="1" customWidth="1"/>
    <col min="13072" max="13312" width="9.140625" style="342"/>
    <col min="13313" max="13313" width="8.85546875" style="342" customWidth="1"/>
    <col min="13314" max="13314" width="23" style="342" customWidth="1"/>
    <col min="13315" max="13315" width="9.85546875" style="342" customWidth="1"/>
    <col min="13316" max="13316" width="11" style="342" customWidth="1"/>
    <col min="13317" max="13317" width="11.85546875" style="342" customWidth="1"/>
    <col min="13318" max="13318" width="10.85546875" style="342" customWidth="1"/>
    <col min="13319" max="13319" width="10.7109375" style="342" customWidth="1"/>
    <col min="13320" max="13320" width="13.5703125" style="342" customWidth="1"/>
    <col min="13321" max="13321" width="11.42578125" style="342" customWidth="1"/>
    <col min="13322" max="13322" width="8.140625" style="342" customWidth="1"/>
    <col min="13323" max="13324" width="8.85546875" style="342" customWidth="1"/>
    <col min="13325" max="13325" width="8.42578125" style="342" customWidth="1"/>
    <col min="13326" max="13326" width="10.7109375" style="342" bestFit="1" customWidth="1"/>
    <col min="13327" max="13327" width="10.5703125" style="342" bestFit="1" customWidth="1"/>
    <col min="13328" max="13568" width="9.140625" style="342"/>
    <col min="13569" max="13569" width="8.85546875" style="342" customWidth="1"/>
    <col min="13570" max="13570" width="23" style="342" customWidth="1"/>
    <col min="13571" max="13571" width="9.85546875" style="342" customWidth="1"/>
    <col min="13572" max="13572" width="11" style="342" customWidth="1"/>
    <col min="13573" max="13573" width="11.85546875" style="342" customWidth="1"/>
    <col min="13574" max="13574" width="10.85546875" style="342" customWidth="1"/>
    <col min="13575" max="13575" width="10.7109375" style="342" customWidth="1"/>
    <col min="13576" max="13576" width="13.5703125" style="342" customWidth="1"/>
    <col min="13577" max="13577" width="11.42578125" style="342" customWidth="1"/>
    <col min="13578" max="13578" width="8.140625" style="342" customWidth="1"/>
    <col min="13579" max="13580" width="8.85546875" style="342" customWidth="1"/>
    <col min="13581" max="13581" width="8.42578125" style="342" customWidth="1"/>
    <col min="13582" max="13582" width="10.7109375" style="342" bestFit="1" customWidth="1"/>
    <col min="13583" max="13583" width="10.5703125" style="342" bestFit="1" customWidth="1"/>
    <col min="13584" max="13824" width="9.140625" style="342"/>
    <col min="13825" max="13825" width="8.85546875" style="342" customWidth="1"/>
    <col min="13826" max="13826" width="23" style="342" customWidth="1"/>
    <col min="13827" max="13827" width="9.85546875" style="342" customWidth="1"/>
    <col min="13828" max="13828" width="11" style="342" customWidth="1"/>
    <col min="13829" max="13829" width="11.85546875" style="342" customWidth="1"/>
    <col min="13830" max="13830" width="10.85546875" style="342" customWidth="1"/>
    <col min="13831" max="13831" width="10.7109375" style="342" customWidth="1"/>
    <col min="13832" max="13832" width="13.5703125" style="342" customWidth="1"/>
    <col min="13833" max="13833" width="11.42578125" style="342" customWidth="1"/>
    <col min="13834" max="13834" width="8.140625" style="342" customWidth="1"/>
    <col min="13835" max="13836" width="8.85546875" style="342" customWidth="1"/>
    <col min="13837" max="13837" width="8.42578125" style="342" customWidth="1"/>
    <col min="13838" max="13838" width="10.7109375" style="342" bestFit="1" customWidth="1"/>
    <col min="13839" max="13839" width="10.5703125" style="342" bestFit="1" customWidth="1"/>
    <col min="13840" max="14080" width="9.140625" style="342"/>
    <col min="14081" max="14081" width="8.85546875" style="342" customWidth="1"/>
    <col min="14082" max="14082" width="23" style="342" customWidth="1"/>
    <col min="14083" max="14083" width="9.85546875" style="342" customWidth="1"/>
    <col min="14084" max="14084" width="11" style="342" customWidth="1"/>
    <col min="14085" max="14085" width="11.85546875" style="342" customWidth="1"/>
    <col min="14086" max="14086" width="10.85546875" style="342" customWidth="1"/>
    <col min="14087" max="14087" width="10.7109375" style="342" customWidth="1"/>
    <col min="14088" max="14088" width="13.5703125" style="342" customWidth="1"/>
    <col min="14089" max="14089" width="11.42578125" style="342" customWidth="1"/>
    <col min="14090" max="14090" width="8.140625" style="342" customWidth="1"/>
    <col min="14091" max="14092" width="8.85546875" style="342" customWidth="1"/>
    <col min="14093" max="14093" width="8.42578125" style="342" customWidth="1"/>
    <col min="14094" max="14094" width="10.7109375" style="342" bestFit="1" customWidth="1"/>
    <col min="14095" max="14095" width="10.5703125" style="342" bestFit="1" customWidth="1"/>
    <col min="14096" max="14336" width="9.140625" style="342"/>
    <col min="14337" max="14337" width="8.85546875" style="342" customWidth="1"/>
    <col min="14338" max="14338" width="23" style="342" customWidth="1"/>
    <col min="14339" max="14339" width="9.85546875" style="342" customWidth="1"/>
    <col min="14340" max="14340" width="11" style="342" customWidth="1"/>
    <col min="14341" max="14341" width="11.85546875" style="342" customWidth="1"/>
    <col min="14342" max="14342" width="10.85546875" style="342" customWidth="1"/>
    <col min="14343" max="14343" width="10.7109375" style="342" customWidth="1"/>
    <col min="14344" max="14344" width="13.5703125" style="342" customWidth="1"/>
    <col min="14345" max="14345" width="11.42578125" style="342" customWidth="1"/>
    <col min="14346" max="14346" width="8.140625" style="342" customWidth="1"/>
    <col min="14347" max="14348" width="8.85546875" style="342" customWidth="1"/>
    <col min="14349" max="14349" width="8.42578125" style="342" customWidth="1"/>
    <col min="14350" max="14350" width="10.7109375" style="342" bestFit="1" customWidth="1"/>
    <col min="14351" max="14351" width="10.5703125" style="342" bestFit="1" customWidth="1"/>
    <col min="14352" max="14592" width="9.140625" style="342"/>
    <col min="14593" max="14593" width="8.85546875" style="342" customWidth="1"/>
    <col min="14594" max="14594" width="23" style="342" customWidth="1"/>
    <col min="14595" max="14595" width="9.85546875" style="342" customWidth="1"/>
    <col min="14596" max="14596" width="11" style="342" customWidth="1"/>
    <col min="14597" max="14597" width="11.85546875" style="342" customWidth="1"/>
    <col min="14598" max="14598" width="10.85546875" style="342" customWidth="1"/>
    <col min="14599" max="14599" width="10.7109375" style="342" customWidth="1"/>
    <col min="14600" max="14600" width="13.5703125" style="342" customWidth="1"/>
    <col min="14601" max="14601" width="11.42578125" style="342" customWidth="1"/>
    <col min="14602" max="14602" width="8.140625" style="342" customWidth="1"/>
    <col min="14603" max="14604" width="8.85546875" style="342" customWidth="1"/>
    <col min="14605" max="14605" width="8.42578125" style="342" customWidth="1"/>
    <col min="14606" max="14606" width="10.7109375" style="342" bestFit="1" customWidth="1"/>
    <col min="14607" max="14607" width="10.5703125" style="342" bestFit="1" customWidth="1"/>
    <col min="14608" max="14848" width="9.140625" style="342"/>
    <col min="14849" max="14849" width="8.85546875" style="342" customWidth="1"/>
    <col min="14850" max="14850" width="23" style="342" customWidth="1"/>
    <col min="14851" max="14851" width="9.85546875" style="342" customWidth="1"/>
    <col min="14852" max="14852" width="11" style="342" customWidth="1"/>
    <col min="14853" max="14853" width="11.85546875" style="342" customWidth="1"/>
    <col min="14854" max="14854" width="10.85546875" style="342" customWidth="1"/>
    <col min="14855" max="14855" width="10.7109375" style="342" customWidth="1"/>
    <col min="14856" max="14856" width="13.5703125" style="342" customWidth="1"/>
    <col min="14857" max="14857" width="11.42578125" style="342" customWidth="1"/>
    <col min="14858" max="14858" width="8.140625" style="342" customWidth="1"/>
    <col min="14859" max="14860" width="8.85546875" style="342" customWidth="1"/>
    <col min="14861" max="14861" width="8.42578125" style="342" customWidth="1"/>
    <col min="14862" max="14862" width="10.7109375" style="342" bestFit="1" customWidth="1"/>
    <col min="14863" max="14863" width="10.5703125" style="342" bestFit="1" customWidth="1"/>
    <col min="14864" max="15104" width="9.140625" style="342"/>
    <col min="15105" max="15105" width="8.85546875" style="342" customWidth="1"/>
    <col min="15106" max="15106" width="23" style="342" customWidth="1"/>
    <col min="15107" max="15107" width="9.85546875" style="342" customWidth="1"/>
    <col min="15108" max="15108" width="11" style="342" customWidth="1"/>
    <col min="15109" max="15109" width="11.85546875" style="342" customWidth="1"/>
    <col min="15110" max="15110" width="10.85546875" style="342" customWidth="1"/>
    <col min="15111" max="15111" width="10.7109375" style="342" customWidth="1"/>
    <col min="15112" max="15112" width="13.5703125" style="342" customWidth="1"/>
    <col min="15113" max="15113" width="11.42578125" style="342" customWidth="1"/>
    <col min="15114" max="15114" width="8.140625" style="342" customWidth="1"/>
    <col min="15115" max="15116" width="8.85546875" style="342" customWidth="1"/>
    <col min="15117" max="15117" width="8.42578125" style="342" customWidth="1"/>
    <col min="15118" max="15118" width="10.7109375" style="342" bestFit="1" customWidth="1"/>
    <col min="15119" max="15119" width="10.5703125" style="342" bestFit="1" customWidth="1"/>
    <col min="15120" max="15360" width="9.140625" style="342"/>
    <col min="15361" max="15361" width="8.85546875" style="342" customWidth="1"/>
    <col min="15362" max="15362" width="23" style="342" customWidth="1"/>
    <col min="15363" max="15363" width="9.85546875" style="342" customWidth="1"/>
    <col min="15364" max="15364" width="11" style="342" customWidth="1"/>
    <col min="15365" max="15365" width="11.85546875" style="342" customWidth="1"/>
    <col min="15366" max="15366" width="10.85546875" style="342" customWidth="1"/>
    <col min="15367" max="15367" width="10.7109375" style="342" customWidth="1"/>
    <col min="15368" max="15368" width="13.5703125" style="342" customWidth="1"/>
    <col min="15369" max="15369" width="11.42578125" style="342" customWidth="1"/>
    <col min="15370" max="15370" width="8.140625" style="342" customWidth="1"/>
    <col min="15371" max="15372" width="8.85546875" style="342" customWidth="1"/>
    <col min="15373" max="15373" width="8.42578125" style="342" customWidth="1"/>
    <col min="15374" max="15374" width="10.7109375" style="342" bestFit="1" customWidth="1"/>
    <col min="15375" max="15375" width="10.5703125" style="342" bestFit="1" customWidth="1"/>
    <col min="15376" max="15616" width="9.140625" style="342"/>
    <col min="15617" max="15617" width="8.85546875" style="342" customWidth="1"/>
    <col min="15618" max="15618" width="23" style="342" customWidth="1"/>
    <col min="15619" max="15619" width="9.85546875" style="342" customWidth="1"/>
    <col min="15620" max="15620" width="11" style="342" customWidth="1"/>
    <col min="15621" max="15621" width="11.85546875" style="342" customWidth="1"/>
    <col min="15622" max="15622" width="10.85546875" style="342" customWidth="1"/>
    <col min="15623" max="15623" width="10.7109375" style="342" customWidth="1"/>
    <col min="15624" max="15624" width="13.5703125" style="342" customWidth="1"/>
    <col min="15625" max="15625" width="11.42578125" style="342" customWidth="1"/>
    <col min="15626" max="15626" width="8.140625" style="342" customWidth="1"/>
    <col min="15627" max="15628" width="8.85546875" style="342" customWidth="1"/>
    <col min="15629" max="15629" width="8.42578125" style="342" customWidth="1"/>
    <col min="15630" max="15630" width="10.7109375" style="342" bestFit="1" customWidth="1"/>
    <col min="15631" max="15631" width="10.5703125" style="342" bestFit="1" customWidth="1"/>
    <col min="15632" max="15872" width="9.140625" style="342"/>
    <col min="15873" max="15873" width="8.85546875" style="342" customWidth="1"/>
    <col min="15874" max="15874" width="23" style="342" customWidth="1"/>
    <col min="15875" max="15875" width="9.85546875" style="342" customWidth="1"/>
    <col min="15876" max="15876" width="11" style="342" customWidth="1"/>
    <col min="15877" max="15877" width="11.85546875" style="342" customWidth="1"/>
    <col min="15878" max="15878" width="10.85546875" style="342" customWidth="1"/>
    <col min="15879" max="15879" width="10.7109375" style="342" customWidth="1"/>
    <col min="15880" max="15880" width="13.5703125" style="342" customWidth="1"/>
    <col min="15881" max="15881" width="11.42578125" style="342" customWidth="1"/>
    <col min="15882" max="15882" width="8.140625" style="342" customWidth="1"/>
    <col min="15883" max="15884" width="8.85546875" style="342" customWidth="1"/>
    <col min="15885" max="15885" width="8.42578125" style="342" customWidth="1"/>
    <col min="15886" max="15886" width="10.7109375" style="342" bestFit="1" customWidth="1"/>
    <col min="15887" max="15887" width="10.5703125" style="342" bestFit="1" customWidth="1"/>
    <col min="15888" max="16128" width="9.140625" style="342"/>
    <col min="16129" max="16129" width="8.85546875" style="342" customWidth="1"/>
    <col min="16130" max="16130" width="23" style="342" customWidth="1"/>
    <col min="16131" max="16131" width="9.85546875" style="342" customWidth="1"/>
    <col min="16132" max="16132" width="11" style="342" customWidth="1"/>
    <col min="16133" max="16133" width="11.85546875" style="342" customWidth="1"/>
    <col min="16134" max="16134" width="10.85546875" style="342" customWidth="1"/>
    <col min="16135" max="16135" width="10.7109375" style="342" customWidth="1"/>
    <col min="16136" max="16136" width="13.5703125" style="342" customWidth="1"/>
    <col min="16137" max="16137" width="11.42578125" style="342" customWidth="1"/>
    <col min="16138" max="16138" width="8.140625" style="342" customWidth="1"/>
    <col min="16139" max="16140" width="8.85546875" style="342" customWidth="1"/>
    <col min="16141" max="16141" width="8.42578125" style="342" customWidth="1"/>
    <col min="16142" max="16142" width="10.7109375" style="342" bestFit="1" customWidth="1"/>
    <col min="16143" max="16143" width="10.5703125" style="342" bestFit="1" customWidth="1"/>
    <col min="16144" max="16384" width="9.140625" style="342"/>
  </cols>
  <sheetData>
    <row r="1" spans="1:13" ht="15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</row>
    <row r="2" spans="1:13" ht="15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</row>
    <row r="3" spans="1:13">
      <c r="A3" s="1114" t="s">
        <v>1214</v>
      </c>
      <c r="B3" s="1115"/>
      <c r="C3" s="1113" t="s">
        <v>5391</v>
      </c>
      <c r="D3" s="1113"/>
      <c r="E3" s="1116" t="s">
        <v>5369</v>
      </c>
      <c r="F3" s="1115"/>
      <c r="G3" s="419">
        <v>905180202</v>
      </c>
      <c r="H3" s="1116" t="s">
        <v>5370</v>
      </c>
      <c r="I3" s="1115"/>
      <c r="J3" s="419">
        <v>465.726</v>
      </c>
      <c r="K3" s="1116" t="s">
        <v>5371</v>
      </c>
      <c r="L3" s="1115"/>
      <c r="M3" s="420">
        <v>80</v>
      </c>
    </row>
    <row r="4" spans="1:13" ht="15">
      <c r="A4" s="808" t="s">
        <v>4176</v>
      </c>
      <c r="B4" s="808"/>
      <c r="C4" s="808"/>
      <c r="D4" s="421"/>
      <c r="E4" s="421"/>
      <c r="F4" s="421"/>
      <c r="G4" s="421"/>
      <c r="H4" s="422"/>
      <c r="I4" s="422"/>
      <c r="J4" s="422"/>
      <c r="K4" s="422"/>
      <c r="L4" s="422"/>
    </row>
    <row r="5" spans="1:13">
      <c r="A5" s="1114" t="s">
        <v>832</v>
      </c>
      <c r="B5" s="1115"/>
      <c r="C5" s="1113" t="s">
        <v>5392</v>
      </c>
      <c r="D5" s="1113"/>
      <c r="E5" s="1116" t="s">
        <v>5373</v>
      </c>
      <c r="F5" s="1115"/>
      <c r="G5" s="1108" t="s">
        <v>5393</v>
      </c>
      <c r="H5" s="1108"/>
      <c r="I5" s="423"/>
      <c r="K5" s="423"/>
      <c r="L5" s="422"/>
    </row>
    <row r="6" spans="1:13">
      <c r="A6" s="421"/>
      <c r="B6" s="422"/>
      <c r="C6" s="421"/>
      <c r="D6" s="421"/>
      <c r="E6" s="421"/>
      <c r="F6" s="421"/>
      <c r="G6" s="421"/>
      <c r="H6" s="422"/>
      <c r="I6" s="422"/>
      <c r="J6" s="422"/>
      <c r="K6" s="422"/>
      <c r="L6" s="422"/>
    </row>
    <row r="7" spans="1:13">
      <c r="A7" s="1114" t="s">
        <v>618</v>
      </c>
      <c r="B7" s="1115"/>
      <c r="C7" s="1113" t="s">
        <v>4065</v>
      </c>
      <c r="D7" s="1113"/>
      <c r="E7" s="1117" t="s">
        <v>1206</v>
      </c>
      <c r="F7" s="1118"/>
      <c r="G7" s="1109" t="s">
        <v>5394</v>
      </c>
      <c r="H7" s="1134"/>
      <c r="I7" s="1134"/>
      <c r="J7" s="1134"/>
      <c r="K7" s="1110"/>
      <c r="L7" s="422"/>
    </row>
    <row r="8" spans="1:13">
      <c r="A8" s="421"/>
      <c r="B8" s="422"/>
      <c r="C8" s="421"/>
      <c r="D8" s="421"/>
      <c r="E8" s="421"/>
      <c r="F8" s="421"/>
      <c r="G8" s="421"/>
      <c r="H8" s="422"/>
      <c r="I8" s="422"/>
      <c r="J8" s="422"/>
      <c r="K8" s="422"/>
      <c r="L8" s="422"/>
    </row>
    <row r="9" spans="1:13">
      <c r="A9" s="1131" t="s">
        <v>838</v>
      </c>
      <c r="B9" s="1132"/>
      <c r="C9" s="1133"/>
      <c r="D9" s="1113" t="s">
        <v>5395</v>
      </c>
      <c r="E9" s="1113"/>
      <c r="F9" s="1108" t="s">
        <v>5396</v>
      </c>
      <c r="G9" s="1108"/>
      <c r="H9" s="1108" t="s">
        <v>5397</v>
      </c>
      <c r="I9" s="1108"/>
      <c r="J9" s="1112"/>
      <c r="K9" s="1112"/>
      <c r="L9" s="422"/>
    </row>
    <row r="10" spans="1:13">
      <c r="A10" s="1131" t="s">
        <v>1203</v>
      </c>
      <c r="B10" s="1132"/>
      <c r="C10" s="1133"/>
      <c r="D10" s="1113" t="s">
        <v>5398</v>
      </c>
      <c r="E10" s="1113"/>
      <c r="F10" s="1108" t="s">
        <v>5399</v>
      </c>
      <c r="G10" s="1108"/>
      <c r="H10" s="1108" t="s">
        <v>5400</v>
      </c>
      <c r="I10" s="1108"/>
      <c r="J10" s="1112"/>
      <c r="K10" s="1112"/>
      <c r="L10" s="422"/>
    </row>
    <row r="11" spans="1:13">
      <c r="A11" s="1131" t="s">
        <v>1202</v>
      </c>
      <c r="B11" s="1132"/>
      <c r="C11" s="1133"/>
      <c r="D11" s="1109" t="s">
        <v>5401</v>
      </c>
      <c r="E11" s="1110"/>
      <c r="F11" s="1108" t="s">
        <v>5402</v>
      </c>
      <c r="G11" s="1108"/>
      <c r="H11" s="1111" t="s">
        <v>5403</v>
      </c>
      <c r="I11" s="1111"/>
      <c r="J11" s="1112"/>
      <c r="K11" s="1112"/>
      <c r="L11" s="422"/>
    </row>
    <row r="12" spans="1:13">
      <c r="A12" s="1131" t="s">
        <v>1196</v>
      </c>
      <c r="B12" s="1132"/>
      <c r="C12" s="1133"/>
      <c r="D12" s="1113"/>
      <c r="E12" s="1113"/>
      <c r="F12" s="1108"/>
      <c r="G12" s="1108"/>
      <c r="H12" s="1108"/>
      <c r="I12" s="1108"/>
      <c r="J12" s="1112"/>
      <c r="K12" s="1112"/>
      <c r="L12" s="422"/>
    </row>
    <row r="13" spans="1:13">
      <c r="A13" s="421"/>
      <c r="B13" s="422"/>
      <c r="C13" s="421"/>
      <c r="D13" s="421"/>
      <c r="E13" s="421"/>
      <c r="F13" s="421"/>
      <c r="G13" s="421"/>
      <c r="H13" s="422"/>
      <c r="I13" s="422"/>
      <c r="J13" s="422"/>
      <c r="K13" s="422"/>
      <c r="L13" s="422"/>
    </row>
    <row r="14" spans="1:13">
      <c r="A14" s="1101" t="s">
        <v>1194</v>
      </c>
      <c r="B14" s="1102"/>
      <c r="C14" s="552">
        <v>3</v>
      </c>
      <c r="D14" s="1103" t="s">
        <v>1193</v>
      </c>
      <c r="E14" s="1101"/>
      <c r="F14" s="424">
        <v>3</v>
      </c>
      <c r="G14" s="421" t="s">
        <v>643</v>
      </c>
      <c r="H14" s="424">
        <v>11</v>
      </c>
      <c r="I14" s="421" t="s">
        <v>644</v>
      </c>
      <c r="J14" s="420" t="s">
        <v>1269</v>
      </c>
      <c r="K14" s="422" t="s">
        <v>645</v>
      </c>
      <c r="L14" s="420">
        <v>12</v>
      </c>
    </row>
    <row r="15" spans="1:13">
      <c r="A15" s="421"/>
      <c r="B15" s="425"/>
      <c r="C15" s="421"/>
      <c r="D15" s="423"/>
      <c r="E15" s="421"/>
      <c r="F15" s="423"/>
      <c r="G15" s="421"/>
      <c r="H15" s="426"/>
      <c r="I15" s="422"/>
      <c r="J15" s="422"/>
      <c r="K15" s="422"/>
      <c r="L15" s="422"/>
    </row>
    <row r="16" spans="1:13" ht="22.5">
      <c r="A16" s="427" t="s">
        <v>1192</v>
      </c>
      <c r="B16" s="428" t="s">
        <v>204</v>
      </c>
      <c r="C16" s="552">
        <f>19+86+68</f>
        <v>173</v>
      </c>
      <c r="D16" s="550" t="s">
        <v>205</v>
      </c>
      <c r="E16" s="552">
        <v>14</v>
      </c>
      <c r="F16" s="421" t="s">
        <v>206</v>
      </c>
      <c r="G16" s="552">
        <v>0</v>
      </c>
      <c r="H16" s="422" t="s">
        <v>230</v>
      </c>
      <c r="I16" s="552">
        <f>G16+E16+C16</f>
        <v>187</v>
      </c>
      <c r="J16" s="422" t="s">
        <v>207</v>
      </c>
      <c r="K16" s="420">
        <v>17</v>
      </c>
      <c r="L16" s="427" t="s">
        <v>855</v>
      </c>
      <c r="M16" s="343">
        <v>13</v>
      </c>
    </row>
    <row r="17" spans="1:15">
      <c r="A17" s="1104" t="s">
        <v>1191</v>
      </c>
      <c r="B17" s="428" t="s">
        <v>210</v>
      </c>
      <c r="C17" s="552">
        <v>496</v>
      </c>
      <c r="D17" s="550" t="s">
        <v>211</v>
      </c>
      <c r="E17" s="552">
        <v>37</v>
      </c>
      <c r="F17" s="421" t="s">
        <v>212</v>
      </c>
      <c r="G17" s="552">
        <v>0</v>
      </c>
      <c r="H17" s="422" t="s">
        <v>411</v>
      </c>
      <c r="I17" s="552">
        <f>G17+E17+C17</f>
        <v>533</v>
      </c>
      <c r="J17" s="426"/>
      <c r="K17" s="426"/>
      <c r="L17" s="426"/>
      <c r="M17" s="429"/>
    </row>
    <row r="18" spans="1:15" ht="24">
      <c r="A18" s="1104"/>
      <c r="B18" s="428" t="s">
        <v>213</v>
      </c>
      <c r="C18" s="552">
        <v>545</v>
      </c>
      <c r="D18" s="550" t="s">
        <v>214</v>
      </c>
      <c r="E18" s="552">
        <v>36</v>
      </c>
      <c r="F18" s="421" t="s">
        <v>215</v>
      </c>
      <c r="G18" s="552">
        <v>0</v>
      </c>
      <c r="H18" s="422" t="s">
        <v>410</v>
      </c>
      <c r="I18" s="552">
        <f>G18+E18+C18</f>
        <v>581</v>
      </c>
      <c r="J18" s="426"/>
      <c r="K18" s="426"/>
      <c r="L18" s="426"/>
      <c r="M18" s="429"/>
    </row>
    <row r="19" spans="1:15">
      <c r="A19" s="421"/>
      <c r="B19" s="422"/>
      <c r="C19" s="421"/>
      <c r="D19" s="421"/>
      <c r="E19" s="421"/>
      <c r="F19" s="421"/>
      <c r="G19" s="421"/>
      <c r="H19" s="422"/>
      <c r="I19" s="422"/>
      <c r="J19" s="422"/>
      <c r="K19" s="422"/>
      <c r="L19" s="422"/>
    </row>
    <row r="20" spans="1:15">
      <c r="A20" s="1105" t="s">
        <v>409</v>
      </c>
      <c r="B20" s="1105"/>
      <c r="C20" s="421"/>
      <c r="D20" s="421"/>
      <c r="E20" s="421"/>
      <c r="F20" s="421"/>
      <c r="G20" s="421"/>
      <c r="H20" s="422"/>
      <c r="I20" s="422"/>
      <c r="J20" s="422"/>
      <c r="K20" s="422"/>
      <c r="L20" s="422"/>
    </row>
    <row r="21" spans="1:15" s="442" customFormat="1" ht="15">
      <c r="A21" s="1128" t="s">
        <v>1190</v>
      </c>
      <c r="B21" s="1128"/>
      <c r="C21" s="1129" t="s">
        <v>1189</v>
      </c>
      <c r="D21" s="1123" t="s">
        <v>219</v>
      </c>
      <c r="E21" s="1123" t="s">
        <v>5384</v>
      </c>
      <c r="F21" s="1123" t="s">
        <v>5385</v>
      </c>
      <c r="G21" s="1125" t="s">
        <v>5386</v>
      </c>
      <c r="H21" s="1126"/>
      <c r="I21" s="1126"/>
      <c r="J21" s="1126"/>
      <c r="K21" s="1126"/>
      <c r="L21" s="1126"/>
      <c r="M21" s="1127"/>
    </row>
    <row r="22" spans="1:15" s="442" customFormat="1" ht="45">
      <c r="A22" s="1128"/>
      <c r="B22" s="1128"/>
      <c r="C22" s="1130"/>
      <c r="D22" s="1124"/>
      <c r="E22" s="1124"/>
      <c r="F22" s="1124"/>
      <c r="G22" s="443" t="s">
        <v>227</v>
      </c>
      <c r="H22" s="444" t="s">
        <v>228</v>
      </c>
      <c r="I22" s="443" t="s">
        <v>229</v>
      </c>
      <c r="J22" s="442" t="s">
        <v>1499</v>
      </c>
      <c r="K22" s="443" t="s">
        <v>4831</v>
      </c>
      <c r="L22" s="443" t="s">
        <v>4832</v>
      </c>
      <c r="M22" s="443" t="s">
        <v>4833</v>
      </c>
      <c r="N22" s="445" t="s">
        <v>5387</v>
      </c>
      <c r="O22" s="446" t="s">
        <v>662</v>
      </c>
    </row>
    <row r="23" spans="1:15" s="442" customFormat="1" ht="15">
      <c r="A23" s="1128" t="s">
        <v>232</v>
      </c>
      <c r="B23" s="1128"/>
      <c r="C23" s="443">
        <v>8000</v>
      </c>
      <c r="D23" s="432" t="s">
        <v>873</v>
      </c>
      <c r="E23" s="447">
        <f>+C23*J3/100000</f>
        <v>37.25808</v>
      </c>
      <c r="F23" s="447">
        <f>1680000/100000</f>
        <v>16.8</v>
      </c>
      <c r="G23" s="447">
        <v>0</v>
      </c>
      <c r="H23" s="447">
        <f>221660/100000</f>
        <v>2.2166000000000001</v>
      </c>
      <c r="I23" s="448">
        <f>1133743/100000</f>
        <v>11.337429999999999</v>
      </c>
      <c r="J23" s="448"/>
      <c r="K23" s="448"/>
      <c r="L23" s="448"/>
      <c r="M23" s="448"/>
      <c r="N23" s="449">
        <f>+G23+H23+I23+J23+K23+L23+M23</f>
        <v>13.554029999999999</v>
      </c>
      <c r="O23" s="449">
        <f>N23*100/F23</f>
        <v>80.678749999999994</v>
      </c>
    </row>
    <row r="24" spans="1:15" s="442" customFormat="1" ht="15">
      <c r="A24" s="1128" t="s">
        <v>234</v>
      </c>
      <c r="B24" s="1128"/>
      <c r="C24" s="443">
        <v>7000</v>
      </c>
      <c r="D24" s="438" t="s">
        <v>873</v>
      </c>
      <c r="E24" s="447">
        <f>+C24*M3/100000</f>
        <v>5.6</v>
      </c>
      <c r="F24" s="447">
        <v>0</v>
      </c>
      <c r="G24" s="447">
        <v>0</v>
      </c>
      <c r="H24" s="447">
        <v>0</v>
      </c>
      <c r="I24" s="448">
        <v>0</v>
      </c>
      <c r="J24" s="448"/>
      <c r="K24" s="448"/>
      <c r="L24" s="448"/>
      <c r="M24" s="448"/>
      <c r="N24" s="449">
        <f t="shared" ref="N24:N31" si="0">+G24+H24+I24+J24+K24+L24+M24</f>
        <v>0</v>
      </c>
      <c r="O24" s="449">
        <v>0</v>
      </c>
    </row>
    <row r="25" spans="1:15" s="442" customFormat="1" ht="15">
      <c r="A25" s="1128" t="s">
        <v>235</v>
      </c>
      <c r="B25" s="1128"/>
      <c r="C25" s="443">
        <v>86</v>
      </c>
      <c r="D25" s="438" t="s">
        <v>5388</v>
      </c>
      <c r="E25" s="447">
        <v>0.43</v>
      </c>
      <c r="F25" s="447">
        <f>35000/100000</f>
        <v>0.35</v>
      </c>
      <c r="G25" s="447">
        <v>0</v>
      </c>
      <c r="H25" s="447">
        <f>3540/100000</f>
        <v>3.5400000000000001E-2</v>
      </c>
      <c r="I25" s="448">
        <f>8940/100000</f>
        <v>8.9399999999999993E-2</v>
      </c>
      <c r="J25" s="448"/>
      <c r="K25" s="448"/>
      <c r="L25" s="448"/>
      <c r="M25" s="448"/>
      <c r="N25" s="449">
        <f t="shared" si="0"/>
        <v>0.12479999999999999</v>
      </c>
      <c r="O25" s="449">
        <f t="shared" ref="O25:O32" si="1">N25*100/F25</f>
        <v>35.657142857142858</v>
      </c>
    </row>
    <row r="26" spans="1:15" s="442" customFormat="1" ht="15">
      <c r="A26" s="1128" t="s">
        <v>237</v>
      </c>
      <c r="B26" s="1128"/>
      <c r="C26" s="443">
        <v>68</v>
      </c>
      <c r="D26" s="438" t="s">
        <v>5388</v>
      </c>
      <c r="E26" s="447">
        <v>0.34</v>
      </c>
      <c r="F26" s="447">
        <f>16000/100000</f>
        <v>0.16</v>
      </c>
      <c r="G26" s="447">
        <v>0</v>
      </c>
      <c r="H26" s="447">
        <f>16000/100000</f>
        <v>0.16</v>
      </c>
      <c r="I26" s="448">
        <v>0</v>
      </c>
      <c r="J26" s="448"/>
      <c r="K26" s="448"/>
      <c r="L26" s="448"/>
      <c r="M26" s="448"/>
      <c r="N26" s="449">
        <f t="shared" si="0"/>
        <v>0.16</v>
      </c>
      <c r="O26" s="449">
        <f t="shared" si="1"/>
        <v>100</v>
      </c>
    </row>
    <row r="27" spans="1:15" s="442" customFormat="1" ht="15">
      <c r="A27" s="1128" t="s">
        <v>238</v>
      </c>
      <c r="B27" s="1128"/>
      <c r="C27" s="443">
        <v>1200</v>
      </c>
      <c r="D27" s="438" t="s">
        <v>873</v>
      </c>
      <c r="E27" s="447">
        <f>+C27*J3/100000</f>
        <v>5.5887119999999992</v>
      </c>
      <c r="F27" s="447">
        <f>200000/100000</f>
        <v>2</v>
      </c>
      <c r="G27" s="447">
        <v>0</v>
      </c>
      <c r="H27" s="447">
        <v>0</v>
      </c>
      <c r="I27" s="448">
        <f>35000/100000</f>
        <v>0.35</v>
      </c>
      <c r="J27" s="448"/>
      <c r="K27" s="448"/>
      <c r="L27" s="448"/>
      <c r="M27" s="448"/>
      <c r="N27" s="449">
        <f t="shared" si="0"/>
        <v>0.35</v>
      </c>
      <c r="O27" s="449">
        <f t="shared" si="1"/>
        <v>17.5</v>
      </c>
    </row>
    <row r="28" spans="1:15" s="442" customFormat="1" ht="15">
      <c r="A28" s="1128" t="s">
        <v>667</v>
      </c>
      <c r="B28" s="1128"/>
      <c r="C28" s="443">
        <v>565</v>
      </c>
      <c r="D28" s="438" t="s">
        <v>873</v>
      </c>
      <c r="E28" s="447">
        <f>+C28*J3/100000</f>
        <v>2.6313518999999999</v>
      </c>
      <c r="F28" s="447">
        <f>263121/100000</f>
        <v>2.6312099999999998</v>
      </c>
      <c r="G28" s="447">
        <v>0</v>
      </c>
      <c r="H28" s="447">
        <f>263121/100000</f>
        <v>2.6312099999999998</v>
      </c>
      <c r="I28" s="448">
        <v>0</v>
      </c>
      <c r="J28" s="448"/>
      <c r="K28" s="448"/>
      <c r="L28" s="448"/>
      <c r="M28" s="448"/>
      <c r="N28" s="449">
        <f t="shared" si="0"/>
        <v>2.6312099999999998</v>
      </c>
      <c r="O28" s="449">
        <f t="shared" si="1"/>
        <v>100</v>
      </c>
    </row>
    <row r="29" spans="1:15" s="442" customFormat="1" ht="15">
      <c r="A29" s="1128" t="s">
        <v>1176</v>
      </c>
      <c r="B29" s="1128"/>
      <c r="C29" s="443">
        <v>1000</v>
      </c>
      <c r="D29" s="438" t="s">
        <v>873</v>
      </c>
      <c r="E29" s="447">
        <f>+C29*J3/100000</f>
        <v>4.65726</v>
      </c>
      <c r="F29" s="447">
        <v>0</v>
      </c>
      <c r="G29" s="447">
        <v>0</v>
      </c>
      <c r="H29" s="447">
        <v>0</v>
      </c>
      <c r="I29" s="448">
        <v>0</v>
      </c>
      <c r="J29" s="448"/>
      <c r="K29" s="448"/>
      <c r="L29" s="448"/>
      <c r="M29" s="448"/>
      <c r="N29" s="449">
        <f t="shared" si="0"/>
        <v>0</v>
      </c>
      <c r="O29" s="449">
        <v>0</v>
      </c>
    </row>
    <row r="30" spans="1:15" s="442" customFormat="1" ht="15">
      <c r="A30" s="1128" t="s">
        <v>394</v>
      </c>
      <c r="B30" s="1128"/>
      <c r="C30" s="443">
        <f>250*5+750+500</f>
        <v>2500</v>
      </c>
      <c r="D30" s="438" t="s">
        <v>5389</v>
      </c>
      <c r="E30" s="434">
        <f>66000/100000+1.687</f>
        <v>2.347</v>
      </c>
      <c r="F30" s="434">
        <f>66000/100000</f>
        <v>0.66</v>
      </c>
      <c r="G30" s="447">
        <v>0</v>
      </c>
      <c r="H30" s="447">
        <f>29250/100000</f>
        <v>0.29249999999999998</v>
      </c>
      <c r="I30" s="448">
        <f>27250/100000</f>
        <v>0.27250000000000002</v>
      </c>
      <c r="J30" s="448"/>
      <c r="K30" s="448"/>
      <c r="L30" s="448"/>
      <c r="M30" s="448"/>
      <c r="N30" s="449">
        <f t="shared" si="0"/>
        <v>0.56499999999999995</v>
      </c>
      <c r="O30" s="449">
        <f t="shared" si="1"/>
        <v>85.606060606060595</v>
      </c>
    </row>
    <row r="31" spans="1:15" s="442" customFormat="1" ht="15">
      <c r="A31" s="1128" t="s">
        <v>670</v>
      </c>
      <c r="B31" s="1128"/>
      <c r="C31" s="443">
        <v>2000</v>
      </c>
      <c r="D31" s="439" t="s">
        <v>5390</v>
      </c>
      <c r="E31" s="447">
        <f>10000/100000</f>
        <v>0.1</v>
      </c>
      <c r="F31" s="447">
        <f>10000/100000</f>
        <v>0.1</v>
      </c>
      <c r="G31" s="447">
        <v>0</v>
      </c>
      <c r="H31" s="447">
        <f>10000/100000</f>
        <v>0.1</v>
      </c>
      <c r="I31" s="448">
        <v>0</v>
      </c>
      <c r="J31" s="448"/>
      <c r="K31" s="448"/>
      <c r="L31" s="448"/>
      <c r="M31" s="448"/>
      <c r="N31" s="449">
        <f t="shared" si="0"/>
        <v>0.1</v>
      </c>
      <c r="O31" s="449">
        <f t="shared" si="1"/>
        <v>100</v>
      </c>
    </row>
    <row r="32" spans="1:15" s="442" customFormat="1" ht="15">
      <c r="A32" s="1121" t="s">
        <v>230</v>
      </c>
      <c r="B32" s="1122"/>
      <c r="C32" s="443"/>
      <c r="D32" s="444"/>
      <c r="E32" s="450">
        <f>SUM(E23:E31)</f>
        <v>58.952403900000007</v>
      </c>
      <c r="F32" s="450">
        <f t="shared" ref="F32:N32" si="2">SUM(F23:F31)</f>
        <v>22.701210000000003</v>
      </c>
      <c r="G32" s="450">
        <f t="shared" si="2"/>
        <v>0</v>
      </c>
      <c r="H32" s="450">
        <f t="shared" si="2"/>
        <v>5.4357100000000003</v>
      </c>
      <c r="I32" s="450">
        <f t="shared" si="2"/>
        <v>12.049329999999999</v>
      </c>
      <c r="J32" s="450">
        <f t="shared" si="2"/>
        <v>0</v>
      </c>
      <c r="K32" s="450">
        <f t="shared" si="2"/>
        <v>0</v>
      </c>
      <c r="L32" s="450">
        <f t="shared" si="2"/>
        <v>0</v>
      </c>
      <c r="M32" s="450">
        <f t="shared" si="2"/>
        <v>0</v>
      </c>
      <c r="N32" s="450">
        <f t="shared" si="2"/>
        <v>17.485040000000001</v>
      </c>
      <c r="O32" s="451">
        <f t="shared" si="1"/>
        <v>77.022502324765938</v>
      </c>
    </row>
  </sheetData>
  <mergeCells count="56">
    <mergeCell ref="A4:C4"/>
    <mergeCell ref="A1:M1"/>
    <mergeCell ref="A2:M2"/>
    <mergeCell ref="A3:B3"/>
    <mergeCell ref="C3:D3"/>
    <mergeCell ref="E3:F3"/>
    <mergeCell ref="H3:I3"/>
    <mergeCell ref="K3:L3"/>
    <mergeCell ref="A5:B5"/>
    <mergeCell ref="C5:D5"/>
    <mergeCell ref="E5:F5"/>
    <mergeCell ref="G5:H5"/>
    <mergeCell ref="A7:B7"/>
    <mergeCell ref="C7:D7"/>
    <mergeCell ref="E7:F7"/>
    <mergeCell ref="G7:K7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12:C12"/>
    <mergeCell ref="D12:E12"/>
    <mergeCell ref="F12:G12"/>
    <mergeCell ref="H12:I12"/>
    <mergeCell ref="J12:K12"/>
    <mergeCell ref="A11:C11"/>
    <mergeCell ref="D11:E11"/>
    <mergeCell ref="F11:G11"/>
    <mergeCell ref="H11:I11"/>
    <mergeCell ref="J11:K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G21:M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3" right="0.12" top="0.61" bottom="0.4" header="0.37" footer="0.28000000000000003"/>
  <pageSetup scale="80" orientation="landscape" horizontalDpi="180" verticalDpi="18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>
    <tabColor indexed="39"/>
  </sheetPr>
  <dimension ref="A1:O33"/>
  <sheetViews>
    <sheetView workbookViewId="0">
      <selection activeCell="A4" sqref="A4:C4"/>
    </sheetView>
  </sheetViews>
  <sheetFormatPr defaultRowHeight="12.75"/>
  <cols>
    <col min="1" max="1" width="12.7109375" style="342" customWidth="1"/>
    <col min="2" max="2" width="13.7109375" style="342" customWidth="1"/>
    <col min="3" max="4" width="9.85546875" style="342" customWidth="1"/>
    <col min="5" max="5" width="11.85546875" style="342" customWidth="1"/>
    <col min="6" max="6" width="10.85546875" style="342" customWidth="1"/>
    <col min="7" max="8" width="10.7109375" style="342" customWidth="1"/>
    <col min="9" max="9" width="8.5703125" style="342" customWidth="1"/>
    <col min="10" max="10" width="8.140625" style="342" customWidth="1"/>
    <col min="11" max="12" width="8.85546875" style="342" customWidth="1"/>
    <col min="13" max="13" width="8.42578125" style="342" customWidth="1"/>
    <col min="14" max="14" width="9.85546875" style="342" bestFit="1" customWidth="1"/>
    <col min="15" max="256" width="9.140625" style="342"/>
    <col min="257" max="257" width="12.7109375" style="342" customWidth="1"/>
    <col min="258" max="258" width="13.7109375" style="342" customWidth="1"/>
    <col min="259" max="260" width="9.85546875" style="342" customWidth="1"/>
    <col min="261" max="261" width="11.85546875" style="342" customWidth="1"/>
    <col min="262" max="262" width="10.85546875" style="342" customWidth="1"/>
    <col min="263" max="264" width="10.7109375" style="342" customWidth="1"/>
    <col min="265" max="265" width="8.5703125" style="342" customWidth="1"/>
    <col min="266" max="266" width="8.140625" style="342" customWidth="1"/>
    <col min="267" max="268" width="8.85546875" style="342" customWidth="1"/>
    <col min="269" max="269" width="8.42578125" style="342" customWidth="1"/>
    <col min="270" max="270" width="9.85546875" style="342" bestFit="1" customWidth="1"/>
    <col min="271" max="512" width="9.140625" style="342"/>
    <col min="513" max="513" width="12.7109375" style="342" customWidth="1"/>
    <col min="514" max="514" width="13.7109375" style="342" customWidth="1"/>
    <col min="515" max="516" width="9.85546875" style="342" customWidth="1"/>
    <col min="517" max="517" width="11.85546875" style="342" customWidth="1"/>
    <col min="518" max="518" width="10.85546875" style="342" customWidth="1"/>
    <col min="519" max="520" width="10.7109375" style="342" customWidth="1"/>
    <col min="521" max="521" width="8.5703125" style="342" customWidth="1"/>
    <col min="522" max="522" width="8.140625" style="342" customWidth="1"/>
    <col min="523" max="524" width="8.85546875" style="342" customWidth="1"/>
    <col min="525" max="525" width="8.42578125" style="342" customWidth="1"/>
    <col min="526" max="526" width="9.85546875" style="342" bestFit="1" customWidth="1"/>
    <col min="527" max="768" width="9.140625" style="342"/>
    <col min="769" max="769" width="12.7109375" style="342" customWidth="1"/>
    <col min="770" max="770" width="13.7109375" style="342" customWidth="1"/>
    <col min="771" max="772" width="9.85546875" style="342" customWidth="1"/>
    <col min="773" max="773" width="11.85546875" style="342" customWidth="1"/>
    <col min="774" max="774" width="10.85546875" style="342" customWidth="1"/>
    <col min="775" max="776" width="10.7109375" style="342" customWidth="1"/>
    <col min="777" max="777" width="8.5703125" style="342" customWidth="1"/>
    <col min="778" max="778" width="8.140625" style="342" customWidth="1"/>
    <col min="779" max="780" width="8.85546875" style="342" customWidth="1"/>
    <col min="781" max="781" width="8.42578125" style="342" customWidth="1"/>
    <col min="782" max="782" width="9.85546875" style="342" bestFit="1" customWidth="1"/>
    <col min="783" max="1024" width="9.140625" style="342"/>
    <col min="1025" max="1025" width="12.7109375" style="342" customWidth="1"/>
    <col min="1026" max="1026" width="13.7109375" style="342" customWidth="1"/>
    <col min="1027" max="1028" width="9.85546875" style="342" customWidth="1"/>
    <col min="1029" max="1029" width="11.85546875" style="342" customWidth="1"/>
    <col min="1030" max="1030" width="10.85546875" style="342" customWidth="1"/>
    <col min="1031" max="1032" width="10.7109375" style="342" customWidth="1"/>
    <col min="1033" max="1033" width="8.5703125" style="342" customWidth="1"/>
    <col min="1034" max="1034" width="8.140625" style="342" customWidth="1"/>
    <col min="1035" max="1036" width="8.85546875" style="342" customWidth="1"/>
    <col min="1037" max="1037" width="8.42578125" style="342" customWidth="1"/>
    <col min="1038" max="1038" width="9.85546875" style="342" bestFit="1" customWidth="1"/>
    <col min="1039" max="1280" width="9.140625" style="342"/>
    <col min="1281" max="1281" width="12.7109375" style="342" customWidth="1"/>
    <col min="1282" max="1282" width="13.7109375" style="342" customWidth="1"/>
    <col min="1283" max="1284" width="9.85546875" style="342" customWidth="1"/>
    <col min="1285" max="1285" width="11.85546875" style="342" customWidth="1"/>
    <col min="1286" max="1286" width="10.85546875" style="342" customWidth="1"/>
    <col min="1287" max="1288" width="10.7109375" style="342" customWidth="1"/>
    <col min="1289" max="1289" width="8.5703125" style="342" customWidth="1"/>
    <col min="1290" max="1290" width="8.140625" style="342" customWidth="1"/>
    <col min="1291" max="1292" width="8.85546875" style="342" customWidth="1"/>
    <col min="1293" max="1293" width="8.42578125" style="342" customWidth="1"/>
    <col min="1294" max="1294" width="9.85546875" style="342" bestFit="1" customWidth="1"/>
    <col min="1295" max="1536" width="9.140625" style="342"/>
    <col min="1537" max="1537" width="12.7109375" style="342" customWidth="1"/>
    <col min="1538" max="1538" width="13.7109375" style="342" customWidth="1"/>
    <col min="1539" max="1540" width="9.85546875" style="342" customWidth="1"/>
    <col min="1541" max="1541" width="11.85546875" style="342" customWidth="1"/>
    <col min="1542" max="1542" width="10.85546875" style="342" customWidth="1"/>
    <col min="1543" max="1544" width="10.7109375" style="342" customWidth="1"/>
    <col min="1545" max="1545" width="8.5703125" style="342" customWidth="1"/>
    <col min="1546" max="1546" width="8.140625" style="342" customWidth="1"/>
    <col min="1547" max="1548" width="8.85546875" style="342" customWidth="1"/>
    <col min="1549" max="1549" width="8.42578125" style="342" customWidth="1"/>
    <col min="1550" max="1550" width="9.85546875" style="342" bestFit="1" customWidth="1"/>
    <col min="1551" max="1792" width="9.140625" style="342"/>
    <col min="1793" max="1793" width="12.7109375" style="342" customWidth="1"/>
    <col min="1794" max="1794" width="13.7109375" style="342" customWidth="1"/>
    <col min="1795" max="1796" width="9.85546875" style="342" customWidth="1"/>
    <col min="1797" max="1797" width="11.85546875" style="342" customWidth="1"/>
    <col min="1798" max="1798" width="10.85546875" style="342" customWidth="1"/>
    <col min="1799" max="1800" width="10.7109375" style="342" customWidth="1"/>
    <col min="1801" max="1801" width="8.5703125" style="342" customWidth="1"/>
    <col min="1802" max="1802" width="8.140625" style="342" customWidth="1"/>
    <col min="1803" max="1804" width="8.85546875" style="342" customWidth="1"/>
    <col min="1805" max="1805" width="8.42578125" style="342" customWidth="1"/>
    <col min="1806" max="1806" width="9.85546875" style="342" bestFit="1" customWidth="1"/>
    <col min="1807" max="2048" width="9.140625" style="342"/>
    <col min="2049" max="2049" width="12.7109375" style="342" customWidth="1"/>
    <col min="2050" max="2050" width="13.7109375" style="342" customWidth="1"/>
    <col min="2051" max="2052" width="9.85546875" style="342" customWidth="1"/>
    <col min="2053" max="2053" width="11.85546875" style="342" customWidth="1"/>
    <col min="2054" max="2054" width="10.85546875" style="342" customWidth="1"/>
    <col min="2055" max="2056" width="10.7109375" style="342" customWidth="1"/>
    <col min="2057" max="2057" width="8.5703125" style="342" customWidth="1"/>
    <col min="2058" max="2058" width="8.140625" style="342" customWidth="1"/>
    <col min="2059" max="2060" width="8.85546875" style="342" customWidth="1"/>
    <col min="2061" max="2061" width="8.42578125" style="342" customWidth="1"/>
    <col min="2062" max="2062" width="9.85546875" style="342" bestFit="1" customWidth="1"/>
    <col min="2063" max="2304" width="9.140625" style="342"/>
    <col min="2305" max="2305" width="12.7109375" style="342" customWidth="1"/>
    <col min="2306" max="2306" width="13.7109375" style="342" customWidth="1"/>
    <col min="2307" max="2308" width="9.85546875" style="342" customWidth="1"/>
    <col min="2309" max="2309" width="11.85546875" style="342" customWidth="1"/>
    <col min="2310" max="2310" width="10.85546875" style="342" customWidth="1"/>
    <col min="2311" max="2312" width="10.7109375" style="342" customWidth="1"/>
    <col min="2313" max="2313" width="8.5703125" style="342" customWidth="1"/>
    <col min="2314" max="2314" width="8.140625" style="342" customWidth="1"/>
    <col min="2315" max="2316" width="8.85546875" style="342" customWidth="1"/>
    <col min="2317" max="2317" width="8.42578125" style="342" customWidth="1"/>
    <col min="2318" max="2318" width="9.85546875" style="342" bestFit="1" customWidth="1"/>
    <col min="2319" max="2560" width="9.140625" style="342"/>
    <col min="2561" max="2561" width="12.7109375" style="342" customWidth="1"/>
    <col min="2562" max="2562" width="13.7109375" style="342" customWidth="1"/>
    <col min="2563" max="2564" width="9.85546875" style="342" customWidth="1"/>
    <col min="2565" max="2565" width="11.85546875" style="342" customWidth="1"/>
    <col min="2566" max="2566" width="10.85546875" style="342" customWidth="1"/>
    <col min="2567" max="2568" width="10.7109375" style="342" customWidth="1"/>
    <col min="2569" max="2569" width="8.5703125" style="342" customWidth="1"/>
    <col min="2570" max="2570" width="8.140625" style="342" customWidth="1"/>
    <col min="2571" max="2572" width="8.85546875" style="342" customWidth="1"/>
    <col min="2573" max="2573" width="8.42578125" style="342" customWidth="1"/>
    <col min="2574" max="2574" width="9.85546875" style="342" bestFit="1" customWidth="1"/>
    <col min="2575" max="2816" width="9.140625" style="342"/>
    <col min="2817" max="2817" width="12.7109375" style="342" customWidth="1"/>
    <col min="2818" max="2818" width="13.7109375" style="342" customWidth="1"/>
    <col min="2819" max="2820" width="9.85546875" style="342" customWidth="1"/>
    <col min="2821" max="2821" width="11.85546875" style="342" customWidth="1"/>
    <col min="2822" max="2822" width="10.85546875" style="342" customWidth="1"/>
    <col min="2823" max="2824" width="10.7109375" style="342" customWidth="1"/>
    <col min="2825" max="2825" width="8.5703125" style="342" customWidth="1"/>
    <col min="2826" max="2826" width="8.140625" style="342" customWidth="1"/>
    <col min="2827" max="2828" width="8.85546875" style="342" customWidth="1"/>
    <col min="2829" max="2829" width="8.42578125" style="342" customWidth="1"/>
    <col min="2830" max="2830" width="9.85546875" style="342" bestFit="1" customWidth="1"/>
    <col min="2831" max="3072" width="9.140625" style="342"/>
    <col min="3073" max="3073" width="12.7109375" style="342" customWidth="1"/>
    <col min="3074" max="3074" width="13.7109375" style="342" customWidth="1"/>
    <col min="3075" max="3076" width="9.85546875" style="342" customWidth="1"/>
    <col min="3077" max="3077" width="11.85546875" style="342" customWidth="1"/>
    <col min="3078" max="3078" width="10.85546875" style="342" customWidth="1"/>
    <col min="3079" max="3080" width="10.7109375" style="342" customWidth="1"/>
    <col min="3081" max="3081" width="8.5703125" style="342" customWidth="1"/>
    <col min="3082" max="3082" width="8.140625" style="342" customWidth="1"/>
    <col min="3083" max="3084" width="8.85546875" style="342" customWidth="1"/>
    <col min="3085" max="3085" width="8.42578125" style="342" customWidth="1"/>
    <col min="3086" max="3086" width="9.85546875" style="342" bestFit="1" customWidth="1"/>
    <col min="3087" max="3328" width="9.140625" style="342"/>
    <col min="3329" max="3329" width="12.7109375" style="342" customWidth="1"/>
    <col min="3330" max="3330" width="13.7109375" style="342" customWidth="1"/>
    <col min="3331" max="3332" width="9.85546875" style="342" customWidth="1"/>
    <col min="3333" max="3333" width="11.85546875" style="342" customWidth="1"/>
    <col min="3334" max="3334" width="10.85546875" style="342" customWidth="1"/>
    <col min="3335" max="3336" width="10.7109375" style="342" customWidth="1"/>
    <col min="3337" max="3337" width="8.5703125" style="342" customWidth="1"/>
    <col min="3338" max="3338" width="8.140625" style="342" customWidth="1"/>
    <col min="3339" max="3340" width="8.85546875" style="342" customWidth="1"/>
    <col min="3341" max="3341" width="8.42578125" style="342" customWidth="1"/>
    <col min="3342" max="3342" width="9.85546875" style="342" bestFit="1" customWidth="1"/>
    <col min="3343" max="3584" width="9.140625" style="342"/>
    <col min="3585" max="3585" width="12.7109375" style="342" customWidth="1"/>
    <col min="3586" max="3586" width="13.7109375" style="342" customWidth="1"/>
    <col min="3587" max="3588" width="9.85546875" style="342" customWidth="1"/>
    <col min="3589" max="3589" width="11.85546875" style="342" customWidth="1"/>
    <col min="3590" max="3590" width="10.85546875" style="342" customWidth="1"/>
    <col min="3591" max="3592" width="10.7109375" style="342" customWidth="1"/>
    <col min="3593" max="3593" width="8.5703125" style="342" customWidth="1"/>
    <col min="3594" max="3594" width="8.140625" style="342" customWidth="1"/>
    <col min="3595" max="3596" width="8.85546875" style="342" customWidth="1"/>
    <col min="3597" max="3597" width="8.42578125" style="342" customWidth="1"/>
    <col min="3598" max="3598" width="9.85546875" style="342" bestFit="1" customWidth="1"/>
    <col min="3599" max="3840" width="9.140625" style="342"/>
    <col min="3841" max="3841" width="12.7109375" style="342" customWidth="1"/>
    <col min="3842" max="3842" width="13.7109375" style="342" customWidth="1"/>
    <col min="3843" max="3844" width="9.85546875" style="342" customWidth="1"/>
    <col min="3845" max="3845" width="11.85546875" style="342" customWidth="1"/>
    <col min="3846" max="3846" width="10.85546875" style="342" customWidth="1"/>
    <col min="3847" max="3848" width="10.7109375" style="342" customWidth="1"/>
    <col min="3849" max="3849" width="8.5703125" style="342" customWidth="1"/>
    <col min="3850" max="3850" width="8.140625" style="342" customWidth="1"/>
    <col min="3851" max="3852" width="8.85546875" style="342" customWidth="1"/>
    <col min="3853" max="3853" width="8.42578125" style="342" customWidth="1"/>
    <col min="3854" max="3854" width="9.85546875" style="342" bestFit="1" customWidth="1"/>
    <col min="3855" max="4096" width="9.140625" style="342"/>
    <col min="4097" max="4097" width="12.7109375" style="342" customWidth="1"/>
    <col min="4098" max="4098" width="13.7109375" style="342" customWidth="1"/>
    <col min="4099" max="4100" width="9.85546875" style="342" customWidth="1"/>
    <col min="4101" max="4101" width="11.85546875" style="342" customWidth="1"/>
    <col min="4102" max="4102" width="10.85546875" style="342" customWidth="1"/>
    <col min="4103" max="4104" width="10.7109375" style="342" customWidth="1"/>
    <col min="4105" max="4105" width="8.5703125" style="342" customWidth="1"/>
    <col min="4106" max="4106" width="8.140625" style="342" customWidth="1"/>
    <col min="4107" max="4108" width="8.85546875" style="342" customWidth="1"/>
    <col min="4109" max="4109" width="8.42578125" style="342" customWidth="1"/>
    <col min="4110" max="4110" width="9.85546875" style="342" bestFit="1" customWidth="1"/>
    <col min="4111" max="4352" width="9.140625" style="342"/>
    <col min="4353" max="4353" width="12.7109375" style="342" customWidth="1"/>
    <col min="4354" max="4354" width="13.7109375" style="342" customWidth="1"/>
    <col min="4355" max="4356" width="9.85546875" style="342" customWidth="1"/>
    <col min="4357" max="4357" width="11.85546875" style="342" customWidth="1"/>
    <col min="4358" max="4358" width="10.85546875" style="342" customWidth="1"/>
    <col min="4359" max="4360" width="10.7109375" style="342" customWidth="1"/>
    <col min="4361" max="4361" width="8.5703125" style="342" customWidth="1"/>
    <col min="4362" max="4362" width="8.140625" style="342" customWidth="1"/>
    <col min="4363" max="4364" width="8.85546875" style="342" customWidth="1"/>
    <col min="4365" max="4365" width="8.42578125" style="342" customWidth="1"/>
    <col min="4366" max="4366" width="9.85546875" style="342" bestFit="1" customWidth="1"/>
    <col min="4367" max="4608" width="9.140625" style="342"/>
    <col min="4609" max="4609" width="12.7109375" style="342" customWidth="1"/>
    <col min="4610" max="4610" width="13.7109375" style="342" customWidth="1"/>
    <col min="4611" max="4612" width="9.85546875" style="342" customWidth="1"/>
    <col min="4613" max="4613" width="11.85546875" style="342" customWidth="1"/>
    <col min="4614" max="4614" width="10.85546875" style="342" customWidth="1"/>
    <col min="4615" max="4616" width="10.7109375" style="342" customWidth="1"/>
    <col min="4617" max="4617" width="8.5703125" style="342" customWidth="1"/>
    <col min="4618" max="4618" width="8.140625" style="342" customWidth="1"/>
    <col min="4619" max="4620" width="8.85546875" style="342" customWidth="1"/>
    <col min="4621" max="4621" width="8.42578125" style="342" customWidth="1"/>
    <col min="4622" max="4622" width="9.85546875" style="342" bestFit="1" customWidth="1"/>
    <col min="4623" max="4864" width="9.140625" style="342"/>
    <col min="4865" max="4865" width="12.7109375" style="342" customWidth="1"/>
    <col min="4866" max="4866" width="13.7109375" style="342" customWidth="1"/>
    <col min="4867" max="4868" width="9.85546875" style="342" customWidth="1"/>
    <col min="4869" max="4869" width="11.85546875" style="342" customWidth="1"/>
    <col min="4870" max="4870" width="10.85546875" style="342" customWidth="1"/>
    <col min="4871" max="4872" width="10.7109375" style="342" customWidth="1"/>
    <col min="4873" max="4873" width="8.5703125" style="342" customWidth="1"/>
    <col min="4874" max="4874" width="8.140625" style="342" customWidth="1"/>
    <col min="4875" max="4876" width="8.85546875" style="342" customWidth="1"/>
    <col min="4877" max="4877" width="8.42578125" style="342" customWidth="1"/>
    <col min="4878" max="4878" width="9.85546875" style="342" bestFit="1" customWidth="1"/>
    <col min="4879" max="5120" width="9.140625" style="342"/>
    <col min="5121" max="5121" width="12.7109375" style="342" customWidth="1"/>
    <col min="5122" max="5122" width="13.7109375" style="342" customWidth="1"/>
    <col min="5123" max="5124" width="9.85546875" style="342" customWidth="1"/>
    <col min="5125" max="5125" width="11.85546875" style="342" customWidth="1"/>
    <col min="5126" max="5126" width="10.85546875" style="342" customWidth="1"/>
    <col min="5127" max="5128" width="10.7109375" style="342" customWidth="1"/>
    <col min="5129" max="5129" width="8.5703125" style="342" customWidth="1"/>
    <col min="5130" max="5130" width="8.140625" style="342" customWidth="1"/>
    <col min="5131" max="5132" width="8.85546875" style="342" customWidth="1"/>
    <col min="5133" max="5133" width="8.42578125" style="342" customWidth="1"/>
    <col min="5134" max="5134" width="9.85546875" style="342" bestFit="1" customWidth="1"/>
    <col min="5135" max="5376" width="9.140625" style="342"/>
    <col min="5377" max="5377" width="12.7109375" style="342" customWidth="1"/>
    <col min="5378" max="5378" width="13.7109375" style="342" customWidth="1"/>
    <col min="5379" max="5380" width="9.85546875" style="342" customWidth="1"/>
    <col min="5381" max="5381" width="11.85546875" style="342" customWidth="1"/>
    <col min="5382" max="5382" width="10.85546875" style="342" customWidth="1"/>
    <col min="5383" max="5384" width="10.7109375" style="342" customWidth="1"/>
    <col min="5385" max="5385" width="8.5703125" style="342" customWidth="1"/>
    <col min="5386" max="5386" width="8.140625" style="342" customWidth="1"/>
    <col min="5387" max="5388" width="8.85546875" style="342" customWidth="1"/>
    <col min="5389" max="5389" width="8.42578125" style="342" customWidth="1"/>
    <col min="5390" max="5390" width="9.85546875" style="342" bestFit="1" customWidth="1"/>
    <col min="5391" max="5632" width="9.140625" style="342"/>
    <col min="5633" max="5633" width="12.7109375" style="342" customWidth="1"/>
    <col min="5634" max="5634" width="13.7109375" style="342" customWidth="1"/>
    <col min="5635" max="5636" width="9.85546875" style="342" customWidth="1"/>
    <col min="5637" max="5637" width="11.85546875" style="342" customWidth="1"/>
    <col min="5638" max="5638" width="10.85546875" style="342" customWidth="1"/>
    <col min="5639" max="5640" width="10.7109375" style="342" customWidth="1"/>
    <col min="5641" max="5641" width="8.5703125" style="342" customWidth="1"/>
    <col min="5642" max="5642" width="8.140625" style="342" customWidth="1"/>
    <col min="5643" max="5644" width="8.85546875" style="342" customWidth="1"/>
    <col min="5645" max="5645" width="8.42578125" style="342" customWidth="1"/>
    <col min="5646" max="5646" width="9.85546875" style="342" bestFit="1" customWidth="1"/>
    <col min="5647" max="5888" width="9.140625" style="342"/>
    <col min="5889" max="5889" width="12.7109375" style="342" customWidth="1"/>
    <col min="5890" max="5890" width="13.7109375" style="342" customWidth="1"/>
    <col min="5891" max="5892" width="9.85546875" style="342" customWidth="1"/>
    <col min="5893" max="5893" width="11.85546875" style="342" customWidth="1"/>
    <col min="5894" max="5894" width="10.85546875" style="342" customWidth="1"/>
    <col min="5895" max="5896" width="10.7109375" style="342" customWidth="1"/>
    <col min="5897" max="5897" width="8.5703125" style="342" customWidth="1"/>
    <col min="5898" max="5898" width="8.140625" style="342" customWidth="1"/>
    <col min="5899" max="5900" width="8.85546875" style="342" customWidth="1"/>
    <col min="5901" max="5901" width="8.42578125" style="342" customWidth="1"/>
    <col min="5902" max="5902" width="9.85546875" style="342" bestFit="1" customWidth="1"/>
    <col min="5903" max="6144" width="9.140625" style="342"/>
    <col min="6145" max="6145" width="12.7109375" style="342" customWidth="1"/>
    <col min="6146" max="6146" width="13.7109375" style="342" customWidth="1"/>
    <col min="6147" max="6148" width="9.85546875" style="342" customWidth="1"/>
    <col min="6149" max="6149" width="11.85546875" style="342" customWidth="1"/>
    <col min="6150" max="6150" width="10.85546875" style="342" customWidth="1"/>
    <col min="6151" max="6152" width="10.7109375" style="342" customWidth="1"/>
    <col min="6153" max="6153" width="8.5703125" style="342" customWidth="1"/>
    <col min="6154" max="6154" width="8.140625" style="342" customWidth="1"/>
    <col min="6155" max="6156" width="8.85546875" style="342" customWidth="1"/>
    <col min="6157" max="6157" width="8.42578125" style="342" customWidth="1"/>
    <col min="6158" max="6158" width="9.85546875" style="342" bestFit="1" customWidth="1"/>
    <col min="6159" max="6400" width="9.140625" style="342"/>
    <col min="6401" max="6401" width="12.7109375" style="342" customWidth="1"/>
    <col min="6402" max="6402" width="13.7109375" style="342" customWidth="1"/>
    <col min="6403" max="6404" width="9.85546875" style="342" customWidth="1"/>
    <col min="6405" max="6405" width="11.85546875" style="342" customWidth="1"/>
    <col min="6406" max="6406" width="10.85546875" style="342" customWidth="1"/>
    <col min="6407" max="6408" width="10.7109375" style="342" customWidth="1"/>
    <col min="6409" max="6409" width="8.5703125" style="342" customWidth="1"/>
    <col min="6410" max="6410" width="8.140625" style="342" customWidth="1"/>
    <col min="6411" max="6412" width="8.85546875" style="342" customWidth="1"/>
    <col min="6413" max="6413" width="8.42578125" style="342" customWidth="1"/>
    <col min="6414" max="6414" width="9.85546875" style="342" bestFit="1" customWidth="1"/>
    <col min="6415" max="6656" width="9.140625" style="342"/>
    <col min="6657" max="6657" width="12.7109375" style="342" customWidth="1"/>
    <col min="6658" max="6658" width="13.7109375" style="342" customWidth="1"/>
    <col min="6659" max="6660" width="9.85546875" style="342" customWidth="1"/>
    <col min="6661" max="6661" width="11.85546875" style="342" customWidth="1"/>
    <col min="6662" max="6662" width="10.85546875" style="342" customWidth="1"/>
    <col min="6663" max="6664" width="10.7109375" style="342" customWidth="1"/>
    <col min="6665" max="6665" width="8.5703125" style="342" customWidth="1"/>
    <col min="6666" max="6666" width="8.140625" style="342" customWidth="1"/>
    <col min="6667" max="6668" width="8.85546875" style="342" customWidth="1"/>
    <col min="6669" max="6669" width="8.42578125" style="342" customWidth="1"/>
    <col min="6670" max="6670" width="9.85546875" style="342" bestFit="1" customWidth="1"/>
    <col min="6671" max="6912" width="9.140625" style="342"/>
    <col min="6913" max="6913" width="12.7109375" style="342" customWidth="1"/>
    <col min="6914" max="6914" width="13.7109375" style="342" customWidth="1"/>
    <col min="6915" max="6916" width="9.85546875" style="342" customWidth="1"/>
    <col min="6917" max="6917" width="11.85546875" style="342" customWidth="1"/>
    <col min="6918" max="6918" width="10.85546875" style="342" customWidth="1"/>
    <col min="6919" max="6920" width="10.7109375" style="342" customWidth="1"/>
    <col min="6921" max="6921" width="8.5703125" style="342" customWidth="1"/>
    <col min="6922" max="6922" width="8.140625" style="342" customWidth="1"/>
    <col min="6923" max="6924" width="8.85546875" style="342" customWidth="1"/>
    <col min="6925" max="6925" width="8.42578125" style="342" customWidth="1"/>
    <col min="6926" max="6926" width="9.85546875" style="342" bestFit="1" customWidth="1"/>
    <col min="6927" max="7168" width="9.140625" style="342"/>
    <col min="7169" max="7169" width="12.7109375" style="342" customWidth="1"/>
    <col min="7170" max="7170" width="13.7109375" style="342" customWidth="1"/>
    <col min="7171" max="7172" width="9.85546875" style="342" customWidth="1"/>
    <col min="7173" max="7173" width="11.85546875" style="342" customWidth="1"/>
    <col min="7174" max="7174" width="10.85546875" style="342" customWidth="1"/>
    <col min="7175" max="7176" width="10.7109375" style="342" customWidth="1"/>
    <col min="7177" max="7177" width="8.5703125" style="342" customWidth="1"/>
    <col min="7178" max="7178" width="8.140625" style="342" customWidth="1"/>
    <col min="7179" max="7180" width="8.85546875" style="342" customWidth="1"/>
    <col min="7181" max="7181" width="8.42578125" style="342" customWidth="1"/>
    <col min="7182" max="7182" width="9.85546875" style="342" bestFit="1" customWidth="1"/>
    <col min="7183" max="7424" width="9.140625" style="342"/>
    <col min="7425" max="7425" width="12.7109375" style="342" customWidth="1"/>
    <col min="7426" max="7426" width="13.7109375" style="342" customWidth="1"/>
    <col min="7427" max="7428" width="9.85546875" style="342" customWidth="1"/>
    <col min="7429" max="7429" width="11.85546875" style="342" customWidth="1"/>
    <col min="7430" max="7430" width="10.85546875" style="342" customWidth="1"/>
    <col min="7431" max="7432" width="10.7109375" style="342" customWidth="1"/>
    <col min="7433" max="7433" width="8.5703125" style="342" customWidth="1"/>
    <col min="7434" max="7434" width="8.140625" style="342" customWidth="1"/>
    <col min="7435" max="7436" width="8.85546875" style="342" customWidth="1"/>
    <col min="7437" max="7437" width="8.42578125" style="342" customWidth="1"/>
    <col min="7438" max="7438" width="9.85546875" style="342" bestFit="1" customWidth="1"/>
    <col min="7439" max="7680" width="9.140625" style="342"/>
    <col min="7681" max="7681" width="12.7109375" style="342" customWidth="1"/>
    <col min="7682" max="7682" width="13.7109375" style="342" customWidth="1"/>
    <col min="7683" max="7684" width="9.85546875" style="342" customWidth="1"/>
    <col min="7685" max="7685" width="11.85546875" style="342" customWidth="1"/>
    <col min="7686" max="7686" width="10.85546875" style="342" customWidth="1"/>
    <col min="7687" max="7688" width="10.7109375" style="342" customWidth="1"/>
    <col min="7689" max="7689" width="8.5703125" style="342" customWidth="1"/>
    <col min="7690" max="7690" width="8.140625" style="342" customWidth="1"/>
    <col min="7691" max="7692" width="8.85546875" style="342" customWidth="1"/>
    <col min="7693" max="7693" width="8.42578125" style="342" customWidth="1"/>
    <col min="7694" max="7694" width="9.85546875" style="342" bestFit="1" customWidth="1"/>
    <col min="7695" max="7936" width="9.140625" style="342"/>
    <col min="7937" max="7937" width="12.7109375" style="342" customWidth="1"/>
    <col min="7938" max="7938" width="13.7109375" style="342" customWidth="1"/>
    <col min="7939" max="7940" width="9.85546875" style="342" customWidth="1"/>
    <col min="7941" max="7941" width="11.85546875" style="342" customWidth="1"/>
    <col min="7942" max="7942" width="10.85546875" style="342" customWidth="1"/>
    <col min="7943" max="7944" width="10.7109375" style="342" customWidth="1"/>
    <col min="7945" max="7945" width="8.5703125" style="342" customWidth="1"/>
    <col min="7946" max="7946" width="8.140625" style="342" customWidth="1"/>
    <col min="7947" max="7948" width="8.85546875" style="342" customWidth="1"/>
    <col min="7949" max="7949" width="8.42578125" style="342" customWidth="1"/>
    <col min="7950" max="7950" width="9.85546875" style="342" bestFit="1" customWidth="1"/>
    <col min="7951" max="8192" width="9.140625" style="342"/>
    <col min="8193" max="8193" width="12.7109375" style="342" customWidth="1"/>
    <col min="8194" max="8194" width="13.7109375" style="342" customWidth="1"/>
    <col min="8195" max="8196" width="9.85546875" style="342" customWidth="1"/>
    <col min="8197" max="8197" width="11.85546875" style="342" customWidth="1"/>
    <col min="8198" max="8198" width="10.85546875" style="342" customWidth="1"/>
    <col min="8199" max="8200" width="10.7109375" style="342" customWidth="1"/>
    <col min="8201" max="8201" width="8.5703125" style="342" customWidth="1"/>
    <col min="8202" max="8202" width="8.140625" style="342" customWidth="1"/>
    <col min="8203" max="8204" width="8.85546875" style="342" customWidth="1"/>
    <col min="8205" max="8205" width="8.42578125" style="342" customWidth="1"/>
    <col min="8206" max="8206" width="9.85546875" style="342" bestFit="1" customWidth="1"/>
    <col min="8207" max="8448" width="9.140625" style="342"/>
    <col min="8449" max="8449" width="12.7109375" style="342" customWidth="1"/>
    <col min="8450" max="8450" width="13.7109375" style="342" customWidth="1"/>
    <col min="8451" max="8452" width="9.85546875" style="342" customWidth="1"/>
    <col min="8453" max="8453" width="11.85546875" style="342" customWidth="1"/>
    <col min="8454" max="8454" width="10.85546875" style="342" customWidth="1"/>
    <col min="8455" max="8456" width="10.7109375" style="342" customWidth="1"/>
    <col min="8457" max="8457" width="8.5703125" style="342" customWidth="1"/>
    <col min="8458" max="8458" width="8.140625" style="342" customWidth="1"/>
    <col min="8459" max="8460" width="8.85546875" style="342" customWidth="1"/>
    <col min="8461" max="8461" width="8.42578125" style="342" customWidth="1"/>
    <col min="8462" max="8462" width="9.85546875" style="342" bestFit="1" customWidth="1"/>
    <col min="8463" max="8704" width="9.140625" style="342"/>
    <col min="8705" max="8705" width="12.7109375" style="342" customWidth="1"/>
    <col min="8706" max="8706" width="13.7109375" style="342" customWidth="1"/>
    <col min="8707" max="8708" width="9.85546875" style="342" customWidth="1"/>
    <col min="8709" max="8709" width="11.85546875" style="342" customWidth="1"/>
    <col min="8710" max="8710" width="10.85546875" style="342" customWidth="1"/>
    <col min="8711" max="8712" width="10.7109375" style="342" customWidth="1"/>
    <col min="8713" max="8713" width="8.5703125" style="342" customWidth="1"/>
    <col min="8714" max="8714" width="8.140625" style="342" customWidth="1"/>
    <col min="8715" max="8716" width="8.85546875" style="342" customWidth="1"/>
    <col min="8717" max="8717" width="8.42578125" style="342" customWidth="1"/>
    <col min="8718" max="8718" width="9.85546875" style="342" bestFit="1" customWidth="1"/>
    <col min="8719" max="8960" width="9.140625" style="342"/>
    <col min="8961" max="8961" width="12.7109375" style="342" customWidth="1"/>
    <col min="8962" max="8962" width="13.7109375" style="342" customWidth="1"/>
    <col min="8963" max="8964" width="9.85546875" style="342" customWidth="1"/>
    <col min="8965" max="8965" width="11.85546875" style="342" customWidth="1"/>
    <col min="8966" max="8966" width="10.85546875" style="342" customWidth="1"/>
    <col min="8967" max="8968" width="10.7109375" style="342" customWidth="1"/>
    <col min="8969" max="8969" width="8.5703125" style="342" customWidth="1"/>
    <col min="8970" max="8970" width="8.140625" style="342" customWidth="1"/>
    <col min="8971" max="8972" width="8.85546875" style="342" customWidth="1"/>
    <col min="8973" max="8973" width="8.42578125" style="342" customWidth="1"/>
    <col min="8974" max="8974" width="9.85546875" style="342" bestFit="1" customWidth="1"/>
    <col min="8975" max="9216" width="9.140625" style="342"/>
    <col min="9217" max="9217" width="12.7109375" style="342" customWidth="1"/>
    <col min="9218" max="9218" width="13.7109375" style="342" customWidth="1"/>
    <col min="9219" max="9220" width="9.85546875" style="342" customWidth="1"/>
    <col min="9221" max="9221" width="11.85546875" style="342" customWidth="1"/>
    <col min="9222" max="9222" width="10.85546875" style="342" customWidth="1"/>
    <col min="9223" max="9224" width="10.7109375" style="342" customWidth="1"/>
    <col min="9225" max="9225" width="8.5703125" style="342" customWidth="1"/>
    <col min="9226" max="9226" width="8.140625" style="342" customWidth="1"/>
    <col min="9227" max="9228" width="8.85546875" style="342" customWidth="1"/>
    <col min="9229" max="9229" width="8.42578125" style="342" customWidth="1"/>
    <col min="9230" max="9230" width="9.85546875" style="342" bestFit="1" customWidth="1"/>
    <col min="9231" max="9472" width="9.140625" style="342"/>
    <col min="9473" max="9473" width="12.7109375" style="342" customWidth="1"/>
    <col min="9474" max="9474" width="13.7109375" style="342" customWidth="1"/>
    <col min="9475" max="9476" width="9.85546875" style="342" customWidth="1"/>
    <col min="9477" max="9477" width="11.85546875" style="342" customWidth="1"/>
    <col min="9478" max="9478" width="10.85546875" style="342" customWidth="1"/>
    <col min="9479" max="9480" width="10.7109375" style="342" customWidth="1"/>
    <col min="9481" max="9481" width="8.5703125" style="342" customWidth="1"/>
    <col min="9482" max="9482" width="8.140625" style="342" customWidth="1"/>
    <col min="9483" max="9484" width="8.85546875" style="342" customWidth="1"/>
    <col min="9485" max="9485" width="8.42578125" style="342" customWidth="1"/>
    <col min="9486" max="9486" width="9.85546875" style="342" bestFit="1" customWidth="1"/>
    <col min="9487" max="9728" width="9.140625" style="342"/>
    <col min="9729" max="9729" width="12.7109375" style="342" customWidth="1"/>
    <col min="9730" max="9730" width="13.7109375" style="342" customWidth="1"/>
    <col min="9731" max="9732" width="9.85546875" style="342" customWidth="1"/>
    <col min="9733" max="9733" width="11.85546875" style="342" customWidth="1"/>
    <col min="9734" max="9734" width="10.85546875" style="342" customWidth="1"/>
    <col min="9735" max="9736" width="10.7109375" style="342" customWidth="1"/>
    <col min="9737" max="9737" width="8.5703125" style="342" customWidth="1"/>
    <col min="9738" max="9738" width="8.140625" style="342" customWidth="1"/>
    <col min="9739" max="9740" width="8.85546875" style="342" customWidth="1"/>
    <col min="9741" max="9741" width="8.42578125" style="342" customWidth="1"/>
    <col min="9742" max="9742" width="9.85546875" style="342" bestFit="1" customWidth="1"/>
    <col min="9743" max="9984" width="9.140625" style="342"/>
    <col min="9985" max="9985" width="12.7109375" style="342" customWidth="1"/>
    <col min="9986" max="9986" width="13.7109375" style="342" customWidth="1"/>
    <col min="9987" max="9988" width="9.85546875" style="342" customWidth="1"/>
    <col min="9989" max="9989" width="11.85546875" style="342" customWidth="1"/>
    <col min="9990" max="9990" width="10.85546875" style="342" customWidth="1"/>
    <col min="9991" max="9992" width="10.7109375" style="342" customWidth="1"/>
    <col min="9993" max="9993" width="8.5703125" style="342" customWidth="1"/>
    <col min="9994" max="9994" width="8.140625" style="342" customWidth="1"/>
    <col min="9995" max="9996" width="8.85546875" style="342" customWidth="1"/>
    <col min="9997" max="9997" width="8.42578125" style="342" customWidth="1"/>
    <col min="9998" max="9998" width="9.85546875" style="342" bestFit="1" customWidth="1"/>
    <col min="9999" max="10240" width="9.140625" style="342"/>
    <col min="10241" max="10241" width="12.7109375" style="342" customWidth="1"/>
    <col min="10242" max="10242" width="13.7109375" style="342" customWidth="1"/>
    <col min="10243" max="10244" width="9.85546875" style="342" customWidth="1"/>
    <col min="10245" max="10245" width="11.85546875" style="342" customWidth="1"/>
    <col min="10246" max="10246" width="10.85546875" style="342" customWidth="1"/>
    <col min="10247" max="10248" width="10.7109375" style="342" customWidth="1"/>
    <col min="10249" max="10249" width="8.5703125" style="342" customWidth="1"/>
    <col min="10250" max="10250" width="8.140625" style="342" customWidth="1"/>
    <col min="10251" max="10252" width="8.85546875" style="342" customWidth="1"/>
    <col min="10253" max="10253" width="8.42578125" style="342" customWidth="1"/>
    <col min="10254" max="10254" width="9.85546875" style="342" bestFit="1" customWidth="1"/>
    <col min="10255" max="10496" width="9.140625" style="342"/>
    <col min="10497" max="10497" width="12.7109375" style="342" customWidth="1"/>
    <col min="10498" max="10498" width="13.7109375" style="342" customWidth="1"/>
    <col min="10499" max="10500" width="9.85546875" style="342" customWidth="1"/>
    <col min="10501" max="10501" width="11.85546875" style="342" customWidth="1"/>
    <col min="10502" max="10502" width="10.85546875" style="342" customWidth="1"/>
    <col min="10503" max="10504" width="10.7109375" style="342" customWidth="1"/>
    <col min="10505" max="10505" width="8.5703125" style="342" customWidth="1"/>
    <col min="10506" max="10506" width="8.140625" style="342" customWidth="1"/>
    <col min="10507" max="10508" width="8.85546875" style="342" customWidth="1"/>
    <col min="10509" max="10509" width="8.42578125" style="342" customWidth="1"/>
    <col min="10510" max="10510" width="9.85546875" style="342" bestFit="1" customWidth="1"/>
    <col min="10511" max="10752" width="9.140625" style="342"/>
    <col min="10753" max="10753" width="12.7109375" style="342" customWidth="1"/>
    <col min="10754" max="10754" width="13.7109375" style="342" customWidth="1"/>
    <col min="10755" max="10756" width="9.85546875" style="342" customWidth="1"/>
    <col min="10757" max="10757" width="11.85546875" style="342" customWidth="1"/>
    <col min="10758" max="10758" width="10.85546875" style="342" customWidth="1"/>
    <col min="10759" max="10760" width="10.7109375" style="342" customWidth="1"/>
    <col min="10761" max="10761" width="8.5703125" style="342" customWidth="1"/>
    <col min="10762" max="10762" width="8.140625" style="342" customWidth="1"/>
    <col min="10763" max="10764" width="8.85546875" style="342" customWidth="1"/>
    <col min="10765" max="10765" width="8.42578125" style="342" customWidth="1"/>
    <col min="10766" max="10766" width="9.85546875" style="342" bestFit="1" customWidth="1"/>
    <col min="10767" max="11008" width="9.140625" style="342"/>
    <col min="11009" max="11009" width="12.7109375" style="342" customWidth="1"/>
    <col min="11010" max="11010" width="13.7109375" style="342" customWidth="1"/>
    <col min="11011" max="11012" width="9.85546875" style="342" customWidth="1"/>
    <col min="11013" max="11013" width="11.85546875" style="342" customWidth="1"/>
    <col min="11014" max="11014" width="10.85546875" style="342" customWidth="1"/>
    <col min="11015" max="11016" width="10.7109375" style="342" customWidth="1"/>
    <col min="11017" max="11017" width="8.5703125" style="342" customWidth="1"/>
    <col min="11018" max="11018" width="8.140625" style="342" customWidth="1"/>
    <col min="11019" max="11020" width="8.85546875" style="342" customWidth="1"/>
    <col min="11021" max="11021" width="8.42578125" style="342" customWidth="1"/>
    <col min="11022" max="11022" width="9.85546875" style="342" bestFit="1" customWidth="1"/>
    <col min="11023" max="11264" width="9.140625" style="342"/>
    <col min="11265" max="11265" width="12.7109375" style="342" customWidth="1"/>
    <col min="11266" max="11266" width="13.7109375" style="342" customWidth="1"/>
    <col min="11267" max="11268" width="9.85546875" style="342" customWidth="1"/>
    <col min="11269" max="11269" width="11.85546875" style="342" customWidth="1"/>
    <col min="11270" max="11270" width="10.85546875" style="342" customWidth="1"/>
    <col min="11271" max="11272" width="10.7109375" style="342" customWidth="1"/>
    <col min="11273" max="11273" width="8.5703125" style="342" customWidth="1"/>
    <col min="11274" max="11274" width="8.140625" style="342" customWidth="1"/>
    <col min="11275" max="11276" width="8.85546875" style="342" customWidth="1"/>
    <col min="11277" max="11277" width="8.42578125" style="342" customWidth="1"/>
    <col min="11278" max="11278" width="9.85546875" style="342" bestFit="1" customWidth="1"/>
    <col min="11279" max="11520" width="9.140625" style="342"/>
    <col min="11521" max="11521" width="12.7109375" style="342" customWidth="1"/>
    <col min="11522" max="11522" width="13.7109375" style="342" customWidth="1"/>
    <col min="11523" max="11524" width="9.85546875" style="342" customWidth="1"/>
    <col min="11525" max="11525" width="11.85546875" style="342" customWidth="1"/>
    <col min="11526" max="11526" width="10.85546875" style="342" customWidth="1"/>
    <col min="11527" max="11528" width="10.7109375" style="342" customWidth="1"/>
    <col min="11529" max="11529" width="8.5703125" style="342" customWidth="1"/>
    <col min="11530" max="11530" width="8.140625" style="342" customWidth="1"/>
    <col min="11531" max="11532" width="8.85546875" style="342" customWidth="1"/>
    <col min="11533" max="11533" width="8.42578125" style="342" customWidth="1"/>
    <col min="11534" max="11534" width="9.85546875" style="342" bestFit="1" customWidth="1"/>
    <col min="11535" max="11776" width="9.140625" style="342"/>
    <col min="11777" max="11777" width="12.7109375" style="342" customWidth="1"/>
    <col min="11778" max="11778" width="13.7109375" style="342" customWidth="1"/>
    <col min="11779" max="11780" width="9.85546875" style="342" customWidth="1"/>
    <col min="11781" max="11781" width="11.85546875" style="342" customWidth="1"/>
    <col min="11782" max="11782" width="10.85546875" style="342" customWidth="1"/>
    <col min="11783" max="11784" width="10.7109375" style="342" customWidth="1"/>
    <col min="11785" max="11785" width="8.5703125" style="342" customWidth="1"/>
    <col min="11786" max="11786" width="8.140625" style="342" customWidth="1"/>
    <col min="11787" max="11788" width="8.85546875" style="342" customWidth="1"/>
    <col min="11789" max="11789" width="8.42578125" style="342" customWidth="1"/>
    <col min="11790" max="11790" width="9.85546875" style="342" bestFit="1" customWidth="1"/>
    <col min="11791" max="12032" width="9.140625" style="342"/>
    <col min="12033" max="12033" width="12.7109375" style="342" customWidth="1"/>
    <col min="12034" max="12034" width="13.7109375" style="342" customWidth="1"/>
    <col min="12035" max="12036" width="9.85546875" style="342" customWidth="1"/>
    <col min="12037" max="12037" width="11.85546875" style="342" customWidth="1"/>
    <col min="12038" max="12038" width="10.85546875" style="342" customWidth="1"/>
    <col min="12039" max="12040" width="10.7109375" style="342" customWidth="1"/>
    <col min="12041" max="12041" width="8.5703125" style="342" customWidth="1"/>
    <col min="12042" max="12042" width="8.140625" style="342" customWidth="1"/>
    <col min="12043" max="12044" width="8.85546875" style="342" customWidth="1"/>
    <col min="12045" max="12045" width="8.42578125" style="342" customWidth="1"/>
    <col min="12046" max="12046" width="9.85546875" style="342" bestFit="1" customWidth="1"/>
    <col min="12047" max="12288" width="9.140625" style="342"/>
    <col min="12289" max="12289" width="12.7109375" style="342" customWidth="1"/>
    <col min="12290" max="12290" width="13.7109375" style="342" customWidth="1"/>
    <col min="12291" max="12292" width="9.85546875" style="342" customWidth="1"/>
    <col min="12293" max="12293" width="11.85546875" style="342" customWidth="1"/>
    <col min="12294" max="12294" width="10.85546875" style="342" customWidth="1"/>
    <col min="12295" max="12296" width="10.7109375" style="342" customWidth="1"/>
    <col min="12297" max="12297" width="8.5703125" style="342" customWidth="1"/>
    <col min="12298" max="12298" width="8.140625" style="342" customWidth="1"/>
    <col min="12299" max="12300" width="8.85546875" style="342" customWidth="1"/>
    <col min="12301" max="12301" width="8.42578125" style="342" customWidth="1"/>
    <col min="12302" max="12302" width="9.85546875" style="342" bestFit="1" customWidth="1"/>
    <col min="12303" max="12544" width="9.140625" style="342"/>
    <col min="12545" max="12545" width="12.7109375" style="342" customWidth="1"/>
    <col min="12546" max="12546" width="13.7109375" style="342" customWidth="1"/>
    <col min="12547" max="12548" width="9.85546875" style="342" customWidth="1"/>
    <col min="12549" max="12549" width="11.85546875" style="342" customWidth="1"/>
    <col min="12550" max="12550" width="10.85546875" style="342" customWidth="1"/>
    <col min="12551" max="12552" width="10.7109375" style="342" customWidth="1"/>
    <col min="12553" max="12553" width="8.5703125" style="342" customWidth="1"/>
    <col min="12554" max="12554" width="8.140625" style="342" customWidth="1"/>
    <col min="12555" max="12556" width="8.85546875" style="342" customWidth="1"/>
    <col min="12557" max="12557" width="8.42578125" style="342" customWidth="1"/>
    <col min="12558" max="12558" width="9.85546875" style="342" bestFit="1" customWidth="1"/>
    <col min="12559" max="12800" width="9.140625" style="342"/>
    <col min="12801" max="12801" width="12.7109375" style="342" customWidth="1"/>
    <col min="12802" max="12802" width="13.7109375" style="342" customWidth="1"/>
    <col min="12803" max="12804" width="9.85546875" style="342" customWidth="1"/>
    <col min="12805" max="12805" width="11.85546875" style="342" customWidth="1"/>
    <col min="12806" max="12806" width="10.85546875" style="342" customWidth="1"/>
    <col min="12807" max="12808" width="10.7109375" style="342" customWidth="1"/>
    <col min="12809" max="12809" width="8.5703125" style="342" customWidth="1"/>
    <col min="12810" max="12810" width="8.140625" style="342" customWidth="1"/>
    <col min="12811" max="12812" width="8.85546875" style="342" customWidth="1"/>
    <col min="12813" max="12813" width="8.42578125" style="342" customWidth="1"/>
    <col min="12814" max="12814" width="9.85546875" style="342" bestFit="1" customWidth="1"/>
    <col min="12815" max="13056" width="9.140625" style="342"/>
    <col min="13057" max="13057" width="12.7109375" style="342" customWidth="1"/>
    <col min="13058" max="13058" width="13.7109375" style="342" customWidth="1"/>
    <col min="13059" max="13060" width="9.85546875" style="342" customWidth="1"/>
    <col min="13061" max="13061" width="11.85546875" style="342" customWidth="1"/>
    <col min="13062" max="13062" width="10.85546875" style="342" customWidth="1"/>
    <col min="13063" max="13064" width="10.7109375" style="342" customWidth="1"/>
    <col min="13065" max="13065" width="8.5703125" style="342" customWidth="1"/>
    <col min="13066" max="13066" width="8.140625" style="342" customWidth="1"/>
    <col min="13067" max="13068" width="8.85546875" style="342" customWidth="1"/>
    <col min="13069" max="13069" width="8.42578125" style="342" customWidth="1"/>
    <col min="13070" max="13070" width="9.85546875" style="342" bestFit="1" customWidth="1"/>
    <col min="13071" max="13312" width="9.140625" style="342"/>
    <col min="13313" max="13313" width="12.7109375" style="342" customWidth="1"/>
    <col min="13314" max="13314" width="13.7109375" style="342" customWidth="1"/>
    <col min="13315" max="13316" width="9.85546875" style="342" customWidth="1"/>
    <col min="13317" max="13317" width="11.85546875" style="342" customWidth="1"/>
    <col min="13318" max="13318" width="10.85546875" style="342" customWidth="1"/>
    <col min="13319" max="13320" width="10.7109375" style="342" customWidth="1"/>
    <col min="13321" max="13321" width="8.5703125" style="342" customWidth="1"/>
    <col min="13322" max="13322" width="8.140625" style="342" customWidth="1"/>
    <col min="13323" max="13324" width="8.85546875" style="342" customWidth="1"/>
    <col min="13325" max="13325" width="8.42578125" style="342" customWidth="1"/>
    <col min="13326" max="13326" width="9.85546875" style="342" bestFit="1" customWidth="1"/>
    <col min="13327" max="13568" width="9.140625" style="342"/>
    <col min="13569" max="13569" width="12.7109375" style="342" customWidth="1"/>
    <col min="13570" max="13570" width="13.7109375" style="342" customWidth="1"/>
    <col min="13571" max="13572" width="9.85546875" style="342" customWidth="1"/>
    <col min="13573" max="13573" width="11.85546875" style="342" customWidth="1"/>
    <col min="13574" max="13574" width="10.85546875" style="342" customWidth="1"/>
    <col min="13575" max="13576" width="10.7109375" style="342" customWidth="1"/>
    <col min="13577" max="13577" width="8.5703125" style="342" customWidth="1"/>
    <col min="13578" max="13578" width="8.140625" style="342" customWidth="1"/>
    <col min="13579" max="13580" width="8.85546875" style="342" customWidth="1"/>
    <col min="13581" max="13581" width="8.42578125" style="342" customWidth="1"/>
    <col min="13582" max="13582" width="9.85546875" style="342" bestFit="1" customWidth="1"/>
    <col min="13583" max="13824" width="9.140625" style="342"/>
    <col min="13825" max="13825" width="12.7109375" style="342" customWidth="1"/>
    <col min="13826" max="13826" width="13.7109375" style="342" customWidth="1"/>
    <col min="13827" max="13828" width="9.85546875" style="342" customWidth="1"/>
    <col min="13829" max="13829" width="11.85546875" style="342" customWidth="1"/>
    <col min="13830" max="13830" width="10.85546875" style="342" customWidth="1"/>
    <col min="13831" max="13832" width="10.7109375" style="342" customWidth="1"/>
    <col min="13833" max="13833" width="8.5703125" style="342" customWidth="1"/>
    <col min="13834" max="13834" width="8.140625" style="342" customWidth="1"/>
    <col min="13835" max="13836" width="8.85546875" style="342" customWidth="1"/>
    <col min="13837" max="13837" width="8.42578125" style="342" customWidth="1"/>
    <col min="13838" max="13838" width="9.85546875" style="342" bestFit="1" customWidth="1"/>
    <col min="13839" max="14080" width="9.140625" style="342"/>
    <col min="14081" max="14081" width="12.7109375" style="342" customWidth="1"/>
    <col min="14082" max="14082" width="13.7109375" style="342" customWidth="1"/>
    <col min="14083" max="14084" width="9.85546875" style="342" customWidth="1"/>
    <col min="14085" max="14085" width="11.85546875" style="342" customWidth="1"/>
    <col min="14086" max="14086" width="10.85546875" style="342" customWidth="1"/>
    <col min="14087" max="14088" width="10.7109375" style="342" customWidth="1"/>
    <col min="14089" max="14089" width="8.5703125" style="342" customWidth="1"/>
    <col min="14090" max="14090" width="8.140625" style="342" customWidth="1"/>
    <col min="14091" max="14092" width="8.85546875" style="342" customWidth="1"/>
    <col min="14093" max="14093" width="8.42578125" style="342" customWidth="1"/>
    <col min="14094" max="14094" width="9.85546875" style="342" bestFit="1" customWidth="1"/>
    <col min="14095" max="14336" width="9.140625" style="342"/>
    <col min="14337" max="14337" width="12.7109375" style="342" customWidth="1"/>
    <col min="14338" max="14338" width="13.7109375" style="342" customWidth="1"/>
    <col min="14339" max="14340" width="9.85546875" style="342" customWidth="1"/>
    <col min="14341" max="14341" width="11.85546875" style="342" customWidth="1"/>
    <col min="14342" max="14342" width="10.85546875" style="342" customWidth="1"/>
    <col min="14343" max="14344" width="10.7109375" style="342" customWidth="1"/>
    <col min="14345" max="14345" width="8.5703125" style="342" customWidth="1"/>
    <col min="14346" max="14346" width="8.140625" style="342" customWidth="1"/>
    <col min="14347" max="14348" width="8.85546875" style="342" customWidth="1"/>
    <col min="14349" max="14349" width="8.42578125" style="342" customWidth="1"/>
    <col min="14350" max="14350" width="9.85546875" style="342" bestFit="1" customWidth="1"/>
    <col min="14351" max="14592" width="9.140625" style="342"/>
    <col min="14593" max="14593" width="12.7109375" style="342" customWidth="1"/>
    <col min="14594" max="14594" width="13.7109375" style="342" customWidth="1"/>
    <col min="14595" max="14596" width="9.85546875" style="342" customWidth="1"/>
    <col min="14597" max="14597" width="11.85546875" style="342" customWidth="1"/>
    <col min="14598" max="14598" width="10.85546875" style="342" customWidth="1"/>
    <col min="14599" max="14600" width="10.7109375" style="342" customWidth="1"/>
    <col min="14601" max="14601" width="8.5703125" style="342" customWidth="1"/>
    <col min="14602" max="14602" width="8.140625" style="342" customWidth="1"/>
    <col min="14603" max="14604" width="8.85546875" style="342" customWidth="1"/>
    <col min="14605" max="14605" width="8.42578125" style="342" customWidth="1"/>
    <col min="14606" max="14606" width="9.85546875" style="342" bestFit="1" customWidth="1"/>
    <col min="14607" max="14848" width="9.140625" style="342"/>
    <col min="14849" max="14849" width="12.7109375" style="342" customWidth="1"/>
    <col min="14850" max="14850" width="13.7109375" style="342" customWidth="1"/>
    <col min="14851" max="14852" width="9.85546875" style="342" customWidth="1"/>
    <col min="14853" max="14853" width="11.85546875" style="342" customWidth="1"/>
    <col min="14854" max="14854" width="10.85546875" style="342" customWidth="1"/>
    <col min="14855" max="14856" width="10.7109375" style="342" customWidth="1"/>
    <col min="14857" max="14857" width="8.5703125" style="342" customWidth="1"/>
    <col min="14858" max="14858" width="8.140625" style="342" customWidth="1"/>
    <col min="14859" max="14860" width="8.85546875" style="342" customWidth="1"/>
    <col min="14861" max="14861" width="8.42578125" style="342" customWidth="1"/>
    <col min="14862" max="14862" width="9.85546875" style="342" bestFit="1" customWidth="1"/>
    <col min="14863" max="15104" width="9.140625" style="342"/>
    <col min="15105" max="15105" width="12.7109375" style="342" customWidth="1"/>
    <col min="15106" max="15106" width="13.7109375" style="342" customWidth="1"/>
    <col min="15107" max="15108" width="9.85546875" style="342" customWidth="1"/>
    <col min="15109" max="15109" width="11.85546875" style="342" customWidth="1"/>
    <col min="15110" max="15110" width="10.85546875" style="342" customWidth="1"/>
    <col min="15111" max="15112" width="10.7109375" style="342" customWidth="1"/>
    <col min="15113" max="15113" width="8.5703125" style="342" customWidth="1"/>
    <col min="15114" max="15114" width="8.140625" style="342" customWidth="1"/>
    <col min="15115" max="15116" width="8.85546875" style="342" customWidth="1"/>
    <col min="15117" max="15117" width="8.42578125" style="342" customWidth="1"/>
    <col min="15118" max="15118" width="9.85546875" style="342" bestFit="1" customWidth="1"/>
    <col min="15119" max="15360" width="9.140625" style="342"/>
    <col min="15361" max="15361" width="12.7109375" style="342" customWidth="1"/>
    <col min="15362" max="15362" width="13.7109375" style="342" customWidth="1"/>
    <col min="15363" max="15364" width="9.85546875" style="342" customWidth="1"/>
    <col min="15365" max="15365" width="11.85546875" style="342" customWidth="1"/>
    <col min="15366" max="15366" width="10.85546875" style="342" customWidth="1"/>
    <col min="15367" max="15368" width="10.7109375" style="342" customWidth="1"/>
    <col min="15369" max="15369" width="8.5703125" style="342" customWidth="1"/>
    <col min="15370" max="15370" width="8.140625" style="342" customWidth="1"/>
    <col min="15371" max="15372" width="8.85546875" style="342" customWidth="1"/>
    <col min="15373" max="15373" width="8.42578125" style="342" customWidth="1"/>
    <col min="15374" max="15374" width="9.85546875" style="342" bestFit="1" customWidth="1"/>
    <col min="15375" max="15616" width="9.140625" style="342"/>
    <col min="15617" max="15617" width="12.7109375" style="342" customWidth="1"/>
    <col min="15618" max="15618" width="13.7109375" style="342" customWidth="1"/>
    <col min="15619" max="15620" width="9.85546875" style="342" customWidth="1"/>
    <col min="15621" max="15621" width="11.85546875" style="342" customWidth="1"/>
    <col min="15622" max="15622" width="10.85546875" style="342" customWidth="1"/>
    <col min="15623" max="15624" width="10.7109375" style="342" customWidth="1"/>
    <col min="15625" max="15625" width="8.5703125" style="342" customWidth="1"/>
    <col min="15626" max="15626" width="8.140625" style="342" customWidth="1"/>
    <col min="15627" max="15628" width="8.85546875" style="342" customWidth="1"/>
    <col min="15629" max="15629" width="8.42578125" style="342" customWidth="1"/>
    <col min="15630" max="15630" width="9.85546875" style="342" bestFit="1" customWidth="1"/>
    <col min="15631" max="15872" width="9.140625" style="342"/>
    <col min="15873" max="15873" width="12.7109375" style="342" customWidth="1"/>
    <col min="15874" max="15874" width="13.7109375" style="342" customWidth="1"/>
    <col min="15875" max="15876" width="9.85546875" style="342" customWidth="1"/>
    <col min="15877" max="15877" width="11.85546875" style="342" customWidth="1"/>
    <col min="15878" max="15878" width="10.85546875" style="342" customWidth="1"/>
    <col min="15879" max="15880" width="10.7109375" style="342" customWidth="1"/>
    <col min="15881" max="15881" width="8.5703125" style="342" customWidth="1"/>
    <col min="15882" max="15882" width="8.140625" style="342" customWidth="1"/>
    <col min="15883" max="15884" width="8.85546875" style="342" customWidth="1"/>
    <col min="15885" max="15885" width="8.42578125" style="342" customWidth="1"/>
    <col min="15886" max="15886" width="9.85546875" style="342" bestFit="1" customWidth="1"/>
    <col min="15887" max="16128" width="9.140625" style="342"/>
    <col min="16129" max="16129" width="12.7109375" style="342" customWidth="1"/>
    <col min="16130" max="16130" width="13.7109375" style="342" customWidth="1"/>
    <col min="16131" max="16132" width="9.85546875" style="342" customWidth="1"/>
    <col min="16133" max="16133" width="11.85546875" style="342" customWidth="1"/>
    <col min="16134" max="16134" width="10.85546875" style="342" customWidth="1"/>
    <col min="16135" max="16136" width="10.7109375" style="342" customWidth="1"/>
    <col min="16137" max="16137" width="8.5703125" style="342" customWidth="1"/>
    <col min="16138" max="16138" width="8.140625" style="342" customWidth="1"/>
    <col min="16139" max="16140" width="8.85546875" style="342" customWidth="1"/>
    <col min="16141" max="16141" width="8.42578125" style="342" customWidth="1"/>
    <col min="16142" max="16142" width="9.85546875" style="342" bestFit="1" customWidth="1"/>
    <col min="16143" max="16384" width="9.140625" style="342"/>
  </cols>
  <sheetData>
    <row r="1" spans="1:13" ht="15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</row>
    <row r="2" spans="1:13" ht="15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</row>
    <row r="3" spans="1:13">
      <c r="A3" s="1114" t="s">
        <v>1214</v>
      </c>
      <c r="B3" s="1115"/>
      <c r="C3" s="1113" t="s">
        <v>5404</v>
      </c>
      <c r="D3" s="1113"/>
      <c r="E3" s="1116" t="s">
        <v>5369</v>
      </c>
      <c r="F3" s="1115"/>
      <c r="G3" s="419">
        <v>905180202</v>
      </c>
      <c r="H3" s="1116" t="s">
        <v>5370</v>
      </c>
      <c r="I3" s="1115"/>
      <c r="J3" s="419">
        <v>397.56900000000002</v>
      </c>
      <c r="K3" s="1116" t="s">
        <v>5371</v>
      </c>
      <c r="L3" s="1115"/>
      <c r="M3" s="420">
        <v>80</v>
      </c>
    </row>
    <row r="4" spans="1:13" ht="15">
      <c r="A4" s="808" t="s">
        <v>4176</v>
      </c>
      <c r="B4" s="808"/>
      <c r="C4" s="808"/>
      <c r="D4" s="421"/>
      <c r="E4" s="421"/>
      <c r="F4" s="421"/>
      <c r="G4" s="421"/>
      <c r="H4" s="422"/>
      <c r="I4" s="422"/>
      <c r="J4" s="422"/>
      <c r="K4" s="422"/>
      <c r="L4" s="422"/>
    </row>
    <row r="5" spans="1:13">
      <c r="A5" s="1114" t="s">
        <v>832</v>
      </c>
      <c r="B5" s="1115"/>
      <c r="C5" s="1113" t="s">
        <v>5405</v>
      </c>
      <c r="D5" s="1113"/>
      <c r="E5" s="1116" t="s">
        <v>5373</v>
      </c>
      <c r="F5" s="1115"/>
      <c r="G5" s="1108" t="s">
        <v>5406</v>
      </c>
      <c r="H5" s="1108"/>
      <c r="I5" s="423"/>
      <c r="K5" s="423"/>
      <c r="L5" s="422"/>
    </row>
    <row r="6" spans="1:13">
      <c r="A6" s="421"/>
      <c r="B6" s="422"/>
      <c r="C6" s="421"/>
      <c r="D6" s="421"/>
      <c r="E6" s="421"/>
      <c r="F6" s="421"/>
      <c r="G6" s="421"/>
      <c r="H6" s="422"/>
      <c r="I6" s="422"/>
      <c r="J6" s="422"/>
      <c r="K6" s="422"/>
      <c r="L6" s="422"/>
    </row>
    <row r="7" spans="1:13">
      <c r="A7" s="1114" t="s">
        <v>618</v>
      </c>
      <c r="B7" s="1115"/>
      <c r="C7" s="1113" t="s">
        <v>5407</v>
      </c>
      <c r="D7" s="1113"/>
      <c r="E7" s="1117" t="s">
        <v>1206</v>
      </c>
      <c r="F7" s="1118"/>
      <c r="G7" s="1100" t="s">
        <v>5408</v>
      </c>
      <c r="H7" s="1100"/>
      <c r="I7" s="422"/>
      <c r="J7" s="422"/>
      <c r="K7" s="422"/>
      <c r="L7" s="422"/>
    </row>
    <row r="8" spans="1:13">
      <c r="A8" s="421"/>
      <c r="B8" s="422"/>
      <c r="C8" s="421"/>
      <c r="D8" s="421"/>
      <c r="E8" s="421"/>
      <c r="F8" s="421"/>
      <c r="G8" s="421"/>
      <c r="H8" s="422"/>
      <c r="I8" s="422"/>
      <c r="J8" s="422"/>
      <c r="K8" s="422"/>
      <c r="L8" s="422"/>
    </row>
    <row r="9" spans="1:13">
      <c r="A9" s="1108" t="s">
        <v>838</v>
      </c>
      <c r="B9" s="1108"/>
      <c r="C9" s="1108"/>
      <c r="D9" s="1113" t="s">
        <v>5409</v>
      </c>
      <c r="E9" s="1113"/>
      <c r="F9" s="1108"/>
      <c r="G9" s="1108"/>
      <c r="H9" s="1108"/>
      <c r="I9" s="1108"/>
      <c r="J9" s="1112"/>
      <c r="K9" s="1112"/>
      <c r="L9" s="420"/>
    </row>
    <row r="10" spans="1:13">
      <c r="A10" s="1108" t="s">
        <v>1203</v>
      </c>
      <c r="B10" s="1108"/>
      <c r="C10" s="1108"/>
      <c r="D10" s="1113" t="s">
        <v>5410</v>
      </c>
      <c r="E10" s="1113"/>
      <c r="F10" s="1108"/>
      <c r="G10" s="1108"/>
      <c r="H10" s="1108"/>
      <c r="I10" s="1108"/>
      <c r="J10" s="1112"/>
      <c r="K10" s="1112"/>
      <c r="L10" s="420"/>
    </row>
    <row r="11" spans="1:13">
      <c r="A11" s="1108" t="s">
        <v>1202</v>
      </c>
      <c r="B11" s="1108"/>
      <c r="C11" s="1108"/>
      <c r="D11" s="1109" t="s">
        <v>5411</v>
      </c>
      <c r="E11" s="1110"/>
      <c r="F11" s="1108" t="s">
        <v>5412</v>
      </c>
      <c r="G11" s="1108"/>
      <c r="H11" s="1111" t="s">
        <v>5413</v>
      </c>
      <c r="I11" s="1111"/>
      <c r="J11" s="1112" t="s">
        <v>5414</v>
      </c>
      <c r="K11" s="1112"/>
      <c r="L11" s="420" t="s">
        <v>5415</v>
      </c>
    </row>
    <row r="12" spans="1:13">
      <c r="A12" s="1108" t="s">
        <v>1196</v>
      </c>
      <c r="B12" s="1108"/>
      <c r="C12" s="1108"/>
      <c r="D12" s="1113" t="s">
        <v>5416</v>
      </c>
      <c r="E12" s="1113"/>
      <c r="F12" s="1108"/>
      <c r="G12" s="1108"/>
      <c r="H12" s="1108"/>
      <c r="I12" s="1108"/>
      <c r="J12" s="1112"/>
      <c r="K12" s="1112"/>
      <c r="L12" s="420"/>
    </row>
    <row r="13" spans="1:13">
      <c r="A13" s="421"/>
      <c r="B13" s="422"/>
      <c r="C13" s="421"/>
      <c r="D13" s="421"/>
      <c r="E13" s="421"/>
      <c r="F13" s="421"/>
      <c r="G13" s="421"/>
      <c r="H13" s="422"/>
      <c r="I13" s="422"/>
      <c r="J13" s="422"/>
      <c r="K13" s="422"/>
      <c r="L13" s="422"/>
    </row>
    <row r="14" spans="1:13">
      <c r="A14" s="1101" t="s">
        <v>1194</v>
      </c>
      <c r="B14" s="1102"/>
      <c r="C14" s="552">
        <v>1</v>
      </c>
      <c r="D14" s="1103" t="s">
        <v>1193</v>
      </c>
      <c r="E14" s="1101"/>
      <c r="F14" s="424" t="s">
        <v>5417</v>
      </c>
      <c r="G14" s="421" t="s">
        <v>643</v>
      </c>
      <c r="H14" s="424">
        <v>4</v>
      </c>
      <c r="I14" s="421" t="s">
        <v>644</v>
      </c>
      <c r="J14" s="420">
        <v>1</v>
      </c>
      <c r="K14" s="422" t="s">
        <v>645</v>
      </c>
      <c r="L14" s="420">
        <v>6</v>
      </c>
    </row>
    <row r="15" spans="1:13">
      <c r="A15" s="421"/>
      <c r="B15" s="425"/>
      <c r="C15" s="421"/>
      <c r="D15" s="423"/>
      <c r="E15" s="421"/>
      <c r="F15" s="423"/>
      <c r="G15" s="421"/>
      <c r="H15" s="426"/>
      <c r="I15" s="422"/>
      <c r="J15" s="422"/>
      <c r="K15" s="422"/>
      <c r="L15" s="422"/>
    </row>
    <row r="16" spans="1:13" ht="22.5">
      <c r="A16" s="427" t="s">
        <v>1192</v>
      </c>
      <c r="B16" s="428" t="s">
        <v>204</v>
      </c>
      <c r="C16" s="552">
        <v>58</v>
      </c>
      <c r="D16" s="550" t="s">
        <v>205</v>
      </c>
      <c r="E16" s="552">
        <v>0</v>
      </c>
      <c r="F16" s="421" t="s">
        <v>206</v>
      </c>
      <c r="G16" s="552">
        <v>0</v>
      </c>
      <c r="H16" s="422" t="s">
        <v>230</v>
      </c>
      <c r="I16" s="552">
        <f>G16+E16+C16</f>
        <v>58</v>
      </c>
      <c r="J16" s="422" t="s">
        <v>207</v>
      </c>
      <c r="K16" s="420">
        <v>0</v>
      </c>
      <c r="L16" s="427" t="s">
        <v>855</v>
      </c>
      <c r="M16" s="343">
        <v>3</v>
      </c>
    </row>
    <row r="17" spans="1:15">
      <c r="A17" s="1104" t="s">
        <v>1191</v>
      </c>
      <c r="B17" s="428" t="s">
        <v>210</v>
      </c>
      <c r="C17" s="552">
        <v>166</v>
      </c>
      <c r="D17" s="550" t="s">
        <v>211</v>
      </c>
      <c r="E17" s="552">
        <v>0</v>
      </c>
      <c r="F17" s="421" t="s">
        <v>212</v>
      </c>
      <c r="G17" s="552">
        <v>0</v>
      </c>
      <c r="H17" s="422" t="s">
        <v>411</v>
      </c>
      <c r="I17" s="552">
        <f>G17+E17+C17</f>
        <v>166</v>
      </c>
      <c r="J17" s="426"/>
      <c r="K17" s="426"/>
      <c r="L17" s="426"/>
      <c r="M17" s="429"/>
    </row>
    <row r="18" spans="1:15" ht="24">
      <c r="A18" s="1104"/>
      <c r="B18" s="428" t="s">
        <v>213</v>
      </c>
      <c r="C18" s="552">
        <v>151</v>
      </c>
      <c r="D18" s="550" t="s">
        <v>214</v>
      </c>
      <c r="E18" s="552">
        <v>0</v>
      </c>
      <c r="F18" s="421" t="s">
        <v>215</v>
      </c>
      <c r="G18" s="552">
        <v>0</v>
      </c>
      <c r="H18" s="422" t="s">
        <v>410</v>
      </c>
      <c r="I18" s="552">
        <f>G18+E18+C18</f>
        <v>151</v>
      </c>
      <c r="J18" s="426"/>
      <c r="K18" s="426"/>
      <c r="L18" s="426"/>
      <c r="M18" s="429"/>
    </row>
    <row r="19" spans="1:15">
      <c r="A19" s="421"/>
      <c r="B19" s="422"/>
      <c r="C19" s="421"/>
      <c r="D19" s="421"/>
      <c r="E19" s="421"/>
      <c r="F19" s="421"/>
      <c r="G19" s="421"/>
      <c r="H19" s="422"/>
      <c r="I19" s="422"/>
      <c r="J19" s="422"/>
      <c r="K19" s="422"/>
      <c r="L19" s="422"/>
    </row>
    <row r="20" spans="1:15">
      <c r="A20" s="1105" t="s">
        <v>409</v>
      </c>
      <c r="B20" s="1105"/>
      <c r="C20" s="421"/>
      <c r="D20" s="421"/>
      <c r="E20" s="421"/>
      <c r="F20" s="421"/>
      <c r="G20" s="421"/>
      <c r="H20" s="422"/>
      <c r="I20" s="422"/>
      <c r="J20" s="422"/>
      <c r="K20" s="422"/>
      <c r="L20" s="422"/>
    </row>
    <row r="21" spans="1:15">
      <c r="A21" s="1100" t="s">
        <v>1190</v>
      </c>
      <c r="B21" s="1100"/>
      <c r="C21" s="1106" t="s">
        <v>1189</v>
      </c>
      <c r="D21" s="1095" t="s">
        <v>219</v>
      </c>
      <c r="E21" s="1095" t="s">
        <v>5384</v>
      </c>
      <c r="F21" s="1095" t="s">
        <v>5385</v>
      </c>
      <c r="G21" s="1097" t="s">
        <v>5386</v>
      </c>
      <c r="H21" s="1098"/>
      <c r="I21" s="1098"/>
      <c r="J21" s="1098"/>
      <c r="K21" s="1098"/>
      <c r="L21" s="1098"/>
      <c r="M21" s="1099"/>
    </row>
    <row r="22" spans="1:15" ht="36">
      <c r="A22" s="1100"/>
      <c r="B22" s="1100"/>
      <c r="C22" s="1107"/>
      <c r="D22" s="1096"/>
      <c r="E22" s="1096"/>
      <c r="F22" s="1096"/>
      <c r="G22" s="420" t="s">
        <v>227</v>
      </c>
      <c r="H22" s="424" t="s">
        <v>228</v>
      </c>
      <c r="I22" s="420" t="s">
        <v>229</v>
      </c>
      <c r="J22" s="342" t="s">
        <v>1499</v>
      </c>
      <c r="K22" s="420" t="s">
        <v>4831</v>
      </c>
      <c r="L22" s="420" t="s">
        <v>4832</v>
      </c>
      <c r="M22" s="420" t="s">
        <v>4833</v>
      </c>
      <c r="N22" s="430" t="s">
        <v>5387</v>
      </c>
      <c r="O22" s="431" t="s">
        <v>662</v>
      </c>
    </row>
    <row r="23" spans="1:15">
      <c r="A23" s="1100" t="s">
        <v>232</v>
      </c>
      <c r="B23" s="1100"/>
      <c r="C23" s="420">
        <v>8000</v>
      </c>
      <c r="D23" s="432" t="s">
        <v>873</v>
      </c>
      <c r="E23" s="433">
        <f>+C23*J3/100000</f>
        <v>31.805520000000001</v>
      </c>
      <c r="F23" s="434">
        <f>1530000/100000</f>
        <v>15.3</v>
      </c>
      <c r="G23" s="433">
        <v>0</v>
      </c>
      <c r="H23" s="433">
        <f>170657/100000</f>
        <v>1.7065699999999999</v>
      </c>
      <c r="I23" s="435">
        <f>974224/100000</f>
        <v>9.7422400000000007</v>
      </c>
      <c r="J23" s="435"/>
      <c r="K23" s="435"/>
      <c r="L23" s="435"/>
      <c r="M23" s="435"/>
      <c r="N23" s="436">
        <f>+G23+H23+I23+J23+K23+L23+M23</f>
        <v>11.44881</v>
      </c>
      <c r="O23" s="437">
        <f>N23*100/F23</f>
        <v>74.828823529411764</v>
      </c>
    </row>
    <row r="24" spans="1:15">
      <c r="A24" s="1100" t="s">
        <v>234</v>
      </c>
      <c r="B24" s="1100"/>
      <c r="C24" s="420">
        <v>7000</v>
      </c>
      <c r="D24" s="438" t="s">
        <v>873</v>
      </c>
      <c r="E24" s="433">
        <f>+C24*M3/100000</f>
        <v>5.6</v>
      </c>
      <c r="F24" s="433">
        <v>0</v>
      </c>
      <c r="G24" s="433">
        <v>0</v>
      </c>
      <c r="H24" s="433">
        <v>0</v>
      </c>
      <c r="I24" s="435">
        <v>0</v>
      </c>
      <c r="J24" s="435"/>
      <c r="K24" s="435"/>
      <c r="L24" s="435"/>
      <c r="M24" s="435"/>
      <c r="N24" s="437">
        <f t="shared" ref="N24:N31" si="0">+G24+H24+I24+J24+K24+L24+M24</f>
        <v>0</v>
      </c>
      <c r="O24" s="437">
        <v>0</v>
      </c>
    </row>
    <row r="25" spans="1:15">
      <c r="A25" s="1100" t="s">
        <v>235</v>
      </c>
      <c r="B25" s="1100"/>
      <c r="C25" s="420">
        <v>86</v>
      </c>
      <c r="D25" s="438" t="s">
        <v>5388</v>
      </c>
      <c r="E25" s="433">
        <v>0.43</v>
      </c>
      <c r="F25" s="434">
        <f>35000/100000</f>
        <v>0.35</v>
      </c>
      <c r="G25" s="433">
        <v>0</v>
      </c>
      <c r="H25" s="433">
        <f>2300/100000</f>
        <v>2.3E-2</v>
      </c>
      <c r="I25" s="435">
        <f>3550/100000</f>
        <v>3.5499999999999997E-2</v>
      </c>
      <c r="J25" s="435"/>
      <c r="K25" s="435"/>
      <c r="L25" s="435"/>
      <c r="M25" s="435"/>
      <c r="N25" s="436">
        <f t="shared" si="0"/>
        <v>5.8499999999999996E-2</v>
      </c>
      <c r="O25" s="437">
        <f t="shared" ref="O25:O32" si="1">N25*100/F25</f>
        <v>16.714285714285715</v>
      </c>
    </row>
    <row r="26" spans="1:15">
      <c r="A26" s="1100" t="s">
        <v>237</v>
      </c>
      <c r="B26" s="1100"/>
      <c r="C26" s="420">
        <v>68</v>
      </c>
      <c r="D26" s="438" t="s">
        <v>5388</v>
      </c>
      <c r="E26" s="433">
        <v>0.34</v>
      </c>
      <c r="F26" s="434">
        <f>16000/100000</f>
        <v>0.16</v>
      </c>
      <c r="G26" s="433">
        <v>0</v>
      </c>
      <c r="H26" s="433">
        <f>16000/100000</f>
        <v>0.16</v>
      </c>
      <c r="I26" s="435">
        <v>0</v>
      </c>
      <c r="J26" s="435"/>
      <c r="K26" s="435"/>
      <c r="L26" s="435"/>
      <c r="M26" s="435"/>
      <c r="N26" s="436">
        <f t="shared" si="0"/>
        <v>0.16</v>
      </c>
      <c r="O26" s="437">
        <f t="shared" si="1"/>
        <v>100</v>
      </c>
    </row>
    <row r="27" spans="1:15">
      <c r="A27" s="1100" t="s">
        <v>238</v>
      </c>
      <c r="B27" s="1100"/>
      <c r="C27" s="420">
        <v>1200</v>
      </c>
      <c r="D27" s="438" t="s">
        <v>873</v>
      </c>
      <c r="E27" s="433">
        <f>+C27*J3/100000</f>
        <v>4.7708280000000007</v>
      </c>
      <c r="F27" s="434">
        <f>200000/100000</f>
        <v>2</v>
      </c>
      <c r="G27" s="433">
        <v>0</v>
      </c>
      <c r="H27" s="433">
        <v>0</v>
      </c>
      <c r="I27" s="435">
        <f>100000/100000</f>
        <v>1</v>
      </c>
      <c r="J27" s="435"/>
      <c r="K27" s="435"/>
      <c r="L27" s="435"/>
      <c r="M27" s="435"/>
      <c r="N27" s="436">
        <f t="shared" si="0"/>
        <v>1</v>
      </c>
      <c r="O27" s="437">
        <f t="shared" si="1"/>
        <v>50</v>
      </c>
    </row>
    <row r="28" spans="1:15">
      <c r="A28" s="1100" t="s">
        <v>667</v>
      </c>
      <c r="B28" s="1100"/>
      <c r="C28" s="420">
        <v>565</v>
      </c>
      <c r="D28" s="438" t="s">
        <v>873</v>
      </c>
      <c r="E28" s="433">
        <f>+C28*J3/100000</f>
        <v>2.2462648500000002</v>
      </c>
      <c r="F28" s="434">
        <f>224644/100000</f>
        <v>2.2464400000000002</v>
      </c>
      <c r="G28" s="433">
        <v>0</v>
      </c>
      <c r="H28" s="433">
        <f>224644/100000</f>
        <v>2.2464400000000002</v>
      </c>
      <c r="I28" s="435">
        <v>0</v>
      </c>
      <c r="J28" s="435"/>
      <c r="K28" s="435"/>
      <c r="L28" s="435"/>
      <c r="M28" s="435"/>
      <c r="N28" s="436">
        <f t="shared" si="0"/>
        <v>2.2464400000000002</v>
      </c>
      <c r="O28" s="437">
        <f t="shared" si="1"/>
        <v>100</v>
      </c>
    </row>
    <row r="29" spans="1:15">
      <c r="A29" s="1100" t="s">
        <v>1176</v>
      </c>
      <c r="B29" s="1100"/>
      <c r="C29" s="420">
        <v>1000</v>
      </c>
      <c r="D29" s="438" t="s">
        <v>873</v>
      </c>
      <c r="E29" s="433">
        <f>+C29*J3/100000</f>
        <v>3.9756900000000002</v>
      </c>
      <c r="F29" s="433">
        <v>0</v>
      </c>
      <c r="G29" s="433">
        <v>0</v>
      </c>
      <c r="H29" s="433">
        <v>0</v>
      </c>
      <c r="I29" s="435">
        <v>0</v>
      </c>
      <c r="J29" s="435"/>
      <c r="K29" s="435"/>
      <c r="L29" s="435"/>
      <c r="M29" s="435"/>
      <c r="N29" s="437">
        <f t="shared" si="0"/>
        <v>0</v>
      </c>
      <c r="O29" s="437">
        <v>0</v>
      </c>
    </row>
    <row r="30" spans="1:15">
      <c r="A30" s="1100" t="s">
        <v>394</v>
      </c>
      <c r="B30" s="1100"/>
      <c r="C30" s="420">
        <f>250*5+750+500</f>
        <v>2500</v>
      </c>
      <c r="D30" s="438" t="s">
        <v>5389</v>
      </c>
      <c r="E30" s="434">
        <f>66000/100000+1.687</f>
        <v>2.347</v>
      </c>
      <c r="F30" s="434">
        <f>66000/100000</f>
        <v>0.66</v>
      </c>
      <c r="G30" s="433">
        <v>0</v>
      </c>
      <c r="H30" s="433">
        <f>31450/100000</f>
        <v>0.3145</v>
      </c>
      <c r="I30" s="435">
        <f>26300/100000</f>
        <v>0.26300000000000001</v>
      </c>
      <c r="J30" s="435"/>
      <c r="K30" s="435"/>
      <c r="L30" s="435"/>
      <c r="M30" s="435"/>
      <c r="N30" s="436">
        <f t="shared" si="0"/>
        <v>0.57750000000000001</v>
      </c>
      <c r="O30" s="437">
        <f t="shared" si="1"/>
        <v>87.5</v>
      </c>
    </row>
    <row r="31" spans="1:15">
      <c r="A31" s="1100" t="s">
        <v>670</v>
      </c>
      <c r="B31" s="1100"/>
      <c r="C31" s="420">
        <v>2000</v>
      </c>
      <c r="D31" s="439" t="s">
        <v>5390</v>
      </c>
      <c r="E31" s="433">
        <f>10000/100000</f>
        <v>0.1</v>
      </c>
      <c r="F31" s="433">
        <f>10000/100000</f>
        <v>0.1</v>
      </c>
      <c r="G31" s="433">
        <v>0</v>
      </c>
      <c r="H31" s="433">
        <f>10000/100000</f>
        <v>0.1</v>
      </c>
      <c r="I31" s="435"/>
      <c r="J31" s="435"/>
      <c r="K31" s="435"/>
      <c r="L31" s="435"/>
      <c r="M31" s="435"/>
      <c r="N31" s="437">
        <f t="shared" si="0"/>
        <v>0.1</v>
      </c>
      <c r="O31" s="437">
        <f t="shared" si="1"/>
        <v>100</v>
      </c>
    </row>
    <row r="32" spans="1:15">
      <c r="A32" s="1093" t="s">
        <v>230</v>
      </c>
      <c r="B32" s="1094"/>
      <c r="C32" s="420"/>
      <c r="D32" s="424"/>
      <c r="E32" s="440">
        <f>SUM(E23:E31)</f>
        <v>51.615302850000013</v>
      </c>
      <c r="F32" s="440">
        <f>SUM(F23:F31)</f>
        <v>20.816440000000004</v>
      </c>
      <c r="G32" s="440">
        <f>SUM(G23:G31)</f>
        <v>0</v>
      </c>
      <c r="H32" s="440">
        <f>SUM(H23:H31)</f>
        <v>4.5505099999999992</v>
      </c>
      <c r="I32" s="440">
        <f>SUM(I23:I31)</f>
        <v>11.040740000000001</v>
      </c>
      <c r="J32" s="441"/>
      <c r="K32" s="441"/>
      <c r="L32" s="441"/>
      <c r="M32" s="441"/>
      <c r="N32" s="440">
        <f>SUM(N23:N31)</f>
        <v>15.59125</v>
      </c>
      <c r="O32" s="436">
        <f t="shared" si="1"/>
        <v>74.898733885332931</v>
      </c>
    </row>
    <row r="33" spans="15:15">
      <c r="O33" s="452"/>
    </row>
  </sheetData>
  <mergeCells count="56">
    <mergeCell ref="A4:C4"/>
    <mergeCell ref="A1:M1"/>
    <mergeCell ref="A2:M2"/>
    <mergeCell ref="A3:B3"/>
    <mergeCell ref="C3:D3"/>
    <mergeCell ref="E3:F3"/>
    <mergeCell ref="H3:I3"/>
    <mergeCell ref="K3:L3"/>
    <mergeCell ref="A5:B5"/>
    <mergeCell ref="C5:D5"/>
    <mergeCell ref="E5:F5"/>
    <mergeCell ref="G5:H5"/>
    <mergeCell ref="A7:B7"/>
    <mergeCell ref="C7:D7"/>
    <mergeCell ref="E7:F7"/>
    <mergeCell ref="G7:H7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12:C12"/>
    <mergeCell ref="D12:E12"/>
    <mergeCell ref="F12:G12"/>
    <mergeCell ref="H12:I12"/>
    <mergeCell ref="J12:K12"/>
    <mergeCell ref="A11:C11"/>
    <mergeCell ref="D11:E11"/>
    <mergeCell ref="F11:G11"/>
    <mergeCell ref="H11:I11"/>
    <mergeCell ref="J11:K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G21:M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75" right="0.75" top="1" bottom="1" header="0.5" footer="0.5"/>
  <pageSetup scale="75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indexed="33"/>
  </sheetPr>
  <dimension ref="A1:O32"/>
  <sheetViews>
    <sheetView workbookViewId="0">
      <selection activeCell="A4" sqref="A4:C4"/>
    </sheetView>
  </sheetViews>
  <sheetFormatPr defaultRowHeight="12.75"/>
  <cols>
    <col min="1" max="1" width="12.7109375" style="342" customWidth="1"/>
    <col min="2" max="2" width="13.7109375" style="342" customWidth="1"/>
    <col min="3" max="4" width="9.85546875" style="342" customWidth="1"/>
    <col min="5" max="5" width="11.85546875" style="342" customWidth="1"/>
    <col min="6" max="6" width="10.85546875" style="342" customWidth="1"/>
    <col min="7" max="8" width="10.7109375" style="342" customWidth="1"/>
    <col min="9" max="9" width="9.42578125" style="342" bestFit="1" customWidth="1"/>
    <col min="10" max="10" width="8.140625" style="342" customWidth="1"/>
    <col min="11" max="11" width="8.85546875" style="342" customWidth="1"/>
    <col min="12" max="12" width="10.5703125" style="342" customWidth="1"/>
    <col min="13" max="13" width="8.42578125" style="342" customWidth="1"/>
    <col min="14" max="14" width="10.42578125" style="342" bestFit="1" customWidth="1"/>
    <col min="15" max="15" width="11.5703125" style="342" bestFit="1" customWidth="1"/>
    <col min="16" max="256" width="9.140625" style="342"/>
    <col min="257" max="257" width="12.7109375" style="342" customWidth="1"/>
    <col min="258" max="258" width="13.7109375" style="342" customWidth="1"/>
    <col min="259" max="260" width="9.85546875" style="342" customWidth="1"/>
    <col min="261" max="261" width="11.85546875" style="342" customWidth="1"/>
    <col min="262" max="262" width="10.85546875" style="342" customWidth="1"/>
    <col min="263" max="264" width="10.7109375" style="342" customWidth="1"/>
    <col min="265" max="265" width="9.42578125" style="342" bestFit="1" customWidth="1"/>
    <col min="266" max="266" width="8.140625" style="342" customWidth="1"/>
    <col min="267" max="267" width="8.85546875" style="342" customWidth="1"/>
    <col min="268" max="268" width="10.5703125" style="342" customWidth="1"/>
    <col min="269" max="269" width="8.42578125" style="342" customWidth="1"/>
    <col min="270" max="270" width="10.42578125" style="342" bestFit="1" customWidth="1"/>
    <col min="271" max="271" width="11.5703125" style="342" bestFit="1" customWidth="1"/>
    <col min="272" max="512" width="9.140625" style="342"/>
    <col min="513" max="513" width="12.7109375" style="342" customWidth="1"/>
    <col min="514" max="514" width="13.7109375" style="342" customWidth="1"/>
    <col min="515" max="516" width="9.85546875" style="342" customWidth="1"/>
    <col min="517" max="517" width="11.85546875" style="342" customWidth="1"/>
    <col min="518" max="518" width="10.85546875" style="342" customWidth="1"/>
    <col min="519" max="520" width="10.7109375" style="342" customWidth="1"/>
    <col min="521" max="521" width="9.42578125" style="342" bestFit="1" customWidth="1"/>
    <col min="522" max="522" width="8.140625" style="342" customWidth="1"/>
    <col min="523" max="523" width="8.85546875" style="342" customWidth="1"/>
    <col min="524" max="524" width="10.5703125" style="342" customWidth="1"/>
    <col min="525" max="525" width="8.42578125" style="342" customWidth="1"/>
    <col min="526" max="526" width="10.42578125" style="342" bestFit="1" customWidth="1"/>
    <col min="527" max="527" width="11.5703125" style="342" bestFit="1" customWidth="1"/>
    <col min="528" max="768" width="9.140625" style="342"/>
    <col min="769" max="769" width="12.7109375" style="342" customWidth="1"/>
    <col min="770" max="770" width="13.7109375" style="342" customWidth="1"/>
    <col min="771" max="772" width="9.85546875" style="342" customWidth="1"/>
    <col min="773" max="773" width="11.85546875" style="342" customWidth="1"/>
    <col min="774" max="774" width="10.85546875" style="342" customWidth="1"/>
    <col min="775" max="776" width="10.7109375" style="342" customWidth="1"/>
    <col min="777" max="777" width="9.42578125" style="342" bestFit="1" customWidth="1"/>
    <col min="778" max="778" width="8.140625" style="342" customWidth="1"/>
    <col min="779" max="779" width="8.85546875" style="342" customWidth="1"/>
    <col min="780" max="780" width="10.5703125" style="342" customWidth="1"/>
    <col min="781" max="781" width="8.42578125" style="342" customWidth="1"/>
    <col min="782" max="782" width="10.42578125" style="342" bestFit="1" customWidth="1"/>
    <col min="783" max="783" width="11.5703125" style="342" bestFit="1" customWidth="1"/>
    <col min="784" max="1024" width="9.140625" style="342"/>
    <col min="1025" max="1025" width="12.7109375" style="342" customWidth="1"/>
    <col min="1026" max="1026" width="13.7109375" style="342" customWidth="1"/>
    <col min="1027" max="1028" width="9.85546875" style="342" customWidth="1"/>
    <col min="1029" max="1029" width="11.85546875" style="342" customWidth="1"/>
    <col min="1030" max="1030" width="10.85546875" style="342" customWidth="1"/>
    <col min="1031" max="1032" width="10.7109375" style="342" customWidth="1"/>
    <col min="1033" max="1033" width="9.42578125" style="342" bestFit="1" customWidth="1"/>
    <col min="1034" max="1034" width="8.140625" style="342" customWidth="1"/>
    <col min="1035" max="1035" width="8.85546875" style="342" customWidth="1"/>
    <col min="1036" max="1036" width="10.5703125" style="342" customWidth="1"/>
    <col min="1037" max="1037" width="8.42578125" style="342" customWidth="1"/>
    <col min="1038" max="1038" width="10.42578125" style="342" bestFit="1" customWidth="1"/>
    <col min="1039" max="1039" width="11.5703125" style="342" bestFit="1" customWidth="1"/>
    <col min="1040" max="1280" width="9.140625" style="342"/>
    <col min="1281" max="1281" width="12.7109375" style="342" customWidth="1"/>
    <col min="1282" max="1282" width="13.7109375" style="342" customWidth="1"/>
    <col min="1283" max="1284" width="9.85546875" style="342" customWidth="1"/>
    <col min="1285" max="1285" width="11.85546875" style="342" customWidth="1"/>
    <col min="1286" max="1286" width="10.85546875" style="342" customWidth="1"/>
    <col min="1287" max="1288" width="10.7109375" style="342" customWidth="1"/>
    <col min="1289" max="1289" width="9.42578125" style="342" bestFit="1" customWidth="1"/>
    <col min="1290" max="1290" width="8.140625" style="342" customWidth="1"/>
    <col min="1291" max="1291" width="8.85546875" style="342" customWidth="1"/>
    <col min="1292" max="1292" width="10.5703125" style="342" customWidth="1"/>
    <col min="1293" max="1293" width="8.42578125" style="342" customWidth="1"/>
    <col min="1294" max="1294" width="10.42578125" style="342" bestFit="1" customWidth="1"/>
    <col min="1295" max="1295" width="11.5703125" style="342" bestFit="1" customWidth="1"/>
    <col min="1296" max="1536" width="9.140625" style="342"/>
    <col min="1537" max="1537" width="12.7109375" style="342" customWidth="1"/>
    <col min="1538" max="1538" width="13.7109375" style="342" customWidth="1"/>
    <col min="1539" max="1540" width="9.85546875" style="342" customWidth="1"/>
    <col min="1541" max="1541" width="11.85546875" style="342" customWidth="1"/>
    <col min="1542" max="1542" width="10.85546875" style="342" customWidth="1"/>
    <col min="1543" max="1544" width="10.7109375" style="342" customWidth="1"/>
    <col min="1545" max="1545" width="9.42578125" style="342" bestFit="1" customWidth="1"/>
    <col min="1546" max="1546" width="8.140625" style="342" customWidth="1"/>
    <col min="1547" max="1547" width="8.85546875" style="342" customWidth="1"/>
    <col min="1548" max="1548" width="10.5703125" style="342" customWidth="1"/>
    <col min="1549" max="1549" width="8.42578125" style="342" customWidth="1"/>
    <col min="1550" max="1550" width="10.42578125" style="342" bestFit="1" customWidth="1"/>
    <col min="1551" max="1551" width="11.5703125" style="342" bestFit="1" customWidth="1"/>
    <col min="1552" max="1792" width="9.140625" style="342"/>
    <col min="1793" max="1793" width="12.7109375" style="342" customWidth="1"/>
    <col min="1794" max="1794" width="13.7109375" style="342" customWidth="1"/>
    <col min="1795" max="1796" width="9.85546875" style="342" customWidth="1"/>
    <col min="1797" max="1797" width="11.85546875" style="342" customWidth="1"/>
    <col min="1798" max="1798" width="10.85546875" style="342" customWidth="1"/>
    <col min="1799" max="1800" width="10.7109375" style="342" customWidth="1"/>
    <col min="1801" max="1801" width="9.42578125" style="342" bestFit="1" customWidth="1"/>
    <col min="1802" max="1802" width="8.140625" style="342" customWidth="1"/>
    <col min="1803" max="1803" width="8.85546875" style="342" customWidth="1"/>
    <col min="1804" max="1804" width="10.5703125" style="342" customWidth="1"/>
    <col min="1805" max="1805" width="8.42578125" style="342" customWidth="1"/>
    <col min="1806" max="1806" width="10.42578125" style="342" bestFit="1" customWidth="1"/>
    <col min="1807" max="1807" width="11.5703125" style="342" bestFit="1" customWidth="1"/>
    <col min="1808" max="2048" width="9.140625" style="342"/>
    <col min="2049" max="2049" width="12.7109375" style="342" customWidth="1"/>
    <col min="2050" max="2050" width="13.7109375" style="342" customWidth="1"/>
    <col min="2051" max="2052" width="9.85546875" style="342" customWidth="1"/>
    <col min="2053" max="2053" width="11.85546875" style="342" customWidth="1"/>
    <col min="2054" max="2054" width="10.85546875" style="342" customWidth="1"/>
    <col min="2055" max="2056" width="10.7109375" style="342" customWidth="1"/>
    <col min="2057" max="2057" width="9.42578125" style="342" bestFit="1" customWidth="1"/>
    <col min="2058" max="2058" width="8.140625" style="342" customWidth="1"/>
    <col min="2059" max="2059" width="8.85546875" style="342" customWidth="1"/>
    <col min="2060" max="2060" width="10.5703125" style="342" customWidth="1"/>
    <col min="2061" max="2061" width="8.42578125" style="342" customWidth="1"/>
    <col min="2062" max="2062" width="10.42578125" style="342" bestFit="1" customWidth="1"/>
    <col min="2063" max="2063" width="11.5703125" style="342" bestFit="1" customWidth="1"/>
    <col min="2064" max="2304" width="9.140625" style="342"/>
    <col min="2305" max="2305" width="12.7109375" style="342" customWidth="1"/>
    <col min="2306" max="2306" width="13.7109375" style="342" customWidth="1"/>
    <col min="2307" max="2308" width="9.85546875" style="342" customWidth="1"/>
    <col min="2309" max="2309" width="11.85546875" style="342" customWidth="1"/>
    <col min="2310" max="2310" width="10.85546875" style="342" customWidth="1"/>
    <col min="2311" max="2312" width="10.7109375" style="342" customWidth="1"/>
    <col min="2313" max="2313" width="9.42578125" style="342" bestFit="1" customWidth="1"/>
    <col min="2314" max="2314" width="8.140625" style="342" customWidth="1"/>
    <col min="2315" max="2315" width="8.85546875" style="342" customWidth="1"/>
    <col min="2316" max="2316" width="10.5703125" style="342" customWidth="1"/>
    <col min="2317" max="2317" width="8.42578125" style="342" customWidth="1"/>
    <col min="2318" max="2318" width="10.42578125" style="342" bestFit="1" customWidth="1"/>
    <col min="2319" max="2319" width="11.5703125" style="342" bestFit="1" customWidth="1"/>
    <col min="2320" max="2560" width="9.140625" style="342"/>
    <col min="2561" max="2561" width="12.7109375" style="342" customWidth="1"/>
    <col min="2562" max="2562" width="13.7109375" style="342" customWidth="1"/>
    <col min="2563" max="2564" width="9.85546875" style="342" customWidth="1"/>
    <col min="2565" max="2565" width="11.85546875" style="342" customWidth="1"/>
    <col min="2566" max="2566" width="10.85546875" style="342" customWidth="1"/>
    <col min="2567" max="2568" width="10.7109375" style="342" customWidth="1"/>
    <col min="2569" max="2569" width="9.42578125" style="342" bestFit="1" customWidth="1"/>
    <col min="2570" max="2570" width="8.140625" style="342" customWidth="1"/>
    <col min="2571" max="2571" width="8.85546875" style="342" customWidth="1"/>
    <col min="2572" max="2572" width="10.5703125" style="342" customWidth="1"/>
    <col min="2573" max="2573" width="8.42578125" style="342" customWidth="1"/>
    <col min="2574" max="2574" width="10.42578125" style="342" bestFit="1" customWidth="1"/>
    <col min="2575" max="2575" width="11.5703125" style="342" bestFit="1" customWidth="1"/>
    <col min="2576" max="2816" width="9.140625" style="342"/>
    <col min="2817" max="2817" width="12.7109375" style="342" customWidth="1"/>
    <col min="2818" max="2818" width="13.7109375" style="342" customWidth="1"/>
    <col min="2819" max="2820" width="9.85546875" style="342" customWidth="1"/>
    <col min="2821" max="2821" width="11.85546875" style="342" customWidth="1"/>
    <col min="2822" max="2822" width="10.85546875" style="342" customWidth="1"/>
    <col min="2823" max="2824" width="10.7109375" style="342" customWidth="1"/>
    <col min="2825" max="2825" width="9.42578125" style="342" bestFit="1" customWidth="1"/>
    <col min="2826" max="2826" width="8.140625" style="342" customWidth="1"/>
    <col min="2827" max="2827" width="8.85546875" style="342" customWidth="1"/>
    <col min="2828" max="2828" width="10.5703125" style="342" customWidth="1"/>
    <col min="2829" max="2829" width="8.42578125" style="342" customWidth="1"/>
    <col min="2830" max="2830" width="10.42578125" style="342" bestFit="1" customWidth="1"/>
    <col min="2831" max="2831" width="11.5703125" style="342" bestFit="1" customWidth="1"/>
    <col min="2832" max="3072" width="9.140625" style="342"/>
    <col min="3073" max="3073" width="12.7109375" style="342" customWidth="1"/>
    <col min="3074" max="3074" width="13.7109375" style="342" customWidth="1"/>
    <col min="3075" max="3076" width="9.85546875" style="342" customWidth="1"/>
    <col min="3077" max="3077" width="11.85546875" style="342" customWidth="1"/>
    <col min="3078" max="3078" width="10.85546875" style="342" customWidth="1"/>
    <col min="3079" max="3080" width="10.7109375" style="342" customWidth="1"/>
    <col min="3081" max="3081" width="9.42578125" style="342" bestFit="1" customWidth="1"/>
    <col min="3082" max="3082" width="8.140625" style="342" customWidth="1"/>
    <col min="3083" max="3083" width="8.85546875" style="342" customWidth="1"/>
    <col min="3084" max="3084" width="10.5703125" style="342" customWidth="1"/>
    <col min="3085" max="3085" width="8.42578125" style="342" customWidth="1"/>
    <col min="3086" max="3086" width="10.42578125" style="342" bestFit="1" customWidth="1"/>
    <col min="3087" max="3087" width="11.5703125" style="342" bestFit="1" customWidth="1"/>
    <col min="3088" max="3328" width="9.140625" style="342"/>
    <col min="3329" max="3329" width="12.7109375" style="342" customWidth="1"/>
    <col min="3330" max="3330" width="13.7109375" style="342" customWidth="1"/>
    <col min="3331" max="3332" width="9.85546875" style="342" customWidth="1"/>
    <col min="3333" max="3333" width="11.85546875" style="342" customWidth="1"/>
    <col min="3334" max="3334" width="10.85546875" style="342" customWidth="1"/>
    <col min="3335" max="3336" width="10.7109375" style="342" customWidth="1"/>
    <col min="3337" max="3337" width="9.42578125" style="342" bestFit="1" customWidth="1"/>
    <col min="3338" max="3338" width="8.140625" style="342" customWidth="1"/>
    <col min="3339" max="3339" width="8.85546875" style="342" customWidth="1"/>
    <col min="3340" max="3340" width="10.5703125" style="342" customWidth="1"/>
    <col min="3341" max="3341" width="8.42578125" style="342" customWidth="1"/>
    <col min="3342" max="3342" width="10.42578125" style="342" bestFit="1" customWidth="1"/>
    <col min="3343" max="3343" width="11.5703125" style="342" bestFit="1" customWidth="1"/>
    <col min="3344" max="3584" width="9.140625" style="342"/>
    <col min="3585" max="3585" width="12.7109375" style="342" customWidth="1"/>
    <col min="3586" max="3586" width="13.7109375" style="342" customWidth="1"/>
    <col min="3587" max="3588" width="9.85546875" style="342" customWidth="1"/>
    <col min="3589" max="3589" width="11.85546875" style="342" customWidth="1"/>
    <col min="3590" max="3590" width="10.85546875" style="342" customWidth="1"/>
    <col min="3591" max="3592" width="10.7109375" style="342" customWidth="1"/>
    <col min="3593" max="3593" width="9.42578125" style="342" bestFit="1" customWidth="1"/>
    <col min="3594" max="3594" width="8.140625" style="342" customWidth="1"/>
    <col min="3595" max="3595" width="8.85546875" style="342" customWidth="1"/>
    <col min="3596" max="3596" width="10.5703125" style="342" customWidth="1"/>
    <col min="3597" max="3597" width="8.42578125" style="342" customWidth="1"/>
    <col min="3598" max="3598" width="10.42578125" style="342" bestFit="1" customWidth="1"/>
    <col min="3599" max="3599" width="11.5703125" style="342" bestFit="1" customWidth="1"/>
    <col min="3600" max="3840" width="9.140625" style="342"/>
    <col min="3841" max="3841" width="12.7109375" style="342" customWidth="1"/>
    <col min="3842" max="3842" width="13.7109375" style="342" customWidth="1"/>
    <col min="3843" max="3844" width="9.85546875" style="342" customWidth="1"/>
    <col min="3845" max="3845" width="11.85546875" style="342" customWidth="1"/>
    <col min="3846" max="3846" width="10.85546875" style="342" customWidth="1"/>
    <col min="3847" max="3848" width="10.7109375" style="342" customWidth="1"/>
    <col min="3849" max="3849" width="9.42578125" style="342" bestFit="1" customWidth="1"/>
    <col min="3850" max="3850" width="8.140625" style="342" customWidth="1"/>
    <col min="3851" max="3851" width="8.85546875" style="342" customWidth="1"/>
    <col min="3852" max="3852" width="10.5703125" style="342" customWidth="1"/>
    <col min="3853" max="3853" width="8.42578125" style="342" customWidth="1"/>
    <col min="3854" max="3854" width="10.42578125" style="342" bestFit="1" customWidth="1"/>
    <col min="3855" max="3855" width="11.5703125" style="342" bestFit="1" customWidth="1"/>
    <col min="3856" max="4096" width="9.140625" style="342"/>
    <col min="4097" max="4097" width="12.7109375" style="342" customWidth="1"/>
    <col min="4098" max="4098" width="13.7109375" style="342" customWidth="1"/>
    <col min="4099" max="4100" width="9.85546875" style="342" customWidth="1"/>
    <col min="4101" max="4101" width="11.85546875" style="342" customWidth="1"/>
    <col min="4102" max="4102" width="10.85546875" style="342" customWidth="1"/>
    <col min="4103" max="4104" width="10.7109375" style="342" customWidth="1"/>
    <col min="4105" max="4105" width="9.42578125" style="342" bestFit="1" customWidth="1"/>
    <col min="4106" max="4106" width="8.140625" style="342" customWidth="1"/>
    <col min="4107" max="4107" width="8.85546875" style="342" customWidth="1"/>
    <col min="4108" max="4108" width="10.5703125" style="342" customWidth="1"/>
    <col min="4109" max="4109" width="8.42578125" style="342" customWidth="1"/>
    <col min="4110" max="4110" width="10.42578125" style="342" bestFit="1" customWidth="1"/>
    <col min="4111" max="4111" width="11.5703125" style="342" bestFit="1" customWidth="1"/>
    <col min="4112" max="4352" width="9.140625" style="342"/>
    <col min="4353" max="4353" width="12.7109375" style="342" customWidth="1"/>
    <col min="4354" max="4354" width="13.7109375" style="342" customWidth="1"/>
    <col min="4355" max="4356" width="9.85546875" style="342" customWidth="1"/>
    <col min="4357" max="4357" width="11.85546875" style="342" customWidth="1"/>
    <col min="4358" max="4358" width="10.85546875" style="342" customWidth="1"/>
    <col min="4359" max="4360" width="10.7109375" style="342" customWidth="1"/>
    <col min="4361" max="4361" width="9.42578125" style="342" bestFit="1" customWidth="1"/>
    <col min="4362" max="4362" width="8.140625" style="342" customWidth="1"/>
    <col min="4363" max="4363" width="8.85546875" style="342" customWidth="1"/>
    <col min="4364" max="4364" width="10.5703125" style="342" customWidth="1"/>
    <col min="4365" max="4365" width="8.42578125" style="342" customWidth="1"/>
    <col min="4366" max="4366" width="10.42578125" style="342" bestFit="1" customWidth="1"/>
    <col min="4367" max="4367" width="11.5703125" style="342" bestFit="1" customWidth="1"/>
    <col min="4368" max="4608" width="9.140625" style="342"/>
    <col min="4609" max="4609" width="12.7109375" style="342" customWidth="1"/>
    <col min="4610" max="4610" width="13.7109375" style="342" customWidth="1"/>
    <col min="4611" max="4612" width="9.85546875" style="342" customWidth="1"/>
    <col min="4613" max="4613" width="11.85546875" style="342" customWidth="1"/>
    <col min="4614" max="4614" width="10.85546875" style="342" customWidth="1"/>
    <col min="4615" max="4616" width="10.7109375" style="342" customWidth="1"/>
    <col min="4617" max="4617" width="9.42578125" style="342" bestFit="1" customWidth="1"/>
    <col min="4618" max="4618" width="8.140625" style="342" customWidth="1"/>
    <col min="4619" max="4619" width="8.85546875" style="342" customWidth="1"/>
    <col min="4620" max="4620" width="10.5703125" style="342" customWidth="1"/>
    <col min="4621" max="4621" width="8.42578125" style="342" customWidth="1"/>
    <col min="4622" max="4622" width="10.42578125" style="342" bestFit="1" customWidth="1"/>
    <col min="4623" max="4623" width="11.5703125" style="342" bestFit="1" customWidth="1"/>
    <col min="4624" max="4864" width="9.140625" style="342"/>
    <col min="4865" max="4865" width="12.7109375" style="342" customWidth="1"/>
    <col min="4866" max="4866" width="13.7109375" style="342" customWidth="1"/>
    <col min="4867" max="4868" width="9.85546875" style="342" customWidth="1"/>
    <col min="4869" max="4869" width="11.85546875" style="342" customWidth="1"/>
    <col min="4870" max="4870" width="10.85546875" style="342" customWidth="1"/>
    <col min="4871" max="4872" width="10.7109375" style="342" customWidth="1"/>
    <col min="4873" max="4873" width="9.42578125" style="342" bestFit="1" customWidth="1"/>
    <col min="4874" max="4874" width="8.140625" style="342" customWidth="1"/>
    <col min="4875" max="4875" width="8.85546875" style="342" customWidth="1"/>
    <col min="4876" max="4876" width="10.5703125" style="342" customWidth="1"/>
    <col min="4877" max="4877" width="8.42578125" style="342" customWidth="1"/>
    <col min="4878" max="4878" width="10.42578125" style="342" bestFit="1" customWidth="1"/>
    <col min="4879" max="4879" width="11.5703125" style="342" bestFit="1" customWidth="1"/>
    <col min="4880" max="5120" width="9.140625" style="342"/>
    <col min="5121" max="5121" width="12.7109375" style="342" customWidth="1"/>
    <col min="5122" max="5122" width="13.7109375" style="342" customWidth="1"/>
    <col min="5123" max="5124" width="9.85546875" style="342" customWidth="1"/>
    <col min="5125" max="5125" width="11.85546875" style="342" customWidth="1"/>
    <col min="5126" max="5126" width="10.85546875" style="342" customWidth="1"/>
    <col min="5127" max="5128" width="10.7109375" style="342" customWidth="1"/>
    <col min="5129" max="5129" width="9.42578125" style="342" bestFit="1" customWidth="1"/>
    <col min="5130" max="5130" width="8.140625" style="342" customWidth="1"/>
    <col min="5131" max="5131" width="8.85546875" style="342" customWidth="1"/>
    <col min="5132" max="5132" width="10.5703125" style="342" customWidth="1"/>
    <col min="5133" max="5133" width="8.42578125" style="342" customWidth="1"/>
    <col min="5134" max="5134" width="10.42578125" style="342" bestFit="1" customWidth="1"/>
    <col min="5135" max="5135" width="11.5703125" style="342" bestFit="1" customWidth="1"/>
    <col min="5136" max="5376" width="9.140625" style="342"/>
    <col min="5377" max="5377" width="12.7109375" style="342" customWidth="1"/>
    <col min="5378" max="5378" width="13.7109375" style="342" customWidth="1"/>
    <col min="5379" max="5380" width="9.85546875" style="342" customWidth="1"/>
    <col min="5381" max="5381" width="11.85546875" style="342" customWidth="1"/>
    <col min="5382" max="5382" width="10.85546875" style="342" customWidth="1"/>
    <col min="5383" max="5384" width="10.7109375" style="342" customWidth="1"/>
    <col min="5385" max="5385" width="9.42578125" style="342" bestFit="1" customWidth="1"/>
    <col min="5386" max="5386" width="8.140625" style="342" customWidth="1"/>
    <col min="5387" max="5387" width="8.85546875" style="342" customWidth="1"/>
    <col min="5388" max="5388" width="10.5703125" style="342" customWidth="1"/>
    <col min="5389" max="5389" width="8.42578125" style="342" customWidth="1"/>
    <col min="5390" max="5390" width="10.42578125" style="342" bestFit="1" customWidth="1"/>
    <col min="5391" max="5391" width="11.5703125" style="342" bestFit="1" customWidth="1"/>
    <col min="5392" max="5632" width="9.140625" style="342"/>
    <col min="5633" max="5633" width="12.7109375" style="342" customWidth="1"/>
    <col min="5634" max="5634" width="13.7109375" style="342" customWidth="1"/>
    <col min="5635" max="5636" width="9.85546875" style="342" customWidth="1"/>
    <col min="5637" max="5637" width="11.85546875" style="342" customWidth="1"/>
    <col min="5638" max="5638" width="10.85546875" style="342" customWidth="1"/>
    <col min="5639" max="5640" width="10.7109375" style="342" customWidth="1"/>
    <col min="5641" max="5641" width="9.42578125" style="342" bestFit="1" customWidth="1"/>
    <col min="5642" max="5642" width="8.140625" style="342" customWidth="1"/>
    <col min="5643" max="5643" width="8.85546875" style="342" customWidth="1"/>
    <col min="5644" max="5644" width="10.5703125" style="342" customWidth="1"/>
    <col min="5645" max="5645" width="8.42578125" style="342" customWidth="1"/>
    <col min="5646" max="5646" width="10.42578125" style="342" bestFit="1" customWidth="1"/>
    <col min="5647" max="5647" width="11.5703125" style="342" bestFit="1" customWidth="1"/>
    <col min="5648" max="5888" width="9.140625" style="342"/>
    <col min="5889" max="5889" width="12.7109375" style="342" customWidth="1"/>
    <col min="5890" max="5890" width="13.7109375" style="342" customWidth="1"/>
    <col min="5891" max="5892" width="9.85546875" style="342" customWidth="1"/>
    <col min="5893" max="5893" width="11.85546875" style="342" customWidth="1"/>
    <col min="5894" max="5894" width="10.85546875" style="342" customWidth="1"/>
    <col min="5895" max="5896" width="10.7109375" style="342" customWidth="1"/>
    <col min="5897" max="5897" width="9.42578125" style="342" bestFit="1" customWidth="1"/>
    <col min="5898" max="5898" width="8.140625" style="342" customWidth="1"/>
    <col min="5899" max="5899" width="8.85546875" style="342" customWidth="1"/>
    <col min="5900" max="5900" width="10.5703125" style="342" customWidth="1"/>
    <col min="5901" max="5901" width="8.42578125" style="342" customWidth="1"/>
    <col min="5902" max="5902" width="10.42578125" style="342" bestFit="1" customWidth="1"/>
    <col min="5903" max="5903" width="11.5703125" style="342" bestFit="1" customWidth="1"/>
    <col min="5904" max="6144" width="9.140625" style="342"/>
    <col min="6145" max="6145" width="12.7109375" style="342" customWidth="1"/>
    <col min="6146" max="6146" width="13.7109375" style="342" customWidth="1"/>
    <col min="6147" max="6148" width="9.85546875" style="342" customWidth="1"/>
    <col min="6149" max="6149" width="11.85546875" style="342" customWidth="1"/>
    <col min="6150" max="6150" width="10.85546875" style="342" customWidth="1"/>
    <col min="6151" max="6152" width="10.7109375" style="342" customWidth="1"/>
    <col min="6153" max="6153" width="9.42578125" style="342" bestFit="1" customWidth="1"/>
    <col min="6154" max="6154" width="8.140625" style="342" customWidth="1"/>
    <col min="6155" max="6155" width="8.85546875" style="342" customWidth="1"/>
    <col min="6156" max="6156" width="10.5703125" style="342" customWidth="1"/>
    <col min="6157" max="6157" width="8.42578125" style="342" customWidth="1"/>
    <col min="6158" max="6158" width="10.42578125" style="342" bestFit="1" customWidth="1"/>
    <col min="6159" max="6159" width="11.5703125" style="342" bestFit="1" customWidth="1"/>
    <col min="6160" max="6400" width="9.140625" style="342"/>
    <col min="6401" max="6401" width="12.7109375" style="342" customWidth="1"/>
    <col min="6402" max="6402" width="13.7109375" style="342" customWidth="1"/>
    <col min="6403" max="6404" width="9.85546875" style="342" customWidth="1"/>
    <col min="6405" max="6405" width="11.85546875" style="342" customWidth="1"/>
    <col min="6406" max="6406" width="10.85546875" style="342" customWidth="1"/>
    <col min="6407" max="6408" width="10.7109375" style="342" customWidth="1"/>
    <col min="6409" max="6409" width="9.42578125" style="342" bestFit="1" customWidth="1"/>
    <col min="6410" max="6410" width="8.140625" style="342" customWidth="1"/>
    <col min="6411" max="6411" width="8.85546875" style="342" customWidth="1"/>
    <col min="6412" max="6412" width="10.5703125" style="342" customWidth="1"/>
    <col min="6413" max="6413" width="8.42578125" style="342" customWidth="1"/>
    <col min="6414" max="6414" width="10.42578125" style="342" bestFit="1" customWidth="1"/>
    <col min="6415" max="6415" width="11.5703125" style="342" bestFit="1" customWidth="1"/>
    <col min="6416" max="6656" width="9.140625" style="342"/>
    <col min="6657" max="6657" width="12.7109375" style="342" customWidth="1"/>
    <col min="6658" max="6658" width="13.7109375" style="342" customWidth="1"/>
    <col min="6659" max="6660" width="9.85546875" style="342" customWidth="1"/>
    <col min="6661" max="6661" width="11.85546875" style="342" customWidth="1"/>
    <col min="6662" max="6662" width="10.85546875" style="342" customWidth="1"/>
    <col min="6663" max="6664" width="10.7109375" style="342" customWidth="1"/>
    <col min="6665" max="6665" width="9.42578125" style="342" bestFit="1" customWidth="1"/>
    <col min="6666" max="6666" width="8.140625" style="342" customWidth="1"/>
    <col min="6667" max="6667" width="8.85546875" style="342" customWidth="1"/>
    <col min="6668" max="6668" width="10.5703125" style="342" customWidth="1"/>
    <col min="6669" max="6669" width="8.42578125" style="342" customWidth="1"/>
    <col min="6670" max="6670" width="10.42578125" style="342" bestFit="1" customWidth="1"/>
    <col min="6671" max="6671" width="11.5703125" style="342" bestFit="1" customWidth="1"/>
    <col min="6672" max="6912" width="9.140625" style="342"/>
    <col min="6913" max="6913" width="12.7109375" style="342" customWidth="1"/>
    <col min="6914" max="6914" width="13.7109375" style="342" customWidth="1"/>
    <col min="6915" max="6916" width="9.85546875" style="342" customWidth="1"/>
    <col min="6917" max="6917" width="11.85546875" style="342" customWidth="1"/>
    <col min="6918" max="6918" width="10.85546875" style="342" customWidth="1"/>
    <col min="6919" max="6920" width="10.7109375" style="342" customWidth="1"/>
    <col min="6921" max="6921" width="9.42578125" style="342" bestFit="1" customWidth="1"/>
    <col min="6922" max="6922" width="8.140625" style="342" customWidth="1"/>
    <col min="6923" max="6923" width="8.85546875" style="342" customWidth="1"/>
    <col min="6924" max="6924" width="10.5703125" style="342" customWidth="1"/>
    <col min="6925" max="6925" width="8.42578125" style="342" customWidth="1"/>
    <col min="6926" max="6926" width="10.42578125" style="342" bestFit="1" customWidth="1"/>
    <col min="6927" max="6927" width="11.5703125" style="342" bestFit="1" customWidth="1"/>
    <col min="6928" max="7168" width="9.140625" style="342"/>
    <col min="7169" max="7169" width="12.7109375" style="342" customWidth="1"/>
    <col min="7170" max="7170" width="13.7109375" style="342" customWidth="1"/>
    <col min="7171" max="7172" width="9.85546875" style="342" customWidth="1"/>
    <col min="7173" max="7173" width="11.85546875" style="342" customWidth="1"/>
    <col min="7174" max="7174" width="10.85546875" style="342" customWidth="1"/>
    <col min="7175" max="7176" width="10.7109375" style="342" customWidth="1"/>
    <col min="7177" max="7177" width="9.42578125" style="342" bestFit="1" customWidth="1"/>
    <col min="7178" max="7178" width="8.140625" style="342" customWidth="1"/>
    <col min="7179" max="7179" width="8.85546875" style="342" customWidth="1"/>
    <col min="7180" max="7180" width="10.5703125" style="342" customWidth="1"/>
    <col min="7181" max="7181" width="8.42578125" style="342" customWidth="1"/>
    <col min="7182" max="7182" width="10.42578125" style="342" bestFit="1" customWidth="1"/>
    <col min="7183" max="7183" width="11.5703125" style="342" bestFit="1" customWidth="1"/>
    <col min="7184" max="7424" width="9.140625" style="342"/>
    <col min="7425" max="7425" width="12.7109375" style="342" customWidth="1"/>
    <col min="7426" max="7426" width="13.7109375" style="342" customWidth="1"/>
    <col min="7427" max="7428" width="9.85546875" style="342" customWidth="1"/>
    <col min="7429" max="7429" width="11.85546875" style="342" customWidth="1"/>
    <col min="7430" max="7430" width="10.85546875" style="342" customWidth="1"/>
    <col min="7431" max="7432" width="10.7109375" style="342" customWidth="1"/>
    <col min="7433" max="7433" width="9.42578125" style="342" bestFit="1" customWidth="1"/>
    <col min="7434" max="7434" width="8.140625" style="342" customWidth="1"/>
    <col min="7435" max="7435" width="8.85546875" style="342" customWidth="1"/>
    <col min="7436" max="7436" width="10.5703125" style="342" customWidth="1"/>
    <col min="7437" max="7437" width="8.42578125" style="342" customWidth="1"/>
    <col min="7438" max="7438" width="10.42578125" style="342" bestFit="1" customWidth="1"/>
    <col min="7439" max="7439" width="11.5703125" style="342" bestFit="1" customWidth="1"/>
    <col min="7440" max="7680" width="9.140625" style="342"/>
    <col min="7681" max="7681" width="12.7109375" style="342" customWidth="1"/>
    <col min="7682" max="7682" width="13.7109375" style="342" customWidth="1"/>
    <col min="7683" max="7684" width="9.85546875" style="342" customWidth="1"/>
    <col min="7685" max="7685" width="11.85546875" style="342" customWidth="1"/>
    <col min="7686" max="7686" width="10.85546875" style="342" customWidth="1"/>
    <col min="7687" max="7688" width="10.7109375" style="342" customWidth="1"/>
    <col min="7689" max="7689" width="9.42578125" style="342" bestFit="1" customWidth="1"/>
    <col min="7690" max="7690" width="8.140625" style="342" customWidth="1"/>
    <col min="7691" max="7691" width="8.85546875" style="342" customWidth="1"/>
    <col min="7692" max="7692" width="10.5703125" style="342" customWidth="1"/>
    <col min="7693" max="7693" width="8.42578125" style="342" customWidth="1"/>
    <col min="7694" max="7694" width="10.42578125" style="342" bestFit="1" customWidth="1"/>
    <col min="7695" max="7695" width="11.5703125" style="342" bestFit="1" customWidth="1"/>
    <col min="7696" max="7936" width="9.140625" style="342"/>
    <col min="7937" max="7937" width="12.7109375" style="342" customWidth="1"/>
    <col min="7938" max="7938" width="13.7109375" style="342" customWidth="1"/>
    <col min="7939" max="7940" width="9.85546875" style="342" customWidth="1"/>
    <col min="7941" max="7941" width="11.85546875" style="342" customWidth="1"/>
    <col min="7942" max="7942" width="10.85546875" style="342" customWidth="1"/>
    <col min="7943" max="7944" width="10.7109375" style="342" customWidth="1"/>
    <col min="7945" max="7945" width="9.42578125" style="342" bestFit="1" customWidth="1"/>
    <col min="7946" max="7946" width="8.140625" style="342" customWidth="1"/>
    <col min="7947" max="7947" width="8.85546875" style="342" customWidth="1"/>
    <col min="7948" max="7948" width="10.5703125" style="342" customWidth="1"/>
    <col min="7949" max="7949" width="8.42578125" style="342" customWidth="1"/>
    <col min="7950" max="7950" width="10.42578125" style="342" bestFit="1" customWidth="1"/>
    <col min="7951" max="7951" width="11.5703125" style="342" bestFit="1" customWidth="1"/>
    <col min="7952" max="8192" width="9.140625" style="342"/>
    <col min="8193" max="8193" width="12.7109375" style="342" customWidth="1"/>
    <col min="8194" max="8194" width="13.7109375" style="342" customWidth="1"/>
    <col min="8195" max="8196" width="9.85546875" style="342" customWidth="1"/>
    <col min="8197" max="8197" width="11.85546875" style="342" customWidth="1"/>
    <col min="8198" max="8198" width="10.85546875" style="342" customWidth="1"/>
    <col min="8199" max="8200" width="10.7109375" style="342" customWidth="1"/>
    <col min="8201" max="8201" width="9.42578125" style="342" bestFit="1" customWidth="1"/>
    <col min="8202" max="8202" width="8.140625" style="342" customWidth="1"/>
    <col min="8203" max="8203" width="8.85546875" style="342" customWidth="1"/>
    <col min="8204" max="8204" width="10.5703125" style="342" customWidth="1"/>
    <col min="8205" max="8205" width="8.42578125" style="342" customWidth="1"/>
    <col min="8206" max="8206" width="10.42578125" style="342" bestFit="1" customWidth="1"/>
    <col min="8207" max="8207" width="11.5703125" style="342" bestFit="1" customWidth="1"/>
    <col min="8208" max="8448" width="9.140625" style="342"/>
    <col min="8449" max="8449" width="12.7109375" style="342" customWidth="1"/>
    <col min="8450" max="8450" width="13.7109375" style="342" customWidth="1"/>
    <col min="8451" max="8452" width="9.85546875" style="342" customWidth="1"/>
    <col min="8453" max="8453" width="11.85546875" style="342" customWidth="1"/>
    <col min="8454" max="8454" width="10.85546875" style="342" customWidth="1"/>
    <col min="8455" max="8456" width="10.7109375" style="342" customWidth="1"/>
    <col min="8457" max="8457" width="9.42578125" style="342" bestFit="1" customWidth="1"/>
    <col min="8458" max="8458" width="8.140625" style="342" customWidth="1"/>
    <col min="8459" max="8459" width="8.85546875" style="342" customWidth="1"/>
    <col min="8460" max="8460" width="10.5703125" style="342" customWidth="1"/>
    <col min="8461" max="8461" width="8.42578125" style="342" customWidth="1"/>
    <col min="8462" max="8462" width="10.42578125" style="342" bestFit="1" customWidth="1"/>
    <col min="8463" max="8463" width="11.5703125" style="342" bestFit="1" customWidth="1"/>
    <col min="8464" max="8704" width="9.140625" style="342"/>
    <col min="8705" max="8705" width="12.7109375" style="342" customWidth="1"/>
    <col min="8706" max="8706" width="13.7109375" style="342" customWidth="1"/>
    <col min="8707" max="8708" width="9.85546875" style="342" customWidth="1"/>
    <col min="8709" max="8709" width="11.85546875" style="342" customWidth="1"/>
    <col min="8710" max="8710" width="10.85546875" style="342" customWidth="1"/>
    <col min="8711" max="8712" width="10.7109375" style="342" customWidth="1"/>
    <col min="8713" max="8713" width="9.42578125" style="342" bestFit="1" customWidth="1"/>
    <col min="8714" max="8714" width="8.140625" style="342" customWidth="1"/>
    <col min="8715" max="8715" width="8.85546875" style="342" customWidth="1"/>
    <col min="8716" max="8716" width="10.5703125" style="342" customWidth="1"/>
    <col min="8717" max="8717" width="8.42578125" style="342" customWidth="1"/>
    <col min="8718" max="8718" width="10.42578125" style="342" bestFit="1" customWidth="1"/>
    <col min="8719" max="8719" width="11.5703125" style="342" bestFit="1" customWidth="1"/>
    <col min="8720" max="8960" width="9.140625" style="342"/>
    <col min="8961" max="8961" width="12.7109375" style="342" customWidth="1"/>
    <col min="8962" max="8962" width="13.7109375" style="342" customWidth="1"/>
    <col min="8963" max="8964" width="9.85546875" style="342" customWidth="1"/>
    <col min="8965" max="8965" width="11.85546875" style="342" customWidth="1"/>
    <col min="8966" max="8966" width="10.85546875" style="342" customWidth="1"/>
    <col min="8967" max="8968" width="10.7109375" style="342" customWidth="1"/>
    <col min="8969" max="8969" width="9.42578125" style="342" bestFit="1" customWidth="1"/>
    <col min="8970" max="8970" width="8.140625" style="342" customWidth="1"/>
    <col min="8971" max="8971" width="8.85546875" style="342" customWidth="1"/>
    <col min="8972" max="8972" width="10.5703125" style="342" customWidth="1"/>
    <col min="8973" max="8973" width="8.42578125" style="342" customWidth="1"/>
    <col min="8974" max="8974" width="10.42578125" style="342" bestFit="1" customWidth="1"/>
    <col min="8975" max="8975" width="11.5703125" style="342" bestFit="1" customWidth="1"/>
    <col min="8976" max="9216" width="9.140625" style="342"/>
    <col min="9217" max="9217" width="12.7109375" style="342" customWidth="1"/>
    <col min="9218" max="9218" width="13.7109375" style="342" customWidth="1"/>
    <col min="9219" max="9220" width="9.85546875" style="342" customWidth="1"/>
    <col min="9221" max="9221" width="11.85546875" style="342" customWidth="1"/>
    <col min="9222" max="9222" width="10.85546875" style="342" customWidth="1"/>
    <col min="9223" max="9224" width="10.7109375" style="342" customWidth="1"/>
    <col min="9225" max="9225" width="9.42578125" style="342" bestFit="1" customWidth="1"/>
    <col min="9226" max="9226" width="8.140625" style="342" customWidth="1"/>
    <col min="9227" max="9227" width="8.85546875" style="342" customWidth="1"/>
    <col min="9228" max="9228" width="10.5703125" style="342" customWidth="1"/>
    <col min="9229" max="9229" width="8.42578125" style="342" customWidth="1"/>
    <col min="9230" max="9230" width="10.42578125" style="342" bestFit="1" customWidth="1"/>
    <col min="9231" max="9231" width="11.5703125" style="342" bestFit="1" customWidth="1"/>
    <col min="9232" max="9472" width="9.140625" style="342"/>
    <col min="9473" max="9473" width="12.7109375" style="342" customWidth="1"/>
    <col min="9474" max="9474" width="13.7109375" style="342" customWidth="1"/>
    <col min="9475" max="9476" width="9.85546875" style="342" customWidth="1"/>
    <col min="9477" max="9477" width="11.85546875" style="342" customWidth="1"/>
    <col min="9478" max="9478" width="10.85546875" style="342" customWidth="1"/>
    <col min="9479" max="9480" width="10.7109375" style="342" customWidth="1"/>
    <col min="9481" max="9481" width="9.42578125" style="342" bestFit="1" customWidth="1"/>
    <col min="9482" max="9482" width="8.140625" style="342" customWidth="1"/>
    <col min="9483" max="9483" width="8.85546875" style="342" customWidth="1"/>
    <col min="9484" max="9484" width="10.5703125" style="342" customWidth="1"/>
    <col min="9485" max="9485" width="8.42578125" style="342" customWidth="1"/>
    <col min="9486" max="9486" width="10.42578125" style="342" bestFit="1" customWidth="1"/>
    <col min="9487" max="9487" width="11.5703125" style="342" bestFit="1" customWidth="1"/>
    <col min="9488" max="9728" width="9.140625" style="342"/>
    <col min="9729" max="9729" width="12.7109375" style="342" customWidth="1"/>
    <col min="9730" max="9730" width="13.7109375" style="342" customWidth="1"/>
    <col min="9731" max="9732" width="9.85546875" style="342" customWidth="1"/>
    <col min="9733" max="9733" width="11.85546875" style="342" customWidth="1"/>
    <col min="9734" max="9734" width="10.85546875" style="342" customWidth="1"/>
    <col min="9735" max="9736" width="10.7109375" style="342" customWidth="1"/>
    <col min="9737" max="9737" width="9.42578125" style="342" bestFit="1" customWidth="1"/>
    <col min="9738" max="9738" width="8.140625" style="342" customWidth="1"/>
    <col min="9739" max="9739" width="8.85546875" style="342" customWidth="1"/>
    <col min="9740" max="9740" width="10.5703125" style="342" customWidth="1"/>
    <col min="9741" max="9741" width="8.42578125" style="342" customWidth="1"/>
    <col min="9742" max="9742" width="10.42578125" style="342" bestFit="1" customWidth="1"/>
    <col min="9743" max="9743" width="11.5703125" style="342" bestFit="1" customWidth="1"/>
    <col min="9744" max="9984" width="9.140625" style="342"/>
    <col min="9985" max="9985" width="12.7109375" style="342" customWidth="1"/>
    <col min="9986" max="9986" width="13.7109375" style="342" customWidth="1"/>
    <col min="9987" max="9988" width="9.85546875" style="342" customWidth="1"/>
    <col min="9989" max="9989" width="11.85546875" style="342" customWidth="1"/>
    <col min="9990" max="9990" width="10.85546875" style="342" customWidth="1"/>
    <col min="9991" max="9992" width="10.7109375" style="342" customWidth="1"/>
    <col min="9993" max="9993" width="9.42578125" style="342" bestFit="1" customWidth="1"/>
    <col min="9994" max="9994" width="8.140625" style="342" customWidth="1"/>
    <col min="9995" max="9995" width="8.85546875" style="342" customWidth="1"/>
    <col min="9996" max="9996" width="10.5703125" style="342" customWidth="1"/>
    <col min="9997" max="9997" width="8.42578125" style="342" customWidth="1"/>
    <col min="9998" max="9998" width="10.42578125" style="342" bestFit="1" customWidth="1"/>
    <col min="9999" max="9999" width="11.5703125" style="342" bestFit="1" customWidth="1"/>
    <col min="10000" max="10240" width="9.140625" style="342"/>
    <col min="10241" max="10241" width="12.7109375" style="342" customWidth="1"/>
    <col min="10242" max="10242" width="13.7109375" style="342" customWidth="1"/>
    <col min="10243" max="10244" width="9.85546875" style="342" customWidth="1"/>
    <col min="10245" max="10245" width="11.85546875" style="342" customWidth="1"/>
    <col min="10246" max="10246" width="10.85546875" style="342" customWidth="1"/>
    <col min="10247" max="10248" width="10.7109375" style="342" customWidth="1"/>
    <col min="10249" max="10249" width="9.42578125" style="342" bestFit="1" customWidth="1"/>
    <col min="10250" max="10250" width="8.140625" style="342" customWidth="1"/>
    <col min="10251" max="10251" width="8.85546875" style="342" customWidth="1"/>
    <col min="10252" max="10252" width="10.5703125" style="342" customWidth="1"/>
    <col min="10253" max="10253" width="8.42578125" style="342" customWidth="1"/>
    <col min="10254" max="10254" width="10.42578125" style="342" bestFit="1" customWidth="1"/>
    <col min="10255" max="10255" width="11.5703125" style="342" bestFit="1" customWidth="1"/>
    <col min="10256" max="10496" width="9.140625" style="342"/>
    <col min="10497" max="10497" width="12.7109375" style="342" customWidth="1"/>
    <col min="10498" max="10498" width="13.7109375" style="342" customWidth="1"/>
    <col min="10499" max="10500" width="9.85546875" style="342" customWidth="1"/>
    <col min="10501" max="10501" width="11.85546875" style="342" customWidth="1"/>
    <col min="10502" max="10502" width="10.85546875" style="342" customWidth="1"/>
    <col min="10503" max="10504" width="10.7109375" style="342" customWidth="1"/>
    <col min="10505" max="10505" width="9.42578125" style="342" bestFit="1" customWidth="1"/>
    <col min="10506" max="10506" width="8.140625" style="342" customWidth="1"/>
    <col min="10507" max="10507" width="8.85546875" style="342" customWidth="1"/>
    <col min="10508" max="10508" width="10.5703125" style="342" customWidth="1"/>
    <col min="10509" max="10509" width="8.42578125" style="342" customWidth="1"/>
    <col min="10510" max="10510" width="10.42578125" style="342" bestFit="1" customWidth="1"/>
    <col min="10511" max="10511" width="11.5703125" style="342" bestFit="1" customWidth="1"/>
    <col min="10512" max="10752" width="9.140625" style="342"/>
    <col min="10753" max="10753" width="12.7109375" style="342" customWidth="1"/>
    <col min="10754" max="10754" width="13.7109375" style="342" customWidth="1"/>
    <col min="10755" max="10756" width="9.85546875" style="342" customWidth="1"/>
    <col min="10757" max="10757" width="11.85546875" style="342" customWidth="1"/>
    <col min="10758" max="10758" width="10.85546875" style="342" customWidth="1"/>
    <col min="10759" max="10760" width="10.7109375" style="342" customWidth="1"/>
    <col min="10761" max="10761" width="9.42578125" style="342" bestFit="1" customWidth="1"/>
    <col min="10762" max="10762" width="8.140625" style="342" customWidth="1"/>
    <col min="10763" max="10763" width="8.85546875" style="342" customWidth="1"/>
    <col min="10764" max="10764" width="10.5703125" style="342" customWidth="1"/>
    <col min="10765" max="10765" width="8.42578125" style="342" customWidth="1"/>
    <col min="10766" max="10766" width="10.42578125" style="342" bestFit="1" customWidth="1"/>
    <col min="10767" max="10767" width="11.5703125" style="342" bestFit="1" customWidth="1"/>
    <col min="10768" max="11008" width="9.140625" style="342"/>
    <col min="11009" max="11009" width="12.7109375" style="342" customWidth="1"/>
    <col min="11010" max="11010" width="13.7109375" style="342" customWidth="1"/>
    <col min="11011" max="11012" width="9.85546875" style="342" customWidth="1"/>
    <col min="11013" max="11013" width="11.85546875" style="342" customWidth="1"/>
    <col min="11014" max="11014" width="10.85546875" style="342" customWidth="1"/>
    <col min="11015" max="11016" width="10.7109375" style="342" customWidth="1"/>
    <col min="11017" max="11017" width="9.42578125" style="342" bestFit="1" customWidth="1"/>
    <col min="11018" max="11018" width="8.140625" style="342" customWidth="1"/>
    <col min="11019" max="11019" width="8.85546875" style="342" customWidth="1"/>
    <col min="11020" max="11020" width="10.5703125" style="342" customWidth="1"/>
    <col min="11021" max="11021" width="8.42578125" style="342" customWidth="1"/>
    <col min="11022" max="11022" width="10.42578125" style="342" bestFit="1" customWidth="1"/>
    <col min="11023" max="11023" width="11.5703125" style="342" bestFit="1" customWidth="1"/>
    <col min="11024" max="11264" width="9.140625" style="342"/>
    <col min="11265" max="11265" width="12.7109375" style="342" customWidth="1"/>
    <col min="11266" max="11266" width="13.7109375" style="342" customWidth="1"/>
    <col min="11267" max="11268" width="9.85546875" style="342" customWidth="1"/>
    <col min="11269" max="11269" width="11.85546875" style="342" customWidth="1"/>
    <col min="11270" max="11270" width="10.85546875" style="342" customWidth="1"/>
    <col min="11271" max="11272" width="10.7109375" style="342" customWidth="1"/>
    <col min="11273" max="11273" width="9.42578125" style="342" bestFit="1" customWidth="1"/>
    <col min="11274" max="11274" width="8.140625" style="342" customWidth="1"/>
    <col min="11275" max="11275" width="8.85546875" style="342" customWidth="1"/>
    <col min="11276" max="11276" width="10.5703125" style="342" customWidth="1"/>
    <col min="11277" max="11277" width="8.42578125" style="342" customWidth="1"/>
    <col min="11278" max="11278" width="10.42578125" style="342" bestFit="1" customWidth="1"/>
    <col min="11279" max="11279" width="11.5703125" style="342" bestFit="1" customWidth="1"/>
    <col min="11280" max="11520" width="9.140625" style="342"/>
    <col min="11521" max="11521" width="12.7109375" style="342" customWidth="1"/>
    <col min="11522" max="11522" width="13.7109375" style="342" customWidth="1"/>
    <col min="11523" max="11524" width="9.85546875" style="342" customWidth="1"/>
    <col min="11525" max="11525" width="11.85546875" style="342" customWidth="1"/>
    <col min="11526" max="11526" width="10.85546875" style="342" customWidth="1"/>
    <col min="11527" max="11528" width="10.7109375" style="342" customWidth="1"/>
    <col min="11529" max="11529" width="9.42578125" style="342" bestFit="1" customWidth="1"/>
    <col min="11530" max="11530" width="8.140625" style="342" customWidth="1"/>
    <col min="11531" max="11531" width="8.85546875" style="342" customWidth="1"/>
    <col min="11532" max="11532" width="10.5703125" style="342" customWidth="1"/>
    <col min="11533" max="11533" width="8.42578125" style="342" customWidth="1"/>
    <col min="11534" max="11534" width="10.42578125" style="342" bestFit="1" customWidth="1"/>
    <col min="11535" max="11535" width="11.5703125" style="342" bestFit="1" customWidth="1"/>
    <col min="11536" max="11776" width="9.140625" style="342"/>
    <col min="11777" max="11777" width="12.7109375" style="342" customWidth="1"/>
    <col min="11778" max="11778" width="13.7109375" style="342" customWidth="1"/>
    <col min="11779" max="11780" width="9.85546875" style="342" customWidth="1"/>
    <col min="11781" max="11781" width="11.85546875" style="342" customWidth="1"/>
    <col min="11782" max="11782" width="10.85546875" style="342" customWidth="1"/>
    <col min="11783" max="11784" width="10.7109375" style="342" customWidth="1"/>
    <col min="11785" max="11785" width="9.42578125" style="342" bestFit="1" customWidth="1"/>
    <col min="11786" max="11786" width="8.140625" style="342" customWidth="1"/>
    <col min="11787" max="11787" width="8.85546875" style="342" customWidth="1"/>
    <col min="11788" max="11788" width="10.5703125" style="342" customWidth="1"/>
    <col min="11789" max="11789" width="8.42578125" style="342" customWidth="1"/>
    <col min="11790" max="11790" width="10.42578125" style="342" bestFit="1" customWidth="1"/>
    <col min="11791" max="11791" width="11.5703125" style="342" bestFit="1" customWidth="1"/>
    <col min="11792" max="12032" width="9.140625" style="342"/>
    <col min="12033" max="12033" width="12.7109375" style="342" customWidth="1"/>
    <col min="12034" max="12034" width="13.7109375" style="342" customWidth="1"/>
    <col min="12035" max="12036" width="9.85546875" style="342" customWidth="1"/>
    <col min="12037" max="12037" width="11.85546875" style="342" customWidth="1"/>
    <col min="12038" max="12038" width="10.85546875" style="342" customWidth="1"/>
    <col min="12039" max="12040" width="10.7109375" style="342" customWidth="1"/>
    <col min="12041" max="12041" width="9.42578125" style="342" bestFit="1" customWidth="1"/>
    <col min="12042" max="12042" width="8.140625" style="342" customWidth="1"/>
    <col min="12043" max="12043" width="8.85546875" style="342" customWidth="1"/>
    <col min="12044" max="12044" width="10.5703125" style="342" customWidth="1"/>
    <col min="12045" max="12045" width="8.42578125" style="342" customWidth="1"/>
    <col min="12046" max="12046" width="10.42578125" style="342" bestFit="1" customWidth="1"/>
    <col min="12047" max="12047" width="11.5703125" style="342" bestFit="1" customWidth="1"/>
    <col min="12048" max="12288" width="9.140625" style="342"/>
    <col min="12289" max="12289" width="12.7109375" style="342" customWidth="1"/>
    <col min="12290" max="12290" width="13.7109375" style="342" customWidth="1"/>
    <col min="12291" max="12292" width="9.85546875" style="342" customWidth="1"/>
    <col min="12293" max="12293" width="11.85546875" style="342" customWidth="1"/>
    <col min="12294" max="12294" width="10.85546875" style="342" customWidth="1"/>
    <col min="12295" max="12296" width="10.7109375" style="342" customWidth="1"/>
    <col min="12297" max="12297" width="9.42578125" style="342" bestFit="1" customWidth="1"/>
    <col min="12298" max="12298" width="8.140625" style="342" customWidth="1"/>
    <col min="12299" max="12299" width="8.85546875" style="342" customWidth="1"/>
    <col min="12300" max="12300" width="10.5703125" style="342" customWidth="1"/>
    <col min="12301" max="12301" width="8.42578125" style="342" customWidth="1"/>
    <col min="12302" max="12302" width="10.42578125" style="342" bestFit="1" customWidth="1"/>
    <col min="12303" max="12303" width="11.5703125" style="342" bestFit="1" customWidth="1"/>
    <col min="12304" max="12544" width="9.140625" style="342"/>
    <col min="12545" max="12545" width="12.7109375" style="342" customWidth="1"/>
    <col min="12546" max="12546" width="13.7109375" style="342" customWidth="1"/>
    <col min="12547" max="12548" width="9.85546875" style="342" customWidth="1"/>
    <col min="12549" max="12549" width="11.85546875" style="342" customWidth="1"/>
    <col min="12550" max="12550" width="10.85546875" style="342" customWidth="1"/>
    <col min="12551" max="12552" width="10.7109375" style="342" customWidth="1"/>
    <col min="12553" max="12553" width="9.42578125" style="342" bestFit="1" customWidth="1"/>
    <col min="12554" max="12554" width="8.140625" style="342" customWidth="1"/>
    <col min="12555" max="12555" width="8.85546875" style="342" customWidth="1"/>
    <col min="12556" max="12556" width="10.5703125" style="342" customWidth="1"/>
    <col min="12557" max="12557" width="8.42578125" style="342" customWidth="1"/>
    <col min="12558" max="12558" width="10.42578125" style="342" bestFit="1" customWidth="1"/>
    <col min="12559" max="12559" width="11.5703125" style="342" bestFit="1" customWidth="1"/>
    <col min="12560" max="12800" width="9.140625" style="342"/>
    <col min="12801" max="12801" width="12.7109375" style="342" customWidth="1"/>
    <col min="12802" max="12802" width="13.7109375" style="342" customWidth="1"/>
    <col min="12803" max="12804" width="9.85546875" style="342" customWidth="1"/>
    <col min="12805" max="12805" width="11.85546875" style="342" customWidth="1"/>
    <col min="12806" max="12806" width="10.85546875" style="342" customWidth="1"/>
    <col min="12807" max="12808" width="10.7109375" style="342" customWidth="1"/>
    <col min="12809" max="12809" width="9.42578125" style="342" bestFit="1" customWidth="1"/>
    <col min="12810" max="12810" width="8.140625" style="342" customWidth="1"/>
    <col min="12811" max="12811" width="8.85546875" style="342" customWidth="1"/>
    <col min="12812" max="12812" width="10.5703125" style="342" customWidth="1"/>
    <col min="12813" max="12813" width="8.42578125" style="342" customWidth="1"/>
    <col min="12814" max="12814" width="10.42578125" style="342" bestFit="1" customWidth="1"/>
    <col min="12815" max="12815" width="11.5703125" style="342" bestFit="1" customWidth="1"/>
    <col min="12816" max="13056" width="9.140625" style="342"/>
    <col min="13057" max="13057" width="12.7109375" style="342" customWidth="1"/>
    <col min="13058" max="13058" width="13.7109375" style="342" customWidth="1"/>
    <col min="13059" max="13060" width="9.85546875" style="342" customWidth="1"/>
    <col min="13061" max="13061" width="11.85546875" style="342" customWidth="1"/>
    <col min="13062" max="13062" width="10.85546875" style="342" customWidth="1"/>
    <col min="13063" max="13064" width="10.7109375" style="342" customWidth="1"/>
    <col min="13065" max="13065" width="9.42578125" style="342" bestFit="1" customWidth="1"/>
    <col min="13066" max="13066" width="8.140625" style="342" customWidth="1"/>
    <col min="13067" max="13067" width="8.85546875" style="342" customWidth="1"/>
    <col min="13068" max="13068" width="10.5703125" style="342" customWidth="1"/>
    <col min="13069" max="13069" width="8.42578125" style="342" customWidth="1"/>
    <col min="13070" max="13070" width="10.42578125" style="342" bestFit="1" customWidth="1"/>
    <col min="13071" max="13071" width="11.5703125" style="342" bestFit="1" customWidth="1"/>
    <col min="13072" max="13312" width="9.140625" style="342"/>
    <col min="13313" max="13313" width="12.7109375" style="342" customWidth="1"/>
    <col min="13314" max="13314" width="13.7109375" style="342" customWidth="1"/>
    <col min="13315" max="13316" width="9.85546875" style="342" customWidth="1"/>
    <col min="13317" max="13317" width="11.85546875" style="342" customWidth="1"/>
    <col min="13318" max="13318" width="10.85546875" style="342" customWidth="1"/>
    <col min="13319" max="13320" width="10.7109375" style="342" customWidth="1"/>
    <col min="13321" max="13321" width="9.42578125" style="342" bestFit="1" customWidth="1"/>
    <col min="13322" max="13322" width="8.140625" style="342" customWidth="1"/>
    <col min="13323" max="13323" width="8.85546875" style="342" customWidth="1"/>
    <col min="13324" max="13324" width="10.5703125" style="342" customWidth="1"/>
    <col min="13325" max="13325" width="8.42578125" style="342" customWidth="1"/>
    <col min="13326" max="13326" width="10.42578125" style="342" bestFit="1" customWidth="1"/>
    <col min="13327" max="13327" width="11.5703125" style="342" bestFit="1" customWidth="1"/>
    <col min="13328" max="13568" width="9.140625" style="342"/>
    <col min="13569" max="13569" width="12.7109375" style="342" customWidth="1"/>
    <col min="13570" max="13570" width="13.7109375" style="342" customWidth="1"/>
    <col min="13571" max="13572" width="9.85546875" style="342" customWidth="1"/>
    <col min="13573" max="13573" width="11.85546875" style="342" customWidth="1"/>
    <col min="13574" max="13574" width="10.85546875" style="342" customWidth="1"/>
    <col min="13575" max="13576" width="10.7109375" style="342" customWidth="1"/>
    <col min="13577" max="13577" width="9.42578125" style="342" bestFit="1" customWidth="1"/>
    <col min="13578" max="13578" width="8.140625" style="342" customWidth="1"/>
    <col min="13579" max="13579" width="8.85546875" style="342" customWidth="1"/>
    <col min="13580" max="13580" width="10.5703125" style="342" customWidth="1"/>
    <col min="13581" max="13581" width="8.42578125" style="342" customWidth="1"/>
    <col min="13582" max="13582" width="10.42578125" style="342" bestFit="1" customWidth="1"/>
    <col min="13583" max="13583" width="11.5703125" style="342" bestFit="1" customWidth="1"/>
    <col min="13584" max="13824" width="9.140625" style="342"/>
    <col min="13825" max="13825" width="12.7109375" style="342" customWidth="1"/>
    <col min="13826" max="13826" width="13.7109375" style="342" customWidth="1"/>
    <col min="13827" max="13828" width="9.85546875" style="342" customWidth="1"/>
    <col min="13829" max="13829" width="11.85546875" style="342" customWidth="1"/>
    <col min="13830" max="13830" width="10.85546875" style="342" customWidth="1"/>
    <col min="13831" max="13832" width="10.7109375" style="342" customWidth="1"/>
    <col min="13833" max="13833" width="9.42578125" style="342" bestFit="1" customWidth="1"/>
    <col min="13834" max="13834" width="8.140625" style="342" customWidth="1"/>
    <col min="13835" max="13835" width="8.85546875" style="342" customWidth="1"/>
    <col min="13836" max="13836" width="10.5703125" style="342" customWidth="1"/>
    <col min="13837" max="13837" width="8.42578125" style="342" customWidth="1"/>
    <col min="13838" max="13838" width="10.42578125" style="342" bestFit="1" customWidth="1"/>
    <col min="13839" max="13839" width="11.5703125" style="342" bestFit="1" customWidth="1"/>
    <col min="13840" max="14080" width="9.140625" style="342"/>
    <col min="14081" max="14081" width="12.7109375" style="342" customWidth="1"/>
    <col min="14082" max="14082" width="13.7109375" style="342" customWidth="1"/>
    <col min="14083" max="14084" width="9.85546875" style="342" customWidth="1"/>
    <col min="14085" max="14085" width="11.85546875" style="342" customWidth="1"/>
    <col min="14086" max="14086" width="10.85546875" style="342" customWidth="1"/>
    <col min="14087" max="14088" width="10.7109375" style="342" customWidth="1"/>
    <col min="14089" max="14089" width="9.42578125" style="342" bestFit="1" customWidth="1"/>
    <col min="14090" max="14090" width="8.140625" style="342" customWidth="1"/>
    <col min="14091" max="14091" width="8.85546875" style="342" customWidth="1"/>
    <col min="14092" max="14092" width="10.5703125" style="342" customWidth="1"/>
    <col min="14093" max="14093" width="8.42578125" style="342" customWidth="1"/>
    <col min="14094" max="14094" width="10.42578125" style="342" bestFit="1" customWidth="1"/>
    <col min="14095" max="14095" width="11.5703125" style="342" bestFit="1" customWidth="1"/>
    <col min="14096" max="14336" width="9.140625" style="342"/>
    <col min="14337" max="14337" width="12.7109375" style="342" customWidth="1"/>
    <col min="14338" max="14338" width="13.7109375" style="342" customWidth="1"/>
    <col min="14339" max="14340" width="9.85546875" style="342" customWidth="1"/>
    <col min="14341" max="14341" width="11.85546875" style="342" customWidth="1"/>
    <col min="14342" max="14342" width="10.85546875" style="342" customWidth="1"/>
    <col min="14343" max="14344" width="10.7109375" style="342" customWidth="1"/>
    <col min="14345" max="14345" width="9.42578125" style="342" bestFit="1" customWidth="1"/>
    <col min="14346" max="14346" width="8.140625" style="342" customWidth="1"/>
    <col min="14347" max="14347" width="8.85546875" style="342" customWidth="1"/>
    <col min="14348" max="14348" width="10.5703125" style="342" customWidth="1"/>
    <col min="14349" max="14349" width="8.42578125" style="342" customWidth="1"/>
    <col min="14350" max="14350" width="10.42578125" style="342" bestFit="1" customWidth="1"/>
    <col min="14351" max="14351" width="11.5703125" style="342" bestFit="1" customWidth="1"/>
    <col min="14352" max="14592" width="9.140625" style="342"/>
    <col min="14593" max="14593" width="12.7109375" style="342" customWidth="1"/>
    <col min="14594" max="14594" width="13.7109375" style="342" customWidth="1"/>
    <col min="14595" max="14596" width="9.85546875" style="342" customWidth="1"/>
    <col min="14597" max="14597" width="11.85546875" style="342" customWidth="1"/>
    <col min="14598" max="14598" width="10.85546875" style="342" customWidth="1"/>
    <col min="14599" max="14600" width="10.7109375" style="342" customWidth="1"/>
    <col min="14601" max="14601" width="9.42578125" style="342" bestFit="1" customWidth="1"/>
    <col min="14602" max="14602" width="8.140625" style="342" customWidth="1"/>
    <col min="14603" max="14603" width="8.85546875" style="342" customWidth="1"/>
    <col min="14604" max="14604" width="10.5703125" style="342" customWidth="1"/>
    <col min="14605" max="14605" width="8.42578125" style="342" customWidth="1"/>
    <col min="14606" max="14606" width="10.42578125" style="342" bestFit="1" customWidth="1"/>
    <col min="14607" max="14607" width="11.5703125" style="342" bestFit="1" customWidth="1"/>
    <col min="14608" max="14848" width="9.140625" style="342"/>
    <col min="14849" max="14849" width="12.7109375" style="342" customWidth="1"/>
    <col min="14850" max="14850" width="13.7109375" style="342" customWidth="1"/>
    <col min="14851" max="14852" width="9.85546875" style="342" customWidth="1"/>
    <col min="14853" max="14853" width="11.85546875" style="342" customWidth="1"/>
    <col min="14854" max="14854" width="10.85546875" style="342" customWidth="1"/>
    <col min="14855" max="14856" width="10.7109375" style="342" customWidth="1"/>
    <col min="14857" max="14857" width="9.42578125" style="342" bestFit="1" customWidth="1"/>
    <col min="14858" max="14858" width="8.140625" style="342" customWidth="1"/>
    <col min="14859" max="14859" width="8.85546875" style="342" customWidth="1"/>
    <col min="14860" max="14860" width="10.5703125" style="342" customWidth="1"/>
    <col min="14861" max="14861" width="8.42578125" style="342" customWidth="1"/>
    <col min="14862" max="14862" width="10.42578125" style="342" bestFit="1" customWidth="1"/>
    <col min="14863" max="14863" width="11.5703125" style="342" bestFit="1" customWidth="1"/>
    <col min="14864" max="15104" width="9.140625" style="342"/>
    <col min="15105" max="15105" width="12.7109375" style="342" customWidth="1"/>
    <col min="15106" max="15106" width="13.7109375" style="342" customWidth="1"/>
    <col min="15107" max="15108" width="9.85546875" style="342" customWidth="1"/>
    <col min="15109" max="15109" width="11.85546875" style="342" customWidth="1"/>
    <col min="15110" max="15110" width="10.85546875" style="342" customWidth="1"/>
    <col min="15111" max="15112" width="10.7109375" style="342" customWidth="1"/>
    <col min="15113" max="15113" width="9.42578125" style="342" bestFit="1" customWidth="1"/>
    <col min="15114" max="15114" width="8.140625" style="342" customWidth="1"/>
    <col min="15115" max="15115" width="8.85546875" style="342" customWidth="1"/>
    <col min="15116" max="15116" width="10.5703125" style="342" customWidth="1"/>
    <col min="15117" max="15117" width="8.42578125" style="342" customWidth="1"/>
    <col min="15118" max="15118" width="10.42578125" style="342" bestFit="1" customWidth="1"/>
    <col min="15119" max="15119" width="11.5703125" style="342" bestFit="1" customWidth="1"/>
    <col min="15120" max="15360" width="9.140625" style="342"/>
    <col min="15361" max="15361" width="12.7109375" style="342" customWidth="1"/>
    <col min="15362" max="15362" width="13.7109375" style="342" customWidth="1"/>
    <col min="15363" max="15364" width="9.85546875" style="342" customWidth="1"/>
    <col min="15365" max="15365" width="11.85546875" style="342" customWidth="1"/>
    <col min="15366" max="15366" width="10.85546875" style="342" customWidth="1"/>
    <col min="15367" max="15368" width="10.7109375" style="342" customWidth="1"/>
    <col min="15369" max="15369" width="9.42578125" style="342" bestFit="1" customWidth="1"/>
    <col min="15370" max="15370" width="8.140625" style="342" customWidth="1"/>
    <col min="15371" max="15371" width="8.85546875" style="342" customWidth="1"/>
    <col min="15372" max="15372" width="10.5703125" style="342" customWidth="1"/>
    <col min="15373" max="15373" width="8.42578125" style="342" customWidth="1"/>
    <col min="15374" max="15374" width="10.42578125" style="342" bestFit="1" customWidth="1"/>
    <col min="15375" max="15375" width="11.5703125" style="342" bestFit="1" customWidth="1"/>
    <col min="15376" max="15616" width="9.140625" style="342"/>
    <col min="15617" max="15617" width="12.7109375" style="342" customWidth="1"/>
    <col min="15618" max="15618" width="13.7109375" style="342" customWidth="1"/>
    <col min="15619" max="15620" width="9.85546875" style="342" customWidth="1"/>
    <col min="15621" max="15621" width="11.85546875" style="342" customWidth="1"/>
    <col min="15622" max="15622" width="10.85546875" style="342" customWidth="1"/>
    <col min="15623" max="15624" width="10.7109375" style="342" customWidth="1"/>
    <col min="15625" max="15625" width="9.42578125" style="342" bestFit="1" customWidth="1"/>
    <col min="15626" max="15626" width="8.140625" style="342" customWidth="1"/>
    <col min="15627" max="15627" width="8.85546875" style="342" customWidth="1"/>
    <col min="15628" max="15628" width="10.5703125" style="342" customWidth="1"/>
    <col min="15629" max="15629" width="8.42578125" style="342" customWidth="1"/>
    <col min="15630" max="15630" width="10.42578125" style="342" bestFit="1" customWidth="1"/>
    <col min="15631" max="15631" width="11.5703125" style="342" bestFit="1" customWidth="1"/>
    <col min="15632" max="15872" width="9.140625" style="342"/>
    <col min="15873" max="15873" width="12.7109375" style="342" customWidth="1"/>
    <col min="15874" max="15874" width="13.7109375" style="342" customWidth="1"/>
    <col min="15875" max="15876" width="9.85546875" style="342" customWidth="1"/>
    <col min="15877" max="15877" width="11.85546875" style="342" customWidth="1"/>
    <col min="15878" max="15878" width="10.85546875" style="342" customWidth="1"/>
    <col min="15879" max="15880" width="10.7109375" style="342" customWidth="1"/>
    <col min="15881" max="15881" width="9.42578125" style="342" bestFit="1" customWidth="1"/>
    <col min="15882" max="15882" width="8.140625" style="342" customWidth="1"/>
    <col min="15883" max="15883" width="8.85546875" style="342" customWidth="1"/>
    <col min="15884" max="15884" width="10.5703125" style="342" customWidth="1"/>
    <col min="15885" max="15885" width="8.42578125" style="342" customWidth="1"/>
    <col min="15886" max="15886" width="10.42578125" style="342" bestFit="1" customWidth="1"/>
    <col min="15887" max="15887" width="11.5703125" style="342" bestFit="1" customWidth="1"/>
    <col min="15888" max="16128" width="9.140625" style="342"/>
    <col min="16129" max="16129" width="12.7109375" style="342" customWidth="1"/>
    <col min="16130" max="16130" width="13.7109375" style="342" customWidth="1"/>
    <col min="16131" max="16132" width="9.85546875" style="342" customWidth="1"/>
    <col min="16133" max="16133" width="11.85546875" style="342" customWidth="1"/>
    <col min="16134" max="16134" width="10.85546875" style="342" customWidth="1"/>
    <col min="16135" max="16136" width="10.7109375" style="342" customWidth="1"/>
    <col min="16137" max="16137" width="9.42578125" style="342" bestFit="1" customWidth="1"/>
    <col min="16138" max="16138" width="8.140625" style="342" customWidth="1"/>
    <col min="16139" max="16139" width="8.85546875" style="342" customWidth="1"/>
    <col min="16140" max="16140" width="10.5703125" style="342" customWidth="1"/>
    <col min="16141" max="16141" width="8.42578125" style="342" customWidth="1"/>
    <col min="16142" max="16142" width="10.42578125" style="342" bestFit="1" customWidth="1"/>
    <col min="16143" max="16143" width="11.5703125" style="342" bestFit="1" customWidth="1"/>
    <col min="16144" max="16384" width="9.140625" style="342"/>
  </cols>
  <sheetData>
    <row r="1" spans="1:13" ht="15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</row>
    <row r="2" spans="1:13" ht="15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</row>
    <row r="3" spans="1:13">
      <c r="A3" s="1114" t="s">
        <v>1214</v>
      </c>
      <c r="B3" s="1115"/>
      <c r="C3" s="1113" t="s">
        <v>5418</v>
      </c>
      <c r="D3" s="1113"/>
      <c r="E3" s="1116" t="s">
        <v>5369</v>
      </c>
      <c r="F3" s="1115"/>
      <c r="G3" s="419">
        <v>905190102</v>
      </c>
      <c r="H3" s="1116" t="s">
        <v>5370</v>
      </c>
      <c r="I3" s="1115"/>
      <c r="J3" s="419">
        <v>509.58300000000003</v>
      </c>
      <c r="K3" s="1116" t="s">
        <v>5371</v>
      </c>
      <c r="L3" s="1115"/>
      <c r="M3" s="420">
        <v>80</v>
      </c>
    </row>
    <row r="4" spans="1:13" ht="15">
      <c r="A4" s="808" t="s">
        <v>4176</v>
      </c>
      <c r="B4" s="808"/>
      <c r="C4" s="808"/>
      <c r="D4" s="421"/>
      <c r="E4" s="421"/>
      <c r="F4" s="421"/>
      <c r="G4" s="421"/>
      <c r="H4" s="422"/>
      <c r="I4" s="422"/>
      <c r="J4" s="422"/>
      <c r="K4" s="422"/>
      <c r="L4" s="422"/>
    </row>
    <row r="5" spans="1:13">
      <c r="A5" s="1114" t="s">
        <v>832</v>
      </c>
      <c r="B5" s="1115"/>
      <c r="C5" s="1113" t="s">
        <v>5419</v>
      </c>
      <c r="D5" s="1113"/>
      <c r="E5" s="1116" t="s">
        <v>5373</v>
      </c>
      <c r="F5" s="1115"/>
      <c r="G5" s="1108" t="s">
        <v>5420</v>
      </c>
      <c r="H5" s="1108"/>
      <c r="I5" s="423"/>
      <c r="K5" s="423"/>
      <c r="L5" s="422"/>
    </row>
    <row r="6" spans="1:13">
      <c r="A6" s="421"/>
      <c r="B6" s="422"/>
      <c r="C6" s="421"/>
      <c r="D6" s="421"/>
      <c r="E6" s="421"/>
      <c r="F6" s="421"/>
      <c r="G6" s="421"/>
      <c r="H6" s="422"/>
      <c r="I6" s="422"/>
      <c r="J6" s="422"/>
      <c r="K6" s="422"/>
      <c r="L6" s="422"/>
    </row>
    <row r="7" spans="1:13">
      <c r="A7" s="1114" t="s">
        <v>618</v>
      </c>
      <c r="B7" s="1115"/>
      <c r="C7" s="1113" t="s">
        <v>5421</v>
      </c>
      <c r="D7" s="1113"/>
      <c r="E7" s="1117" t="s">
        <v>1206</v>
      </c>
      <c r="F7" s="1118"/>
      <c r="G7" s="1100" t="s">
        <v>5422</v>
      </c>
      <c r="H7" s="1100"/>
      <c r="I7" s="422"/>
      <c r="J7" s="422"/>
      <c r="K7" s="422"/>
      <c r="L7" s="422"/>
    </row>
    <row r="8" spans="1:13">
      <c r="A8" s="421"/>
      <c r="B8" s="422"/>
      <c r="C8" s="421"/>
      <c r="D8" s="421"/>
      <c r="E8" s="421"/>
      <c r="F8" s="421"/>
      <c r="G8" s="421"/>
      <c r="H8" s="422"/>
      <c r="I8" s="422"/>
      <c r="J8" s="422"/>
      <c r="K8" s="422"/>
      <c r="L8" s="422"/>
    </row>
    <row r="9" spans="1:13">
      <c r="A9" s="1108" t="s">
        <v>838</v>
      </c>
      <c r="B9" s="1108"/>
      <c r="C9" s="1108"/>
      <c r="D9" s="1113" t="s">
        <v>5423</v>
      </c>
      <c r="E9" s="1113"/>
      <c r="F9" s="1108"/>
      <c r="G9" s="1108"/>
      <c r="H9" s="1108"/>
      <c r="I9" s="1108"/>
      <c r="J9" s="1112"/>
      <c r="K9" s="1112"/>
      <c r="L9" s="420"/>
    </row>
    <row r="10" spans="1:13">
      <c r="A10" s="1108" t="s">
        <v>1203</v>
      </c>
      <c r="B10" s="1108"/>
      <c r="C10" s="1108"/>
      <c r="D10" s="1113" t="s">
        <v>5424</v>
      </c>
      <c r="E10" s="1113"/>
      <c r="F10" s="1108"/>
      <c r="G10" s="1108"/>
      <c r="H10" s="1108"/>
      <c r="I10" s="1108"/>
      <c r="J10" s="1112"/>
      <c r="K10" s="1112"/>
      <c r="L10" s="420"/>
    </row>
    <row r="11" spans="1:13">
      <c r="A11" s="1108" t="s">
        <v>1202</v>
      </c>
      <c r="B11" s="1108"/>
      <c r="C11" s="1108"/>
      <c r="D11" s="1109" t="s">
        <v>5425</v>
      </c>
      <c r="E11" s="1110"/>
      <c r="F11" s="1108" t="s">
        <v>5426</v>
      </c>
      <c r="G11" s="1108"/>
      <c r="H11" s="1111" t="s">
        <v>1426</v>
      </c>
      <c r="I11" s="1111"/>
      <c r="J11" s="1112" t="s">
        <v>5427</v>
      </c>
      <c r="K11" s="1112"/>
      <c r="L11" s="420" t="s">
        <v>5428</v>
      </c>
    </row>
    <row r="12" spans="1:13">
      <c r="A12" s="1108" t="s">
        <v>1196</v>
      </c>
      <c r="B12" s="1108"/>
      <c r="C12" s="1108"/>
      <c r="D12" s="1113" t="s">
        <v>5429</v>
      </c>
      <c r="E12" s="1113"/>
      <c r="F12" s="1108"/>
      <c r="G12" s="1108"/>
      <c r="H12" s="1108"/>
      <c r="I12" s="1108"/>
      <c r="J12" s="1112"/>
      <c r="K12" s="1112"/>
      <c r="L12" s="420"/>
    </row>
    <row r="13" spans="1:13">
      <c r="A13" s="421"/>
      <c r="B13" s="422"/>
      <c r="C13" s="421"/>
      <c r="D13" s="421"/>
      <c r="E13" s="421"/>
      <c r="F13" s="421"/>
      <c r="G13" s="421"/>
      <c r="H13" s="422"/>
      <c r="I13" s="422"/>
      <c r="J13" s="422"/>
      <c r="K13" s="422"/>
      <c r="L13" s="422"/>
    </row>
    <row r="14" spans="1:13">
      <c r="A14" s="1101" t="s">
        <v>1194</v>
      </c>
      <c r="B14" s="1102"/>
      <c r="C14" s="552">
        <v>1</v>
      </c>
      <c r="D14" s="1103" t="s">
        <v>1193</v>
      </c>
      <c r="E14" s="1101"/>
      <c r="F14" s="424" t="s">
        <v>5417</v>
      </c>
      <c r="G14" s="421" t="s">
        <v>643</v>
      </c>
      <c r="H14" s="424">
        <v>7</v>
      </c>
      <c r="I14" s="421" t="s">
        <v>644</v>
      </c>
      <c r="J14" s="420">
        <v>2</v>
      </c>
      <c r="K14" s="422" t="s">
        <v>645</v>
      </c>
      <c r="L14" s="420">
        <v>8</v>
      </c>
    </row>
    <row r="15" spans="1:13">
      <c r="A15" s="421"/>
      <c r="B15" s="425"/>
      <c r="C15" s="421"/>
      <c r="D15" s="423"/>
      <c r="E15" s="421"/>
      <c r="F15" s="423"/>
      <c r="G15" s="421"/>
      <c r="H15" s="426"/>
      <c r="I15" s="422"/>
      <c r="J15" s="422"/>
      <c r="K15" s="422"/>
      <c r="L15" s="422"/>
    </row>
    <row r="16" spans="1:13" ht="22.5">
      <c r="A16" s="427" t="s">
        <v>1192</v>
      </c>
      <c r="B16" s="428" t="s">
        <v>204</v>
      </c>
      <c r="C16" s="552">
        <v>103</v>
      </c>
      <c r="D16" s="550" t="s">
        <v>205</v>
      </c>
      <c r="E16" s="552">
        <v>0</v>
      </c>
      <c r="F16" s="421" t="s">
        <v>206</v>
      </c>
      <c r="G16" s="552">
        <v>0</v>
      </c>
      <c r="H16" s="422" t="s">
        <v>230</v>
      </c>
      <c r="I16" s="552">
        <f>G16+E16+C16</f>
        <v>103</v>
      </c>
      <c r="J16" s="422" t="s">
        <v>207</v>
      </c>
      <c r="K16" s="420">
        <v>4</v>
      </c>
      <c r="L16" s="427" t="s">
        <v>855</v>
      </c>
      <c r="M16" s="343">
        <v>5</v>
      </c>
    </row>
    <row r="17" spans="1:15">
      <c r="A17" s="1104" t="s">
        <v>1191</v>
      </c>
      <c r="B17" s="428" t="s">
        <v>210</v>
      </c>
      <c r="C17" s="552">
        <v>293</v>
      </c>
      <c r="D17" s="550" t="s">
        <v>211</v>
      </c>
      <c r="E17" s="552">
        <v>0</v>
      </c>
      <c r="F17" s="421" t="s">
        <v>212</v>
      </c>
      <c r="G17" s="552">
        <v>0</v>
      </c>
      <c r="H17" s="422" t="s">
        <v>411</v>
      </c>
      <c r="I17" s="552">
        <f>G17+E17+C17</f>
        <v>293</v>
      </c>
      <c r="J17" s="426"/>
      <c r="K17" s="426"/>
      <c r="L17" s="426"/>
      <c r="M17" s="429"/>
    </row>
    <row r="18" spans="1:15" ht="24">
      <c r="A18" s="1104"/>
      <c r="B18" s="428" t="s">
        <v>213</v>
      </c>
      <c r="C18" s="552">
        <v>290</v>
      </c>
      <c r="D18" s="550" t="s">
        <v>214</v>
      </c>
      <c r="E18" s="552">
        <v>0</v>
      </c>
      <c r="F18" s="421" t="s">
        <v>215</v>
      </c>
      <c r="G18" s="552">
        <v>0</v>
      </c>
      <c r="H18" s="422" t="s">
        <v>410</v>
      </c>
      <c r="I18" s="552">
        <f>G18+E18+C18</f>
        <v>290</v>
      </c>
      <c r="J18" s="426"/>
      <c r="K18" s="426"/>
      <c r="L18" s="426"/>
      <c r="M18" s="429"/>
    </row>
    <row r="19" spans="1:15">
      <c r="A19" s="421"/>
      <c r="B19" s="422"/>
      <c r="C19" s="421"/>
      <c r="D19" s="421"/>
      <c r="E19" s="421"/>
      <c r="F19" s="421"/>
      <c r="G19" s="421"/>
      <c r="H19" s="422"/>
      <c r="I19" s="422"/>
      <c r="J19" s="422"/>
      <c r="K19" s="422"/>
      <c r="L19" s="422"/>
    </row>
    <row r="20" spans="1:15">
      <c r="A20" s="1105" t="s">
        <v>409</v>
      </c>
      <c r="B20" s="1105"/>
      <c r="C20" s="421"/>
      <c r="D20" s="421"/>
      <c r="E20" s="421"/>
      <c r="F20" s="421"/>
      <c r="G20" s="421"/>
      <c r="H20" s="422"/>
      <c r="I20" s="422"/>
      <c r="J20" s="422"/>
      <c r="K20" s="422"/>
      <c r="L20" s="422"/>
    </row>
    <row r="21" spans="1:15">
      <c r="A21" s="1100" t="s">
        <v>1190</v>
      </c>
      <c r="B21" s="1100"/>
      <c r="C21" s="1106" t="s">
        <v>1189</v>
      </c>
      <c r="D21" s="1095" t="s">
        <v>219</v>
      </c>
      <c r="E21" s="1095" t="s">
        <v>5384</v>
      </c>
      <c r="F21" s="1095" t="s">
        <v>5385</v>
      </c>
      <c r="G21" s="1097" t="s">
        <v>5386</v>
      </c>
      <c r="H21" s="1098"/>
      <c r="I21" s="1098"/>
      <c r="J21" s="1098"/>
      <c r="K21" s="1098"/>
      <c r="L21" s="1098"/>
      <c r="M21" s="1099"/>
    </row>
    <row r="22" spans="1:15" ht="24">
      <c r="A22" s="1100"/>
      <c r="B22" s="1100"/>
      <c r="C22" s="1107"/>
      <c r="D22" s="1096"/>
      <c r="E22" s="1096"/>
      <c r="F22" s="1096"/>
      <c r="G22" s="420" t="s">
        <v>227</v>
      </c>
      <c r="H22" s="424" t="s">
        <v>228</v>
      </c>
      <c r="I22" s="420" t="s">
        <v>229</v>
      </c>
      <c r="J22" s="342" t="s">
        <v>1499</v>
      </c>
      <c r="K22" s="420" t="s">
        <v>4831</v>
      </c>
      <c r="L22" s="420" t="s">
        <v>4832</v>
      </c>
      <c r="M22" s="420" t="s">
        <v>4833</v>
      </c>
      <c r="N22" s="430" t="s">
        <v>5387</v>
      </c>
      <c r="O22" s="431" t="s">
        <v>662</v>
      </c>
    </row>
    <row r="23" spans="1:15">
      <c r="A23" s="1100" t="s">
        <v>232</v>
      </c>
      <c r="B23" s="1100"/>
      <c r="C23" s="453">
        <v>8000</v>
      </c>
      <c r="D23" s="432" t="s">
        <v>873</v>
      </c>
      <c r="E23" s="454">
        <f>+C23*J3/100000</f>
        <v>40.766640000000002</v>
      </c>
      <c r="F23" s="455">
        <f>1680000/100000</f>
        <v>16.8</v>
      </c>
      <c r="G23" s="454">
        <v>0</v>
      </c>
      <c r="H23" s="454">
        <f>141500/100000</f>
        <v>1.415</v>
      </c>
      <c r="I23" s="456">
        <f>1125586/100000</f>
        <v>11.25586</v>
      </c>
      <c r="J23" s="456"/>
      <c r="K23" s="456"/>
      <c r="L23" s="456"/>
      <c r="M23" s="456"/>
      <c r="N23" s="457">
        <f>+G23+H23+I23+J23+K23+L23+M23</f>
        <v>12.670860000000001</v>
      </c>
      <c r="O23" s="458">
        <f>N23*100/F23</f>
        <v>75.421785714285718</v>
      </c>
    </row>
    <row r="24" spans="1:15">
      <c r="A24" s="1100" t="s">
        <v>234</v>
      </c>
      <c r="B24" s="1100"/>
      <c r="C24" s="453">
        <v>7000</v>
      </c>
      <c r="D24" s="438" t="s">
        <v>873</v>
      </c>
      <c r="E24" s="454">
        <f>+C24*M3/100000</f>
        <v>5.6</v>
      </c>
      <c r="F24" s="454">
        <v>0</v>
      </c>
      <c r="G24" s="454">
        <v>0</v>
      </c>
      <c r="H24" s="454">
        <v>0</v>
      </c>
      <c r="I24" s="456">
        <v>0</v>
      </c>
      <c r="J24" s="456"/>
      <c r="K24" s="456"/>
      <c r="L24" s="456"/>
      <c r="M24" s="456"/>
      <c r="N24" s="458">
        <f t="shared" ref="N24:N31" si="0">+G24+H24+I24+J24+K24+L24+M24</f>
        <v>0</v>
      </c>
      <c r="O24" s="458">
        <v>0</v>
      </c>
    </row>
    <row r="25" spans="1:15">
      <c r="A25" s="1100" t="s">
        <v>235</v>
      </c>
      <c r="B25" s="1100"/>
      <c r="C25" s="453">
        <v>86</v>
      </c>
      <c r="D25" s="438" t="s">
        <v>5388</v>
      </c>
      <c r="E25" s="454">
        <v>0.43</v>
      </c>
      <c r="F25" s="455">
        <f>35000/100000</f>
        <v>0.35</v>
      </c>
      <c r="G25" s="454">
        <v>0</v>
      </c>
      <c r="H25" s="454">
        <f>3080/100000</f>
        <v>3.0800000000000001E-2</v>
      </c>
      <c r="I25" s="456">
        <f>7080/100000</f>
        <v>7.0800000000000002E-2</v>
      </c>
      <c r="J25" s="456"/>
      <c r="K25" s="456"/>
      <c r="L25" s="456"/>
      <c r="M25" s="456"/>
      <c r="N25" s="457">
        <f t="shared" si="0"/>
        <v>0.1016</v>
      </c>
      <c r="O25" s="458">
        <f t="shared" ref="O25:O32" si="1">N25*100/F25</f>
        <v>29.028571428571432</v>
      </c>
    </row>
    <row r="26" spans="1:15">
      <c r="A26" s="1100" t="s">
        <v>237</v>
      </c>
      <c r="B26" s="1100"/>
      <c r="C26" s="453">
        <v>68</v>
      </c>
      <c r="D26" s="438" t="s">
        <v>5388</v>
      </c>
      <c r="E26" s="454">
        <v>0.34</v>
      </c>
      <c r="F26" s="455">
        <f>16000/100000</f>
        <v>0.16</v>
      </c>
      <c r="G26" s="454">
        <v>0</v>
      </c>
      <c r="H26" s="454">
        <f>16000/100000</f>
        <v>0.16</v>
      </c>
      <c r="I26" s="456">
        <v>0</v>
      </c>
      <c r="J26" s="456"/>
      <c r="K26" s="456"/>
      <c r="L26" s="456"/>
      <c r="M26" s="456"/>
      <c r="N26" s="457">
        <f t="shared" si="0"/>
        <v>0.16</v>
      </c>
      <c r="O26" s="458">
        <f t="shared" si="1"/>
        <v>100</v>
      </c>
    </row>
    <row r="27" spans="1:15">
      <c r="A27" s="1100" t="s">
        <v>238</v>
      </c>
      <c r="B27" s="1100"/>
      <c r="C27" s="453">
        <v>1200</v>
      </c>
      <c r="D27" s="438" t="s">
        <v>873</v>
      </c>
      <c r="E27" s="454">
        <f>C27*J3/100000</f>
        <v>6.1149959999999997</v>
      </c>
      <c r="F27" s="455">
        <f>200000/100000</f>
        <v>2</v>
      </c>
      <c r="G27" s="454">
        <v>0</v>
      </c>
      <c r="H27" s="454">
        <v>0</v>
      </c>
      <c r="I27" s="456">
        <f>140000/100000</f>
        <v>1.4</v>
      </c>
      <c r="J27" s="456"/>
      <c r="K27" s="456"/>
      <c r="L27" s="456"/>
      <c r="M27" s="456"/>
      <c r="N27" s="457">
        <f t="shared" si="0"/>
        <v>1.4</v>
      </c>
      <c r="O27" s="458">
        <f t="shared" si="1"/>
        <v>70</v>
      </c>
    </row>
    <row r="28" spans="1:15">
      <c r="A28" s="1100" t="s">
        <v>667</v>
      </c>
      <c r="B28" s="1100"/>
      <c r="C28" s="453">
        <v>565</v>
      </c>
      <c r="D28" s="438" t="s">
        <v>873</v>
      </c>
      <c r="E28" s="454">
        <f>C28*J3/100000</f>
        <v>2.87914395</v>
      </c>
      <c r="F28" s="455">
        <f>287924/100000</f>
        <v>2.8792399999999998</v>
      </c>
      <c r="G28" s="454">
        <v>0</v>
      </c>
      <c r="H28" s="454">
        <f>287924/100000</f>
        <v>2.8792399999999998</v>
      </c>
      <c r="I28" s="456"/>
      <c r="J28" s="456"/>
      <c r="K28" s="456"/>
      <c r="L28" s="456"/>
      <c r="M28" s="456"/>
      <c r="N28" s="457">
        <f t="shared" si="0"/>
        <v>2.8792399999999998</v>
      </c>
      <c r="O28" s="458">
        <f t="shared" si="1"/>
        <v>100</v>
      </c>
    </row>
    <row r="29" spans="1:15">
      <c r="A29" s="1100" t="s">
        <v>1176</v>
      </c>
      <c r="B29" s="1100"/>
      <c r="C29" s="453">
        <v>1000</v>
      </c>
      <c r="D29" s="438" t="s">
        <v>873</v>
      </c>
      <c r="E29" s="454">
        <f>C29*J3/100000</f>
        <v>5.0958300000000003</v>
      </c>
      <c r="F29" s="454">
        <v>0</v>
      </c>
      <c r="G29" s="454">
        <v>0</v>
      </c>
      <c r="H29" s="454">
        <v>0</v>
      </c>
      <c r="I29" s="456">
        <v>0</v>
      </c>
      <c r="J29" s="456"/>
      <c r="K29" s="456"/>
      <c r="L29" s="456"/>
      <c r="M29" s="456"/>
      <c r="N29" s="458">
        <f t="shared" si="0"/>
        <v>0</v>
      </c>
      <c r="O29" s="458">
        <v>0</v>
      </c>
    </row>
    <row r="30" spans="1:15">
      <c r="A30" s="1100" t="s">
        <v>394</v>
      </c>
      <c r="B30" s="1100"/>
      <c r="C30" s="453">
        <f>250*5+750+500</f>
        <v>2500</v>
      </c>
      <c r="D30" s="438" t="s">
        <v>5389</v>
      </c>
      <c r="E30" s="455">
        <f>76000/100000</f>
        <v>0.76</v>
      </c>
      <c r="F30" s="434">
        <f>66000/100000</f>
        <v>0.66</v>
      </c>
      <c r="G30" s="454">
        <v>0</v>
      </c>
      <c r="H30" s="454">
        <f>33000/100000</f>
        <v>0.33</v>
      </c>
      <c r="I30" s="456">
        <f>27500/100000</f>
        <v>0.27500000000000002</v>
      </c>
      <c r="J30" s="456"/>
      <c r="K30" s="456"/>
      <c r="L30" s="456"/>
      <c r="M30" s="456"/>
      <c r="N30" s="457">
        <f t="shared" si="0"/>
        <v>0.60499999999999998</v>
      </c>
      <c r="O30" s="458">
        <f t="shared" si="1"/>
        <v>91.666666666666657</v>
      </c>
    </row>
    <row r="31" spans="1:15">
      <c r="A31" s="1100" t="s">
        <v>670</v>
      </c>
      <c r="B31" s="1100"/>
      <c r="C31" s="453">
        <v>2000</v>
      </c>
      <c r="D31" s="439" t="s">
        <v>5390</v>
      </c>
      <c r="E31" s="454">
        <f>10000/100000</f>
        <v>0.1</v>
      </c>
      <c r="F31" s="454">
        <f>10000/100000</f>
        <v>0.1</v>
      </c>
      <c r="G31" s="454">
        <v>0</v>
      </c>
      <c r="H31" s="454">
        <f>10000/100000</f>
        <v>0.1</v>
      </c>
      <c r="I31" s="456">
        <v>0</v>
      </c>
      <c r="J31" s="456"/>
      <c r="K31" s="456"/>
      <c r="L31" s="456"/>
      <c r="M31" s="456"/>
      <c r="N31" s="458">
        <f t="shared" si="0"/>
        <v>0.1</v>
      </c>
      <c r="O31" s="458">
        <f t="shared" si="1"/>
        <v>100</v>
      </c>
    </row>
    <row r="32" spans="1:15">
      <c r="A32" s="1135" t="s">
        <v>230</v>
      </c>
      <c r="B32" s="1136"/>
      <c r="C32" s="459"/>
      <c r="D32" s="460"/>
      <c r="E32" s="455">
        <f>SUM(E23:E31)</f>
        <v>62.086609950000003</v>
      </c>
      <c r="F32" s="455">
        <f>SUM(F23:F31)</f>
        <v>22.949240000000003</v>
      </c>
      <c r="G32" s="455">
        <f>SUM(G23:G31)</f>
        <v>0</v>
      </c>
      <c r="H32" s="455">
        <f>SUM(H23:H31)</f>
        <v>4.9150399999999994</v>
      </c>
      <c r="I32" s="455">
        <f>SUM(I23:I31)</f>
        <v>13.001660000000001</v>
      </c>
      <c r="J32" s="461"/>
      <c r="K32" s="461"/>
      <c r="L32" s="461"/>
      <c r="M32" s="461"/>
      <c r="N32" s="455">
        <f>SUM(N23:N31)</f>
        <v>17.916700000000002</v>
      </c>
      <c r="O32" s="457">
        <f t="shared" si="1"/>
        <v>78.070994943623404</v>
      </c>
    </row>
  </sheetData>
  <mergeCells count="56">
    <mergeCell ref="A4:C4"/>
    <mergeCell ref="A1:M1"/>
    <mergeCell ref="A2:M2"/>
    <mergeCell ref="A3:B3"/>
    <mergeCell ref="C3:D3"/>
    <mergeCell ref="E3:F3"/>
    <mergeCell ref="H3:I3"/>
    <mergeCell ref="K3:L3"/>
    <mergeCell ref="A5:B5"/>
    <mergeCell ref="C5:D5"/>
    <mergeCell ref="E5:F5"/>
    <mergeCell ref="G5:H5"/>
    <mergeCell ref="A7:B7"/>
    <mergeCell ref="C7:D7"/>
    <mergeCell ref="E7:F7"/>
    <mergeCell ref="G7:H7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12:C12"/>
    <mergeCell ref="D12:E12"/>
    <mergeCell ref="F12:G12"/>
    <mergeCell ref="H12:I12"/>
    <mergeCell ref="J12:K12"/>
    <mergeCell ref="A11:C11"/>
    <mergeCell ref="D11:E11"/>
    <mergeCell ref="F11:G11"/>
    <mergeCell ref="H11:I11"/>
    <mergeCell ref="J11:K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G21:M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75" right="0.75" top="1" bottom="1" header="0.5" footer="0.5"/>
  <pageSetup scale="74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dimension ref="A1:O32"/>
  <sheetViews>
    <sheetView zoomScaleSheetLayoutView="58" workbookViewId="0">
      <selection activeCell="A4" sqref="A4:C4"/>
    </sheetView>
  </sheetViews>
  <sheetFormatPr defaultRowHeight="12.75"/>
  <cols>
    <col min="1" max="1" width="12.7109375" style="342" customWidth="1"/>
    <col min="2" max="2" width="15.85546875" style="342" customWidth="1"/>
    <col min="3" max="3" width="9.85546875" style="342" customWidth="1"/>
    <col min="4" max="4" width="11.42578125" style="342" customWidth="1"/>
    <col min="5" max="5" width="11.85546875" style="342" customWidth="1"/>
    <col min="6" max="6" width="10.85546875" style="342" customWidth="1"/>
    <col min="7" max="8" width="10.7109375" style="342" customWidth="1"/>
    <col min="9" max="9" width="8.5703125" style="342" customWidth="1"/>
    <col min="10" max="10" width="8.140625" style="342" customWidth="1"/>
    <col min="11" max="11" width="10.28515625" style="342" customWidth="1"/>
    <col min="12" max="12" width="8.85546875" style="342" customWidth="1"/>
    <col min="13" max="13" width="8.42578125" style="342" customWidth="1"/>
    <col min="14" max="14" width="10.7109375" style="342" bestFit="1" customWidth="1"/>
    <col min="15" max="15" width="10.5703125" style="342" bestFit="1" customWidth="1"/>
    <col min="16" max="256" width="9.140625" style="342"/>
    <col min="257" max="257" width="12.7109375" style="342" customWidth="1"/>
    <col min="258" max="258" width="15.85546875" style="342" customWidth="1"/>
    <col min="259" max="259" width="9.85546875" style="342" customWidth="1"/>
    <col min="260" max="260" width="11.42578125" style="342" customWidth="1"/>
    <col min="261" max="261" width="11.85546875" style="342" customWidth="1"/>
    <col min="262" max="262" width="10.85546875" style="342" customWidth="1"/>
    <col min="263" max="264" width="10.7109375" style="342" customWidth="1"/>
    <col min="265" max="265" width="8.5703125" style="342" customWidth="1"/>
    <col min="266" max="266" width="8.140625" style="342" customWidth="1"/>
    <col min="267" max="267" width="10.28515625" style="342" customWidth="1"/>
    <col min="268" max="268" width="8.85546875" style="342" customWidth="1"/>
    <col min="269" max="269" width="8.42578125" style="342" customWidth="1"/>
    <col min="270" max="270" width="10.7109375" style="342" bestFit="1" customWidth="1"/>
    <col min="271" max="271" width="10.5703125" style="342" bestFit="1" customWidth="1"/>
    <col min="272" max="512" width="9.140625" style="342"/>
    <col min="513" max="513" width="12.7109375" style="342" customWidth="1"/>
    <col min="514" max="514" width="15.85546875" style="342" customWidth="1"/>
    <col min="515" max="515" width="9.85546875" style="342" customWidth="1"/>
    <col min="516" max="516" width="11.42578125" style="342" customWidth="1"/>
    <col min="517" max="517" width="11.85546875" style="342" customWidth="1"/>
    <col min="518" max="518" width="10.85546875" style="342" customWidth="1"/>
    <col min="519" max="520" width="10.7109375" style="342" customWidth="1"/>
    <col min="521" max="521" width="8.5703125" style="342" customWidth="1"/>
    <col min="522" max="522" width="8.140625" style="342" customWidth="1"/>
    <col min="523" max="523" width="10.28515625" style="342" customWidth="1"/>
    <col min="524" max="524" width="8.85546875" style="342" customWidth="1"/>
    <col min="525" max="525" width="8.42578125" style="342" customWidth="1"/>
    <col min="526" max="526" width="10.7109375" style="342" bestFit="1" customWidth="1"/>
    <col min="527" max="527" width="10.5703125" style="342" bestFit="1" customWidth="1"/>
    <col min="528" max="768" width="9.140625" style="342"/>
    <col min="769" max="769" width="12.7109375" style="342" customWidth="1"/>
    <col min="770" max="770" width="15.85546875" style="342" customWidth="1"/>
    <col min="771" max="771" width="9.85546875" style="342" customWidth="1"/>
    <col min="772" max="772" width="11.42578125" style="342" customWidth="1"/>
    <col min="773" max="773" width="11.85546875" style="342" customWidth="1"/>
    <col min="774" max="774" width="10.85546875" style="342" customWidth="1"/>
    <col min="775" max="776" width="10.7109375" style="342" customWidth="1"/>
    <col min="777" max="777" width="8.5703125" style="342" customWidth="1"/>
    <col min="778" max="778" width="8.140625" style="342" customWidth="1"/>
    <col min="779" max="779" width="10.28515625" style="342" customWidth="1"/>
    <col min="780" max="780" width="8.85546875" style="342" customWidth="1"/>
    <col min="781" max="781" width="8.42578125" style="342" customWidth="1"/>
    <col min="782" max="782" width="10.7109375" style="342" bestFit="1" customWidth="1"/>
    <col min="783" max="783" width="10.5703125" style="342" bestFit="1" customWidth="1"/>
    <col min="784" max="1024" width="9.140625" style="342"/>
    <col min="1025" max="1025" width="12.7109375" style="342" customWidth="1"/>
    <col min="1026" max="1026" width="15.85546875" style="342" customWidth="1"/>
    <col min="1027" max="1027" width="9.85546875" style="342" customWidth="1"/>
    <col min="1028" max="1028" width="11.42578125" style="342" customWidth="1"/>
    <col min="1029" max="1029" width="11.85546875" style="342" customWidth="1"/>
    <col min="1030" max="1030" width="10.85546875" style="342" customWidth="1"/>
    <col min="1031" max="1032" width="10.7109375" style="342" customWidth="1"/>
    <col min="1033" max="1033" width="8.5703125" style="342" customWidth="1"/>
    <col min="1034" max="1034" width="8.140625" style="342" customWidth="1"/>
    <col min="1035" max="1035" width="10.28515625" style="342" customWidth="1"/>
    <col min="1036" max="1036" width="8.85546875" style="342" customWidth="1"/>
    <col min="1037" max="1037" width="8.42578125" style="342" customWidth="1"/>
    <col min="1038" max="1038" width="10.7109375" style="342" bestFit="1" customWidth="1"/>
    <col min="1039" max="1039" width="10.5703125" style="342" bestFit="1" customWidth="1"/>
    <col min="1040" max="1280" width="9.140625" style="342"/>
    <col min="1281" max="1281" width="12.7109375" style="342" customWidth="1"/>
    <col min="1282" max="1282" width="15.85546875" style="342" customWidth="1"/>
    <col min="1283" max="1283" width="9.85546875" style="342" customWidth="1"/>
    <col min="1284" max="1284" width="11.42578125" style="342" customWidth="1"/>
    <col min="1285" max="1285" width="11.85546875" style="342" customWidth="1"/>
    <col min="1286" max="1286" width="10.85546875" style="342" customWidth="1"/>
    <col min="1287" max="1288" width="10.7109375" style="342" customWidth="1"/>
    <col min="1289" max="1289" width="8.5703125" style="342" customWidth="1"/>
    <col min="1290" max="1290" width="8.140625" style="342" customWidth="1"/>
    <col min="1291" max="1291" width="10.28515625" style="342" customWidth="1"/>
    <col min="1292" max="1292" width="8.85546875" style="342" customWidth="1"/>
    <col min="1293" max="1293" width="8.42578125" style="342" customWidth="1"/>
    <col min="1294" max="1294" width="10.7109375" style="342" bestFit="1" customWidth="1"/>
    <col min="1295" max="1295" width="10.5703125" style="342" bestFit="1" customWidth="1"/>
    <col min="1296" max="1536" width="9.140625" style="342"/>
    <col min="1537" max="1537" width="12.7109375" style="342" customWidth="1"/>
    <col min="1538" max="1538" width="15.85546875" style="342" customWidth="1"/>
    <col min="1539" max="1539" width="9.85546875" style="342" customWidth="1"/>
    <col min="1540" max="1540" width="11.42578125" style="342" customWidth="1"/>
    <col min="1541" max="1541" width="11.85546875" style="342" customWidth="1"/>
    <col min="1542" max="1542" width="10.85546875" style="342" customWidth="1"/>
    <col min="1543" max="1544" width="10.7109375" style="342" customWidth="1"/>
    <col min="1545" max="1545" width="8.5703125" style="342" customWidth="1"/>
    <col min="1546" max="1546" width="8.140625" style="342" customWidth="1"/>
    <col min="1547" max="1547" width="10.28515625" style="342" customWidth="1"/>
    <col min="1548" max="1548" width="8.85546875" style="342" customWidth="1"/>
    <col min="1549" max="1549" width="8.42578125" style="342" customWidth="1"/>
    <col min="1550" max="1550" width="10.7109375" style="342" bestFit="1" customWidth="1"/>
    <col min="1551" max="1551" width="10.5703125" style="342" bestFit="1" customWidth="1"/>
    <col min="1552" max="1792" width="9.140625" style="342"/>
    <col min="1793" max="1793" width="12.7109375" style="342" customWidth="1"/>
    <col min="1794" max="1794" width="15.85546875" style="342" customWidth="1"/>
    <col min="1795" max="1795" width="9.85546875" style="342" customWidth="1"/>
    <col min="1796" max="1796" width="11.42578125" style="342" customWidth="1"/>
    <col min="1797" max="1797" width="11.85546875" style="342" customWidth="1"/>
    <col min="1798" max="1798" width="10.85546875" style="342" customWidth="1"/>
    <col min="1799" max="1800" width="10.7109375" style="342" customWidth="1"/>
    <col min="1801" max="1801" width="8.5703125" style="342" customWidth="1"/>
    <col min="1802" max="1802" width="8.140625" style="342" customWidth="1"/>
    <col min="1803" max="1803" width="10.28515625" style="342" customWidth="1"/>
    <col min="1804" max="1804" width="8.85546875" style="342" customWidth="1"/>
    <col min="1805" max="1805" width="8.42578125" style="342" customWidth="1"/>
    <col min="1806" max="1806" width="10.7109375" style="342" bestFit="1" customWidth="1"/>
    <col min="1807" max="1807" width="10.5703125" style="342" bestFit="1" customWidth="1"/>
    <col min="1808" max="2048" width="9.140625" style="342"/>
    <col min="2049" max="2049" width="12.7109375" style="342" customWidth="1"/>
    <col min="2050" max="2050" width="15.85546875" style="342" customWidth="1"/>
    <col min="2051" max="2051" width="9.85546875" style="342" customWidth="1"/>
    <col min="2052" max="2052" width="11.42578125" style="342" customWidth="1"/>
    <col min="2053" max="2053" width="11.85546875" style="342" customWidth="1"/>
    <col min="2054" max="2054" width="10.85546875" style="342" customWidth="1"/>
    <col min="2055" max="2056" width="10.7109375" style="342" customWidth="1"/>
    <col min="2057" max="2057" width="8.5703125" style="342" customWidth="1"/>
    <col min="2058" max="2058" width="8.140625" style="342" customWidth="1"/>
    <col min="2059" max="2059" width="10.28515625" style="342" customWidth="1"/>
    <col min="2060" max="2060" width="8.85546875" style="342" customWidth="1"/>
    <col min="2061" max="2061" width="8.42578125" style="342" customWidth="1"/>
    <col min="2062" max="2062" width="10.7109375" style="342" bestFit="1" customWidth="1"/>
    <col min="2063" max="2063" width="10.5703125" style="342" bestFit="1" customWidth="1"/>
    <col min="2064" max="2304" width="9.140625" style="342"/>
    <col min="2305" max="2305" width="12.7109375" style="342" customWidth="1"/>
    <col min="2306" max="2306" width="15.85546875" style="342" customWidth="1"/>
    <col min="2307" max="2307" width="9.85546875" style="342" customWidth="1"/>
    <col min="2308" max="2308" width="11.42578125" style="342" customWidth="1"/>
    <col min="2309" max="2309" width="11.85546875" style="342" customWidth="1"/>
    <col min="2310" max="2310" width="10.85546875" style="342" customWidth="1"/>
    <col min="2311" max="2312" width="10.7109375" style="342" customWidth="1"/>
    <col min="2313" max="2313" width="8.5703125" style="342" customWidth="1"/>
    <col min="2314" max="2314" width="8.140625" style="342" customWidth="1"/>
    <col min="2315" max="2315" width="10.28515625" style="342" customWidth="1"/>
    <col min="2316" max="2316" width="8.85546875" style="342" customWidth="1"/>
    <col min="2317" max="2317" width="8.42578125" style="342" customWidth="1"/>
    <col min="2318" max="2318" width="10.7109375" style="342" bestFit="1" customWidth="1"/>
    <col min="2319" max="2319" width="10.5703125" style="342" bestFit="1" customWidth="1"/>
    <col min="2320" max="2560" width="9.140625" style="342"/>
    <col min="2561" max="2561" width="12.7109375" style="342" customWidth="1"/>
    <col min="2562" max="2562" width="15.85546875" style="342" customWidth="1"/>
    <col min="2563" max="2563" width="9.85546875" style="342" customWidth="1"/>
    <col min="2564" max="2564" width="11.42578125" style="342" customWidth="1"/>
    <col min="2565" max="2565" width="11.85546875" style="342" customWidth="1"/>
    <col min="2566" max="2566" width="10.85546875" style="342" customWidth="1"/>
    <col min="2567" max="2568" width="10.7109375" style="342" customWidth="1"/>
    <col min="2569" max="2569" width="8.5703125" style="342" customWidth="1"/>
    <col min="2570" max="2570" width="8.140625" style="342" customWidth="1"/>
    <col min="2571" max="2571" width="10.28515625" style="342" customWidth="1"/>
    <col min="2572" max="2572" width="8.85546875" style="342" customWidth="1"/>
    <col min="2573" max="2573" width="8.42578125" style="342" customWidth="1"/>
    <col min="2574" max="2574" width="10.7109375" style="342" bestFit="1" customWidth="1"/>
    <col min="2575" max="2575" width="10.5703125" style="342" bestFit="1" customWidth="1"/>
    <col min="2576" max="2816" width="9.140625" style="342"/>
    <col min="2817" max="2817" width="12.7109375" style="342" customWidth="1"/>
    <col min="2818" max="2818" width="15.85546875" style="342" customWidth="1"/>
    <col min="2819" max="2819" width="9.85546875" style="342" customWidth="1"/>
    <col min="2820" max="2820" width="11.42578125" style="342" customWidth="1"/>
    <col min="2821" max="2821" width="11.85546875" style="342" customWidth="1"/>
    <col min="2822" max="2822" width="10.85546875" style="342" customWidth="1"/>
    <col min="2823" max="2824" width="10.7109375" style="342" customWidth="1"/>
    <col min="2825" max="2825" width="8.5703125" style="342" customWidth="1"/>
    <col min="2826" max="2826" width="8.140625" style="342" customWidth="1"/>
    <col min="2827" max="2827" width="10.28515625" style="342" customWidth="1"/>
    <col min="2828" max="2828" width="8.85546875" style="342" customWidth="1"/>
    <col min="2829" max="2829" width="8.42578125" style="342" customWidth="1"/>
    <col min="2830" max="2830" width="10.7109375" style="342" bestFit="1" customWidth="1"/>
    <col min="2831" max="2831" width="10.5703125" style="342" bestFit="1" customWidth="1"/>
    <col min="2832" max="3072" width="9.140625" style="342"/>
    <col min="3073" max="3073" width="12.7109375" style="342" customWidth="1"/>
    <col min="3074" max="3074" width="15.85546875" style="342" customWidth="1"/>
    <col min="3075" max="3075" width="9.85546875" style="342" customWidth="1"/>
    <col min="3076" max="3076" width="11.42578125" style="342" customWidth="1"/>
    <col min="3077" max="3077" width="11.85546875" style="342" customWidth="1"/>
    <col min="3078" max="3078" width="10.85546875" style="342" customWidth="1"/>
    <col min="3079" max="3080" width="10.7109375" style="342" customWidth="1"/>
    <col min="3081" max="3081" width="8.5703125" style="342" customWidth="1"/>
    <col min="3082" max="3082" width="8.140625" style="342" customWidth="1"/>
    <col min="3083" max="3083" width="10.28515625" style="342" customWidth="1"/>
    <col min="3084" max="3084" width="8.85546875" style="342" customWidth="1"/>
    <col min="3085" max="3085" width="8.42578125" style="342" customWidth="1"/>
    <col min="3086" max="3086" width="10.7109375" style="342" bestFit="1" customWidth="1"/>
    <col min="3087" max="3087" width="10.5703125" style="342" bestFit="1" customWidth="1"/>
    <col min="3088" max="3328" width="9.140625" style="342"/>
    <col min="3329" max="3329" width="12.7109375" style="342" customWidth="1"/>
    <col min="3330" max="3330" width="15.85546875" style="342" customWidth="1"/>
    <col min="3331" max="3331" width="9.85546875" style="342" customWidth="1"/>
    <col min="3332" max="3332" width="11.42578125" style="342" customWidth="1"/>
    <col min="3333" max="3333" width="11.85546875" style="342" customWidth="1"/>
    <col min="3334" max="3334" width="10.85546875" style="342" customWidth="1"/>
    <col min="3335" max="3336" width="10.7109375" style="342" customWidth="1"/>
    <col min="3337" max="3337" width="8.5703125" style="342" customWidth="1"/>
    <col min="3338" max="3338" width="8.140625" style="342" customWidth="1"/>
    <col min="3339" max="3339" width="10.28515625" style="342" customWidth="1"/>
    <col min="3340" max="3340" width="8.85546875" style="342" customWidth="1"/>
    <col min="3341" max="3341" width="8.42578125" style="342" customWidth="1"/>
    <col min="3342" max="3342" width="10.7109375" style="342" bestFit="1" customWidth="1"/>
    <col min="3343" max="3343" width="10.5703125" style="342" bestFit="1" customWidth="1"/>
    <col min="3344" max="3584" width="9.140625" style="342"/>
    <col min="3585" max="3585" width="12.7109375" style="342" customWidth="1"/>
    <col min="3586" max="3586" width="15.85546875" style="342" customWidth="1"/>
    <col min="3587" max="3587" width="9.85546875" style="342" customWidth="1"/>
    <col min="3588" max="3588" width="11.42578125" style="342" customWidth="1"/>
    <col min="3589" max="3589" width="11.85546875" style="342" customWidth="1"/>
    <col min="3590" max="3590" width="10.85546875" style="342" customWidth="1"/>
    <col min="3591" max="3592" width="10.7109375" style="342" customWidth="1"/>
    <col min="3593" max="3593" width="8.5703125" style="342" customWidth="1"/>
    <col min="3594" max="3594" width="8.140625" style="342" customWidth="1"/>
    <col min="3595" max="3595" width="10.28515625" style="342" customWidth="1"/>
    <col min="3596" max="3596" width="8.85546875" style="342" customWidth="1"/>
    <col min="3597" max="3597" width="8.42578125" style="342" customWidth="1"/>
    <col min="3598" max="3598" width="10.7109375" style="342" bestFit="1" customWidth="1"/>
    <col min="3599" max="3599" width="10.5703125" style="342" bestFit="1" customWidth="1"/>
    <col min="3600" max="3840" width="9.140625" style="342"/>
    <col min="3841" max="3841" width="12.7109375" style="342" customWidth="1"/>
    <col min="3842" max="3842" width="15.85546875" style="342" customWidth="1"/>
    <col min="3843" max="3843" width="9.85546875" style="342" customWidth="1"/>
    <col min="3844" max="3844" width="11.42578125" style="342" customWidth="1"/>
    <col min="3845" max="3845" width="11.85546875" style="342" customWidth="1"/>
    <col min="3846" max="3846" width="10.85546875" style="342" customWidth="1"/>
    <col min="3847" max="3848" width="10.7109375" style="342" customWidth="1"/>
    <col min="3849" max="3849" width="8.5703125" style="342" customWidth="1"/>
    <col min="3850" max="3850" width="8.140625" style="342" customWidth="1"/>
    <col min="3851" max="3851" width="10.28515625" style="342" customWidth="1"/>
    <col min="3852" max="3852" width="8.85546875" style="342" customWidth="1"/>
    <col min="3853" max="3853" width="8.42578125" style="342" customWidth="1"/>
    <col min="3854" max="3854" width="10.7109375" style="342" bestFit="1" customWidth="1"/>
    <col min="3855" max="3855" width="10.5703125" style="342" bestFit="1" customWidth="1"/>
    <col min="3856" max="4096" width="9.140625" style="342"/>
    <col min="4097" max="4097" width="12.7109375" style="342" customWidth="1"/>
    <col min="4098" max="4098" width="15.85546875" style="342" customWidth="1"/>
    <col min="4099" max="4099" width="9.85546875" style="342" customWidth="1"/>
    <col min="4100" max="4100" width="11.42578125" style="342" customWidth="1"/>
    <col min="4101" max="4101" width="11.85546875" style="342" customWidth="1"/>
    <col min="4102" max="4102" width="10.85546875" style="342" customWidth="1"/>
    <col min="4103" max="4104" width="10.7109375" style="342" customWidth="1"/>
    <col min="4105" max="4105" width="8.5703125" style="342" customWidth="1"/>
    <col min="4106" max="4106" width="8.140625" style="342" customWidth="1"/>
    <col min="4107" max="4107" width="10.28515625" style="342" customWidth="1"/>
    <col min="4108" max="4108" width="8.85546875" style="342" customWidth="1"/>
    <col min="4109" max="4109" width="8.42578125" style="342" customWidth="1"/>
    <col min="4110" max="4110" width="10.7109375" style="342" bestFit="1" customWidth="1"/>
    <col min="4111" max="4111" width="10.5703125" style="342" bestFit="1" customWidth="1"/>
    <col min="4112" max="4352" width="9.140625" style="342"/>
    <col min="4353" max="4353" width="12.7109375" style="342" customWidth="1"/>
    <col min="4354" max="4354" width="15.85546875" style="342" customWidth="1"/>
    <col min="4355" max="4355" width="9.85546875" style="342" customWidth="1"/>
    <col min="4356" max="4356" width="11.42578125" style="342" customWidth="1"/>
    <col min="4357" max="4357" width="11.85546875" style="342" customWidth="1"/>
    <col min="4358" max="4358" width="10.85546875" style="342" customWidth="1"/>
    <col min="4359" max="4360" width="10.7109375" style="342" customWidth="1"/>
    <col min="4361" max="4361" width="8.5703125" style="342" customWidth="1"/>
    <col min="4362" max="4362" width="8.140625" style="342" customWidth="1"/>
    <col min="4363" max="4363" width="10.28515625" style="342" customWidth="1"/>
    <col min="4364" max="4364" width="8.85546875" style="342" customWidth="1"/>
    <col min="4365" max="4365" width="8.42578125" style="342" customWidth="1"/>
    <col min="4366" max="4366" width="10.7109375" style="342" bestFit="1" customWidth="1"/>
    <col min="4367" max="4367" width="10.5703125" style="342" bestFit="1" customWidth="1"/>
    <col min="4368" max="4608" width="9.140625" style="342"/>
    <col min="4609" max="4609" width="12.7109375" style="342" customWidth="1"/>
    <col min="4610" max="4610" width="15.85546875" style="342" customWidth="1"/>
    <col min="4611" max="4611" width="9.85546875" style="342" customWidth="1"/>
    <col min="4612" max="4612" width="11.42578125" style="342" customWidth="1"/>
    <col min="4613" max="4613" width="11.85546875" style="342" customWidth="1"/>
    <col min="4614" max="4614" width="10.85546875" style="342" customWidth="1"/>
    <col min="4615" max="4616" width="10.7109375" style="342" customWidth="1"/>
    <col min="4617" max="4617" width="8.5703125" style="342" customWidth="1"/>
    <col min="4618" max="4618" width="8.140625" style="342" customWidth="1"/>
    <col min="4619" max="4619" width="10.28515625" style="342" customWidth="1"/>
    <col min="4620" max="4620" width="8.85546875" style="342" customWidth="1"/>
    <col min="4621" max="4621" width="8.42578125" style="342" customWidth="1"/>
    <col min="4622" max="4622" width="10.7109375" style="342" bestFit="1" customWidth="1"/>
    <col min="4623" max="4623" width="10.5703125" style="342" bestFit="1" customWidth="1"/>
    <col min="4624" max="4864" width="9.140625" style="342"/>
    <col min="4865" max="4865" width="12.7109375" style="342" customWidth="1"/>
    <col min="4866" max="4866" width="15.85546875" style="342" customWidth="1"/>
    <col min="4867" max="4867" width="9.85546875" style="342" customWidth="1"/>
    <col min="4868" max="4868" width="11.42578125" style="342" customWidth="1"/>
    <col min="4869" max="4869" width="11.85546875" style="342" customWidth="1"/>
    <col min="4870" max="4870" width="10.85546875" style="342" customWidth="1"/>
    <col min="4871" max="4872" width="10.7109375" style="342" customWidth="1"/>
    <col min="4873" max="4873" width="8.5703125" style="342" customWidth="1"/>
    <col min="4874" max="4874" width="8.140625" style="342" customWidth="1"/>
    <col min="4875" max="4875" width="10.28515625" style="342" customWidth="1"/>
    <col min="4876" max="4876" width="8.85546875" style="342" customWidth="1"/>
    <col min="4877" max="4877" width="8.42578125" style="342" customWidth="1"/>
    <col min="4878" max="4878" width="10.7109375" style="342" bestFit="1" customWidth="1"/>
    <col min="4879" max="4879" width="10.5703125" style="342" bestFit="1" customWidth="1"/>
    <col min="4880" max="5120" width="9.140625" style="342"/>
    <col min="5121" max="5121" width="12.7109375" style="342" customWidth="1"/>
    <col min="5122" max="5122" width="15.85546875" style="342" customWidth="1"/>
    <col min="5123" max="5123" width="9.85546875" style="342" customWidth="1"/>
    <col min="5124" max="5124" width="11.42578125" style="342" customWidth="1"/>
    <col min="5125" max="5125" width="11.85546875" style="342" customWidth="1"/>
    <col min="5126" max="5126" width="10.85546875" style="342" customWidth="1"/>
    <col min="5127" max="5128" width="10.7109375" style="342" customWidth="1"/>
    <col min="5129" max="5129" width="8.5703125" style="342" customWidth="1"/>
    <col min="5130" max="5130" width="8.140625" style="342" customWidth="1"/>
    <col min="5131" max="5131" width="10.28515625" style="342" customWidth="1"/>
    <col min="5132" max="5132" width="8.85546875" style="342" customWidth="1"/>
    <col min="5133" max="5133" width="8.42578125" style="342" customWidth="1"/>
    <col min="5134" max="5134" width="10.7109375" style="342" bestFit="1" customWidth="1"/>
    <col min="5135" max="5135" width="10.5703125" style="342" bestFit="1" customWidth="1"/>
    <col min="5136" max="5376" width="9.140625" style="342"/>
    <col min="5377" max="5377" width="12.7109375" style="342" customWidth="1"/>
    <col min="5378" max="5378" width="15.85546875" style="342" customWidth="1"/>
    <col min="5379" max="5379" width="9.85546875" style="342" customWidth="1"/>
    <col min="5380" max="5380" width="11.42578125" style="342" customWidth="1"/>
    <col min="5381" max="5381" width="11.85546875" style="342" customWidth="1"/>
    <col min="5382" max="5382" width="10.85546875" style="342" customWidth="1"/>
    <col min="5383" max="5384" width="10.7109375" style="342" customWidth="1"/>
    <col min="5385" max="5385" width="8.5703125" style="342" customWidth="1"/>
    <col min="5386" max="5386" width="8.140625" style="342" customWidth="1"/>
    <col min="5387" max="5387" width="10.28515625" style="342" customWidth="1"/>
    <col min="5388" max="5388" width="8.85546875" style="342" customWidth="1"/>
    <col min="5389" max="5389" width="8.42578125" style="342" customWidth="1"/>
    <col min="5390" max="5390" width="10.7109375" style="342" bestFit="1" customWidth="1"/>
    <col min="5391" max="5391" width="10.5703125" style="342" bestFit="1" customWidth="1"/>
    <col min="5392" max="5632" width="9.140625" style="342"/>
    <col min="5633" max="5633" width="12.7109375" style="342" customWidth="1"/>
    <col min="5634" max="5634" width="15.85546875" style="342" customWidth="1"/>
    <col min="5635" max="5635" width="9.85546875" style="342" customWidth="1"/>
    <col min="5636" max="5636" width="11.42578125" style="342" customWidth="1"/>
    <col min="5637" max="5637" width="11.85546875" style="342" customWidth="1"/>
    <col min="5638" max="5638" width="10.85546875" style="342" customWidth="1"/>
    <col min="5639" max="5640" width="10.7109375" style="342" customWidth="1"/>
    <col min="5641" max="5641" width="8.5703125" style="342" customWidth="1"/>
    <col min="5642" max="5642" width="8.140625" style="342" customWidth="1"/>
    <col min="5643" max="5643" width="10.28515625" style="342" customWidth="1"/>
    <col min="5644" max="5644" width="8.85546875" style="342" customWidth="1"/>
    <col min="5645" max="5645" width="8.42578125" style="342" customWidth="1"/>
    <col min="5646" max="5646" width="10.7109375" style="342" bestFit="1" customWidth="1"/>
    <col min="5647" max="5647" width="10.5703125" style="342" bestFit="1" customWidth="1"/>
    <col min="5648" max="5888" width="9.140625" style="342"/>
    <col min="5889" max="5889" width="12.7109375" style="342" customWidth="1"/>
    <col min="5890" max="5890" width="15.85546875" style="342" customWidth="1"/>
    <col min="5891" max="5891" width="9.85546875" style="342" customWidth="1"/>
    <col min="5892" max="5892" width="11.42578125" style="342" customWidth="1"/>
    <col min="5893" max="5893" width="11.85546875" style="342" customWidth="1"/>
    <col min="5894" max="5894" width="10.85546875" style="342" customWidth="1"/>
    <col min="5895" max="5896" width="10.7109375" style="342" customWidth="1"/>
    <col min="5897" max="5897" width="8.5703125" style="342" customWidth="1"/>
    <col min="5898" max="5898" width="8.140625" style="342" customWidth="1"/>
    <col min="5899" max="5899" width="10.28515625" style="342" customWidth="1"/>
    <col min="5900" max="5900" width="8.85546875" style="342" customWidth="1"/>
    <col min="5901" max="5901" width="8.42578125" style="342" customWidth="1"/>
    <col min="5902" max="5902" width="10.7109375" style="342" bestFit="1" customWidth="1"/>
    <col min="5903" max="5903" width="10.5703125" style="342" bestFit="1" customWidth="1"/>
    <col min="5904" max="6144" width="9.140625" style="342"/>
    <col min="6145" max="6145" width="12.7109375" style="342" customWidth="1"/>
    <col min="6146" max="6146" width="15.85546875" style="342" customWidth="1"/>
    <col min="6147" max="6147" width="9.85546875" style="342" customWidth="1"/>
    <col min="6148" max="6148" width="11.42578125" style="342" customWidth="1"/>
    <col min="6149" max="6149" width="11.85546875" style="342" customWidth="1"/>
    <col min="6150" max="6150" width="10.85546875" style="342" customWidth="1"/>
    <col min="6151" max="6152" width="10.7109375" style="342" customWidth="1"/>
    <col min="6153" max="6153" width="8.5703125" style="342" customWidth="1"/>
    <col min="6154" max="6154" width="8.140625" style="342" customWidth="1"/>
    <col min="6155" max="6155" width="10.28515625" style="342" customWidth="1"/>
    <col min="6156" max="6156" width="8.85546875" style="342" customWidth="1"/>
    <col min="6157" max="6157" width="8.42578125" style="342" customWidth="1"/>
    <col min="6158" max="6158" width="10.7109375" style="342" bestFit="1" customWidth="1"/>
    <col min="6159" max="6159" width="10.5703125" style="342" bestFit="1" customWidth="1"/>
    <col min="6160" max="6400" width="9.140625" style="342"/>
    <col min="6401" max="6401" width="12.7109375" style="342" customWidth="1"/>
    <col min="6402" max="6402" width="15.85546875" style="342" customWidth="1"/>
    <col min="6403" max="6403" width="9.85546875" style="342" customWidth="1"/>
    <col min="6404" max="6404" width="11.42578125" style="342" customWidth="1"/>
    <col min="6405" max="6405" width="11.85546875" style="342" customWidth="1"/>
    <col min="6406" max="6406" width="10.85546875" style="342" customWidth="1"/>
    <col min="6407" max="6408" width="10.7109375" style="342" customWidth="1"/>
    <col min="6409" max="6409" width="8.5703125" style="342" customWidth="1"/>
    <col min="6410" max="6410" width="8.140625" style="342" customWidth="1"/>
    <col min="6411" max="6411" width="10.28515625" style="342" customWidth="1"/>
    <col min="6412" max="6412" width="8.85546875" style="342" customWidth="1"/>
    <col min="6413" max="6413" width="8.42578125" style="342" customWidth="1"/>
    <col min="6414" max="6414" width="10.7109375" style="342" bestFit="1" customWidth="1"/>
    <col min="6415" max="6415" width="10.5703125" style="342" bestFit="1" customWidth="1"/>
    <col min="6416" max="6656" width="9.140625" style="342"/>
    <col min="6657" max="6657" width="12.7109375" style="342" customWidth="1"/>
    <col min="6658" max="6658" width="15.85546875" style="342" customWidth="1"/>
    <col min="6659" max="6659" width="9.85546875" style="342" customWidth="1"/>
    <col min="6660" max="6660" width="11.42578125" style="342" customWidth="1"/>
    <col min="6661" max="6661" width="11.85546875" style="342" customWidth="1"/>
    <col min="6662" max="6662" width="10.85546875" style="342" customWidth="1"/>
    <col min="6663" max="6664" width="10.7109375" style="342" customWidth="1"/>
    <col min="6665" max="6665" width="8.5703125" style="342" customWidth="1"/>
    <col min="6666" max="6666" width="8.140625" style="342" customWidth="1"/>
    <col min="6667" max="6667" width="10.28515625" style="342" customWidth="1"/>
    <col min="6668" max="6668" width="8.85546875" style="342" customWidth="1"/>
    <col min="6669" max="6669" width="8.42578125" style="342" customWidth="1"/>
    <col min="6670" max="6670" width="10.7109375" style="342" bestFit="1" customWidth="1"/>
    <col min="6671" max="6671" width="10.5703125" style="342" bestFit="1" customWidth="1"/>
    <col min="6672" max="6912" width="9.140625" style="342"/>
    <col min="6913" max="6913" width="12.7109375" style="342" customWidth="1"/>
    <col min="6914" max="6914" width="15.85546875" style="342" customWidth="1"/>
    <col min="6915" max="6915" width="9.85546875" style="342" customWidth="1"/>
    <col min="6916" max="6916" width="11.42578125" style="342" customWidth="1"/>
    <col min="6917" max="6917" width="11.85546875" style="342" customWidth="1"/>
    <col min="6918" max="6918" width="10.85546875" style="342" customWidth="1"/>
    <col min="6919" max="6920" width="10.7109375" style="342" customWidth="1"/>
    <col min="6921" max="6921" width="8.5703125" style="342" customWidth="1"/>
    <col min="6922" max="6922" width="8.140625" style="342" customWidth="1"/>
    <col min="6923" max="6923" width="10.28515625" style="342" customWidth="1"/>
    <col min="6924" max="6924" width="8.85546875" style="342" customWidth="1"/>
    <col min="6925" max="6925" width="8.42578125" style="342" customWidth="1"/>
    <col min="6926" max="6926" width="10.7109375" style="342" bestFit="1" customWidth="1"/>
    <col min="6927" max="6927" width="10.5703125" style="342" bestFit="1" customWidth="1"/>
    <col min="6928" max="7168" width="9.140625" style="342"/>
    <col min="7169" max="7169" width="12.7109375" style="342" customWidth="1"/>
    <col min="7170" max="7170" width="15.85546875" style="342" customWidth="1"/>
    <col min="7171" max="7171" width="9.85546875" style="342" customWidth="1"/>
    <col min="7172" max="7172" width="11.42578125" style="342" customWidth="1"/>
    <col min="7173" max="7173" width="11.85546875" style="342" customWidth="1"/>
    <col min="7174" max="7174" width="10.85546875" style="342" customWidth="1"/>
    <col min="7175" max="7176" width="10.7109375" style="342" customWidth="1"/>
    <col min="7177" max="7177" width="8.5703125" style="342" customWidth="1"/>
    <col min="7178" max="7178" width="8.140625" style="342" customWidth="1"/>
    <col min="7179" max="7179" width="10.28515625" style="342" customWidth="1"/>
    <col min="7180" max="7180" width="8.85546875" style="342" customWidth="1"/>
    <col min="7181" max="7181" width="8.42578125" style="342" customWidth="1"/>
    <col min="7182" max="7182" width="10.7109375" style="342" bestFit="1" customWidth="1"/>
    <col min="7183" max="7183" width="10.5703125" style="342" bestFit="1" customWidth="1"/>
    <col min="7184" max="7424" width="9.140625" style="342"/>
    <col min="7425" max="7425" width="12.7109375" style="342" customWidth="1"/>
    <col min="7426" max="7426" width="15.85546875" style="342" customWidth="1"/>
    <col min="7427" max="7427" width="9.85546875" style="342" customWidth="1"/>
    <col min="7428" max="7428" width="11.42578125" style="342" customWidth="1"/>
    <col min="7429" max="7429" width="11.85546875" style="342" customWidth="1"/>
    <col min="7430" max="7430" width="10.85546875" style="342" customWidth="1"/>
    <col min="7431" max="7432" width="10.7109375" style="342" customWidth="1"/>
    <col min="7433" max="7433" width="8.5703125" style="342" customWidth="1"/>
    <col min="7434" max="7434" width="8.140625" style="342" customWidth="1"/>
    <col min="7435" max="7435" width="10.28515625" style="342" customWidth="1"/>
    <col min="7436" max="7436" width="8.85546875" style="342" customWidth="1"/>
    <col min="7437" max="7437" width="8.42578125" style="342" customWidth="1"/>
    <col min="7438" max="7438" width="10.7109375" style="342" bestFit="1" customWidth="1"/>
    <col min="7439" max="7439" width="10.5703125" style="342" bestFit="1" customWidth="1"/>
    <col min="7440" max="7680" width="9.140625" style="342"/>
    <col min="7681" max="7681" width="12.7109375" style="342" customWidth="1"/>
    <col min="7682" max="7682" width="15.85546875" style="342" customWidth="1"/>
    <col min="7683" max="7683" width="9.85546875" style="342" customWidth="1"/>
    <col min="7684" max="7684" width="11.42578125" style="342" customWidth="1"/>
    <col min="7685" max="7685" width="11.85546875" style="342" customWidth="1"/>
    <col min="7686" max="7686" width="10.85546875" style="342" customWidth="1"/>
    <col min="7687" max="7688" width="10.7109375" style="342" customWidth="1"/>
    <col min="7689" max="7689" width="8.5703125" style="342" customWidth="1"/>
    <col min="7690" max="7690" width="8.140625" style="342" customWidth="1"/>
    <col min="7691" max="7691" width="10.28515625" style="342" customWidth="1"/>
    <col min="7692" max="7692" width="8.85546875" style="342" customWidth="1"/>
    <col min="7693" max="7693" width="8.42578125" style="342" customWidth="1"/>
    <col min="7694" max="7694" width="10.7109375" style="342" bestFit="1" customWidth="1"/>
    <col min="7695" max="7695" width="10.5703125" style="342" bestFit="1" customWidth="1"/>
    <col min="7696" max="7936" width="9.140625" style="342"/>
    <col min="7937" max="7937" width="12.7109375" style="342" customWidth="1"/>
    <col min="7938" max="7938" width="15.85546875" style="342" customWidth="1"/>
    <col min="7939" max="7939" width="9.85546875" style="342" customWidth="1"/>
    <col min="7940" max="7940" width="11.42578125" style="342" customWidth="1"/>
    <col min="7941" max="7941" width="11.85546875" style="342" customWidth="1"/>
    <col min="7942" max="7942" width="10.85546875" style="342" customWidth="1"/>
    <col min="7943" max="7944" width="10.7109375" style="342" customWidth="1"/>
    <col min="7945" max="7945" width="8.5703125" style="342" customWidth="1"/>
    <col min="7946" max="7946" width="8.140625" style="342" customWidth="1"/>
    <col min="7947" max="7947" width="10.28515625" style="342" customWidth="1"/>
    <col min="7948" max="7948" width="8.85546875" style="342" customWidth="1"/>
    <col min="7949" max="7949" width="8.42578125" style="342" customWidth="1"/>
    <col min="7950" max="7950" width="10.7109375" style="342" bestFit="1" customWidth="1"/>
    <col min="7951" max="7951" width="10.5703125" style="342" bestFit="1" customWidth="1"/>
    <col min="7952" max="8192" width="9.140625" style="342"/>
    <col min="8193" max="8193" width="12.7109375" style="342" customWidth="1"/>
    <col min="8194" max="8194" width="15.85546875" style="342" customWidth="1"/>
    <col min="8195" max="8195" width="9.85546875" style="342" customWidth="1"/>
    <col min="8196" max="8196" width="11.42578125" style="342" customWidth="1"/>
    <col min="8197" max="8197" width="11.85546875" style="342" customWidth="1"/>
    <col min="8198" max="8198" width="10.85546875" style="342" customWidth="1"/>
    <col min="8199" max="8200" width="10.7109375" style="342" customWidth="1"/>
    <col min="8201" max="8201" width="8.5703125" style="342" customWidth="1"/>
    <col min="8202" max="8202" width="8.140625" style="342" customWidth="1"/>
    <col min="8203" max="8203" width="10.28515625" style="342" customWidth="1"/>
    <col min="8204" max="8204" width="8.85546875" style="342" customWidth="1"/>
    <col min="8205" max="8205" width="8.42578125" style="342" customWidth="1"/>
    <col min="8206" max="8206" width="10.7109375" style="342" bestFit="1" customWidth="1"/>
    <col min="8207" max="8207" width="10.5703125" style="342" bestFit="1" customWidth="1"/>
    <col min="8208" max="8448" width="9.140625" style="342"/>
    <col min="8449" max="8449" width="12.7109375" style="342" customWidth="1"/>
    <col min="8450" max="8450" width="15.85546875" style="342" customWidth="1"/>
    <col min="8451" max="8451" width="9.85546875" style="342" customWidth="1"/>
    <col min="8452" max="8452" width="11.42578125" style="342" customWidth="1"/>
    <col min="8453" max="8453" width="11.85546875" style="342" customWidth="1"/>
    <col min="8454" max="8454" width="10.85546875" style="342" customWidth="1"/>
    <col min="8455" max="8456" width="10.7109375" style="342" customWidth="1"/>
    <col min="8457" max="8457" width="8.5703125" style="342" customWidth="1"/>
    <col min="8458" max="8458" width="8.140625" style="342" customWidth="1"/>
    <col min="8459" max="8459" width="10.28515625" style="342" customWidth="1"/>
    <col min="8460" max="8460" width="8.85546875" style="342" customWidth="1"/>
    <col min="8461" max="8461" width="8.42578125" style="342" customWidth="1"/>
    <col min="8462" max="8462" width="10.7109375" style="342" bestFit="1" customWidth="1"/>
    <col min="8463" max="8463" width="10.5703125" style="342" bestFit="1" customWidth="1"/>
    <col min="8464" max="8704" width="9.140625" style="342"/>
    <col min="8705" max="8705" width="12.7109375" style="342" customWidth="1"/>
    <col min="8706" max="8706" width="15.85546875" style="342" customWidth="1"/>
    <col min="8707" max="8707" width="9.85546875" style="342" customWidth="1"/>
    <col min="8708" max="8708" width="11.42578125" style="342" customWidth="1"/>
    <col min="8709" max="8709" width="11.85546875" style="342" customWidth="1"/>
    <col min="8710" max="8710" width="10.85546875" style="342" customWidth="1"/>
    <col min="8711" max="8712" width="10.7109375" style="342" customWidth="1"/>
    <col min="8713" max="8713" width="8.5703125" style="342" customWidth="1"/>
    <col min="8714" max="8714" width="8.140625" style="342" customWidth="1"/>
    <col min="8715" max="8715" width="10.28515625" style="342" customWidth="1"/>
    <col min="8716" max="8716" width="8.85546875" style="342" customWidth="1"/>
    <col min="8717" max="8717" width="8.42578125" style="342" customWidth="1"/>
    <col min="8718" max="8718" width="10.7109375" style="342" bestFit="1" customWidth="1"/>
    <col min="8719" max="8719" width="10.5703125" style="342" bestFit="1" customWidth="1"/>
    <col min="8720" max="8960" width="9.140625" style="342"/>
    <col min="8961" max="8961" width="12.7109375" style="342" customWidth="1"/>
    <col min="8962" max="8962" width="15.85546875" style="342" customWidth="1"/>
    <col min="8963" max="8963" width="9.85546875" style="342" customWidth="1"/>
    <col min="8964" max="8964" width="11.42578125" style="342" customWidth="1"/>
    <col min="8965" max="8965" width="11.85546875" style="342" customWidth="1"/>
    <col min="8966" max="8966" width="10.85546875" style="342" customWidth="1"/>
    <col min="8967" max="8968" width="10.7109375" style="342" customWidth="1"/>
    <col min="8969" max="8969" width="8.5703125" style="342" customWidth="1"/>
    <col min="8970" max="8970" width="8.140625" style="342" customWidth="1"/>
    <col min="8971" max="8971" width="10.28515625" style="342" customWidth="1"/>
    <col min="8972" max="8972" width="8.85546875" style="342" customWidth="1"/>
    <col min="8973" max="8973" width="8.42578125" style="342" customWidth="1"/>
    <col min="8974" max="8974" width="10.7109375" style="342" bestFit="1" customWidth="1"/>
    <col min="8975" max="8975" width="10.5703125" style="342" bestFit="1" customWidth="1"/>
    <col min="8976" max="9216" width="9.140625" style="342"/>
    <col min="9217" max="9217" width="12.7109375" style="342" customWidth="1"/>
    <col min="9218" max="9218" width="15.85546875" style="342" customWidth="1"/>
    <col min="9219" max="9219" width="9.85546875" style="342" customWidth="1"/>
    <col min="9220" max="9220" width="11.42578125" style="342" customWidth="1"/>
    <col min="9221" max="9221" width="11.85546875" style="342" customWidth="1"/>
    <col min="9222" max="9222" width="10.85546875" style="342" customWidth="1"/>
    <col min="9223" max="9224" width="10.7109375" style="342" customWidth="1"/>
    <col min="9225" max="9225" width="8.5703125" style="342" customWidth="1"/>
    <col min="9226" max="9226" width="8.140625" style="342" customWidth="1"/>
    <col min="9227" max="9227" width="10.28515625" style="342" customWidth="1"/>
    <col min="9228" max="9228" width="8.85546875" style="342" customWidth="1"/>
    <col min="9229" max="9229" width="8.42578125" style="342" customWidth="1"/>
    <col min="9230" max="9230" width="10.7109375" style="342" bestFit="1" customWidth="1"/>
    <col min="9231" max="9231" width="10.5703125" style="342" bestFit="1" customWidth="1"/>
    <col min="9232" max="9472" width="9.140625" style="342"/>
    <col min="9473" max="9473" width="12.7109375" style="342" customWidth="1"/>
    <col min="9474" max="9474" width="15.85546875" style="342" customWidth="1"/>
    <col min="9475" max="9475" width="9.85546875" style="342" customWidth="1"/>
    <col min="9476" max="9476" width="11.42578125" style="342" customWidth="1"/>
    <col min="9477" max="9477" width="11.85546875" style="342" customWidth="1"/>
    <col min="9478" max="9478" width="10.85546875" style="342" customWidth="1"/>
    <col min="9479" max="9480" width="10.7109375" style="342" customWidth="1"/>
    <col min="9481" max="9481" width="8.5703125" style="342" customWidth="1"/>
    <col min="9482" max="9482" width="8.140625" style="342" customWidth="1"/>
    <col min="9483" max="9483" width="10.28515625" style="342" customWidth="1"/>
    <col min="9484" max="9484" width="8.85546875" style="342" customWidth="1"/>
    <col min="9485" max="9485" width="8.42578125" style="342" customWidth="1"/>
    <col min="9486" max="9486" width="10.7109375" style="342" bestFit="1" customWidth="1"/>
    <col min="9487" max="9487" width="10.5703125" style="342" bestFit="1" customWidth="1"/>
    <col min="9488" max="9728" width="9.140625" style="342"/>
    <col min="9729" max="9729" width="12.7109375" style="342" customWidth="1"/>
    <col min="9730" max="9730" width="15.85546875" style="342" customWidth="1"/>
    <col min="9731" max="9731" width="9.85546875" style="342" customWidth="1"/>
    <col min="9732" max="9732" width="11.42578125" style="342" customWidth="1"/>
    <col min="9733" max="9733" width="11.85546875" style="342" customWidth="1"/>
    <col min="9734" max="9734" width="10.85546875" style="342" customWidth="1"/>
    <col min="9735" max="9736" width="10.7109375" style="342" customWidth="1"/>
    <col min="9737" max="9737" width="8.5703125" style="342" customWidth="1"/>
    <col min="9738" max="9738" width="8.140625" style="342" customWidth="1"/>
    <col min="9739" max="9739" width="10.28515625" style="342" customWidth="1"/>
    <col min="9740" max="9740" width="8.85546875" style="342" customWidth="1"/>
    <col min="9741" max="9741" width="8.42578125" style="342" customWidth="1"/>
    <col min="9742" max="9742" width="10.7109375" style="342" bestFit="1" customWidth="1"/>
    <col min="9743" max="9743" width="10.5703125" style="342" bestFit="1" customWidth="1"/>
    <col min="9744" max="9984" width="9.140625" style="342"/>
    <col min="9985" max="9985" width="12.7109375" style="342" customWidth="1"/>
    <col min="9986" max="9986" width="15.85546875" style="342" customWidth="1"/>
    <col min="9987" max="9987" width="9.85546875" style="342" customWidth="1"/>
    <col min="9988" max="9988" width="11.42578125" style="342" customWidth="1"/>
    <col min="9989" max="9989" width="11.85546875" style="342" customWidth="1"/>
    <col min="9990" max="9990" width="10.85546875" style="342" customWidth="1"/>
    <col min="9991" max="9992" width="10.7109375" style="342" customWidth="1"/>
    <col min="9993" max="9993" width="8.5703125" style="342" customWidth="1"/>
    <col min="9994" max="9994" width="8.140625" style="342" customWidth="1"/>
    <col min="9995" max="9995" width="10.28515625" style="342" customWidth="1"/>
    <col min="9996" max="9996" width="8.85546875" style="342" customWidth="1"/>
    <col min="9997" max="9997" width="8.42578125" style="342" customWidth="1"/>
    <col min="9998" max="9998" width="10.7109375" style="342" bestFit="1" customWidth="1"/>
    <col min="9999" max="9999" width="10.5703125" style="342" bestFit="1" customWidth="1"/>
    <col min="10000" max="10240" width="9.140625" style="342"/>
    <col min="10241" max="10241" width="12.7109375" style="342" customWidth="1"/>
    <col min="10242" max="10242" width="15.85546875" style="342" customWidth="1"/>
    <col min="10243" max="10243" width="9.85546875" style="342" customWidth="1"/>
    <col min="10244" max="10244" width="11.42578125" style="342" customWidth="1"/>
    <col min="10245" max="10245" width="11.85546875" style="342" customWidth="1"/>
    <col min="10246" max="10246" width="10.85546875" style="342" customWidth="1"/>
    <col min="10247" max="10248" width="10.7109375" style="342" customWidth="1"/>
    <col min="10249" max="10249" width="8.5703125" style="342" customWidth="1"/>
    <col min="10250" max="10250" width="8.140625" style="342" customWidth="1"/>
    <col min="10251" max="10251" width="10.28515625" style="342" customWidth="1"/>
    <col min="10252" max="10252" width="8.85546875" style="342" customWidth="1"/>
    <col min="10253" max="10253" width="8.42578125" style="342" customWidth="1"/>
    <col min="10254" max="10254" width="10.7109375" style="342" bestFit="1" customWidth="1"/>
    <col min="10255" max="10255" width="10.5703125" style="342" bestFit="1" customWidth="1"/>
    <col min="10256" max="10496" width="9.140625" style="342"/>
    <col min="10497" max="10497" width="12.7109375" style="342" customWidth="1"/>
    <col min="10498" max="10498" width="15.85546875" style="342" customWidth="1"/>
    <col min="10499" max="10499" width="9.85546875" style="342" customWidth="1"/>
    <col min="10500" max="10500" width="11.42578125" style="342" customWidth="1"/>
    <col min="10501" max="10501" width="11.85546875" style="342" customWidth="1"/>
    <col min="10502" max="10502" width="10.85546875" style="342" customWidth="1"/>
    <col min="10503" max="10504" width="10.7109375" style="342" customWidth="1"/>
    <col min="10505" max="10505" width="8.5703125" style="342" customWidth="1"/>
    <col min="10506" max="10506" width="8.140625" style="342" customWidth="1"/>
    <col min="10507" max="10507" width="10.28515625" style="342" customWidth="1"/>
    <col min="10508" max="10508" width="8.85546875" style="342" customWidth="1"/>
    <col min="10509" max="10509" width="8.42578125" style="342" customWidth="1"/>
    <col min="10510" max="10510" width="10.7109375" style="342" bestFit="1" customWidth="1"/>
    <col min="10511" max="10511" width="10.5703125" style="342" bestFit="1" customWidth="1"/>
    <col min="10512" max="10752" width="9.140625" style="342"/>
    <col min="10753" max="10753" width="12.7109375" style="342" customWidth="1"/>
    <col min="10754" max="10754" width="15.85546875" style="342" customWidth="1"/>
    <col min="10755" max="10755" width="9.85546875" style="342" customWidth="1"/>
    <col min="10756" max="10756" width="11.42578125" style="342" customWidth="1"/>
    <col min="10757" max="10757" width="11.85546875" style="342" customWidth="1"/>
    <col min="10758" max="10758" width="10.85546875" style="342" customWidth="1"/>
    <col min="10759" max="10760" width="10.7109375" style="342" customWidth="1"/>
    <col min="10761" max="10761" width="8.5703125" style="342" customWidth="1"/>
    <col min="10762" max="10762" width="8.140625" style="342" customWidth="1"/>
    <col min="10763" max="10763" width="10.28515625" style="342" customWidth="1"/>
    <col min="10764" max="10764" width="8.85546875" style="342" customWidth="1"/>
    <col min="10765" max="10765" width="8.42578125" style="342" customWidth="1"/>
    <col min="10766" max="10766" width="10.7109375" style="342" bestFit="1" customWidth="1"/>
    <col min="10767" max="10767" width="10.5703125" style="342" bestFit="1" customWidth="1"/>
    <col min="10768" max="11008" width="9.140625" style="342"/>
    <col min="11009" max="11009" width="12.7109375" style="342" customWidth="1"/>
    <col min="11010" max="11010" width="15.85546875" style="342" customWidth="1"/>
    <col min="11011" max="11011" width="9.85546875" style="342" customWidth="1"/>
    <col min="11012" max="11012" width="11.42578125" style="342" customWidth="1"/>
    <col min="11013" max="11013" width="11.85546875" style="342" customWidth="1"/>
    <col min="11014" max="11014" width="10.85546875" style="342" customWidth="1"/>
    <col min="11015" max="11016" width="10.7109375" style="342" customWidth="1"/>
    <col min="11017" max="11017" width="8.5703125" style="342" customWidth="1"/>
    <col min="11018" max="11018" width="8.140625" style="342" customWidth="1"/>
    <col min="11019" max="11019" width="10.28515625" style="342" customWidth="1"/>
    <col min="11020" max="11020" width="8.85546875" style="342" customWidth="1"/>
    <col min="11021" max="11021" width="8.42578125" style="342" customWidth="1"/>
    <col min="11022" max="11022" width="10.7109375" style="342" bestFit="1" customWidth="1"/>
    <col min="11023" max="11023" width="10.5703125" style="342" bestFit="1" customWidth="1"/>
    <col min="11024" max="11264" width="9.140625" style="342"/>
    <col min="11265" max="11265" width="12.7109375" style="342" customWidth="1"/>
    <col min="11266" max="11266" width="15.85546875" style="342" customWidth="1"/>
    <col min="11267" max="11267" width="9.85546875" style="342" customWidth="1"/>
    <col min="11268" max="11268" width="11.42578125" style="342" customWidth="1"/>
    <col min="11269" max="11269" width="11.85546875" style="342" customWidth="1"/>
    <col min="11270" max="11270" width="10.85546875" style="342" customWidth="1"/>
    <col min="11271" max="11272" width="10.7109375" style="342" customWidth="1"/>
    <col min="11273" max="11273" width="8.5703125" style="342" customWidth="1"/>
    <col min="11274" max="11274" width="8.140625" style="342" customWidth="1"/>
    <col min="11275" max="11275" width="10.28515625" style="342" customWidth="1"/>
    <col min="11276" max="11276" width="8.85546875" style="342" customWidth="1"/>
    <col min="11277" max="11277" width="8.42578125" style="342" customWidth="1"/>
    <col min="11278" max="11278" width="10.7109375" style="342" bestFit="1" customWidth="1"/>
    <col min="11279" max="11279" width="10.5703125" style="342" bestFit="1" customWidth="1"/>
    <col min="11280" max="11520" width="9.140625" style="342"/>
    <col min="11521" max="11521" width="12.7109375" style="342" customWidth="1"/>
    <col min="11522" max="11522" width="15.85546875" style="342" customWidth="1"/>
    <col min="11523" max="11523" width="9.85546875" style="342" customWidth="1"/>
    <col min="11524" max="11524" width="11.42578125" style="342" customWidth="1"/>
    <col min="11525" max="11525" width="11.85546875" style="342" customWidth="1"/>
    <col min="11526" max="11526" width="10.85546875" style="342" customWidth="1"/>
    <col min="11527" max="11528" width="10.7109375" style="342" customWidth="1"/>
    <col min="11529" max="11529" width="8.5703125" style="342" customWidth="1"/>
    <col min="11530" max="11530" width="8.140625" style="342" customWidth="1"/>
    <col min="11531" max="11531" width="10.28515625" style="342" customWidth="1"/>
    <col min="11532" max="11532" width="8.85546875" style="342" customWidth="1"/>
    <col min="11533" max="11533" width="8.42578125" style="342" customWidth="1"/>
    <col min="11534" max="11534" width="10.7109375" style="342" bestFit="1" customWidth="1"/>
    <col min="11535" max="11535" width="10.5703125" style="342" bestFit="1" customWidth="1"/>
    <col min="11536" max="11776" width="9.140625" style="342"/>
    <col min="11777" max="11777" width="12.7109375" style="342" customWidth="1"/>
    <col min="11778" max="11778" width="15.85546875" style="342" customWidth="1"/>
    <col min="11779" max="11779" width="9.85546875" style="342" customWidth="1"/>
    <col min="11780" max="11780" width="11.42578125" style="342" customWidth="1"/>
    <col min="11781" max="11781" width="11.85546875" style="342" customWidth="1"/>
    <col min="11782" max="11782" width="10.85546875" style="342" customWidth="1"/>
    <col min="11783" max="11784" width="10.7109375" style="342" customWidth="1"/>
    <col min="11785" max="11785" width="8.5703125" style="342" customWidth="1"/>
    <col min="11786" max="11786" width="8.140625" style="342" customWidth="1"/>
    <col min="11787" max="11787" width="10.28515625" style="342" customWidth="1"/>
    <col min="11788" max="11788" width="8.85546875" style="342" customWidth="1"/>
    <col min="11789" max="11789" width="8.42578125" style="342" customWidth="1"/>
    <col min="11790" max="11790" width="10.7109375" style="342" bestFit="1" customWidth="1"/>
    <col min="11791" max="11791" width="10.5703125" style="342" bestFit="1" customWidth="1"/>
    <col min="11792" max="12032" width="9.140625" style="342"/>
    <col min="12033" max="12033" width="12.7109375" style="342" customWidth="1"/>
    <col min="12034" max="12034" width="15.85546875" style="342" customWidth="1"/>
    <col min="12035" max="12035" width="9.85546875" style="342" customWidth="1"/>
    <col min="12036" max="12036" width="11.42578125" style="342" customWidth="1"/>
    <col min="12037" max="12037" width="11.85546875" style="342" customWidth="1"/>
    <col min="12038" max="12038" width="10.85546875" style="342" customWidth="1"/>
    <col min="12039" max="12040" width="10.7109375" style="342" customWidth="1"/>
    <col min="12041" max="12041" width="8.5703125" style="342" customWidth="1"/>
    <col min="12042" max="12042" width="8.140625" style="342" customWidth="1"/>
    <col min="12043" max="12043" width="10.28515625" style="342" customWidth="1"/>
    <col min="12044" max="12044" width="8.85546875" style="342" customWidth="1"/>
    <col min="12045" max="12045" width="8.42578125" style="342" customWidth="1"/>
    <col min="12046" max="12046" width="10.7109375" style="342" bestFit="1" customWidth="1"/>
    <col min="12047" max="12047" width="10.5703125" style="342" bestFit="1" customWidth="1"/>
    <col min="12048" max="12288" width="9.140625" style="342"/>
    <col min="12289" max="12289" width="12.7109375" style="342" customWidth="1"/>
    <col min="12290" max="12290" width="15.85546875" style="342" customWidth="1"/>
    <col min="12291" max="12291" width="9.85546875" style="342" customWidth="1"/>
    <col min="12292" max="12292" width="11.42578125" style="342" customWidth="1"/>
    <col min="12293" max="12293" width="11.85546875" style="342" customWidth="1"/>
    <col min="12294" max="12294" width="10.85546875" style="342" customWidth="1"/>
    <col min="12295" max="12296" width="10.7109375" style="342" customWidth="1"/>
    <col min="12297" max="12297" width="8.5703125" style="342" customWidth="1"/>
    <col min="12298" max="12298" width="8.140625" style="342" customWidth="1"/>
    <col min="12299" max="12299" width="10.28515625" style="342" customWidth="1"/>
    <col min="12300" max="12300" width="8.85546875" style="342" customWidth="1"/>
    <col min="12301" max="12301" width="8.42578125" style="342" customWidth="1"/>
    <col min="12302" max="12302" width="10.7109375" style="342" bestFit="1" customWidth="1"/>
    <col min="12303" max="12303" width="10.5703125" style="342" bestFit="1" customWidth="1"/>
    <col min="12304" max="12544" width="9.140625" style="342"/>
    <col min="12545" max="12545" width="12.7109375" style="342" customWidth="1"/>
    <col min="12546" max="12546" width="15.85546875" style="342" customWidth="1"/>
    <col min="12547" max="12547" width="9.85546875" style="342" customWidth="1"/>
    <col min="12548" max="12548" width="11.42578125" style="342" customWidth="1"/>
    <col min="12549" max="12549" width="11.85546875" style="342" customWidth="1"/>
    <col min="12550" max="12550" width="10.85546875" style="342" customWidth="1"/>
    <col min="12551" max="12552" width="10.7109375" style="342" customWidth="1"/>
    <col min="12553" max="12553" width="8.5703125" style="342" customWidth="1"/>
    <col min="12554" max="12554" width="8.140625" style="342" customWidth="1"/>
    <col min="12555" max="12555" width="10.28515625" style="342" customWidth="1"/>
    <col min="12556" max="12556" width="8.85546875" style="342" customWidth="1"/>
    <col min="12557" max="12557" width="8.42578125" style="342" customWidth="1"/>
    <col min="12558" max="12558" width="10.7109375" style="342" bestFit="1" customWidth="1"/>
    <col min="12559" max="12559" width="10.5703125" style="342" bestFit="1" customWidth="1"/>
    <col min="12560" max="12800" width="9.140625" style="342"/>
    <col min="12801" max="12801" width="12.7109375" style="342" customWidth="1"/>
    <col min="12802" max="12802" width="15.85546875" style="342" customWidth="1"/>
    <col min="12803" max="12803" width="9.85546875" style="342" customWidth="1"/>
    <col min="12804" max="12804" width="11.42578125" style="342" customWidth="1"/>
    <col min="12805" max="12805" width="11.85546875" style="342" customWidth="1"/>
    <col min="12806" max="12806" width="10.85546875" style="342" customWidth="1"/>
    <col min="12807" max="12808" width="10.7109375" style="342" customWidth="1"/>
    <col min="12809" max="12809" width="8.5703125" style="342" customWidth="1"/>
    <col min="12810" max="12810" width="8.140625" style="342" customWidth="1"/>
    <col min="12811" max="12811" width="10.28515625" style="342" customWidth="1"/>
    <col min="12812" max="12812" width="8.85546875" style="342" customWidth="1"/>
    <col min="12813" max="12813" width="8.42578125" style="342" customWidth="1"/>
    <col min="12814" max="12814" width="10.7109375" style="342" bestFit="1" customWidth="1"/>
    <col min="12815" max="12815" width="10.5703125" style="342" bestFit="1" customWidth="1"/>
    <col min="12816" max="13056" width="9.140625" style="342"/>
    <col min="13057" max="13057" width="12.7109375" style="342" customWidth="1"/>
    <col min="13058" max="13058" width="15.85546875" style="342" customWidth="1"/>
    <col min="13059" max="13059" width="9.85546875" style="342" customWidth="1"/>
    <col min="13060" max="13060" width="11.42578125" style="342" customWidth="1"/>
    <col min="13061" max="13061" width="11.85546875" style="342" customWidth="1"/>
    <col min="13062" max="13062" width="10.85546875" style="342" customWidth="1"/>
    <col min="13063" max="13064" width="10.7109375" style="342" customWidth="1"/>
    <col min="13065" max="13065" width="8.5703125" style="342" customWidth="1"/>
    <col min="13066" max="13066" width="8.140625" style="342" customWidth="1"/>
    <col min="13067" max="13067" width="10.28515625" style="342" customWidth="1"/>
    <col min="13068" max="13068" width="8.85546875" style="342" customWidth="1"/>
    <col min="13069" max="13069" width="8.42578125" style="342" customWidth="1"/>
    <col min="13070" max="13070" width="10.7109375" style="342" bestFit="1" customWidth="1"/>
    <col min="13071" max="13071" width="10.5703125" style="342" bestFit="1" customWidth="1"/>
    <col min="13072" max="13312" width="9.140625" style="342"/>
    <col min="13313" max="13313" width="12.7109375" style="342" customWidth="1"/>
    <col min="13314" max="13314" width="15.85546875" style="342" customWidth="1"/>
    <col min="13315" max="13315" width="9.85546875" style="342" customWidth="1"/>
    <col min="13316" max="13316" width="11.42578125" style="342" customWidth="1"/>
    <col min="13317" max="13317" width="11.85546875" style="342" customWidth="1"/>
    <col min="13318" max="13318" width="10.85546875" style="342" customWidth="1"/>
    <col min="13319" max="13320" width="10.7109375" style="342" customWidth="1"/>
    <col min="13321" max="13321" width="8.5703125" style="342" customWidth="1"/>
    <col min="13322" max="13322" width="8.140625" style="342" customWidth="1"/>
    <col min="13323" max="13323" width="10.28515625" style="342" customWidth="1"/>
    <col min="13324" max="13324" width="8.85546875" style="342" customWidth="1"/>
    <col min="13325" max="13325" width="8.42578125" style="342" customWidth="1"/>
    <col min="13326" max="13326" width="10.7109375" style="342" bestFit="1" customWidth="1"/>
    <col min="13327" max="13327" width="10.5703125" style="342" bestFit="1" customWidth="1"/>
    <col min="13328" max="13568" width="9.140625" style="342"/>
    <col min="13569" max="13569" width="12.7109375" style="342" customWidth="1"/>
    <col min="13570" max="13570" width="15.85546875" style="342" customWidth="1"/>
    <col min="13571" max="13571" width="9.85546875" style="342" customWidth="1"/>
    <col min="13572" max="13572" width="11.42578125" style="342" customWidth="1"/>
    <col min="13573" max="13573" width="11.85546875" style="342" customWidth="1"/>
    <col min="13574" max="13574" width="10.85546875" style="342" customWidth="1"/>
    <col min="13575" max="13576" width="10.7109375" style="342" customWidth="1"/>
    <col min="13577" max="13577" width="8.5703125" style="342" customWidth="1"/>
    <col min="13578" max="13578" width="8.140625" style="342" customWidth="1"/>
    <col min="13579" max="13579" width="10.28515625" style="342" customWidth="1"/>
    <col min="13580" max="13580" width="8.85546875" style="342" customWidth="1"/>
    <col min="13581" max="13581" width="8.42578125" style="342" customWidth="1"/>
    <col min="13582" max="13582" width="10.7109375" style="342" bestFit="1" customWidth="1"/>
    <col min="13583" max="13583" width="10.5703125" style="342" bestFit="1" customWidth="1"/>
    <col min="13584" max="13824" width="9.140625" style="342"/>
    <col min="13825" max="13825" width="12.7109375" style="342" customWidth="1"/>
    <col min="13826" max="13826" width="15.85546875" style="342" customWidth="1"/>
    <col min="13827" max="13827" width="9.85546875" style="342" customWidth="1"/>
    <col min="13828" max="13828" width="11.42578125" style="342" customWidth="1"/>
    <col min="13829" max="13829" width="11.85546875" style="342" customWidth="1"/>
    <col min="13830" max="13830" width="10.85546875" style="342" customWidth="1"/>
    <col min="13831" max="13832" width="10.7109375" style="342" customWidth="1"/>
    <col min="13833" max="13833" width="8.5703125" style="342" customWidth="1"/>
    <col min="13834" max="13834" width="8.140625" style="342" customWidth="1"/>
    <col min="13835" max="13835" width="10.28515625" style="342" customWidth="1"/>
    <col min="13836" max="13836" width="8.85546875" style="342" customWidth="1"/>
    <col min="13837" max="13837" width="8.42578125" style="342" customWidth="1"/>
    <col min="13838" max="13838" width="10.7109375" style="342" bestFit="1" customWidth="1"/>
    <col min="13839" max="13839" width="10.5703125" style="342" bestFit="1" customWidth="1"/>
    <col min="13840" max="14080" width="9.140625" style="342"/>
    <col min="14081" max="14081" width="12.7109375" style="342" customWidth="1"/>
    <col min="14082" max="14082" width="15.85546875" style="342" customWidth="1"/>
    <col min="14083" max="14083" width="9.85546875" style="342" customWidth="1"/>
    <col min="14084" max="14084" width="11.42578125" style="342" customWidth="1"/>
    <col min="14085" max="14085" width="11.85546875" style="342" customWidth="1"/>
    <col min="14086" max="14086" width="10.85546875" style="342" customWidth="1"/>
    <col min="14087" max="14088" width="10.7109375" style="342" customWidth="1"/>
    <col min="14089" max="14089" width="8.5703125" style="342" customWidth="1"/>
    <col min="14090" max="14090" width="8.140625" style="342" customWidth="1"/>
    <col min="14091" max="14091" width="10.28515625" style="342" customWidth="1"/>
    <col min="14092" max="14092" width="8.85546875" style="342" customWidth="1"/>
    <col min="14093" max="14093" width="8.42578125" style="342" customWidth="1"/>
    <col min="14094" max="14094" width="10.7109375" style="342" bestFit="1" customWidth="1"/>
    <col min="14095" max="14095" width="10.5703125" style="342" bestFit="1" customWidth="1"/>
    <col min="14096" max="14336" width="9.140625" style="342"/>
    <col min="14337" max="14337" width="12.7109375" style="342" customWidth="1"/>
    <col min="14338" max="14338" width="15.85546875" style="342" customWidth="1"/>
    <col min="14339" max="14339" width="9.85546875" style="342" customWidth="1"/>
    <col min="14340" max="14340" width="11.42578125" style="342" customWidth="1"/>
    <col min="14341" max="14341" width="11.85546875" style="342" customWidth="1"/>
    <col min="14342" max="14342" width="10.85546875" style="342" customWidth="1"/>
    <col min="14343" max="14344" width="10.7109375" style="342" customWidth="1"/>
    <col min="14345" max="14345" width="8.5703125" style="342" customWidth="1"/>
    <col min="14346" max="14346" width="8.140625" style="342" customWidth="1"/>
    <col min="14347" max="14347" width="10.28515625" style="342" customWidth="1"/>
    <col min="14348" max="14348" width="8.85546875" style="342" customWidth="1"/>
    <col min="14349" max="14349" width="8.42578125" style="342" customWidth="1"/>
    <col min="14350" max="14350" width="10.7109375" style="342" bestFit="1" customWidth="1"/>
    <col min="14351" max="14351" width="10.5703125" style="342" bestFit="1" customWidth="1"/>
    <col min="14352" max="14592" width="9.140625" style="342"/>
    <col min="14593" max="14593" width="12.7109375" style="342" customWidth="1"/>
    <col min="14594" max="14594" width="15.85546875" style="342" customWidth="1"/>
    <col min="14595" max="14595" width="9.85546875" style="342" customWidth="1"/>
    <col min="14596" max="14596" width="11.42578125" style="342" customWidth="1"/>
    <col min="14597" max="14597" width="11.85546875" style="342" customWidth="1"/>
    <col min="14598" max="14598" width="10.85546875" style="342" customWidth="1"/>
    <col min="14599" max="14600" width="10.7109375" style="342" customWidth="1"/>
    <col min="14601" max="14601" width="8.5703125" style="342" customWidth="1"/>
    <col min="14602" max="14602" width="8.140625" style="342" customWidth="1"/>
    <col min="14603" max="14603" width="10.28515625" style="342" customWidth="1"/>
    <col min="14604" max="14604" width="8.85546875" style="342" customWidth="1"/>
    <col min="14605" max="14605" width="8.42578125" style="342" customWidth="1"/>
    <col min="14606" max="14606" width="10.7109375" style="342" bestFit="1" customWidth="1"/>
    <col min="14607" max="14607" width="10.5703125" style="342" bestFit="1" customWidth="1"/>
    <col min="14608" max="14848" width="9.140625" style="342"/>
    <col min="14849" max="14849" width="12.7109375" style="342" customWidth="1"/>
    <col min="14850" max="14850" width="15.85546875" style="342" customWidth="1"/>
    <col min="14851" max="14851" width="9.85546875" style="342" customWidth="1"/>
    <col min="14852" max="14852" width="11.42578125" style="342" customWidth="1"/>
    <col min="14853" max="14853" width="11.85546875" style="342" customWidth="1"/>
    <col min="14854" max="14854" width="10.85546875" style="342" customWidth="1"/>
    <col min="14855" max="14856" width="10.7109375" style="342" customWidth="1"/>
    <col min="14857" max="14857" width="8.5703125" style="342" customWidth="1"/>
    <col min="14858" max="14858" width="8.140625" style="342" customWidth="1"/>
    <col min="14859" max="14859" width="10.28515625" style="342" customWidth="1"/>
    <col min="14860" max="14860" width="8.85546875" style="342" customWidth="1"/>
    <col min="14861" max="14861" width="8.42578125" style="342" customWidth="1"/>
    <col min="14862" max="14862" width="10.7109375" style="342" bestFit="1" customWidth="1"/>
    <col min="14863" max="14863" width="10.5703125" style="342" bestFit="1" customWidth="1"/>
    <col min="14864" max="15104" width="9.140625" style="342"/>
    <col min="15105" max="15105" width="12.7109375" style="342" customWidth="1"/>
    <col min="15106" max="15106" width="15.85546875" style="342" customWidth="1"/>
    <col min="15107" max="15107" width="9.85546875" style="342" customWidth="1"/>
    <col min="15108" max="15108" width="11.42578125" style="342" customWidth="1"/>
    <col min="15109" max="15109" width="11.85546875" style="342" customWidth="1"/>
    <col min="15110" max="15110" width="10.85546875" style="342" customWidth="1"/>
    <col min="15111" max="15112" width="10.7109375" style="342" customWidth="1"/>
    <col min="15113" max="15113" width="8.5703125" style="342" customWidth="1"/>
    <col min="15114" max="15114" width="8.140625" style="342" customWidth="1"/>
    <col min="15115" max="15115" width="10.28515625" style="342" customWidth="1"/>
    <col min="15116" max="15116" width="8.85546875" style="342" customWidth="1"/>
    <col min="15117" max="15117" width="8.42578125" style="342" customWidth="1"/>
    <col min="15118" max="15118" width="10.7109375" style="342" bestFit="1" customWidth="1"/>
    <col min="15119" max="15119" width="10.5703125" style="342" bestFit="1" customWidth="1"/>
    <col min="15120" max="15360" width="9.140625" style="342"/>
    <col min="15361" max="15361" width="12.7109375" style="342" customWidth="1"/>
    <col min="15362" max="15362" width="15.85546875" style="342" customWidth="1"/>
    <col min="15363" max="15363" width="9.85546875" style="342" customWidth="1"/>
    <col min="15364" max="15364" width="11.42578125" style="342" customWidth="1"/>
    <col min="15365" max="15365" width="11.85546875" style="342" customWidth="1"/>
    <col min="15366" max="15366" width="10.85546875" style="342" customWidth="1"/>
    <col min="15367" max="15368" width="10.7109375" style="342" customWidth="1"/>
    <col min="15369" max="15369" width="8.5703125" style="342" customWidth="1"/>
    <col min="15370" max="15370" width="8.140625" style="342" customWidth="1"/>
    <col min="15371" max="15371" width="10.28515625" style="342" customWidth="1"/>
    <col min="15372" max="15372" width="8.85546875" style="342" customWidth="1"/>
    <col min="15373" max="15373" width="8.42578125" style="342" customWidth="1"/>
    <col min="15374" max="15374" width="10.7109375" style="342" bestFit="1" customWidth="1"/>
    <col min="15375" max="15375" width="10.5703125" style="342" bestFit="1" customWidth="1"/>
    <col min="15376" max="15616" width="9.140625" style="342"/>
    <col min="15617" max="15617" width="12.7109375" style="342" customWidth="1"/>
    <col min="15618" max="15618" width="15.85546875" style="342" customWidth="1"/>
    <col min="15619" max="15619" width="9.85546875" style="342" customWidth="1"/>
    <col min="15620" max="15620" width="11.42578125" style="342" customWidth="1"/>
    <col min="15621" max="15621" width="11.85546875" style="342" customWidth="1"/>
    <col min="15622" max="15622" width="10.85546875" style="342" customWidth="1"/>
    <col min="15623" max="15624" width="10.7109375" style="342" customWidth="1"/>
    <col min="15625" max="15625" width="8.5703125" style="342" customWidth="1"/>
    <col min="15626" max="15626" width="8.140625" style="342" customWidth="1"/>
    <col min="15627" max="15627" width="10.28515625" style="342" customWidth="1"/>
    <col min="15628" max="15628" width="8.85546875" style="342" customWidth="1"/>
    <col min="15629" max="15629" width="8.42578125" style="342" customWidth="1"/>
    <col min="15630" max="15630" width="10.7109375" style="342" bestFit="1" customWidth="1"/>
    <col min="15631" max="15631" width="10.5703125" style="342" bestFit="1" customWidth="1"/>
    <col min="15632" max="15872" width="9.140625" style="342"/>
    <col min="15873" max="15873" width="12.7109375" style="342" customWidth="1"/>
    <col min="15874" max="15874" width="15.85546875" style="342" customWidth="1"/>
    <col min="15875" max="15875" width="9.85546875" style="342" customWidth="1"/>
    <col min="15876" max="15876" width="11.42578125" style="342" customWidth="1"/>
    <col min="15877" max="15877" width="11.85546875" style="342" customWidth="1"/>
    <col min="15878" max="15878" width="10.85546875" style="342" customWidth="1"/>
    <col min="15879" max="15880" width="10.7109375" style="342" customWidth="1"/>
    <col min="15881" max="15881" width="8.5703125" style="342" customWidth="1"/>
    <col min="15882" max="15882" width="8.140625" style="342" customWidth="1"/>
    <col min="15883" max="15883" width="10.28515625" style="342" customWidth="1"/>
    <col min="15884" max="15884" width="8.85546875" style="342" customWidth="1"/>
    <col min="15885" max="15885" width="8.42578125" style="342" customWidth="1"/>
    <col min="15886" max="15886" width="10.7109375" style="342" bestFit="1" customWidth="1"/>
    <col min="15887" max="15887" width="10.5703125" style="342" bestFit="1" customWidth="1"/>
    <col min="15888" max="16128" width="9.140625" style="342"/>
    <col min="16129" max="16129" width="12.7109375" style="342" customWidth="1"/>
    <col min="16130" max="16130" width="15.85546875" style="342" customWidth="1"/>
    <col min="16131" max="16131" width="9.85546875" style="342" customWidth="1"/>
    <col min="16132" max="16132" width="11.42578125" style="342" customWidth="1"/>
    <col min="16133" max="16133" width="11.85546875" style="342" customWidth="1"/>
    <col min="16134" max="16134" width="10.85546875" style="342" customWidth="1"/>
    <col min="16135" max="16136" width="10.7109375" style="342" customWidth="1"/>
    <col min="16137" max="16137" width="8.5703125" style="342" customWidth="1"/>
    <col min="16138" max="16138" width="8.140625" style="342" customWidth="1"/>
    <col min="16139" max="16139" width="10.28515625" style="342" customWidth="1"/>
    <col min="16140" max="16140" width="8.85546875" style="342" customWidth="1"/>
    <col min="16141" max="16141" width="8.42578125" style="342" customWidth="1"/>
    <col min="16142" max="16142" width="10.7109375" style="342" bestFit="1" customWidth="1"/>
    <col min="16143" max="16143" width="10.5703125" style="342" bestFit="1" customWidth="1"/>
    <col min="16144" max="16384" width="9.140625" style="342"/>
  </cols>
  <sheetData>
    <row r="1" spans="1:13" ht="15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</row>
    <row r="2" spans="1:13" ht="15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</row>
    <row r="3" spans="1:13">
      <c r="A3" s="1114" t="s">
        <v>1214</v>
      </c>
      <c r="B3" s="1115"/>
      <c r="C3" s="1113" t="s">
        <v>5430</v>
      </c>
      <c r="D3" s="1113"/>
      <c r="E3" s="1116" t="s">
        <v>5369</v>
      </c>
      <c r="F3" s="1115"/>
      <c r="G3" s="419">
        <v>905210102</v>
      </c>
      <c r="H3" s="1116" t="s">
        <v>5370</v>
      </c>
      <c r="I3" s="1115"/>
      <c r="J3" s="419">
        <v>306.036</v>
      </c>
      <c r="K3" s="1116" t="s">
        <v>5371</v>
      </c>
      <c r="L3" s="1115"/>
      <c r="M3" s="420">
        <v>80</v>
      </c>
    </row>
    <row r="4" spans="1:13" ht="15">
      <c r="A4" s="808" t="s">
        <v>4176</v>
      </c>
      <c r="B4" s="808"/>
      <c r="C4" s="808"/>
      <c r="D4" s="421"/>
      <c r="E4" s="421"/>
      <c r="F4" s="421"/>
      <c r="G4" s="421"/>
      <c r="H4" s="422"/>
      <c r="I4" s="422"/>
      <c r="J4" s="422"/>
      <c r="K4" s="422"/>
      <c r="L4" s="422"/>
    </row>
    <row r="5" spans="1:13">
      <c r="A5" s="1114" t="s">
        <v>832</v>
      </c>
      <c r="B5" s="1115"/>
      <c r="C5" s="1113" t="s">
        <v>5431</v>
      </c>
      <c r="D5" s="1113"/>
      <c r="E5" s="1116" t="s">
        <v>5373</v>
      </c>
      <c r="F5" s="1115"/>
      <c r="G5" s="1108" t="s">
        <v>5432</v>
      </c>
      <c r="H5" s="1108"/>
      <c r="I5" s="423"/>
      <c r="K5" s="423"/>
      <c r="L5" s="422"/>
    </row>
    <row r="6" spans="1:13">
      <c r="A6" s="421"/>
      <c r="B6" s="422"/>
      <c r="C6" s="421"/>
      <c r="D6" s="421"/>
      <c r="E6" s="421"/>
      <c r="F6" s="421"/>
      <c r="G6" s="421"/>
      <c r="H6" s="422"/>
      <c r="I6" s="422"/>
      <c r="J6" s="422"/>
      <c r="K6" s="422"/>
      <c r="L6" s="422"/>
    </row>
    <row r="7" spans="1:13">
      <c r="A7" s="1114" t="s">
        <v>618</v>
      </c>
      <c r="B7" s="1115"/>
      <c r="C7" s="1113" t="s">
        <v>5433</v>
      </c>
      <c r="D7" s="1113"/>
      <c r="E7" s="1117" t="s">
        <v>1206</v>
      </c>
      <c r="F7" s="1118"/>
      <c r="G7" s="1100" t="s">
        <v>5434</v>
      </c>
      <c r="H7" s="1100"/>
      <c r="I7" s="422"/>
      <c r="J7" s="422"/>
      <c r="K7" s="422"/>
      <c r="L7" s="422"/>
    </row>
    <row r="8" spans="1:13">
      <c r="A8" s="421"/>
      <c r="B8" s="422"/>
      <c r="C8" s="421"/>
      <c r="D8" s="421"/>
      <c r="E8" s="421"/>
      <c r="F8" s="421"/>
      <c r="G8" s="421"/>
      <c r="H8" s="422"/>
      <c r="I8" s="422"/>
      <c r="J8" s="422"/>
      <c r="K8" s="422"/>
      <c r="L8" s="422"/>
    </row>
    <row r="9" spans="1:13">
      <c r="A9" s="1108" t="s">
        <v>838</v>
      </c>
      <c r="B9" s="1108"/>
      <c r="C9" s="1108"/>
      <c r="D9" s="1113" t="s">
        <v>5435</v>
      </c>
      <c r="E9" s="1113"/>
      <c r="F9" s="1108" t="s">
        <v>5436</v>
      </c>
      <c r="G9" s="1108"/>
      <c r="H9" s="1108"/>
      <c r="I9" s="1108"/>
      <c r="J9" s="1112"/>
      <c r="K9" s="1112"/>
      <c r="L9" s="422"/>
    </row>
    <row r="10" spans="1:13">
      <c r="A10" s="1108" t="s">
        <v>1203</v>
      </c>
      <c r="B10" s="1108"/>
      <c r="C10" s="1108"/>
      <c r="D10" s="1113" t="s">
        <v>5437</v>
      </c>
      <c r="E10" s="1113"/>
      <c r="F10" s="1108" t="s">
        <v>5438</v>
      </c>
      <c r="G10" s="1108"/>
      <c r="H10" s="1108"/>
      <c r="I10" s="1108"/>
      <c r="J10" s="1112"/>
      <c r="K10" s="1112"/>
      <c r="L10" s="422"/>
    </row>
    <row r="11" spans="1:13">
      <c r="A11" s="1108" t="s">
        <v>1202</v>
      </c>
      <c r="B11" s="1108"/>
      <c r="C11" s="1108"/>
      <c r="D11" s="1109" t="s">
        <v>5439</v>
      </c>
      <c r="E11" s="1110"/>
      <c r="F11" s="1108" t="s">
        <v>5440</v>
      </c>
      <c r="G11" s="1108"/>
      <c r="H11" s="1111" t="s">
        <v>5441</v>
      </c>
      <c r="I11" s="1111"/>
      <c r="J11" s="1112" t="s">
        <v>5442</v>
      </c>
      <c r="K11" s="1112"/>
      <c r="L11" s="422"/>
    </row>
    <row r="12" spans="1:13">
      <c r="A12" s="1108" t="s">
        <v>1196</v>
      </c>
      <c r="B12" s="1108"/>
      <c r="C12" s="1108"/>
      <c r="D12" s="1113" t="s">
        <v>5433</v>
      </c>
      <c r="E12" s="1113"/>
      <c r="F12" s="1108" t="s">
        <v>5443</v>
      </c>
      <c r="G12" s="1108"/>
      <c r="H12" s="1108"/>
      <c r="I12" s="1108"/>
      <c r="J12" s="1112"/>
      <c r="K12" s="1112"/>
      <c r="L12" s="422"/>
    </row>
    <row r="13" spans="1:13">
      <c r="A13" s="421"/>
      <c r="B13" s="422"/>
      <c r="C13" s="421"/>
      <c r="D13" s="421"/>
      <c r="E13" s="421"/>
      <c r="F13" s="421"/>
      <c r="G13" s="421"/>
      <c r="H13" s="422"/>
      <c r="I13" s="422"/>
      <c r="J13" s="422"/>
      <c r="K13" s="422"/>
      <c r="L13" s="422"/>
    </row>
    <row r="14" spans="1:13">
      <c r="A14" s="1101" t="s">
        <v>1194</v>
      </c>
      <c r="B14" s="1102"/>
      <c r="C14" s="552">
        <v>2</v>
      </c>
      <c r="D14" s="1103" t="s">
        <v>1193</v>
      </c>
      <c r="E14" s="1101"/>
      <c r="F14" s="424">
        <v>2</v>
      </c>
      <c r="G14" s="421" t="s">
        <v>643</v>
      </c>
      <c r="H14" s="424">
        <v>8</v>
      </c>
      <c r="I14" s="421" t="s">
        <v>644</v>
      </c>
      <c r="J14" s="420" t="s">
        <v>1269</v>
      </c>
      <c r="K14" s="422" t="s">
        <v>645</v>
      </c>
      <c r="L14" s="420">
        <v>15</v>
      </c>
    </row>
    <row r="15" spans="1:13">
      <c r="A15" s="421"/>
      <c r="B15" s="425"/>
      <c r="C15" s="421"/>
      <c r="D15" s="423"/>
      <c r="E15" s="421"/>
      <c r="F15" s="423"/>
      <c r="G15" s="421"/>
      <c r="H15" s="426"/>
      <c r="I15" s="422"/>
      <c r="J15" s="422"/>
      <c r="K15" s="422"/>
      <c r="L15" s="422"/>
    </row>
    <row r="16" spans="1:13" ht="22.5">
      <c r="A16" s="427" t="s">
        <v>1192</v>
      </c>
      <c r="B16" s="428" t="s">
        <v>204</v>
      </c>
      <c r="C16" s="552">
        <v>85</v>
      </c>
      <c r="D16" s="550" t="s">
        <v>205</v>
      </c>
      <c r="E16" s="552">
        <v>13</v>
      </c>
      <c r="F16" s="421" t="s">
        <v>206</v>
      </c>
      <c r="G16" s="552">
        <v>0</v>
      </c>
      <c r="H16" s="422" t="s">
        <v>230</v>
      </c>
      <c r="I16" s="552">
        <f>G16+E16+C16</f>
        <v>98</v>
      </c>
      <c r="J16" s="422" t="s">
        <v>207</v>
      </c>
      <c r="K16" s="420">
        <v>5</v>
      </c>
      <c r="L16" s="427" t="s">
        <v>855</v>
      </c>
      <c r="M16" s="343">
        <v>6</v>
      </c>
    </row>
    <row r="17" spans="1:15">
      <c r="A17" s="1104" t="s">
        <v>1191</v>
      </c>
      <c r="B17" s="428" t="s">
        <v>210</v>
      </c>
      <c r="C17" s="552">
        <v>236</v>
      </c>
      <c r="D17" s="550" t="s">
        <v>211</v>
      </c>
      <c r="E17" s="552">
        <v>42</v>
      </c>
      <c r="F17" s="421" t="s">
        <v>212</v>
      </c>
      <c r="G17" s="552">
        <v>0</v>
      </c>
      <c r="H17" s="422" t="s">
        <v>411</v>
      </c>
      <c r="I17" s="552">
        <f>G17+E17+C17</f>
        <v>278</v>
      </c>
      <c r="J17" s="426"/>
      <c r="K17" s="426"/>
      <c r="L17" s="426"/>
      <c r="M17" s="429"/>
    </row>
    <row r="18" spans="1:15" ht="24">
      <c r="A18" s="1104"/>
      <c r="B18" s="428" t="s">
        <v>213</v>
      </c>
      <c r="C18" s="552">
        <v>241</v>
      </c>
      <c r="D18" s="550" t="s">
        <v>214</v>
      </c>
      <c r="E18" s="552">
        <v>37</v>
      </c>
      <c r="F18" s="421" t="s">
        <v>215</v>
      </c>
      <c r="G18" s="552">
        <v>0</v>
      </c>
      <c r="H18" s="422" t="s">
        <v>410</v>
      </c>
      <c r="I18" s="552">
        <f>G18+E18+C18</f>
        <v>278</v>
      </c>
      <c r="J18" s="426"/>
      <c r="K18" s="426"/>
      <c r="L18" s="426"/>
      <c r="M18" s="429"/>
    </row>
    <row r="19" spans="1:15">
      <c r="A19" s="421"/>
      <c r="B19" s="422"/>
      <c r="C19" s="421"/>
      <c r="D19" s="421"/>
      <c r="E19" s="421"/>
      <c r="F19" s="421"/>
      <c r="G19" s="421"/>
      <c r="H19" s="422"/>
      <c r="I19" s="422"/>
      <c r="J19" s="422"/>
      <c r="K19" s="422"/>
      <c r="L19" s="422"/>
    </row>
    <row r="20" spans="1:15">
      <c r="A20" s="1105" t="s">
        <v>409</v>
      </c>
      <c r="B20" s="1105"/>
      <c r="C20" s="421"/>
      <c r="D20" s="421"/>
      <c r="E20" s="421"/>
      <c r="F20" s="421"/>
      <c r="G20" s="421"/>
      <c r="H20" s="422"/>
      <c r="I20" s="422"/>
      <c r="J20" s="422"/>
      <c r="K20" s="422"/>
      <c r="L20" s="422"/>
    </row>
    <row r="21" spans="1:15">
      <c r="A21" s="1100" t="s">
        <v>1190</v>
      </c>
      <c r="B21" s="1100"/>
      <c r="C21" s="1106" t="s">
        <v>1189</v>
      </c>
      <c r="D21" s="1095" t="s">
        <v>219</v>
      </c>
      <c r="E21" s="1095" t="s">
        <v>5384</v>
      </c>
      <c r="F21" s="1095" t="s">
        <v>5385</v>
      </c>
      <c r="G21" s="1097" t="s">
        <v>5386</v>
      </c>
      <c r="H21" s="1098"/>
      <c r="I21" s="1098"/>
      <c r="J21" s="1098"/>
      <c r="K21" s="1098"/>
      <c r="L21" s="1098"/>
      <c r="M21" s="1099"/>
    </row>
    <row r="22" spans="1:15" ht="24">
      <c r="A22" s="1100"/>
      <c r="B22" s="1100"/>
      <c r="C22" s="1107"/>
      <c r="D22" s="1096"/>
      <c r="E22" s="1096"/>
      <c r="F22" s="1096"/>
      <c r="G22" s="420" t="s">
        <v>227</v>
      </c>
      <c r="H22" s="424" t="s">
        <v>228</v>
      </c>
      <c r="I22" s="420" t="s">
        <v>229</v>
      </c>
      <c r="J22" s="342" t="s">
        <v>1499</v>
      </c>
      <c r="K22" s="420" t="s">
        <v>4831</v>
      </c>
      <c r="L22" s="420" t="s">
        <v>4832</v>
      </c>
      <c r="M22" s="420" t="s">
        <v>4833</v>
      </c>
      <c r="N22" s="430" t="s">
        <v>5387</v>
      </c>
      <c r="O22" s="431" t="s">
        <v>662</v>
      </c>
    </row>
    <row r="23" spans="1:15">
      <c r="A23" s="1100" t="s">
        <v>232</v>
      </c>
      <c r="B23" s="1100"/>
      <c r="C23" s="420">
        <v>8000</v>
      </c>
      <c r="D23" s="462" t="s">
        <v>1175</v>
      </c>
      <c r="E23" s="433">
        <f>+C23*J3/100000</f>
        <v>24.482880000000002</v>
      </c>
      <c r="F23" s="433">
        <f>1330000/100000</f>
        <v>13.3</v>
      </c>
      <c r="G23" s="433">
        <v>0</v>
      </c>
      <c r="H23" s="433">
        <f>506574/100000</f>
        <v>5.0657399999999999</v>
      </c>
      <c r="I23" s="435">
        <f>854948/100000</f>
        <v>8.5494800000000009</v>
      </c>
      <c r="J23" s="435"/>
      <c r="K23" s="435"/>
      <c r="L23" s="435"/>
      <c r="M23" s="435"/>
      <c r="N23" s="463">
        <f>+G23+H23+I23+J23+K23+L23+M23</f>
        <v>13.615220000000001</v>
      </c>
      <c r="O23" s="437">
        <f>N23*100/F23</f>
        <v>102.37007518796993</v>
      </c>
    </row>
    <row r="24" spans="1:15">
      <c r="A24" s="1100" t="s">
        <v>234</v>
      </c>
      <c r="B24" s="1100"/>
      <c r="C24" s="420">
        <v>7000</v>
      </c>
      <c r="D24" s="462" t="s">
        <v>1175</v>
      </c>
      <c r="E24" s="433">
        <f>C24*80/100000</f>
        <v>5.6</v>
      </c>
      <c r="F24" s="433">
        <v>0</v>
      </c>
      <c r="G24" s="433">
        <v>0</v>
      </c>
      <c r="H24" s="433">
        <v>0</v>
      </c>
      <c r="I24" s="435">
        <v>0</v>
      </c>
      <c r="J24" s="435"/>
      <c r="K24" s="435"/>
      <c r="L24" s="435"/>
      <c r="M24" s="435"/>
      <c r="N24" s="463">
        <f t="shared" ref="N24:N31" si="0">+G24+H24+I24+J24+K24+L24+M24</f>
        <v>0</v>
      </c>
      <c r="O24" s="437"/>
    </row>
    <row r="25" spans="1:15">
      <c r="A25" s="1100" t="s">
        <v>235</v>
      </c>
      <c r="B25" s="1100"/>
      <c r="C25" s="420">
        <v>86</v>
      </c>
      <c r="D25" s="462" t="s">
        <v>236</v>
      </c>
      <c r="E25" s="433">
        <f>43000/100000</f>
        <v>0.43</v>
      </c>
      <c r="F25" s="433">
        <f>35000/100000</f>
        <v>0.35</v>
      </c>
      <c r="G25" s="433">
        <v>0</v>
      </c>
      <c r="H25" s="433">
        <f>3440/100000</f>
        <v>3.44E-2</v>
      </c>
      <c r="I25" s="435">
        <f>8520/100000</f>
        <v>8.5199999999999998E-2</v>
      </c>
      <c r="J25" s="435"/>
      <c r="K25" s="435"/>
      <c r="L25" s="435"/>
      <c r="M25" s="435"/>
      <c r="N25" s="463">
        <f t="shared" si="0"/>
        <v>0.1196</v>
      </c>
      <c r="O25" s="437">
        <f t="shared" ref="O25:O32" si="1">N25*100/F25</f>
        <v>34.171428571428571</v>
      </c>
    </row>
    <row r="26" spans="1:15">
      <c r="A26" s="1100" t="s">
        <v>237</v>
      </c>
      <c r="B26" s="1100"/>
      <c r="C26" s="420">
        <v>68</v>
      </c>
      <c r="D26" s="462" t="s">
        <v>236</v>
      </c>
      <c r="E26" s="433">
        <v>0.34</v>
      </c>
      <c r="F26" s="433">
        <f>16000/100000</f>
        <v>0.16</v>
      </c>
      <c r="G26" s="433">
        <v>0</v>
      </c>
      <c r="H26" s="433">
        <f>16000/100000</f>
        <v>0.16</v>
      </c>
      <c r="I26" s="435">
        <v>0</v>
      </c>
      <c r="J26" s="435"/>
      <c r="K26" s="435"/>
      <c r="L26" s="435"/>
      <c r="M26" s="435"/>
      <c r="N26" s="463">
        <f t="shared" si="0"/>
        <v>0.16</v>
      </c>
      <c r="O26" s="437">
        <f t="shared" si="1"/>
        <v>100</v>
      </c>
    </row>
    <row r="27" spans="1:15">
      <c r="A27" s="1100" t="s">
        <v>238</v>
      </c>
      <c r="B27" s="1100"/>
      <c r="C27" s="420">
        <v>1200</v>
      </c>
      <c r="D27" s="462" t="s">
        <v>1175</v>
      </c>
      <c r="E27" s="433">
        <f>ROUND((+C27*J3),0)/100000</f>
        <v>3.6724299999999999</v>
      </c>
      <c r="F27" s="433">
        <f>200000/100000</f>
        <v>2</v>
      </c>
      <c r="G27" s="433">
        <v>0</v>
      </c>
      <c r="H27" s="433">
        <v>0</v>
      </c>
      <c r="I27" s="435">
        <v>0</v>
      </c>
      <c r="J27" s="435"/>
      <c r="K27" s="435"/>
      <c r="L27" s="435"/>
      <c r="M27" s="435"/>
      <c r="N27" s="463">
        <f t="shared" si="0"/>
        <v>0</v>
      </c>
      <c r="O27" s="437">
        <f t="shared" si="1"/>
        <v>0</v>
      </c>
    </row>
    <row r="28" spans="1:15">
      <c r="A28" s="1100" t="s">
        <v>667</v>
      </c>
      <c r="B28" s="1100"/>
      <c r="C28" s="420">
        <v>565</v>
      </c>
      <c r="D28" s="462" t="s">
        <v>1175</v>
      </c>
      <c r="E28" s="433">
        <f>ROUND((+C28*J3),0)/100000</f>
        <v>1.7291000000000001</v>
      </c>
      <c r="F28" s="433">
        <f>172890/100000</f>
        <v>1.7289000000000001</v>
      </c>
      <c r="G28" s="433">
        <v>0</v>
      </c>
      <c r="H28" s="433">
        <f>172890/100000</f>
        <v>1.7289000000000001</v>
      </c>
      <c r="I28" s="435">
        <v>0</v>
      </c>
      <c r="J28" s="435"/>
      <c r="K28" s="435"/>
      <c r="L28" s="435"/>
      <c r="M28" s="435"/>
      <c r="N28" s="463">
        <f t="shared" si="0"/>
        <v>1.7289000000000001</v>
      </c>
      <c r="O28" s="437">
        <f t="shared" si="1"/>
        <v>100</v>
      </c>
    </row>
    <row r="29" spans="1:15">
      <c r="A29" s="1100" t="s">
        <v>1176</v>
      </c>
      <c r="B29" s="1100"/>
      <c r="C29" s="420">
        <v>1000</v>
      </c>
      <c r="D29" s="462" t="s">
        <v>1175</v>
      </c>
      <c r="E29" s="433">
        <f>+C29*J3/100000</f>
        <v>3.0603600000000002</v>
      </c>
      <c r="F29" s="433">
        <v>0</v>
      </c>
      <c r="G29" s="433">
        <v>0</v>
      </c>
      <c r="H29" s="433">
        <v>0</v>
      </c>
      <c r="I29" s="435">
        <v>0</v>
      </c>
      <c r="J29" s="435"/>
      <c r="K29" s="435"/>
      <c r="L29" s="435"/>
      <c r="M29" s="435"/>
      <c r="N29" s="463">
        <f t="shared" si="0"/>
        <v>0</v>
      </c>
      <c r="O29" s="437">
        <v>0</v>
      </c>
    </row>
    <row r="30" spans="1:15">
      <c r="A30" s="1100" t="s">
        <v>394</v>
      </c>
      <c r="B30" s="1100"/>
      <c r="C30" s="420">
        <v>2750</v>
      </c>
      <c r="D30" s="462" t="s">
        <v>242</v>
      </c>
      <c r="E30" s="434">
        <f>66000/100000+1.687</f>
        <v>2.347</v>
      </c>
      <c r="F30" s="434">
        <f>66000/100000</f>
        <v>0.66</v>
      </c>
      <c r="G30" s="433">
        <v>0</v>
      </c>
      <c r="H30" s="433">
        <f>30551/100000</f>
        <v>0.30551</v>
      </c>
      <c r="I30" s="435">
        <f>26273/100000</f>
        <v>0.26273000000000002</v>
      </c>
      <c r="J30" s="435"/>
      <c r="K30" s="435"/>
      <c r="L30" s="435"/>
      <c r="M30" s="435"/>
      <c r="N30" s="463">
        <f t="shared" si="0"/>
        <v>0.56824000000000008</v>
      </c>
      <c r="O30" s="437">
        <f t="shared" si="1"/>
        <v>86.096969696969694</v>
      </c>
    </row>
    <row r="31" spans="1:15" ht="15">
      <c r="A31" s="1128" t="s">
        <v>670</v>
      </c>
      <c r="B31" s="1128"/>
      <c r="C31" s="443">
        <v>2000</v>
      </c>
      <c r="D31" s="464" t="s">
        <v>5390</v>
      </c>
      <c r="E31" s="447">
        <f>10000/100000</f>
        <v>0.1</v>
      </c>
      <c r="F31" s="433">
        <v>0.1</v>
      </c>
      <c r="G31" s="433">
        <v>0</v>
      </c>
      <c r="H31" s="433">
        <v>0.1</v>
      </c>
      <c r="I31" s="435">
        <v>0</v>
      </c>
      <c r="J31" s="435"/>
      <c r="K31" s="435"/>
      <c r="L31" s="435"/>
      <c r="M31" s="435"/>
      <c r="N31" s="463">
        <f t="shared" si="0"/>
        <v>0.1</v>
      </c>
      <c r="O31" s="437">
        <f t="shared" si="1"/>
        <v>100</v>
      </c>
    </row>
    <row r="32" spans="1:15">
      <c r="A32" s="1137" t="s">
        <v>230</v>
      </c>
      <c r="B32" s="1138"/>
      <c r="C32" s="465"/>
      <c r="D32" s="466"/>
      <c r="E32" s="467">
        <f t="shared" ref="E32:M32" si="2">SUM(E23:E31)</f>
        <v>41.761770000000013</v>
      </c>
      <c r="F32" s="467">
        <f t="shared" si="2"/>
        <v>18.298900000000003</v>
      </c>
      <c r="G32" s="467">
        <f t="shared" si="2"/>
        <v>0</v>
      </c>
      <c r="H32" s="467">
        <f t="shared" si="2"/>
        <v>7.3945499999999997</v>
      </c>
      <c r="I32" s="467">
        <f t="shared" si="2"/>
        <v>8.8974100000000007</v>
      </c>
      <c r="J32" s="467">
        <f t="shared" si="2"/>
        <v>0</v>
      </c>
      <c r="K32" s="467">
        <f t="shared" si="2"/>
        <v>0</v>
      </c>
      <c r="L32" s="467">
        <f t="shared" si="2"/>
        <v>0</v>
      </c>
      <c r="M32" s="467">
        <f t="shared" si="2"/>
        <v>0</v>
      </c>
      <c r="N32" s="467">
        <f>SUM(N23:N31)</f>
        <v>16.291960000000003</v>
      </c>
      <c r="O32" s="436">
        <f t="shared" si="1"/>
        <v>89.032455502789787</v>
      </c>
    </row>
  </sheetData>
  <mergeCells count="56">
    <mergeCell ref="A4:C4"/>
    <mergeCell ref="A1:M1"/>
    <mergeCell ref="A2:M2"/>
    <mergeCell ref="A3:B3"/>
    <mergeCell ref="C3:D3"/>
    <mergeCell ref="E3:F3"/>
    <mergeCell ref="H3:I3"/>
    <mergeCell ref="K3:L3"/>
    <mergeCell ref="A5:B5"/>
    <mergeCell ref="C5:D5"/>
    <mergeCell ref="E5:F5"/>
    <mergeCell ref="G5:H5"/>
    <mergeCell ref="A7:B7"/>
    <mergeCell ref="C7:D7"/>
    <mergeCell ref="E7:F7"/>
    <mergeCell ref="G7:H7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12:C12"/>
    <mergeCell ref="D12:E12"/>
    <mergeCell ref="F12:G12"/>
    <mergeCell ref="H12:I12"/>
    <mergeCell ref="J12:K12"/>
    <mergeCell ref="A11:C11"/>
    <mergeCell ref="D11:E11"/>
    <mergeCell ref="F11:G11"/>
    <mergeCell ref="H11:I11"/>
    <mergeCell ref="J11:K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G21:M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75" right="0.75" top="1" bottom="1" header="0.5" footer="0.5"/>
  <pageSetup scale="75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dimension ref="A1:O33"/>
  <sheetViews>
    <sheetView zoomScale="80" zoomScaleNormal="80" workbookViewId="0">
      <selection activeCell="A4" sqref="A4:C4"/>
    </sheetView>
  </sheetViews>
  <sheetFormatPr defaultRowHeight="12.75"/>
  <cols>
    <col min="1" max="1" width="12.7109375" style="342" customWidth="1"/>
    <col min="2" max="2" width="13.140625" style="342" customWidth="1"/>
    <col min="3" max="3" width="9.85546875" style="342" customWidth="1"/>
    <col min="4" max="4" width="12.140625" style="342" customWidth="1"/>
    <col min="5" max="5" width="11.85546875" style="342" customWidth="1"/>
    <col min="6" max="6" width="10.85546875" style="342" customWidth="1"/>
    <col min="7" max="8" width="10.7109375" style="342" customWidth="1"/>
    <col min="9" max="9" width="8.5703125" style="342" customWidth="1"/>
    <col min="10" max="11" width="8.140625" style="342" customWidth="1"/>
    <col min="12" max="12" width="8.85546875" style="342" customWidth="1"/>
    <col min="13" max="13" width="8.42578125" style="342" bestFit="1" customWidth="1"/>
    <col min="14" max="14" width="9.28515625" style="342" customWidth="1"/>
    <col min="15" max="15" width="10.5703125" style="342" bestFit="1" customWidth="1"/>
    <col min="16" max="256" width="9.140625" style="342"/>
    <col min="257" max="257" width="12.7109375" style="342" customWidth="1"/>
    <col min="258" max="258" width="13.140625" style="342" customWidth="1"/>
    <col min="259" max="259" width="9.85546875" style="342" customWidth="1"/>
    <col min="260" max="260" width="12.140625" style="342" customWidth="1"/>
    <col min="261" max="261" width="11.85546875" style="342" customWidth="1"/>
    <col min="262" max="262" width="10.85546875" style="342" customWidth="1"/>
    <col min="263" max="264" width="10.7109375" style="342" customWidth="1"/>
    <col min="265" max="265" width="8.5703125" style="342" customWidth="1"/>
    <col min="266" max="267" width="8.140625" style="342" customWidth="1"/>
    <col min="268" max="268" width="8.85546875" style="342" customWidth="1"/>
    <col min="269" max="269" width="8.42578125" style="342" bestFit="1" customWidth="1"/>
    <col min="270" max="270" width="9.28515625" style="342" customWidth="1"/>
    <col min="271" max="271" width="10.5703125" style="342" bestFit="1" customWidth="1"/>
    <col min="272" max="512" width="9.140625" style="342"/>
    <col min="513" max="513" width="12.7109375" style="342" customWidth="1"/>
    <col min="514" max="514" width="13.140625" style="342" customWidth="1"/>
    <col min="515" max="515" width="9.85546875" style="342" customWidth="1"/>
    <col min="516" max="516" width="12.140625" style="342" customWidth="1"/>
    <col min="517" max="517" width="11.85546875" style="342" customWidth="1"/>
    <col min="518" max="518" width="10.85546875" style="342" customWidth="1"/>
    <col min="519" max="520" width="10.7109375" style="342" customWidth="1"/>
    <col min="521" max="521" width="8.5703125" style="342" customWidth="1"/>
    <col min="522" max="523" width="8.140625" style="342" customWidth="1"/>
    <col min="524" max="524" width="8.85546875" style="342" customWidth="1"/>
    <col min="525" max="525" width="8.42578125" style="342" bestFit="1" customWidth="1"/>
    <col min="526" max="526" width="9.28515625" style="342" customWidth="1"/>
    <col min="527" max="527" width="10.5703125" style="342" bestFit="1" customWidth="1"/>
    <col min="528" max="768" width="9.140625" style="342"/>
    <col min="769" max="769" width="12.7109375" style="342" customWidth="1"/>
    <col min="770" max="770" width="13.140625" style="342" customWidth="1"/>
    <col min="771" max="771" width="9.85546875" style="342" customWidth="1"/>
    <col min="772" max="772" width="12.140625" style="342" customWidth="1"/>
    <col min="773" max="773" width="11.85546875" style="342" customWidth="1"/>
    <col min="774" max="774" width="10.85546875" style="342" customWidth="1"/>
    <col min="775" max="776" width="10.7109375" style="342" customWidth="1"/>
    <col min="777" max="777" width="8.5703125" style="342" customWidth="1"/>
    <col min="778" max="779" width="8.140625" style="342" customWidth="1"/>
    <col min="780" max="780" width="8.85546875" style="342" customWidth="1"/>
    <col min="781" max="781" width="8.42578125" style="342" bestFit="1" customWidth="1"/>
    <col min="782" max="782" width="9.28515625" style="342" customWidth="1"/>
    <col min="783" max="783" width="10.5703125" style="342" bestFit="1" customWidth="1"/>
    <col min="784" max="1024" width="9.140625" style="342"/>
    <col min="1025" max="1025" width="12.7109375" style="342" customWidth="1"/>
    <col min="1026" max="1026" width="13.140625" style="342" customWidth="1"/>
    <col min="1027" max="1027" width="9.85546875" style="342" customWidth="1"/>
    <col min="1028" max="1028" width="12.140625" style="342" customWidth="1"/>
    <col min="1029" max="1029" width="11.85546875" style="342" customWidth="1"/>
    <col min="1030" max="1030" width="10.85546875" style="342" customWidth="1"/>
    <col min="1031" max="1032" width="10.7109375" style="342" customWidth="1"/>
    <col min="1033" max="1033" width="8.5703125" style="342" customWidth="1"/>
    <col min="1034" max="1035" width="8.140625" style="342" customWidth="1"/>
    <col min="1036" max="1036" width="8.85546875" style="342" customWidth="1"/>
    <col min="1037" max="1037" width="8.42578125" style="342" bestFit="1" customWidth="1"/>
    <col min="1038" max="1038" width="9.28515625" style="342" customWidth="1"/>
    <col min="1039" max="1039" width="10.5703125" style="342" bestFit="1" customWidth="1"/>
    <col min="1040" max="1280" width="9.140625" style="342"/>
    <col min="1281" max="1281" width="12.7109375" style="342" customWidth="1"/>
    <col min="1282" max="1282" width="13.140625" style="342" customWidth="1"/>
    <col min="1283" max="1283" width="9.85546875" style="342" customWidth="1"/>
    <col min="1284" max="1284" width="12.140625" style="342" customWidth="1"/>
    <col min="1285" max="1285" width="11.85546875" style="342" customWidth="1"/>
    <col min="1286" max="1286" width="10.85546875" style="342" customWidth="1"/>
    <col min="1287" max="1288" width="10.7109375" style="342" customWidth="1"/>
    <col min="1289" max="1289" width="8.5703125" style="342" customWidth="1"/>
    <col min="1290" max="1291" width="8.140625" style="342" customWidth="1"/>
    <col min="1292" max="1292" width="8.85546875" style="342" customWidth="1"/>
    <col min="1293" max="1293" width="8.42578125" style="342" bestFit="1" customWidth="1"/>
    <col min="1294" max="1294" width="9.28515625" style="342" customWidth="1"/>
    <col min="1295" max="1295" width="10.5703125" style="342" bestFit="1" customWidth="1"/>
    <col min="1296" max="1536" width="9.140625" style="342"/>
    <col min="1537" max="1537" width="12.7109375" style="342" customWidth="1"/>
    <col min="1538" max="1538" width="13.140625" style="342" customWidth="1"/>
    <col min="1539" max="1539" width="9.85546875" style="342" customWidth="1"/>
    <col min="1540" max="1540" width="12.140625" style="342" customWidth="1"/>
    <col min="1541" max="1541" width="11.85546875" style="342" customWidth="1"/>
    <col min="1542" max="1542" width="10.85546875" style="342" customWidth="1"/>
    <col min="1543" max="1544" width="10.7109375" style="342" customWidth="1"/>
    <col min="1545" max="1545" width="8.5703125" style="342" customWidth="1"/>
    <col min="1546" max="1547" width="8.140625" style="342" customWidth="1"/>
    <col min="1548" max="1548" width="8.85546875" style="342" customWidth="1"/>
    <col min="1549" max="1549" width="8.42578125" style="342" bestFit="1" customWidth="1"/>
    <col min="1550" max="1550" width="9.28515625" style="342" customWidth="1"/>
    <col min="1551" max="1551" width="10.5703125" style="342" bestFit="1" customWidth="1"/>
    <col min="1552" max="1792" width="9.140625" style="342"/>
    <col min="1793" max="1793" width="12.7109375" style="342" customWidth="1"/>
    <col min="1794" max="1794" width="13.140625" style="342" customWidth="1"/>
    <col min="1795" max="1795" width="9.85546875" style="342" customWidth="1"/>
    <col min="1796" max="1796" width="12.140625" style="342" customWidth="1"/>
    <col min="1797" max="1797" width="11.85546875" style="342" customWidth="1"/>
    <col min="1798" max="1798" width="10.85546875" style="342" customWidth="1"/>
    <col min="1799" max="1800" width="10.7109375" style="342" customWidth="1"/>
    <col min="1801" max="1801" width="8.5703125" style="342" customWidth="1"/>
    <col min="1802" max="1803" width="8.140625" style="342" customWidth="1"/>
    <col min="1804" max="1804" width="8.85546875" style="342" customWidth="1"/>
    <col min="1805" max="1805" width="8.42578125" style="342" bestFit="1" customWidth="1"/>
    <col min="1806" max="1806" width="9.28515625" style="342" customWidth="1"/>
    <col min="1807" max="1807" width="10.5703125" style="342" bestFit="1" customWidth="1"/>
    <col min="1808" max="2048" width="9.140625" style="342"/>
    <col min="2049" max="2049" width="12.7109375" style="342" customWidth="1"/>
    <col min="2050" max="2050" width="13.140625" style="342" customWidth="1"/>
    <col min="2051" max="2051" width="9.85546875" style="342" customWidth="1"/>
    <col min="2052" max="2052" width="12.140625" style="342" customWidth="1"/>
    <col min="2053" max="2053" width="11.85546875" style="342" customWidth="1"/>
    <col min="2054" max="2054" width="10.85546875" style="342" customWidth="1"/>
    <col min="2055" max="2056" width="10.7109375" style="342" customWidth="1"/>
    <col min="2057" max="2057" width="8.5703125" style="342" customWidth="1"/>
    <col min="2058" max="2059" width="8.140625" style="342" customWidth="1"/>
    <col min="2060" max="2060" width="8.85546875" style="342" customWidth="1"/>
    <col min="2061" max="2061" width="8.42578125" style="342" bestFit="1" customWidth="1"/>
    <col min="2062" max="2062" width="9.28515625" style="342" customWidth="1"/>
    <col min="2063" max="2063" width="10.5703125" style="342" bestFit="1" customWidth="1"/>
    <col min="2064" max="2304" width="9.140625" style="342"/>
    <col min="2305" max="2305" width="12.7109375" style="342" customWidth="1"/>
    <col min="2306" max="2306" width="13.140625" style="342" customWidth="1"/>
    <col min="2307" max="2307" width="9.85546875" style="342" customWidth="1"/>
    <col min="2308" max="2308" width="12.140625" style="342" customWidth="1"/>
    <col min="2309" max="2309" width="11.85546875" style="342" customWidth="1"/>
    <col min="2310" max="2310" width="10.85546875" style="342" customWidth="1"/>
    <col min="2311" max="2312" width="10.7109375" style="342" customWidth="1"/>
    <col min="2313" max="2313" width="8.5703125" style="342" customWidth="1"/>
    <col min="2314" max="2315" width="8.140625" style="342" customWidth="1"/>
    <col min="2316" max="2316" width="8.85546875" style="342" customWidth="1"/>
    <col min="2317" max="2317" width="8.42578125" style="342" bestFit="1" customWidth="1"/>
    <col min="2318" max="2318" width="9.28515625" style="342" customWidth="1"/>
    <col min="2319" max="2319" width="10.5703125" style="342" bestFit="1" customWidth="1"/>
    <col min="2320" max="2560" width="9.140625" style="342"/>
    <col min="2561" max="2561" width="12.7109375" style="342" customWidth="1"/>
    <col min="2562" max="2562" width="13.140625" style="342" customWidth="1"/>
    <col min="2563" max="2563" width="9.85546875" style="342" customWidth="1"/>
    <col min="2564" max="2564" width="12.140625" style="342" customWidth="1"/>
    <col min="2565" max="2565" width="11.85546875" style="342" customWidth="1"/>
    <col min="2566" max="2566" width="10.85546875" style="342" customWidth="1"/>
    <col min="2567" max="2568" width="10.7109375" style="342" customWidth="1"/>
    <col min="2569" max="2569" width="8.5703125" style="342" customWidth="1"/>
    <col min="2570" max="2571" width="8.140625" style="342" customWidth="1"/>
    <col min="2572" max="2572" width="8.85546875" style="342" customWidth="1"/>
    <col min="2573" max="2573" width="8.42578125" style="342" bestFit="1" customWidth="1"/>
    <col min="2574" max="2574" width="9.28515625" style="342" customWidth="1"/>
    <col min="2575" max="2575" width="10.5703125" style="342" bestFit="1" customWidth="1"/>
    <col min="2576" max="2816" width="9.140625" style="342"/>
    <col min="2817" max="2817" width="12.7109375" style="342" customWidth="1"/>
    <col min="2818" max="2818" width="13.140625" style="342" customWidth="1"/>
    <col min="2819" max="2819" width="9.85546875" style="342" customWidth="1"/>
    <col min="2820" max="2820" width="12.140625" style="342" customWidth="1"/>
    <col min="2821" max="2821" width="11.85546875" style="342" customWidth="1"/>
    <col min="2822" max="2822" width="10.85546875" style="342" customWidth="1"/>
    <col min="2823" max="2824" width="10.7109375" style="342" customWidth="1"/>
    <col min="2825" max="2825" width="8.5703125" style="342" customWidth="1"/>
    <col min="2826" max="2827" width="8.140625" style="342" customWidth="1"/>
    <col min="2828" max="2828" width="8.85546875" style="342" customWidth="1"/>
    <col min="2829" max="2829" width="8.42578125" style="342" bestFit="1" customWidth="1"/>
    <col min="2830" max="2830" width="9.28515625" style="342" customWidth="1"/>
    <col min="2831" max="2831" width="10.5703125" style="342" bestFit="1" customWidth="1"/>
    <col min="2832" max="3072" width="9.140625" style="342"/>
    <col min="3073" max="3073" width="12.7109375" style="342" customWidth="1"/>
    <col min="3074" max="3074" width="13.140625" style="342" customWidth="1"/>
    <col min="3075" max="3075" width="9.85546875" style="342" customWidth="1"/>
    <col min="3076" max="3076" width="12.140625" style="342" customWidth="1"/>
    <col min="3077" max="3077" width="11.85546875" style="342" customWidth="1"/>
    <col min="3078" max="3078" width="10.85546875" style="342" customWidth="1"/>
    <col min="3079" max="3080" width="10.7109375" style="342" customWidth="1"/>
    <col min="3081" max="3081" width="8.5703125" style="342" customWidth="1"/>
    <col min="3082" max="3083" width="8.140625" style="342" customWidth="1"/>
    <col min="3084" max="3084" width="8.85546875" style="342" customWidth="1"/>
    <col min="3085" max="3085" width="8.42578125" style="342" bestFit="1" customWidth="1"/>
    <col min="3086" max="3086" width="9.28515625" style="342" customWidth="1"/>
    <col min="3087" max="3087" width="10.5703125" style="342" bestFit="1" customWidth="1"/>
    <col min="3088" max="3328" width="9.140625" style="342"/>
    <col min="3329" max="3329" width="12.7109375" style="342" customWidth="1"/>
    <col min="3330" max="3330" width="13.140625" style="342" customWidth="1"/>
    <col min="3331" max="3331" width="9.85546875" style="342" customWidth="1"/>
    <col min="3332" max="3332" width="12.140625" style="342" customWidth="1"/>
    <col min="3333" max="3333" width="11.85546875" style="342" customWidth="1"/>
    <col min="3334" max="3334" width="10.85546875" style="342" customWidth="1"/>
    <col min="3335" max="3336" width="10.7109375" style="342" customWidth="1"/>
    <col min="3337" max="3337" width="8.5703125" style="342" customWidth="1"/>
    <col min="3338" max="3339" width="8.140625" style="342" customWidth="1"/>
    <col min="3340" max="3340" width="8.85546875" style="342" customWidth="1"/>
    <col min="3341" max="3341" width="8.42578125" style="342" bestFit="1" customWidth="1"/>
    <col min="3342" max="3342" width="9.28515625" style="342" customWidth="1"/>
    <col min="3343" max="3343" width="10.5703125" style="342" bestFit="1" customWidth="1"/>
    <col min="3344" max="3584" width="9.140625" style="342"/>
    <col min="3585" max="3585" width="12.7109375" style="342" customWidth="1"/>
    <col min="3586" max="3586" width="13.140625" style="342" customWidth="1"/>
    <col min="3587" max="3587" width="9.85546875" style="342" customWidth="1"/>
    <col min="3588" max="3588" width="12.140625" style="342" customWidth="1"/>
    <col min="3589" max="3589" width="11.85546875" style="342" customWidth="1"/>
    <col min="3590" max="3590" width="10.85546875" style="342" customWidth="1"/>
    <col min="3591" max="3592" width="10.7109375" style="342" customWidth="1"/>
    <col min="3593" max="3593" width="8.5703125" style="342" customWidth="1"/>
    <col min="3594" max="3595" width="8.140625" style="342" customWidth="1"/>
    <col min="3596" max="3596" width="8.85546875" style="342" customWidth="1"/>
    <col min="3597" max="3597" width="8.42578125" style="342" bestFit="1" customWidth="1"/>
    <col min="3598" max="3598" width="9.28515625" style="342" customWidth="1"/>
    <col min="3599" max="3599" width="10.5703125" style="342" bestFit="1" customWidth="1"/>
    <col min="3600" max="3840" width="9.140625" style="342"/>
    <col min="3841" max="3841" width="12.7109375" style="342" customWidth="1"/>
    <col min="3842" max="3842" width="13.140625" style="342" customWidth="1"/>
    <col min="3843" max="3843" width="9.85546875" style="342" customWidth="1"/>
    <col min="3844" max="3844" width="12.140625" style="342" customWidth="1"/>
    <col min="3845" max="3845" width="11.85546875" style="342" customWidth="1"/>
    <col min="3846" max="3846" width="10.85546875" style="342" customWidth="1"/>
    <col min="3847" max="3848" width="10.7109375" style="342" customWidth="1"/>
    <col min="3849" max="3849" width="8.5703125" style="342" customWidth="1"/>
    <col min="3850" max="3851" width="8.140625" style="342" customWidth="1"/>
    <col min="3852" max="3852" width="8.85546875" style="342" customWidth="1"/>
    <col min="3853" max="3853" width="8.42578125" style="342" bestFit="1" customWidth="1"/>
    <col min="3854" max="3854" width="9.28515625" style="342" customWidth="1"/>
    <col min="3855" max="3855" width="10.5703125" style="342" bestFit="1" customWidth="1"/>
    <col min="3856" max="4096" width="9.140625" style="342"/>
    <col min="4097" max="4097" width="12.7109375" style="342" customWidth="1"/>
    <col min="4098" max="4098" width="13.140625" style="342" customWidth="1"/>
    <col min="4099" max="4099" width="9.85546875" style="342" customWidth="1"/>
    <col min="4100" max="4100" width="12.140625" style="342" customWidth="1"/>
    <col min="4101" max="4101" width="11.85546875" style="342" customWidth="1"/>
    <col min="4102" max="4102" width="10.85546875" style="342" customWidth="1"/>
    <col min="4103" max="4104" width="10.7109375" style="342" customWidth="1"/>
    <col min="4105" max="4105" width="8.5703125" style="342" customWidth="1"/>
    <col min="4106" max="4107" width="8.140625" style="342" customWidth="1"/>
    <col min="4108" max="4108" width="8.85546875" style="342" customWidth="1"/>
    <col min="4109" max="4109" width="8.42578125" style="342" bestFit="1" customWidth="1"/>
    <col min="4110" max="4110" width="9.28515625" style="342" customWidth="1"/>
    <col min="4111" max="4111" width="10.5703125" style="342" bestFit="1" customWidth="1"/>
    <col min="4112" max="4352" width="9.140625" style="342"/>
    <col min="4353" max="4353" width="12.7109375" style="342" customWidth="1"/>
    <col min="4354" max="4354" width="13.140625" style="342" customWidth="1"/>
    <col min="4355" max="4355" width="9.85546875" style="342" customWidth="1"/>
    <col min="4356" max="4356" width="12.140625" style="342" customWidth="1"/>
    <col min="4357" max="4357" width="11.85546875" style="342" customWidth="1"/>
    <col min="4358" max="4358" width="10.85546875" style="342" customWidth="1"/>
    <col min="4359" max="4360" width="10.7109375" style="342" customWidth="1"/>
    <col min="4361" max="4361" width="8.5703125" style="342" customWidth="1"/>
    <col min="4362" max="4363" width="8.140625" style="342" customWidth="1"/>
    <col min="4364" max="4364" width="8.85546875" style="342" customWidth="1"/>
    <col min="4365" max="4365" width="8.42578125" style="342" bestFit="1" customWidth="1"/>
    <col min="4366" max="4366" width="9.28515625" style="342" customWidth="1"/>
    <col min="4367" max="4367" width="10.5703125" style="342" bestFit="1" customWidth="1"/>
    <col min="4368" max="4608" width="9.140625" style="342"/>
    <col min="4609" max="4609" width="12.7109375" style="342" customWidth="1"/>
    <col min="4610" max="4610" width="13.140625" style="342" customWidth="1"/>
    <col min="4611" max="4611" width="9.85546875" style="342" customWidth="1"/>
    <col min="4612" max="4612" width="12.140625" style="342" customWidth="1"/>
    <col min="4613" max="4613" width="11.85546875" style="342" customWidth="1"/>
    <col min="4614" max="4614" width="10.85546875" style="342" customWidth="1"/>
    <col min="4615" max="4616" width="10.7109375" style="342" customWidth="1"/>
    <col min="4617" max="4617" width="8.5703125" style="342" customWidth="1"/>
    <col min="4618" max="4619" width="8.140625" style="342" customWidth="1"/>
    <col min="4620" max="4620" width="8.85546875" style="342" customWidth="1"/>
    <col min="4621" max="4621" width="8.42578125" style="342" bestFit="1" customWidth="1"/>
    <col min="4622" max="4622" width="9.28515625" style="342" customWidth="1"/>
    <col min="4623" max="4623" width="10.5703125" style="342" bestFit="1" customWidth="1"/>
    <col min="4624" max="4864" width="9.140625" style="342"/>
    <col min="4865" max="4865" width="12.7109375" style="342" customWidth="1"/>
    <col min="4866" max="4866" width="13.140625" style="342" customWidth="1"/>
    <col min="4867" max="4867" width="9.85546875" style="342" customWidth="1"/>
    <col min="4868" max="4868" width="12.140625" style="342" customWidth="1"/>
    <col min="4869" max="4869" width="11.85546875" style="342" customWidth="1"/>
    <col min="4870" max="4870" width="10.85546875" style="342" customWidth="1"/>
    <col min="4871" max="4872" width="10.7109375" style="342" customWidth="1"/>
    <col min="4873" max="4873" width="8.5703125" style="342" customWidth="1"/>
    <col min="4874" max="4875" width="8.140625" style="342" customWidth="1"/>
    <col min="4876" max="4876" width="8.85546875" style="342" customWidth="1"/>
    <col min="4877" max="4877" width="8.42578125" style="342" bestFit="1" customWidth="1"/>
    <col min="4878" max="4878" width="9.28515625" style="342" customWidth="1"/>
    <col min="4879" max="4879" width="10.5703125" style="342" bestFit="1" customWidth="1"/>
    <col min="4880" max="5120" width="9.140625" style="342"/>
    <col min="5121" max="5121" width="12.7109375" style="342" customWidth="1"/>
    <col min="5122" max="5122" width="13.140625" style="342" customWidth="1"/>
    <col min="5123" max="5123" width="9.85546875" style="342" customWidth="1"/>
    <col min="5124" max="5124" width="12.140625" style="342" customWidth="1"/>
    <col min="5125" max="5125" width="11.85546875" style="342" customWidth="1"/>
    <col min="5126" max="5126" width="10.85546875" style="342" customWidth="1"/>
    <col min="5127" max="5128" width="10.7109375" style="342" customWidth="1"/>
    <col min="5129" max="5129" width="8.5703125" style="342" customWidth="1"/>
    <col min="5130" max="5131" width="8.140625" style="342" customWidth="1"/>
    <col min="5132" max="5132" width="8.85546875" style="342" customWidth="1"/>
    <col min="5133" max="5133" width="8.42578125" style="342" bestFit="1" customWidth="1"/>
    <col min="5134" max="5134" width="9.28515625" style="342" customWidth="1"/>
    <col min="5135" max="5135" width="10.5703125" style="342" bestFit="1" customWidth="1"/>
    <col min="5136" max="5376" width="9.140625" style="342"/>
    <col min="5377" max="5377" width="12.7109375" style="342" customWidth="1"/>
    <col min="5378" max="5378" width="13.140625" style="342" customWidth="1"/>
    <col min="5379" max="5379" width="9.85546875" style="342" customWidth="1"/>
    <col min="5380" max="5380" width="12.140625" style="342" customWidth="1"/>
    <col min="5381" max="5381" width="11.85546875" style="342" customWidth="1"/>
    <col min="5382" max="5382" width="10.85546875" style="342" customWidth="1"/>
    <col min="5383" max="5384" width="10.7109375" style="342" customWidth="1"/>
    <col min="5385" max="5385" width="8.5703125" style="342" customWidth="1"/>
    <col min="5386" max="5387" width="8.140625" style="342" customWidth="1"/>
    <col min="5388" max="5388" width="8.85546875" style="342" customWidth="1"/>
    <col min="5389" max="5389" width="8.42578125" style="342" bestFit="1" customWidth="1"/>
    <col min="5390" max="5390" width="9.28515625" style="342" customWidth="1"/>
    <col min="5391" max="5391" width="10.5703125" style="342" bestFit="1" customWidth="1"/>
    <col min="5392" max="5632" width="9.140625" style="342"/>
    <col min="5633" max="5633" width="12.7109375" style="342" customWidth="1"/>
    <col min="5634" max="5634" width="13.140625" style="342" customWidth="1"/>
    <col min="5635" max="5635" width="9.85546875" style="342" customWidth="1"/>
    <col min="5636" max="5636" width="12.140625" style="342" customWidth="1"/>
    <col min="5637" max="5637" width="11.85546875" style="342" customWidth="1"/>
    <col min="5638" max="5638" width="10.85546875" style="342" customWidth="1"/>
    <col min="5639" max="5640" width="10.7109375" style="342" customWidth="1"/>
    <col min="5641" max="5641" width="8.5703125" style="342" customWidth="1"/>
    <col min="5642" max="5643" width="8.140625" style="342" customWidth="1"/>
    <col min="5644" max="5644" width="8.85546875" style="342" customWidth="1"/>
    <col min="5645" max="5645" width="8.42578125" style="342" bestFit="1" customWidth="1"/>
    <col min="5646" max="5646" width="9.28515625" style="342" customWidth="1"/>
    <col min="5647" max="5647" width="10.5703125" style="342" bestFit="1" customWidth="1"/>
    <col min="5648" max="5888" width="9.140625" style="342"/>
    <col min="5889" max="5889" width="12.7109375" style="342" customWidth="1"/>
    <col min="5890" max="5890" width="13.140625" style="342" customWidth="1"/>
    <col min="5891" max="5891" width="9.85546875" style="342" customWidth="1"/>
    <col min="5892" max="5892" width="12.140625" style="342" customWidth="1"/>
    <col min="5893" max="5893" width="11.85546875" style="342" customWidth="1"/>
    <col min="5894" max="5894" width="10.85546875" style="342" customWidth="1"/>
    <col min="5895" max="5896" width="10.7109375" style="342" customWidth="1"/>
    <col min="5897" max="5897" width="8.5703125" style="342" customWidth="1"/>
    <col min="5898" max="5899" width="8.140625" style="342" customWidth="1"/>
    <col min="5900" max="5900" width="8.85546875" style="342" customWidth="1"/>
    <col min="5901" max="5901" width="8.42578125" style="342" bestFit="1" customWidth="1"/>
    <col min="5902" max="5902" width="9.28515625" style="342" customWidth="1"/>
    <col min="5903" max="5903" width="10.5703125" style="342" bestFit="1" customWidth="1"/>
    <col min="5904" max="6144" width="9.140625" style="342"/>
    <col min="6145" max="6145" width="12.7109375" style="342" customWidth="1"/>
    <col min="6146" max="6146" width="13.140625" style="342" customWidth="1"/>
    <col min="6147" max="6147" width="9.85546875" style="342" customWidth="1"/>
    <col min="6148" max="6148" width="12.140625" style="342" customWidth="1"/>
    <col min="6149" max="6149" width="11.85546875" style="342" customWidth="1"/>
    <col min="6150" max="6150" width="10.85546875" style="342" customWidth="1"/>
    <col min="6151" max="6152" width="10.7109375" style="342" customWidth="1"/>
    <col min="6153" max="6153" width="8.5703125" style="342" customWidth="1"/>
    <col min="6154" max="6155" width="8.140625" style="342" customWidth="1"/>
    <col min="6156" max="6156" width="8.85546875" style="342" customWidth="1"/>
    <col min="6157" max="6157" width="8.42578125" style="342" bestFit="1" customWidth="1"/>
    <col min="6158" max="6158" width="9.28515625" style="342" customWidth="1"/>
    <col min="6159" max="6159" width="10.5703125" style="342" bestFit="1" customWidth="1"/>
    <col min="6160" max="6400" width="9.140625" style="342"/>
    <col min="6401" max="6401" width="12.7109375" style="342" customWidth="1"/>
    <col min="6402" max="6402" width="13.140625" style="342" customWidth="1"/>
    <col min="6403" max="6403" width="9.85546875" style="342" customWidth="1"/>
    <col min="6404" max="6404" width="12.140625" style="342" customWidth="1"/>
    <col min="6405" max="6405" width="11.85546875" style="342" customWidth="1"/>
    <col min="6406" max="6406" width="10.85546875" style="342" customWidth="1"/>
    <col min="6407" max="6408" width="10.7109375" style="342" customWidth="1"/>
    <col min="6409" max="6409" width="8.5703125" style="342" customWidth="1"/>
    <col min="6410" max="6411" width="8.140625" style="342" customWidth="1"/>
    <col min="6412" max="6412" width="8.85546875" style="342" customWidth="1"/>
    <col min="6413" max="6413" width="8.42578125" style="342" bestFit="1" customWidth="1"/>
    <col min="6414" max="6414" width="9.28515625" style="342" customWidth="1"/>
    <col min="6415" max="6415" width="10.5703125" style="342" bestFit="1" customWidth="1"/>
    <col min="6416" max="6656" width="9.140625" style="342"/>
    <col min="6657" max="6657" width="12.7109375" style="342" customWidth="1"/>
    <col min="6658" max="6658" width="13.140625" style="342" customWidth="1"/>
    <col min="6659" max="6659" width="9.85546875" style="342" customWidth="1"/>
    <col min="6660" max="6660" width="12.140625" style="342" customWidth="1"/>
    <col min="6661" max="6661" width="11.85546875" style="342" customWidth="1"/>
    <col min="6662" max="6662" width="10.85546875" style="342" customWidth="1"/>
    <col min="6663" max="6664" width="10.7109375" style="342" customWidth="1"/>
    <col min="6665" max="6665" width="8.5703125" style="342" customWidth="1"/>
    <col min="6666" max="6667" width="8.140625" style="342" customWidth="1"/>
    <col min="6668" max="6668" width="8.85546875" style="342" customWidth="1"/>
    <col min="6669" max="6669" width="8.42578125" style="342" bestFit="1" customWidth="1"/>
    <col min="6670" max="6670" width="9.28515625" style="342" customWidth="1"/>
    <col min="6671" max="6671" width="10.5703125" style="342" bestFit="1" customWidth="1"/>
    <col min="6672" max="6912" width="9.140625" style="342"/>
    <col min="6913" max="6913" width="12.7109375" style="342" customWidth="1"/>
    <col min="6914" max="6914" width="13.140625" style="342" customWidth="1"/>
    <col min="6915" max="6915" width="9.85546875" style="342" customWidth="1"/>
    <col min="6916" max="6916" width="12.140625" style="342" customWidth="1"/>
    <col min="6917" max="6917" width="11.85546875" style="342" customWidth="1"/>
    <col min="6918" max="6918" width="10.85546875" style="342" customWidth="1"/>
    <col min="6919" max="6920" width="10.7109375" style="342" customWidth="1"/>
    <col min="6921" max="6921" width="8.5703125" style="342" customWidth="1"/>
    <col min="6922" max="6923" width="8.140625" style="342" customWidth="1"/>
    <col min="6924" max="6924" width="8.85546875" style="342" customWidth="1"/>
    <col min="6925" max="6925" width="8.42578125" style="342" bestFit="1" customWidth="1"/>
    <col min="6926" max="6926" width="9.28515625" style="342" customWidth="1"/>
    <col min="6927" max="6927" width="10.5703125" style="342" bestFit="1" customWidth="1"/>
    <col min="6928" max="7168" width="9.140625" style="342"/>
    <col min="7169" max="7169" width="12.7109375" style="342" customWidth="1"/>
    <col min="7170" max="7170" width="13.140625" style="342" customWidth="1"/>
    <col min="7171" max="7171" width="9.85546875" style="342" customWidth="1"/>
    <col min="7172" max="7172" width="12.140625" style="342" customWidth="1"/>
    <col min="7173" max="7173" width="11.85546875" style="342" customWidth="1"/>
    <col min="7174" max="7174" width="10.85546875" style="342" customWidth="1"/>
    <col min="7175" max="7176" width="10.7109375" style="342" customWidth="1"/>
    <col min="7177" max="7177" width="8.5703125" style="342" customWidth="1"/>
    <col min="7178" max="7179" width="8.140625" style="342" customWidth="1"/>
    <col min="7180" max="7180" width="8.85546875" style="342" customWidth="1"/>
    <col min="7181" max="7181" width="8.42578125" style="342" bestFit="1" customWidth="1"/>
    <col min="7182" max="7182" width="9.28515625" style="342" customWidth="1"/>
    <col min="7183" max="7183" width="10.5703125" style="342" bestFit="1" customWidth="1"/>
    <col min="7184" max="7424" width="9.140625" style="342"/>
    <col min="7425" max="7425" width="12.7109375" style="342" customWidth="1"/>
    <col min="7426" max="7426" width="13.140625" style="342" customWidth="1"/>
    <col min="7427" max="7427" width="9.85546875" style="342" customWidth="1"/>
    <col min="7428" max="7428" width="12.140625" style="342" customWidth="1"/>
    <col min="7429" max="7429" width="11.85546875" style="342" customWidth="1"/>
    <col min="7430" max="7430" width="10.85546875" style="342" customWidth="1"/>
    <col min="7431" max="7432" width="10.7109375" style="342" customWidth="1"/>
    <col min="7433" max="7433" width="8.5703125" style="342" customWidth="1"/>
    <col min="7434" max="7435" width="8.140625" style="342" customWidth="1"/>
    <col min="7436" max="7436" width="8.85546875" style="342" customWidth="1"/>
    <col min="7437" max="7437" width="8.42578125" style="342" bestFit="1" customWidth="1"/>
    <col min="7438" max="7438" width="9.28515625" style="342" customWidth="1"/>
    <col min="7439" max="7439" width="10.5703125" style="342" bestFit="1" customWidth="1"/>
    <col min="7440" max="7680" width="9.140625" style="342"/>
    <col min="7681" max="7681" width="12.7109375" style="342" customWidth="1"/>
    <col min="7682" max="7682" width="13.140625" style="342" customWidth="1"/>
    <col min="7683" max="7683" width="9.85546875" style="342" customWidth="1"/>
    <col min="7684" max="7684" width="12.140625" style="342" customWidth="1"/>
    <col min="7685" max="7685" width="11.85546875" style="342" customWidth="1"/>
    <col min="7686" max="7686" width="10.85546875" style="342" customWidth="1"/>
    <col min="7687" max="7688" width="10.7109375" style="342" customWidth="1"/>
    <col min="7689" max="7689" width="8.5703125" style="342" customWidth="1"/>
    <col min="7690" max="7691" width="8.140625" style="342" customWidth="1"/>
    <col min="7692" max="7692" width="8.85546875" style="342" customWidth="1"/>
    <col min="7693" max="7693" width="8.42578125" style="342" bestFit="1" customWidth="1"/>
    <col min="7694" max="7694" width="9.28515625" style="342" customWidth="1"/>
    <col min="7695" max="7695" width="10.5703125" style="342" bestFit="1" customWidth="1"/>
    <col min="7696" max="7936" width="9.140625" style="342"/>
    <col min="7937" max="7937" width="12.7109375" style="342" customWidth="1"/>
    <col min="7938" max="7938" width="13.140625" style="342" customWidth="1"/>
    <col min="7939" max="7939" width="9.85546875" style="342" customWidth="1"/>
    <col min="7940" max="7940" width="12.140625" style="342" customWidth="1"/>
    <col min="7941" max="7941" width="11.85546875" style="342" customWidth="1"/>
    <col min="7942" max="7942" width="10.85546875" style="342" customWidth="1"/>
    <col min="7943" max="7944" width="10.7109375" style="342" customWidth="1"/>
    <col min="7945" max="7945" width="8.5703125" style="342" customWidth="1"/>
    <col min="7946" max="7947" width="8.140625" style="342" customWidth="1"/>
    <col min="7948" max="7948" width="8.85546875" style="342" customWidth="1"/>
    <col min="7949" max="7949" width="8.42578125" style="342" bestFit="1" customWidth="1"/>
    <col min="7950" max="7950" width="9.28515625" style="342" customWidth="1"/>
    <col min="7951" max="7951" width="10.5703125" style="342" bestFit="1" customWidth="1"/>
    <col min="7952" max="8192" width="9.140625" style="342"/>
    <col min="8193" max="8193" width="12.7109375" style="342" customWidth="1"/>
    <col min="8194" max="8194" width="13.140625" style="342" customWidth="1"/>
    <col min="8195" max="8195" width="9.85546875" style="342" customWidth="1"/>
    <col min="8196" max="8196" width="12.140625" style="342" customWidth="1"/>
    <col min="8197" max="8197" width="11.85546875" style="342" customWidth="1"/>
    <col min="8198" max="8198" width="10.85546875" style="342" customWidth="1"/>
    <col min="8199" max="8200" width="10.7109375" style="342" customWidth="1"/>
    <col min="8201" max="8201" width="8.5703125" style="342" customWidth="1"/>
    <col min="8202" max="8203" width="8.140625" style="342" customWidth="1"/>
    <col min="8204" max="8204" width="8.85546875" style="342" customWidth="1"/>
    <col min="8205" max="8205" width="8.42578125" style="342" bestFit="1" customWidth="1"/>
    <col min="8206" max="8206" width="9.28515625" style="342" customWidth="1"/>
    <col min="8207" max="8207" width="10.5703125" style="342" bestFit="1" customWidth="1"/>
    <col min="8208" max="8448" width="9.140625" style="342"/>
    <col min="8449" max="8449" width="12.7109375" style="342" customWidth="1"/>
    <col min="8450" max="8450" width="13.140625" style="342" customWidth="1"/>
    <col min="8451" max="8451" width="9.85546875" style="342" customWidth="1"/>
    <col min="8452" max="8452" width="12.140625" style="342" customWidth="1"/>
    <col min="8453" max="8453" width="11.85546875" style="342" customWidth="1"/>
    <col min="8454" max="8454" width="10.85546875" style="342" customWidth="1"/>
    <col min="8455" max="8456" width="10.7109375" style="342" customWidth="1"/>
    <col min="8457" max="8457" width="8.5703125" style="342" customWidth="1"/>
    <col min="8458" max="8459" width="8.140625" style="342" customWidth="1"/>
    <col min="8460" max="8460" width="8.85546875" style="342" customWidth="1"/>
    <col min="8461" max="8461" width="8.42578125" style="342" bestFit="1" customWidth="1"/>
    <col min="8462" max="8462" width="9.28515625" style="342" customWidth="1"/>
    <col min="8463" max="8463" width="10.5703125" style="342" bestFit="1" customWidth="1"/>
    <col min="8464" max="8704" width="9.140625" style="342"/>
    <col min="8705" max="8705" width="12.7109375" style="342" customWidth="1"/>
    <col min="8706" max="8706" width="13.140625" style="342" customWidth="1"/>
    <col min="8707" max="8707" width="9.85546875" style="342" customWidth="1"/>
    <col min="8708" max="8708" width="12.140625" style="342" customWidth="1"/>
    <col min="8709" max="8709" width="11.85546875" style="342" customWidth="1"/>
    <col min="8710" max="8710" width="10.85546875" style="342" customWidth="1"/>
    <col min="8711" max="8712" width="10.7109375" style="342" customWidth="1"/>
    <col min="8713" max="8713" width="8.5703125" style="342" customWidth="1"/>
    <col min="8714" max="8715" width="8.140625" style="342" customWidth="1"/>
    <col min="8716" max="8716" width="8.85546875" style="342" customWidth="1"/>
    <col min="8717" max="8717" width="8.42578125" style="342" bestFit="1" customWidth="1"/>
    <col min="8718" max="8718" width="9.28515625" style="342" customWidth="1"/>
    <col min="8719" max="8719" width="10.5703125" style="342" bestFit="1" customWidth="1"/>
    <col min="8720" max="8960" width="9.140625" style="342"/>
    <col min="8961" max="8961" width="12.7109375" style="342" customWidth="1"/>
    <col min="8962" max="8962" width="13.140625" style="342" customWidth="1"/>
    <col min="8963" max="8963" width="9.85546875" style="342" customWidth="1"/>
    <col min="8964" max="8964" width="12.140625" style="342" customWidth="1"/>
    <col min="8965" max="8965" width="11.85546875" style="342" customWidth="1"/>
    <col min="8966" max="8966" width="10.85546875" style="342" customWidth="1"/>
    <col min="8967" max="8968" width="10.7109375" style="342" customWidth="1"/>
    <col min="8969" max="8969" width="8.5703125" style="342" customWidth="1"/>
    <col min="8970" max="8971" width="8.140625" style="342" customWidth="1"/>
    <col min="8972" max="8972" width="8.85546875" style="342" customWidth="1"/>
    <col min="8973" max="8973" width="8.42578125" style="342" bestFit="1" customWidth="1"/>
    <col min="8974" max="8974" width="9.28515625" style="342" customWidth="1"/>
    <col min="8975" max="8975" width="10.5703125" style="342" bestFit="1" customWidth="1"/>
    <col min="8976" max="9216" width="9.140625" style="342"/>
    <col min="9217" max="9217" width="12.7109375" style="342" customWidth="1"/>
    <col min="9218" max="9218" width="13.140625" style="342" customWidth="1"/>
    <col min="9219" max="9219" width="9.85546875" style="342" customWidth="1"/>
    <col min="9220" max="9220" width="12.140625" style="342" customWidth="1"/>
    <col min="9221" max="9221" width="11.85546875" style="342" customWidth="1"/>
    <col min="9222" max="9222" width="10.85546875" style="342" customWidth="1"/>
    <col min="9223" max="9224" width="10.7109375" style="342" customWidth="1"/>
    <col min="9225" max="9225" width="8.5703125" style="342" customWidth="1"/>
    <col min="9226" max="9227" width="8.140625" style="342" customWidth="1"/>
    <col min="9228" max="9228" width="8.85546875" style="342" customWidth="1"/>
    <col min="9229" max="9229" width="8.42578125" style="342" bestFit="1" customWidth="1"/>
    <col min="9230" max="9230" width="9.28515625" style="342" customWidth="1"/>
    <col min="9231" max="9231" width="10.5703125" style="342" bestFit="1" customWidth="1"/>
    <col min="9232" max="9472" width="9.140625" style="342"/>
    <col min="9473" max="9473" width="12.7109375" style="342" customWidth="1"/>
    <col min="9474" max="9474" width="13.140625" style="342" customWidth="1"/>
    <col min="9475" max="9475" width="9.85546875" style="342" customWidth="1"/>
    <col min="9476" max="9476" width="12.140625" style="342" customWidth="1"/>
    <col min="9477" max="9477" width="11.85546875" style="342" customWidth="1"/>
    <col min="9478" max="9478" width="10.85546875" style="342" customWidth="1"/>
    <col min="9479" max="9480" width="10.7109375" style="342" customWidth="1"/>
    <col min="9481" max="9481" width="8.5703125" style="342" customWidth="1"/>
    <col min="9482" max="9483" width="8.140625" style="342" customWidth="1"/>
    <col min="9484" max="9484" width="8.85546875" style="342" customWidth="1"/>
    <col min="9485" max="9485" width="8.42578125" style="342" bestFit="1" customWidth="1"/>
    <col min="9486" max="9486" width="9.28515625" style="342" customWidth="1"/>
    <col min="9487" max="9487" width="10.5703125" style="342" bestFit="1" customWidth="1"/>
    <col min="9488" max="9728" width="9.140625" style="342"/>
    <col min="9729" max="9729" width="12.7109375" style="342" customWidth="1"/>
    <col min="9730" max="9730" width="13.140625" style="342" customWidth="1"/>
    <col min="9731" max="9731" width="9.85546875" style="342" customWidth="1"/>
    <col min="9732" max="9732" width="12.140625" style="342" customWidth="1"/>
    <col min="9733" max="9733" width="11.85546875" style="342" customWidth="1"/>
    <col min="9734" max="9734" width="10.85546875" style="342" customWidth="1"/>
    <col min="9735" max="9736" width="10.7109375" style="342" customWidth="1"/>
    <col min="9737" max="9737" width="8.5703125" style="342" customWidth="1"/>
    <col min="9738" max="9739" width="8.140625" style="342" customWidth="1"/>
    <col min="9740" max="9740" width="8.85546875" style="342" customWidth="1"/>
    <col min="9741" max="9741" width="8.42578125" style="342" bestFit="1" customWidth="1"/>
    <col min="9742" max="9742" width="9.28515625" style="342" customWidth="1"/>
    <col min="9743" max="9743" width="10.5703125" style="342" bestFit="1" customWidth="1"/>
    <col min="9744" max="9984" width="9.140625" style="342"/>
    <col min="9985" max="9985" width="12.7109375" style="342" customWidth="1"/>
    <col min="9986" max="9986" width="13.140625" style="342" customWidth="1"/>
    <col min="9987" max="9987" width="9.85546875" style="342" customWidth="1"/>
    <col min="9988" max="9988" width="12.140625" style="342" customWidth="1"/>
    <col min="9989" max="9989" width="11.85546875" style="342" customWidth="1"/>
    <col min="9990" max="9990" width="10.85546875" style="342" customWidth="1"/>
    <col min="9991" max="9992" width="10.7109375" style="342" customWidth="1"/>
    <col min="9993" max="9993" width="8.5703125" style="342" customWidth="1"/>
    <col min="9994" max="9995" width="8.140625" style="342" customWidth="1"/>
    <col min="9996" max="9996" width="8.85546875" style="342" customWidth="1"/>
    <col min="9997" max="9997" width="8.42578125" style="342" bestFit="1" customWidth="1"/>
    <col min="9998" max="9998" width="9.28515625" style="342" customWidth="1"/>
    <col min="9999" max="9999" width="10.5703125" style="342" bestFit="1" customWidth="1"/>
    <col min="10000" max="10240" width="9.140625" style="342"/>
    <col min="10241" max="10241" width="12.7109375" style="342" customWidth="1"/>
    <col min="10242" max="10242" width="13.140625" style="342" customWidth="1"/>
    <col min="10243" max="10243" width="9.85546875" style="342" customWidth="1"/>
    <col min="10244" max="10244" width="12.140625" style="342" customWidth="1"/>
    <col min="10245" max="10245" width="11.85546875" style="342" customWidth="1"/>
    <col min="10246" max="10246" width="10.85546875" style="342" customWidth="1"/>
    <col min="10247" max="10248" width="10.7109375" style="342" customWidth="1"/>
    <col min="10249" max="10249" width="8.5703125" style="342" customWidth="1"/>
    <col min="10250" max="10251" width="8.140625" style="342" customWidth="1"/>
    <col min="10252" max="10252" width="8.85546875" style="342" customWidth="1"/>
    <col min="10253" max="10253" width="8.42578125" style="342" bestFit="1" customWidth="1"/>
    <col min="10254" max="10254" width="9.28515625" style="342" customWidth="1"/>
    <col min="10255" max="10255" width="10.5703125" style="342" bestFit="1" customWidth="1"/>
    <col min="10256" max="10496" width="9.140625" style="342"/>
    <col min="10497" max="10497" width="12.7109375" style="342" customWidth="1"/>
    <col min="10498" max="10498" width="13.140625" style="342" customWidth="1"/>
    <col min="10499" max="10499" width="9.85546875" style="342" customWidth="1"/>
    <col min="10500" max="10500" width="12.140625" style="342" customWidth="1"/>
    <col min="10501" max="10501" width="11.85546875" style="342" customWidth="1"/>
    <col min="10502" max="10502" width="10.85546875" style="342" customWidth="1"/>
    <col min="10503" max="10504" width="10.7109375" style="342" customWidth="1"/>
    <col min="10505" max="10505" width="8.5703125" style="342" customWidth="1"/>
    <col min="10506" max="10507" width="8.140625" style="342" customWidth="1"/>
    <col min="10508" max="10508" width="8.85546875" style="342" customWidth="1"/>
    <col min="10509" max="10509" width="8.42578125" style="342" bestFit="1" customWidth="1"/>
    <col min="10510" max="10510" width="9.28515625" style="342" customWidth="1"/>
    <col min="10511" max="10511" width="10.5703125" style="342" bestFit="1" customWidth="1"/>
    <col min="10512" max="10752" width="9.140625" style="342"/>
    <col min="10753" max="10753" width="12.7109375" style="342" customWidth="1"/>
    <col min="10754" max="10754" width="13.140625" style="342" customWidth="1"/>
    <col min="10755" max="10755" width="9.85546875" style="342" customWidth="1"/>
    <col min="10756" max="10756" width="12.140625" style="342" customWidth="1"/>
    <col min="10757" max="10757" width="11.85546875" style="342" customWidth="1"/>
    <col min="10758" max="10758" width="10.85546875" style="342" customWidth="1"/>
    <col min="10759" max="10760" width="10.7109375" style="342" customWidth="1"/>
    <col min="10761" max="10761" width="8.5703125" style="342" customWidth="1"/>
    <col min="10762" max="10763" width="8.140625" style="342" customWidth="1"/>
    <col min="10764" max="10764" width="8.85546875" style="342" customWidth="1"/>
    <col min="10765" max="10765" width="8.42578125" style="342" bestFit="1" customWidth="1"/>
    <col min="10766" max="10766" width="9.28515625" style="342" customWidth="1"/>
    <col min="10767" max="10767" width="10.5703125" style="342" bestFit="1" customWidth="1"/>
    <col min="10768" max="11008" width="9.140625" style="342"/>
    <col min="11009" max="11009" width="12.7109375" style="342" customWidth="1"/>
    <col min="11010" max="11010" width="13.140625" style="342" customWidth="1"/>
    <col min="11011" max="11011" width="9.85546875" style="342" customWidth="1"/>
    <col min="11012" max="11012" width="12.140625" style="342" customWidth="1"/>
    <col min="11013" max="11013" width="11.85546875" style="342" customWidth="1"/>
    <col min="11014" max="11014" width="10.85546875" style="342" customWidth="1"/>
    <col min="11015" max="11016" width="10.7109375" style="342" customWidth="1"/>
    <col min="11017" max="11017" width="8.5703125" style="342" customWidth="1"/>
    <col min="11018" max="11019" width="8.140625" style="342" customWidth="1"/>
    <col min="11020" max="11020" width="8.85546875" style="342" customWidth="1"/>
    <col min="11021" max="11021" width="8.42578125" style="342" bestFit="1" customWidth="1"/>
    <col min="11022" max="11022" width="9.28515625" style="342" customWidth="1"/>
    <col min="11023" max="11023" width="10.5703125" style="342" bestFit="1" customWidth="1"/>
    <col min="11024" max="11264" width="9.140625" style="342"/>
    <col min="11265" max="11265" width="12.7109375" style="342" customWidth="1"/>
    <col min="11266" max="11266" width="13.140625" style="342" customWidth="1"/>
    <col min="11267" max="11267" width="9.85546875" style="342" customWidth="1"/>
    <col min="11268" max="11268" width="12.140625" style="342" customWidth="1"/>
    <col min="11269" max="11269" width="11.85546875" style="342" customWidth="1"/>
    <col min="11270" max="11270" width="10.85546875" style="342" customWidth="1"/>
    <col min="11271" max="11272" width="10.7109375" style="342" customWidth="1"/>
    <col min="11273" max="11273" width="8.5703125" style="342" customWidth="1"/>
    <col min="11274" max="11275" width="8.140625" style="342" customWidth="1"/>
    <col min="11276" max="11276" width="8.85546875" style="342" customWidth="1"/>
    <col min="11277" max="11277" width="8.42578125" style="342" bestFit="1" customWidth="1"/>
    <col min="11278" max="11278" width="9.28515625" style="342" customWidth="1"/>
    <col min="11279" max="11279" width="10.5703125" style="342" bestFit="1" customWidth="1"/>
    <col min="11280" max="11520" width="9.140625" style="342"/>
    <col min="11521" max="11521" width="12.7109375" style="342" customWidth="1"/>
    <col min="11522" max="11522" width="13.140625" style="342" customWidth="1"/>
    <col min="11523" max="11523" width="9.85546875" style="342" customWidth="1"/>
    <col min="11524" max="11524" width="12.140625" style="342" customWidth="1"/>
    <col min="11525" max="11525" width="11.85546875" style="342" customWidth="1"/>
    <col min="11526" max="11526" width="10.85546875" style="342" customWidth="1"/>
    <col min="11527" max="11528" width="10.7109375" style="342" customWidth="1"/>
    <col min="11529" max="11529" width="8.5703125" style="342" customWidth="1"/>
    <col min="11530" max="11531" width="8.140625" style="342" customWidth="1"/>
    <col min="11532" max="11532" width="8.85546875" style="342" customWidth="1"/>
    <col min="11533" max="11533" width="8.42578125" style="342" bestFit="1" customWidth="1"/>
    <col min="11534" max="11534" width="9.28515625" style="342" customWidth="1"/>
    <col min="11535" max="11535" width="10.5703125" style="342" bestFit="1" customWidth="1"/>
    <col min="11536" max="11776" width="9.140625" style="342"/>
    <col min="11777" max="11777" width="12.7109375" style="342" customWidth="1"/>
    <col min="11778" max="11778" width="13.140625" style="342" customWidth="1"/>
    <col min="11779" max="11779" width="9.85546875" style="342" customWidth="1"/>
    <col min="11780" max="11780" width="12.140625" style="342" customWidth="1"/>
    <col min="11781" max="11781" width="11.85546875" style="342" customWidth="1"/>
    <col min="11782" max="11782" width="10.85546875" style="342" customWidth="1"/>
    <col min="11783" max="11784" width="10.7109375" style="342" customWidth="1"/>
    <col min="11785" max="11785" width="8.5703125" style="342" customWidth="1"/>
    <col min="11786" max="11787" width="8.140625" style="342" customWidth="1"/>
    <col min="11788" max="11788" width="8.85546875" style="342" customWidth="1"/>
    <col min="11789" max="11789" width="8.42578125" style="342" bestFit="1" customWidth="1"/>
    <col min="11790" max="11790" width="9.28515625" style="342" customWidth="1"/>
    <col min="11791" max="11791" width="10.5703125" style="342" bestFit="1" customWidth="1"/>
    <col min="11792" max="12032" width="9.140625" style="342"/>
    <col min="12033" max="12033" width="12.7109375" style="342" customWidth="1"/>
    <col min="12034" max="12034" width="13.140625" style="342" customWidth="1"/>
    <col min="12035" max="12035" width="9.85546875" style="342" customWidth="1"/>
    <col min="12036" max="12036" width="12.140625" style="342" customWidth="1"/>
    <col min="12037" max="12037" width="11.85546875" style="342" customWidth="1"/>
    <col min="12038" max="12038" width="10.85546875" style="342" customWidth="1"/>
    <col min="12039" max="12040" width="10.7109375" style="342" customWidth="1"/>
    <col min="12041" max="12041" width="8.5703125" style="342" customWidth="1"/>
    <col min="12042" max="12043" width="8.140625" style="342" customWidth="1"/>
    <col min="12044" max="12044" width="8.85546875" style="342" customWidth="1"/>
    <col min="12045" max="12045" width="8.42578125" style="342" bestFit="1" customWidth="1"/>
    <col min="12046" max="12046" width="9.28515625" style="342" customWidth="1"/>
    <col min="12047" max="12047" width="10.5703125" style="342" bestFit="1" customWidth="1"/>
    <col min="12048" max="12288" width="9.140625" style="342"/>
    <col min="12289" max="12289" width="12.7109375" style="342" customWidth="1"/>
    <col min="12290" max="12290" width="13.140625" style="342" customWidth="1"/>
    <col min="12291" max="12291" width="9.85546875" style="342" customWidth="1"/>
    <col min="12292" max="12292" width="12.140625" style="342" customWidth="1"/>
    <col min="12293" max="12293" width="11.85546875" style="342" customWidth="1"/>
    <col min="12294" max="12294" width="10.85546875" style="342" customWidth="1"/>
    <col min="12295" max="12296" width="10.7109375" style="342" customWidth="1"/>
    <col min="12297" max="12297" width="8.5703125" style="342" customWidth="1"/>
    <col min="12298" max="12299" width="8.140625" style="342" customWidth="1"/>
    <col min="12300" max="12300" width="8.85546875" style="342" customWidth="1"/>
    <col min="12301" max="12301" width="8.42578125" style="342" bestFit="1" customWidth="1"/>
    <col min="12302" max="12302" width="9.28515625" style="342" customWidth="1"/>
    <col min="12303" max="12303" width="10.5703125" style="342" bestFit="1" customWidth="1"/>
    <col min="12304" max="12544" width="9.140625" style="342"/>
    <col min="12545" max="12545" width="12.7109375" style="342" customWidth="1"/>
    <col min="12546" max="12546" width="13.140625" style="342" customWidth="1"/>
    <col min="12547" max="12547" width="9.85546875" style="342" customWidth="1"/>
    <col min="12548" max="12548" width="12.140625" style="342" customWidth="1"/>
    <col min="12549" max="12549" width="11.85546875" style="342" customWidth="1"/>
    <col min="12550" max="12550" width="10.85546875" style="342" customWidth="1"/>
    <col min="12551" max="12552" width="10.7109375" style="342" customWidth="1"/>
    <col min="12553" max="12553" width="8.5703125" style="342" customWidth="1"/>
    <col min="12554" max="12555" width="8.140625" style="342" customWidth="1"/>
    <col min="12556" max="12556" width="8.85546875" style="342" customWidth="1"/>
    <col min="12557" max="12557" width="8.42578125" style="342" bestFit="1" customWidth="1"/>
    <col min="12558" max="12558" width="9.28515625" style="342" customWidth="1"/>
    <col min="12559" max="12559" width="10.5703125" style="342" bestFit="1" customWidth="1"/>
    <col min="12560" max="12800" width="9.140625" style="342"/>
    <col min="12801" max="12801" width="12.7109375" style="342" customWidth="1"/>
    <col min="12802" max="12802" width="13.140625" style="342" customWidth="1"/>
    <col min="12803" max="12803" width="9.85546875" style="342" customWidth="1"/>
    <col min="12804" max="12804" width="12.140625" style="342" customWidth="1"/>
    <col min="12805" max="12805" width="11.85546875" style="342" customWidth="1"/>
    <col min="12806" max="12806" width="10.85546875" style="342" customWidth="1"/>
    <col min="12807" max="12808" width="10.7109375" style="342" customWidth="1"/>
    <col min="12809" max="12809" width="8.5703125" style="342" customWidth="1"/>
    <col min="12810" max="12811" width="8.140625" style="342" customWidth="1"/>
    <col min="12812" max="12812" width="8.85546875" style="342" customWidth="1"/>
    <col min="12813" max="12813" width="8.42578125" style="342" bestFit="1" customWidth="1"/>
    <col min="12814" max="12814" width="9.28515625" style="342" customWidth="1"/>
    <col min="12815" max="12815" width="10.5703125" style="342" bestFit="1" customWidth="1"/>
    <col min="12816" max="13056" width="9.140625" style="342"/>
    <col min="13057" max="13057" width="12.7109375" style="342" customWidth="1"/>
    <col min="13058" max="13058" width="13.140625" style="342" customWidth="1"/>
    <col min="13059" max="13059" width="9.85546875" style="342" customWidth="1"/>
    <col min="13060" max="13060" width="12.140625" style="342" customWidth="1"/>
    <col min="13061" max="13061" width="11.85546875" style="342" customWidth="1"/>
    <col min="13062" max="13062" width="10.85546875" style="342" customWidth="1"/>
    <col min="13063" max="13064" width="10.7109375" style="342" customWidth="1"/>
    <col min="13065" max="13065" width="8.5703125" style="342" customWidth="1"/>
    <col min="13066" max="13067" width="8.140625" style="342" customWidth="1"/>
    <col min="13068" max="13068" width="8.85546875" style="342" customWidth="1"/>
    <col min="13069" max="13069" width="8.42578125" style="342" bestFit="1" customWidth="1"/>
    <col min="13070" max="13070" width="9.28515625" style="342" customWidth="1"/>
    <col min="13071" max="13071" width="10.5703125" style="342" bestFit="1" customWidth="1"/>
    <col min="13072" max="13312" width="9.140625" style="342"/>
    <col min="13313" max="13313" width="12.7109375" style="342" customWidth="1"/>
    <col min="13314" max="13314" width="13.140625" style="342" customWidth="1"/>
    <col min="13315" max="13315" width="9.85546875" style="342" customWidth="1"/>
    <col min="13316" max="13316" width="12.140625" style="342" customWidth="1"/>
    <col min="13317" max="13317" width="11.85546875" style="342" customWidth="1"/>
    <col min="13318" max="13318" width="10.85546875" style="342" customWidth="1"/>
    <col min="13319" max="13320" width="10.7109375" style="342" customWidth="1"/>
    <col min="13321" max="13321" width="8.5703125" style="342" customWidth="1"/>
    <col min="13322" max="13323" width="8.140625" style="342" customWidth="1"/>
    <col min="13324" max="13324" width="8.85546875" style="342" customWidth="1"/>
    <col min="13325" max="13325" width="8.42578125" style="342" bestFit="1" customWidth="1"/>
    <col min="13326" max="13326" width="9.28515625" style="342" customWidth="1"/>
    <col min="13327" max="13327" width="10.5703125" style="342" bestFit="1" customWidth="1"/>
    <col min="13328" max="13568" width="9.140625" style="342"/>
    <col min="13569" max="13569" width="12.7109375" style="342" customWidth="1"/>
    <col min="13570" max="13570" width="13.140625" style="342" customWidth="1"/>
    <col min="13571" max="13571" width="9.85546875" style="342" customWidth="1"/>
    <col min="13572" max="13572" width="12.140625" style="342" customWidth="1"/>
    <col min="13573" max="13573" width="11.85546875" style="342" customWidth="1"/>
    <col min="13574" max="13574" width="10.85546875" style="342" customWidth="1"/>
    <col min="13575" max="13576" width="10.7109375" style="342" customWidth="1"/>
    <col min="13577" max="13577" width="8.5703125" style="342" customWidth="1"/>
    <col min="13578" max="13579" width="8.140625" style="342" customWidth="1"/>
    <col min="13580" max="13580" width="8.85546875" style="342" customWidth="1"/>
    <col min="13581" max="13581" width="8.42578125" style="342" bestFit="1" customWidth="1"/>
    <col min="13582" max="13582" width="9.28515625" style="342" customWidth="1"/>
    <col min="13583" max="13583" width="10.5703125" style="342" bestFit="1" customWidth="1"/>
    <col min="13584" max="13824" width="9.140625" style="342"/>
    <col min="13825" max="13825" width="12.7109375" style="342" customWidth="1"/>
    <col min="13826" max="13826" width="13.140625" style="342" customWidth="1"/>
    <col min="13827" max="13827" width="9.85546875" style="342" customWidth="1"/>
    <col min="13828" max="13828" width="12.140625" style="342" customWidth="1"/>
    <col min="13829" max="13829" width="11.85546875" style="342" customWidth="1"/>
    <col min="13830" max="13830" width="10.85546875" style="342" customWidth="1"/>
    <col min="13831" max="13832" width="10.7109375" style="342" customWidth="1"/>
    <col min="13833" max="13833" width="8.5703125" style="342" customWidth="1"/>
    <col min="13834" max="13835" width="8.140625" style="342" customWidth="1"/>
    <col min="13836" max="13836" width="8.85546875" style="342" customWidth="1"/>
    <col min="13837" max="13837" width="8.42578125" style="342" bestFit="1" customWidth="1"/>
    <col min="13838" max="13838" width="9.28515625" style="342" customWidth="1"/>
    <col min="13839" max="13839" width="10.5703125" style="342" bestFit="1" customWidth="1"/>
    <col min="13840" max="14080" width="9.140625" style="342"/>
    <col min="14081" max="14081" width="12.7109375" style="342" customWidth="1"/>
    <col min="14082" max="14082" width="13.140625" style="342" customWidth="1"/>
    <col min="14083" max="14083" width="9.85546875" style="342" customWidth="1"/>
    <col min="14084" max="14084" width="12.140625" style="342" customWidth="1"/>
    <col min="14085" max="14085" width="11.85546875" style="342" customWidth="1"/>
    <col min="14086" max="14086" width="10.85546875" style="342" customWidth="1"/>
    <col min="14087" max="14088" width="10.7109375" style="342" customWidth="1"/>
    <col min="14089" max="14089" width="8.5703125" style="342" customWidth="1"/>
    <col min="14090" max="14091" width="8.140625" style="342" customWidth="1"/>
    <col min="14092" max="14092" width="8.85546875" style="342" customWidth="1"/>
    <col min="14093" max="14093" width="8.42578125" style="342" bestFit="1" customWidth="1"/>
    <col min="14094" max="14094" width="9.28515625" style="342" customWidth="1"/>
    <col min="14095" max="14095" width="10.5703125" style="342" bestFit="1" customWidth="1"/>
    <col min="14096" max="14336" width="9.140625" style="342"/>
    <col min="14337" max="14337" width="12.7109375" style="342" customWidth="1"/>
    <col min="14338" max="14338" width="13.140625" style="342" customWidth="1"/>
    <col min="14339" max="14339" width="9.85546875" style="342" customWidth="1"/>
    <col min="14340" max="14340" width="12.140625" style="342" customWidth="1"/>
    <col min="14341" max="14341" width="11.85546875" style="342" customWidth="1"/>
    <col min="14342" max="14342" width="10.85546875" style="342" customWidth="1"/>
    <col min="14343" max="14344" width="10.7109375" style="342" customWidth="1"/>
    <col min="14345" max="14345" width="8.5703125" style="342" customWidth="1"/>
    <col min="14346" max="14347" width="8.140625" style="342" customWidth="1"/>
    <col min="14348" max="14348" width="8.85546875" style="342" customWidth="1"/>
    <col min="14349" max="14349" width="8.42578125" style="342" bestFit="1" customWidth="1"/>
    <col min="14350" max="14350" width="9.28515625" style="342" customWidth="1"/>
    <col min="14351" max="14351" width="10.5703125" style="342" bestFit="1" customWidth="1"/>
    <col min="14352" max="14592" width="9.140625" style="342"/>
    <col min="14593" max="14593" width="12.7109375" style="342" customWidth="1"/>
    <col min="14594" max="14594" width="13.140625" style="342" customWidth="1"/>
    <col min="14595" max="14595" width="9.85546875" style="342" customWidth="1"/>
    <col min="14596" max="14596" width="12.140625" style="342" customWidth="1"/>
    <col min="14597" max="14597" width="11.85546875" style="342" customWidth="1"/>
    <col min="14598" max="14598" width="10.85546875" style="342" customWidth="1"/>
    <col min="14599" max="14600" width="10.7109375" style="342" customWidth="1"/>
    <col min="14601" max="14601" width="8.5703125" style="342" customWidth="1"/>
    <col min="14602" max="14603" width="8.140625" style="342" customWidth="1"/>
    <col min="14604" max="14604" width="8.85546875" style="342" customWidth="1"/>
    <col min="14605" max="14605" width="8.42578125" style="342" bestFit="1" customWidth="1"/>
    <col min="14606" max="14606" width="9.28515625" style="342" customWidth="1"/>
    <col min="14607" max="14607" width="10.5703125" style="342" bestFit="1" customWidth="1"/>
    <col min="14608" max="14848" width="9.140625" style="342"/>
    <col min="14849" max="14849" width="12.7109375" style="342" customWidth="1"/>
    <col min="14850" max="14850" width="13.140625" style="342" customWidth="1"/>
    <col min="14851" max="14851" width="9.85546875" style="342" customWidth="1"/>
    <col min="14852" max="14852" width="12.140625" style="342" customWidth="1"/>
    <col min="14853" max="14853" width="11.85546875" style="342" customWidth="1"/>
    <col min="14854" max="14854" width="10.85546875" style="342" customWidth="1"/>
    <col min="14855" max="14856" width="10.7109375" style="342" customWidth="1"/>
    <col min="14857" max="14857" width="8.5703125" style="342" customWidth="1"/>
    <col min="14858" max="14859" width="8.140625" style="342" customWidth="1"/>
    <col min="14860" max="14860" width="8.85546875" style="342" customWidth="1"/>
    <col min="14861" max="14861" width="8.42578125" style="342" bestFit="1" customWidth="1"/>
    <col min="14862" max="14862" width="9.28515625" style="342" customWidth="1"/>
    <col min="14863" max="14863" width="10.5703125" style="342" bestFit="1" customWidth="1"/>
    <col min="14864" max="15104" width="9.140625" style="342"/>
    <col min="15105" max="15105" width="12.7109375" style="342" customWidth="1"/>
    <col min="15106" max="15106" width="13.140625" style="342" customWidth="1"/>
    <col min="15107" max="15107" width="9.85546875" style="342" customWidth="1"/>
    <col min="15108" max="15108" width="12.140625" style="342" customWidth="1"/>
    <col min="15109" max="15109" width="11.85546875" style="342" customWidth="1"/>
    <col min="15110" max="15110" width="10.85546875" style="342" customWidth="1"/>
    <col min="15111" max="15112" width="10.7109375" style="342" customWidth="1"/>
    <col min="15113" max="15113" width="8.5703125" style="342" customWidth="1"/>
    <col min="15114" max="15115" width="8.140625" style="342" customWidth="1"/>
    <col min="15116" max="15116" width="8.85546875" style="342" customWidth="1"/>
    <col min="15117" max="15117" width="8.42578125" style="342" bestFit="1" customWidth="1"/>
    <col min="15118" max="15118" width="9.28515625" style="342" customWidth="1"/>
    <col min="15119" max="15119" width="10.5703125" style="342" bestFit="1" customWidth="1"/>
    <col min="15120" max="15360" width="9.140625" style="342"/>
    <col min="15361" max="15361" width="12.7109375" style="342" customWidth="1"/>
    <col min="15362" max="15362" width="13.140625" style="342" customWidth="1"/>
    <col min="15363" max="15363" width="9.85546875" style="342" customWidth="1"/>
    <col min="15364" max="15364" width="12.140625" style="342" customWidth="1"/>
    <col min="15365" max="15365" width="11.85546875" style="342" customWidth="1"/>
    <col min="15366" max="15366" width="10.85546875" style="342" customWidth="1"/>
    <col min="15367" max="15368" width="10.7109375" style="342" customWidth="1"/>
    <col min="15369" max="15369" width="8.5703125" style="342" customWidth="1"/>
    <col min="15370" max="15371" width="8.140625" style="342" customWidth="1"/>
    <col min="15372" max="15372" width="8.85546875" style="342" customWidth="1"/>
    <col min="15373" max="15373" width="8.42578125" style="342" bestFit="1" customWidth="1"/>
    <col min="15374" max="15374" width="9.28515625" style="342" customWidth="1"/>
    <col min="15375" max="15375" width="10.5703125" style="342" bestFit="1" customWidth="1"/>
    <col min="15376" max="15616" width="9.140625" style="342"/>
    <col min="15617" max="15617" width="12.7109375" style="342" customWidth="1"/>
    <col min="15618" max="15618" width="13.140625" style="342" customWidth="1"/>
    <col min="15619" max="15619" width="9.85546875" style="342" customWidth="1"/>
    <col min="15620" max="15620" width="12.140625" style="342" customWidth="1"/>
    <col min="15621" max="15621" width="11.85546875" style="342" customWidth="1"/>
    <col min="15622" max="15622" width="10.85546875" style="342" customWidth="1"/>
    <col min="15623" max="15624" width="10.7109375" style="342" customWidth="1"/>
    <col min="15625" max="15625" width="8.5703125" style="342" customWidth="1"/>
    <col min="15626" max="15627" width="8.140625" style="342" customWidth="1"/>
    <col min="15628" max="15628" width="8.85546875" style="342" customWidth="1"/>
    <col min="15629" max="15629" width="8.42578125" style="342" bestFit="1" customWidth="1"/>
    <col min="15630" max="15630" width="9.28515625" style="342" customWidth="1"/>
    <col min="15631" max="15631" width="10.5703125" style="342" bestFit="1" customWidth="1"/>
    <col min="15632" max="15872" width="9.140625" style="342"/>
    <col min="15873" max="15873" width="12.7109375" style="342" customWidth="1"/>
    <col min="15874" max="15874" width="13.140625" style="342" customWidth="1"/>
    <col min="15875" max="15875" width="9.85546875" style="342" customWidth="1"/>
    <col min="15876" max="15876" width="12.140625" style="342" customWidth="1"/>
    <col min="15877" max="15877" width="11.85546875" style="342" customWidth="1"/>
    <col min="15878" max="15878" width="10.85546875" style="342" customWidth="1"/>
    <col min="15879" max="15880" width="10.7109375" style="342" customWidth="1"/>
    <col min="15881" max="15881" width="8.5703125" style="342" customWidth="1"/>
    <col min="15882" max="15883" width="8.140625" style="342" customWidth="1"/>
    <col min="15884" max="15884" width="8.85546875" style="342" customWidth="1"/>
    <col min="15885" max="15885" width="8.42578125" style="342" bestFit="1" customWidth="1"/>
    <col min="15886" max="15886" width="9.28515625" style="342" customWidth="1"/>
    <col min="15887" max="15887" width="10.5703125" style="342" bestFit="1" customWidth="1"/>
    <col min="15888" max="16128" width="9.140625" style="342"/>
    <col min="16129" max="16129" width="12.7109375" style="342" customWidth="1"/>
    <col min="16130" max="16130" width="13.140625" style="342" customWidth="1"/>
    <col min="16131" max="16131" width="9.85546875" style="342" customWidth="1"/>
    <col min="16132" max="16132" width="12.140625" style="342" customWidth="1"/>
    <col min="16133" max="16133" width="11.85546875" style="342" customWidth="1"/>
    <col min="16134" max="16134" width="10.85546875" style="342" customWidth="1"/>
    <col min="16135" max="16136" width="10.7109375" style="342" customWidth="1"/>
    <col min="16137" max="16137" width="8.5703125" style="342" customWidth="1"/>
    <col min="16138" max="16139" width="8.140625" style="342" customWidth="1"/>
    <col min="16140" max="16140" width="8.85546875" style="342" customWidth="1"/>
    <col min="16141" max="16141" width="8.42578125" style="342" bestFit="1" customWidth="1"/>
    <col min="16142" max="16142" width="9.28515625" style="342" customWidth="1"/>
    <col min="16143" max="16143" width="10.5703125" style="342" bestFit="1" customWidth="1"/>
    <col min="16144" max="16384" width="9.140625" style="342"/>
  </cols>
  <sheetData>
    <row r="1" spans="1:13" ht="10.5" customHeight="1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</row>
    <row r="2" spans="1:13" ht="10.5" customHeight="1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</row>
    <row r="3" spans="1:13" ht="10.5" customHeight="1">
      <c r="A3" s="1114" t="s">
        <v>1214</v>
      </c>
      <c r="B3" s="1115"/>
      <c r="C3" s="1113" t="s">
        <v>5444</v>
      </c>
      <c r="D3" s="1113"/>
      <c r="E3" s="1116" t="s">
        <v>5369</v>
      </c>
      <c r="F3" s="1115"/>
      <c r="G3" s="419">
        <v>906140101</v>
      </c>
      <c r="H3" s="1116" t="s">
        <v>5370</v>
      </c>
      <c r="I3" s="1115"/>
      <c r="J3" s="419">
        <v>593.79399999999998</v>
      </c>
      <c r="K3" s="1116" t="s">
        <v>5371</v>
      </c>
      <c r="L3" s="1115"/>
      <c r="M3" s="420">
        <v>80</v>
      </c>
    </row>
    <row r="4" spans="1:13" ht="10.5" customHeight="1">
      <c r="A4" s="808" t="s">
        <v>4176</v>
      </c>
      <c r="B4" s="808"/>
      <c r="C4" s="808"/>
      <c r="D4" s="421"/>
      <c r="E4" s="421"/>
      <c r="F4" s="421"/>
      <c r="G4" s="421"/>
      <c r="H4" s="422"/>
      <c r="I4" s="422"/>
      <c r="J4" s="422"/>
      <c r="K4" s="422"/>
      <c r="L4" s="422"/>
    </row>
    <row r="5" spans="1:13" ht="10.5" customHeight="1">
      <c r="A5" s="1114" t="s">
        <v>832</v>
      </c>
      <c r="B5" s="1115"/>
      <c r="C5" s="1113" t="s">
        <v>5445</v>
      </c>
      <c r="D5" s="1113"/>
      <c r="E5" s="1116" t="s">
        <v>5373</v>
      </c>
      <c r="F5" s="1115"/>
      <c r="G5" s="1108" t="s">
        <v>5415</v>
      </c>
      <c r="H5" s="1108"/>
      <c r="I5" s="423"/>
      <c r="K5" s="423"/>
      <c r="L5" s="422"/>
    </row>
    <row r="6" spans="1:13" ht="10.5" customHeight="1">
      <c r="A6" s="421"/>
      <c r="B6" s="422"/>
      <c r="C6" s="421"/>
      <c r="D6" s="421"/>
      <c r="E6" s="421"/>
      <c r="F6" s="421"/>
      <c r="G6" s="421"/>
      <c r="H6" s="422"/>
      <c r="I6" s="422"/>
      <c r="J6" s="422"/>
      <c r="K6" s="422"/>
      <c r="L6" s="422"/>
    </row>
    <row r="7" spans="1:13" ht="10.5" customHeight="1">
      <c r="A7" s="1114" t="s">
        <v>618</v>
      </c>
      <c r="B7" s="1115"/>
      <c r="C7" s="1113" t="s">
        <v>5446</v>
      </c>
      <c r="D7" s="1113"/>
      <c r="E7" s="1117" t="s">
        <v>1206</v>
      </c>
      <c r="F7" s="1118"/>
      <c r="G7" s="1100" t="s">
        <v>5447</v>
      </c>
      <c r="H7" s="1100"/>
      <c r="I7" s="422"/>
      <c r="J7" s="422"/>
      <c r="K7" s="422"/>
      <c r="L7" s="422"/>
    </row>
    <row r="8" spans="1:13" ht="10.5" customHeight="1">
      <c r="A8" s="421"/>
      <c r="B8" s="422"/>
      <c r="C8" s="421"/>
      <c r="D8" s="421"/>
      <c r="E8" s="421"/>
      <c r="F8" s="421"/>
      <c r="G8" s="421"/>
      <c r="H8" s="422"/>
      <c r="I8" s="422"/>
      <c r="J8" s="422"/>
      <c r="K8" s="422"/>
      <c r="L8" s="422"/>
    </row>
    <row r="9" spans="1:13" ht="10.5" customHeight="1">
      <c r="A9" s="1108" t="s">
        <v>838</v>
      </c>
      <c r="B9" s="1108"/>
      <c r="C9" s="1108"/>
      <c r="D9" s="1113" t="s">
        <v>5448</v>
      </c>
      <c r="E9" s="1113"/>
      <c r="F9" s="1108" t="s">
        <v>5449</v>
      </c>
      <c r="G9" s="1108"/>
      <c r="H9" s="1108" t="s">
        <v>5450</v>
      </c>
      <c r="I9" s="1108"/>
      <c r="J9" s="1112"/>
      <c r="K9" s="1112"/>
      <c r="L9" s="422"/>
    </row>
    <row r="10" spans="1:13" ht="10.5" customHeight="1">
      <c r="A10" s="1108" t="s">
        <v>1203</v>
      </c>
      <c r="B10" s="1108"/>
      <c r="C10" s="1108"/>
      <c r="D10" s="1113" t="s">
        <v>5451</v>
      </c>
      <c r="E10" s="1113"/>
      <c r="F10" s="1108" t="s">
        <v>5452</v>
      </c>
      <c r="G10" s="1108"/>
      <c r="H10" s="1108" t="s">
        <v>1308</v>
      </c>
      <c r="I10" s="1108"/>
      <c r="J10" s="1112"/>
      <c r="K10" s="1112"/>
      <c r="L10" s="422"/>
    </row>
    <row r="11" spans="1:13" ht="10.5" customHeight="1">
      <c r="A11" s="1108" t="s">
        <v>1202</v>
      </c>
      <c r="B11" s="1108"/>
      <c r="C11" s="1108"/>
      <c r="D11" s="1109" t="s">
        <v>5453</v>
      </c>
      <c r="E11" s="1110"/>
      <c r="F11" s="1108" t="s">
        <v>5454</v>
      </c>
      <c r="G11" s="1108"/>
      <c r="H11" s="1111" t="s">
        <v>5455</v>
      </c>
      <c r="I11" s="1111"/>
      <c r="J11" s="1112"/>
      <c r="K11" s="1112"/>
      <c r="L11" s="422"/>
    </row>
    <row r="12" spans="1:13" ht="10.5" customHeight="1">
      <c r="A12" s="1108" t="s">
        <v>1196</v>
      </c>
      <c r="B12" s="1108"/>
      <c r="C12" s="1108"/>
      <c r="D12" s="1113"/>
      <c r="E12" s="1113"/>
      <c r="F12" s="1108"/>
      <c r="G12" s="1108"/>
      <c r="H12" s="1108"/>
      <c r="I12" s="1108"/>
      <c r="J12" s="1112"/>
      <c r="K12" s="1112"/>
      <c r="L12" s="422"/>
    </row>
    <row r="13" spans="1:13" ht="10.5" customHeight="1">
      <c r="A13" s="421"/>
      <c r="B13" s="422"/>
      <c r="C13" s="421"/>
      <c r="D13" s="421"/>
      <c r="E13" s="421"/>
      <c r="F13" s="421"/>
      <c r="G13" s="421"/>
      <c r="H13" s="422"/>
      <c r="I13" s="422"/>
      <c r="J13" s="422"/>
      <c r="K13" s="422"/>
      <c r="L13" s="422"/>
    </row>
    <row r="14" spans="1:13" ht="10.5" customHeight="1">
      <c r="A14" s="1101" t="s">
        <v>1194</v>
      </c>
      <c r="B14" s="1102"/>
      <c r="C14" s="552">
        <v>3</v>
      </c>
      <c r="D14" s="1103" t="s">
        <v>1193</v>
      </c>
      <c r="E14" s="1101"/>
      <c r="F14" s="424">
        <v>3</v>
      </c>
      <c r="G14" s="421" t="s">
        <v>643</v>
      </c>
      <c r="H14" s="424">
        <v>8</v>
      </c>
      <c r="I14" s="421" t="s">
        <v>644</v>
      </c>
      <c r="J14" s="420" t="s">
        <v>1269</v>
      </c>
      <c r="K14" s="422" t="s">
        <v>645</v>
      </c>
      <c r="L14" s="420">
        <v>13</v>
      </c>
    </row>
    <row r="15" spans="1:13" ht="10.5" customHeight="1">
      <c r="A15" s="421"/>
      <c r="B15" s="425"/>
      <c r="C15" s="421"/>
      <c r="D15" s="423"/>
      <c r="E15" s="421"/>
      <c r="F15" s="423"/>
      <c r="G15" s="421"/>
      <c r="H15" s="426"/>
      <c r="I15" s="422"/>
      <c r="J15" s="422"/>
      <c r="K15" s="422"/>
      <c r="L15" s="422"/>
    </row>
    <row r="16" spans="1:13" ht="10.5" customHeight="1">
      <c r="A16" s="427" t="s">
        <v>1192</v>
      </c>
      <c r="B16" s="428" t="s">
        <v>204</v>
      </c>
      <c r="C16" s="552">
        <v>127</v>
      </c>
      <c r="D16" s="550" t="s">
        <v>205</v>
      </c>
      <c r="E16" s="552">
        <v>13</v>
      </c>
      <c r="F16" s="421" t="s">
        <v>206</v>
      </c>
      <c r="G16" s="552">
        <v>0</v>
      </c>
      <c r="H16" s="422" t="s">
        <v>230</v>
      </c>
      <c r="I16" s="552">
        <f>G16+E16+C16</f>
        <v>140</v>
      </c>
      <c r="J16" s="422" t="s">
        <v>207</v>
      </c>
      <c r="K16" s="420">
        <v>6</v>
      </c>
      <c r="L16" s="427" t="s">
        <v>855</v>
      </c>
      <c r="M16" s="343">
        <v>9</v>
      </c>
    </row>
    <row r="17" spans="1:15" ht="10.5" customHeight="1">
      <c r="A17" s="1104" t="s">
        <v>1191</v>
      </c>
      <c r="B17" s="428" t="s">
        <v>210</v>
      </c>
      <c r="C17" s="552">
        <v>300</v>
      </c>
      <c r="D17" s="550" t="s">
        <v>211</v>
      </c>
      <c r="E17" s="552">
        <v>30</v>
      </c>
      <c r="F17" s="421" t="s">
        <v>212</v>
      </c>
      <c r="G17" s="552">
        <v>0</v>
      </c>
      <c r="H17" s="422" t="s">
        <v>411</v>
      </c>
      <c r="I17" s="552">
        <f>G17+E17+C17</f>
        <v>330</v>
      </c>
      <c r="J17" s="426"/>
      <c r="K17" s="426"/>
      <c r="L17" s="426"/>
      <c r="M17" s="429"/>
    </row>
    <row r="18" spans="1:15" ht="10.5" customHeight="1">
      <c r="A18" s="1104"/>
      <c r="B18" s="428" t="s">
        <v>213</v>
      </c>
      <c r="C18" s="552">
        <v>299</v>
      </c>
      <c r="D18" s="550" t="s">
        <v>214</v>
      </c>
      <c r="E18" s="552">
        <v>35</v>
      </c>
      <c r="F18" s="421" t="s">
        <v>215</v>
      </c>
      <c r="G18" s="552">
        <v>0</v>
      </c>
      <c r="H18" s="422" t="s">
        <v>410</v>
      </c>
      <c r="I18" s="552">
        <f>G18+E18+C18</f>
        <v>334</v>
      </c>
      <c r="J18" s="426"/>
      <c r="K18" s="426"/>
      <c r="L18" s="426"/>
      <c r="M18" s="429"/>
    </row>
    <row r="19" spans="1:15" ht="10.5" customHeight="1">
      <c r="A19" s="421"/>
      <c r="B19" s="422"/>
      <c r="C19" s="421"/>
      <c r="D19" s="421"/>
      <c r="E19" s="421"/>
      <c r="F19" s="421"/>
      <c r="G19" s="421"/>
      <c r="H19" s="422"/>
      <c r="I19" s="422"/>
      <c r="J19" s="422"/>
      <c r="K19" s="422"/>
      <c r="L19" s="422"/>
    </row>
    <row r="20" spans="1:15" ht="10.5" customHeight="1">
      <c r="A20" s="1105" t="s">
        <v>409</v>
      </c>
      <c r="B20" s="1105"/>
      <c r="C20" s="421"/>
      <c r="D20" s="421"/>
      <c r="E20" s="421"/>
      <c r="F20" s="421"/>
      <c r="G20" s="421"/>
      <c r="H20" s="422"/>
      <c r="I20" s="422"/>
      <c r="J20" s="422"/>
      <c r="K20" s="422"/>
      <c r="L20" s="422"/>
    </row>
    <row r="21" spans="1:15" ht="10.5" customHeight="1">
      <c r="A21" s="1100" t="s">
        <v>1190</v>
      </c>
      <c r="B21" s="1100"/>
      <c r="C21" s="1106" t="s">
        <v>1189</v>
      </c>
      <c r="D21" s="1095" t="s">
        <v>219</v>
      </c>
      <c r="E21" s="1095" t="s">
        <v>5384</v>
      </c>
      <c r="F21" s="1095" t="s">
        <v>5385</v>
      </c>
      <c r="G21" s="1097" t="s">
        <v>5386</v>
      </c>
      <c r="H21" s="1098"/>
      <c r="I21" s="1098"/>
      <c r="J21" s="1098"/>
      <c r="K21" s="1098"/>
      <c r="L21" s="1098"/>
      <c r="M21" s="1099"/>
      <c r="N21" s="343"/>
      <c r="O21" s="343"/>
    </row>
    <row r="22" spans="1:15" ht="10.5" customHeight="1">
      <c r="A22" s="1100"/>
      <c r="B22" s="1100"/>
      <c r="C22" s="1107"/>
      <c r="D22" s="1096"/>
      <c r="E22" s="1096"/>
      <c r="F22" s="1096"/>
      <c r="G22" s="420" t="s">
        <v>227</v>
      </c>
      <c r="H22" s="424" t="s">
        <v>228</v>
      </c>
      <c r="I22" s="420" t="s">
        <v>229</v>
      </c>
      <c r="J22" s="342" t="s">
        <v>1499</v>
      </c>
      <c r="K22" s="420" t="s">
        <v>4831</v>
      </c>
      <c r="L22" s="420" t="s">
        <v>4832</v>
      </c>
      <c r="M22" s="420" t="s">
        <v>4833</v>
      </c>
      <c r="N22" s="430" t="s">
        <v>5387</v>
      </c>
      <c r="O22" s="431" t="s">
        <v>662</v>
      </c>
    </row>
    <row r="23" spans="1:15" ht="10.5" customHeight="1">
      <c r="A23" s="1100" t="s">
        <v>232</v>
      </c>
      <c r="B23" s="1100"/>
      <c r="C23" s="420">
        <v>8000</v>
      </c>
      <c r="D23" s="462" t="s">
        <v>1175</v>
      </c>
      <c r="E23" s="433">
        <f>+C23*J3/100000</f>
        <v>47.503520000000002</v>
      </c>
      <c r="F23" s="433">
        <f>1330000/100000</f>
        <v>13.3</v>
      </c>
      <c r="G23" s="433">
        <v>0</v>
      </c>
      <c r="H23" s="433">
        <f>288200/100000</f>
        <v>2.8820000000000001</v>
      </c>
      <c r="I23" s="435">
        <f>969646/100000</f>
        <v>9.6964600000000001</v>
      </c>
      <c r="J23" s="435"/>
      <c r="K23" s="435"/>
      <c r="L23" s="435"/>
      <c r="M23" s="435"/>
      <c r="N23" s="436">
        <f>+G23+H23+I23+J23+K23+L23+M23</f>
        <v>12.57846</v>
      </c>
      <c r="O23" s="437">
        <f>N23*100/F23</f>
        <v>94.574887218045106</v>
      </c>
    </row>
    <row r="24" spans="1:15" ht="10.5" customHeight="1">
      <c r="A24" s="1100" t="s">
        <v>234</v>
      </c>
      <c r="B24" s="1100"/>
      <c r="C24" s="420">
        <v>7000</v>
      </c>
      <c r="D24" s="462" t="s">
        <v>1175</v>
      </c>
      <c r="E24" s="433">
        <f>C24*80/100000</f>
        <v>5.6</v>
      </c>
      <c r="F24" s="433">
        <v>0</v>
      </c>
      <c r="G24" s="433">
        <v>0</v>
      </c>
      <c r="H24" s="433">
        <v>0</v>
      </c>
      <c r="I24" s="435">
        <v>0</v>
      </c>
      <c r="J24" s="435"/>
      <c r="K24" s="435"/>
      <c r="L24" s="435"/>
      <c r="M24" s="435"/>
      <c r="N24" s="463">
        <f t="shared" ref="N24:N31" si="0">+G24+H24+I24+J24+K24+L24+M24</f>
        <v>0</v>
      </c>
      <c r="O24" s="437">
        <v>0</v>
      </c>
    </row>
    <row r="25" spans="1:15" ht="10.5" customHeight="1">
      <c r="A25" s="1100" t="s">
        <v>235</v>
      </c>
      <c r="B25" s="1100"/>
      <c r="C25" s="420">
        <v>86</v>
      </c>
      <c r="D25" s="462" t="s">
        <v>236</v>
      </c>
      <c r="E25" s="433">
        <v>0.43</v>
      </c>
      <c r="F25" s="434">
        <f>35000/100000</f>
        <v>0.35</v>
      </c>
      <c r="G25" s="433">
        <v>0</v>
      </c>
      <c r="H25" s="433">
        <f>3040/100000</f>
        <v>3.04E-2</v>
      </c>
      <c r="I25" s="435">
        <f>7250/100000</f>
        <v>7.2499999999999995E-2</v>
      </c>
      <c r="J25" s="435"/>
      <c r="K25" s="435"/>
      <c r="L25" s="435"/>
      <c r="M25" s="435"/>
      <c r="N25" s="436">
        <f t="shared" si="0"/>
        <v>0.10289999999999999</v>
      </c>
      <c r="O25" s="437">
        <f t="shared" ref="O25:O31" si="1">N25*100/F25</f>
        <v>29.4</v>
      </c>
    </row>
    <row r="26" spans="1:15" ht="10.5" customHeight="1">
      <c r="A26" s="1100" t="s">
        <v>237</v>
      </c>
      <c r="B26" s="1100"/>
      <c r="C26" s="420">
        <v>68</v>
      </c>
      <c r="D26" s="462" t="s">
        <v>236</v>
      </c>
      <c r="E26" s="433">
        <v>0.34</v>
      </c>
      <c r="F26" s="434">
        <f>16000/100000</f>
        <v>0.16</v>
      </c>
      <c r="G26" s="433">
        <v>0</v>
      </c>
      <c r="H26" s="433">
        <f>16000/100000</f>
        <v>0.16</v>
      </c>
      <c r="I26" s="435">
        <v>0</v>
      </c>
      <c r="J26" s="435"/>
      <c r="K26" s="435"/>
      <c r="L26" s="435"/>
      <c r="M26" s="435"/>
      <c r="N26" s="436">
        <f t="shared" si="0"/>
        <v>0.16</v>
      </c>
      <c r="O26" s="437">
        <f t="shared" si="1"/>
        <v>100</v>
      </c>
    </row>
    <row r="27" spans="1:15" ht="10.5" customHeight="1">
      <c r="A27" s="1100" t="s">
        <v>238</v>
      </c>
      <c r="B27" s="1100"/>
      <c r="C27" s="420">
        <v>1200</v>
      </c>
      <c r="D27" s="462" t="s">
        <v>1175</v>
      </c>
      <c r="E27" s="433">
        <f>+C27*J3/100000</f>
        <v>7.1255279999999992</v>
      </c>
      <c r="F27" s="434">
        <f>200000/100000</f>
        <v>2</v>
      </c>
      <c r="G27" s="433">
        <v>0</v>
      </c>
      <c r="H27" s="433">
        <v>0</v>
      </c>
      <c r="I27" s="435">
        <f>148300/100000</f>
        <v>1.4830000000000001</v>
      </c>
      <c r="J27" s="435"/>
      <c r="K27" s="435"/>
      <c r="L27" s="435"/>
      <c r="M27" s="435"/>
      <c r="N27" s="436">
        <f t="shared" si="0"/>
        <v>1.4830000000000001</v>
      </c>
      <c r="O27" s="437">
        <f t="shared" si="1"/>
        <v>74.150000000000006</v>
      </c>
    </row>
    <row r="28" spans="1:15" ht="10.5" customHeight="1">
      <c r="A28" s="1100" t="s">
        <v>667</v>
      </c>
      <c r="B28" s="1100"/>
      <c r="C28" s="420">
        <v>565</v>
      </c>
      <c r="D28" s="462" t="s">
        <v>1175</v>
      </c>
      <c r="E28" s="433">
        <f>+C28*J3/100000</f>
        <v>3.3549360999999998</v>
      </c>
      <c r="F28" s="434">
        <f>335497/100000</f>
        <v>3.3549699999999998</v>
      </c>
      <c r="G28" s="433">
        <v>0</v>
      </c>
      <c r="H28" s="433">
        <f>335497/100000</f>
        <v>3.3549699999999998</v>
      </c>
      <c r="I28" s="435">
        <v>0</v>
      </c>
      <c r="J28" s="435"/>
      <c r="K28" s="435"/>
      <c r="L28" s="435"/>
      <c r="M28" s="435"/>
      <c r="N28" s="436">
        <f t="shared" si="0"/>
        <v>3.3549699999999998</v>
      </c>
      <c r="O28" s="437">
        <f t="shared" si="1"/>
        <v>100</v>
      </c>
    </row>
    <row r="29" spans="1:15" ht="10.5" customHeight="1">
      <c r="A29" s="1100" t="s">
        <v>1176</v>
      </c>
      <c r="B29" s="1100"/>
      <c r="C29" s="420">
        <v>1000</v>
      </c>
      <c r="D29" s="462" t="s">
        <v>1175</v>
      </c>
      <c r="E29" s="433">
        <f>+C29*J3/100000</f>
        <v>5.9379400000000002</v>
      </c>
      <c r="F29" s="433">
        <v>0</v>
      </c>
      <c r="G29" s="433">
        <v>0</v>
      </c>
      <c r="H29" s="433">
        <v>0</v>
      </c>
      <c r="I29" s="435">
        <v>0</v>
      </c>
      <c r="J29" s="435"/>
      <c r="K29" s="435"/>
      <c r="L29" s="435"/>
      <c r="M29" s="435"/>
      <c r="N29" s="463">
        <f t="shared" si="0"/>
        <v>0</v>
      </c>
      <c r="O29" s="437">
        <v>0</v>
      </c>
    </row>
    <row r="30" spans="1:15" ht="10.5" customHeight="1">
      <c r="A30" s="1100" t="s">
        <v>394</v>
      </c>
      <c r="B30" s="1100"/>
      <c r="C30" s="420">
        <f>250*5+750+500</f>
        <v>2500</v>
      </c>
      <c r="D30" s="462" t="s">
        <v>242</v>
      </c>
      <c r="E30" s="434">
        <f>66000/100000+1.687</f>
        <v>2.347</v>
      </c>
      <c r="F30" s="434">
        <f>66000/100000</f>
        <v>0.66</v>
      </c>
      <c r="G30" s="433">
        <v>0</v>
      </c>
      <c r="H30" s="433">
        <f>30556/100000</f>
        <v>0.30556</v>
      </c>
      <c r="I30" s="435">
        <f>27500/100000</f>
        <v>0.27500000000000002</v>
      </c>
      <c r="J30" s="435"/>
      <c r="K30" s="435"/>
      <c r="L30" s="435"/>
      <c r="M30" s="435"/>
      <c r="N30" s="436">
        <f t="shared" si="0"/>
        <v>0.58055999999999996</v>
      </c>
      <c r="O30" s="437">
        <f t="shared" si="1"/>
        <v>87.963636363636354</v>
      </c>
    </row>
    <row r="31" spans="1:15" ht="10.5" customHeight="1">
      <c r="A31" s="1128" t="s">
        <v>670</v>
      </c>
      <c r="B31" s="1128"/>
      <c r="C31" s="443">
        <v>2000</v>
      </c>
      <c r="D31" s="464" t="s">
        <v>5390</v>
      </c>
      <c r="E31" s="447">
        <f>10000/100000</f>
        <v>0.1</v>
      </c>
      <c r="F31" s="433">
        <v>0.1</v>
      </c>
      <c r="G31" s="433">
        <v>0</v>
      </c>
      <c r="H31" s="433">
        <v>0.1</v>
      </c>
      <c r="I31" s="435"/>
      <c r="J31" s="435"/>
      <c r="K31" s="435"/>
      <c r="L31" s="435"/>
      <c r="M31" s="435"/>
      <c r="N31" s="436">
        <f t="shared" si="0"/>
        <v>0.1</v>
      </c>
      <c r="O31" s="437">
        <f t="shared" si="1"/>
        <v>100</v>
      </c>
    </row>
    <row r="32" spans="1:15" ht="10.5" customHeight="1">
      <c r="A32" s="1139" t="s">
        <v>230</v>
      </c>
      <c r="B32" s="1140"/>
      <c r="C32" s="468"/>
      <c r="D32" s="469"/>
      <c r="E32" s="470">
        <f>SUM(E23:E31)</f>
        <v>72.738924099999991</v>
      </c>
      <c r="F32" s="470">
        <f>SUM(F23:F31)</f>
        <v>19.924970000000002</v>
      </c>
      <c r="G32" s="470">
        <f t="shared" ref="G32:N32" si="2">SUM(G23:G31)</f>
        <v>0</v>
      </c>
      <c r="H32" s="470">
        <f>SUM(H23:H31)</f>
        <v>6.8329299999999993</v>
      </c>
      <c r="I32" s="470">
        <f t="shared" si="2"/>
        <v>11.526960000000001</v>
      </c>
      <c r="J32" s="470">
        <f t="shared" si="2"/>
        <v>0</v>
      </c>
      <c r="K32" s="470">
        <f t="shared" si="2"/>
        <v>0</v>
      </c>
      <c r="L32" s="470">
        <f t="shared" si="2"/>
        <v>0</v>
      </c>
      <c r="M32" s="470">
        <f t="shared" si="2"/>
        <v>0</v>
      </c>
      <c r="N32" s="470">
        <f t="shared" si="2"/>
        <v>18.35989</v>
      </c>
      <c r="O32" s="436">
        <f>N32*100/F32</f>
        <v>92.145132464440337</v>
      </c>
    </row>
    <row r="33" ht="10.5" customHeight="1"/>
  </sheetData>
  <mergeCells count="56">
    <mergeCell ref="A4:C4"/>
    <mergeCell ref="A1:M1"/>
    <mergeCell ref="A2:M2"/>
    <mergeCell ref="A3:B3"/>
    <mergeCell ref="C3:D3"/>
    <mergeCell ref="E3:F3"/>
    <mergeCell ref="H3:I3"/>
    <mergeCell ref="K3:L3"/>
    <mergeCell ref="A5:B5"/>
    <mergeCell ref="C5:D5"/>
    <mergeCell ref="E5:F5"/>
    <mergeCell ref="G5:H5"/>
    <mergeCell ref="A7:B7"/>
    <mergeCell ref="C7:D7"/>
    <mergeCell ref="E7:F7"/>
    <mergeCell ref="G7:H7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12:C12"/>
    <mergeCell ref="D12:E12"/>
    <mergeCell ref="F12:G12"/>
    <mergeCell ref="H12:I12"/>
    <mergeCell ref="J12:K12"/>
    <mergeCell ref="A11:C11"/>
    <mergeCell ref="D11:E11"/>
    <mergeCell ref="F11:G11"/>
    <mergeCell ref="H11:I11"/>
    <mergeCell ref="J11:K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G21:M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2" right="0.22" top="0.52" bottom="0.52" header="0.32" footer="0.25"/>
  <pageSetup scale="89" orientation="landscape" horizontalDpi="180" verticalDpi="18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dimension ref="A1:O32"/>
  <sheetViews>
    <sheetView workbookViewId="0">
      <selection activeCell="A4" sqref="A4:C4"/>
    </sheetView>
  </sheetViews>
  <sheetFormatPr defaultRowHeight="12.75"/>
  <cols>
    <col min="1" max="1" width="12.7109375" style="342" customWidth="1"/>
    <col min="2" max="2" width="16.28515625" style="342" customWidth="1"/>
    <col min="3" max="4" width="9.85546875" style="342" customWidth="1"/>
    <col min="5" max="5" width="11.85546875" style="342" customWidth="1"/>
    <col min="6" max="6" width="10.85546875" style="342" customWidth="1"/>
    <col min="7" max="8" width="10.7109375" style="342" customWidth="1"/>
    <col min="9" max="9" width="8.5703125" style="342" customWidth="1"/>
    <col min="10" max="10" width="8.140625" style="342" customWidth="1"/>
    <col min="11" max="11" width="8.85546875" style="342" customWidth="1"/>
    <col min="12" max="12" width="8.28515625" style="342" customWidth="1"/>
    <col min="13" max="13" width="8.42578125" style="342" customWidth="1"/>
    <col min="14" max="14" width="10.140625" style="342" customWidth="1"/>
    <col min="15" max="15" width="10" style="342" customWidth="1"/>
    <col min="16" max="256" width="9.140625" style="342"/>
    <col min="257" max="257" width="12.7109375" style="342" customWidth="1"/>
    <col min="258" max="258" width="16.28515625" style="342" customWidth="1"/>
    <col min="259" max="260" width="9.85546875" style="342" customWidth="1"/>
    <col min="261" max="261" width="11.85546875" style="342" customWidth="1"/>
    <col min="262" max="262" width="10.85546875" style="342" customWidth="1"/>
    <col min="263" max="264" width="10.7109375" style="342" customWidth="1"/>
    <col min="265" max="265" width="8.5703125" style="342" customWidth="1"/>
    <col min="266" max="266" width="8.140625" style="342" customWidth="1"/>
    <col min="267" max="267" width="8.85546875" style="342" customWidth="1"/>
    <col min="268" max="268" width="8.28515625" style="342" customWidth="1"/>
    <col min="269" max="269" width="8.42578125" style="342" customWidth="1"/>
    <col min="270" max="270" width="10.140625" style="342" customWidth="1"/>
    <col min="271" max="271" width="10" style="342" customWidth="1"/>
    <col min="272" max="512" width="9.140625" style="342"/>
    <col min="513" max="513" width="12.7109375" style="342" customWidth="1"/>
    <col min="514" max="514" width="16.28515625" style="342" customWidth="1"/>
    <col min="515" max="516" width="9.85546875" style="342" customWidth="1"/>
    <col min="517" max="517" width="11.85546875" style="342" customWidth="1"/>
    <col min="518" max="518" width="10.85546875" style="342" customWidth="1"/>
    <col min="519" max="520" width="10.7109375" style="342" customWidth="1"/>
    <col min="521" max="521" width="8.5703125" style="342" customWidth="1"/>
    <col min="522" max="522" width="8.140625" style="342" customWidth="1"/>
    <col min="523" max="523" width="8.85546875" style="342" customWidth="1"/>
    <col min="524" max="524" width="8.28515625" style="342" customWidth="1"/>
    <col min="525" max="525" width="8.42578125" style="342" customWidth="1"/>
    <col min="526" max="526" width="10.140625" style="342" customWidth="1"/>
    <col min="527" max="527" width="10" style="342" customWidth="1"/>
    <col min="528" max="768" width="9.140625" style="342"/>
    <col min="769" max="769" width="12.7109375" style="342" customWidth="1"/>
    <col min="770" max="770" width="16.28515625" style="342" customWidth="1"/>
    <col min="771" max="772" width="9.85546875" style="342" customWidth="1"/>
    <col min="773" max="773" width="11.85546875" style="342" customWidth="1"/>
    <col min="774" max="774" width="10.85546875" style="342" customWidth="1"/>
    <col min="775" max="776" width="10.7109375" style="342" customWidth="1"/>
    <col min="777" max="777" width="8.5703125" style="342" customWidth="1"/>
    <col min="778" max="778" width="8.140625" style="342" customWidth="1"/>
    <col min="779" max="779" width="8.85546875" style="342" customWidth="1"/>
    <col min="780" max="780" width="8.28515625" style="342" customWidth="1"/>
    <col min="781" max="781" width="8.42578125" style="342" customWidth="1"/>
    <col min="782" max="782" width="10.140625" style="342" customWidth="1"/>
    <col min="783" max="783" width="10" style="342" customWidth="1"/>
    <col min="784" max="1024" width="9.140625" style="342"/>
    <col min="1025" max="1025" width="12.7109375" style="342" customWidth="1"/>
    <col min="1026" max="1026" width="16.28515625" style="342" customWidth="1"/>
    <col min="1027" max="1028" width="9.85546875" style="342" customWidth="1"/>
    <col min="1029" max="1029" width="11.85546875" style="342" customWidth="1"/>
    <col min="1030" max="1030" width="10.85546875" style="342" customWidth="1"/>
    <col min="1031" max="1032" width="10.7109375" style="342" customWidth="1"/>
    <col min="1033" max="1033" width="8.5703125" style="342" customWidth="1"/>
    <col min="1034" max="1034" width="8.140625" style="342" customWidth="1"/>
    <col min="1035" max="1035" width="8.85546875" style="342" customWidth="1"/>
    <col min="1036" max="1036" width="8.28515625" style="342" customWidth="1"/>
    <col min="1037" max="1037" width="8.42578125" style="342" customWidth="1"/>
    <col min="1038" max="1038" width="10.140625" style="342" customWidth="1"/>
    <col min="1039" max="1039" width="10" style="342" customWidth="1"/>
    <col min="1040" max="1280" width="9.140625" style="342"/>
    <col min="1281" max="1281" width="12.7109375" style="342" customWidth="1"/>
    <col min="1282" max="1282" width="16.28515625" style="342" customWidth="1"/>
    <col min="1283" max="1284" width="9.85546875" style="342" customWidth="1"/>
    <col min="1285" max="1285" width="11.85546875" style="342" customWidth="1"/>
    <col min="1286" max="1286" width="10.85546875" style="342" customWidth="1"/>
    <col min="1287" max="1288" width="10.7109375" style="342" customWidth="1"/>
    <col min="1289" max="1289" width="8.5703125" style="342" customWidth="1"/>
    <col min="1290" max="1290" width="8.140625" style="342" customWidth="1"/>
    <col min="1291" max="1291" width="8.85546875" style="342" customWidth="1"/>
    <col min="1292" max="1292" width="8.28515625" style="342" customWidth="1"/>
    <col min="1293" max="1293" width="8.42578125" style="342" customWidth="1"/>
    <col min="1294" max="1294" width="10.140625" style="342" customWidth="1"/>
    <col min="1295" max="1295" width="10" style="342" customWidth="1"/>
    <col min="1296" max="1536" width="9.140625" style="342"/>
    <col min="1537" max="1537" width="12.7109375" style="342" customWidth="1"/>
    <col min="1538" max="1538" width="16.28515625" style="342" customWidth="1"/>
    <col min="1539" max="1540" width="9.85546875" style="342" customWidth="1"/>
    <col min="1541" max="1541" width="11.85546875" style="342" customWidth="1"/>
    <col min="1542" max="1542" width="10.85546875" style="342" customWidth="1"/>
    <col min="1543" max="1544" width="10.7109375" style="342" customWidth="1"/>
    <col min="1545" max="1545" width="8.5703125" style="342" customWidth="1"/>
    <col min="1546" max="1546" width="8.140625" style="342" customWidth="1"/>
    <col min="1547" max="1547" width="8.85546875" style="342" customWidth="1"/>
    <col min="1548" max="1548" width="8.28515625" style="342" customWidth="1"/>
    <col min="1549" max="1549" width="8.42578125" style="342" customWidth="1"/>
    <col min="1550" max="1550" width="10.140625" style="342" customWidth="1"/>
    <col min="1551" max="1551" width="10" style="342" customWidth="1"/>
    <col min="1552" max="1792" width="9.140625" style="342"/>
    <col min="1793" max="1793" width="12.7109375" style="342" customWidth="1"/>
    <col min="1794" max="1794" width="16.28515625" style="342" customWidth="1"/>
    <col min="1795" max="1796" width="9.85546875" style="342" customWidth="1"/>
    <col min="1797" max="1797" width="11.85546875" style="342" customWidth="1"/>
    <col min="1798" max="1798" width="10.85546875" style="342" customWidth="1"/>
    <col min="1799" max="1800" width="10.7109375" style="342" customWidth="1"/>
    <col min="1801" max="1801" width="8.5703125" style="342" customWidth="1"/>
    <col min="1802" max="1802" width="8.140625" style="342" customWidth="1"/>
    <col min="1803" max="1803" width="8.85546875" style="342" customWidth="1"/>
    <col min="1804" max="1804" width="8.28515625" style="342" customWidth="1"/>
    <col min="1805" max="1805" width="8.42578125" style="342" customWidth="1"/>
    <col min="1806" max="1806" width="10.140625" style="342" customWidth="1"/>
    <col min="1807" max="1807" width="10" style="342" customWidth="1"/>
    <col min="1808" max="2048" width="9.140625" style="342"/>
    <col min="2049" max="2049" width="12.7109375" style="342" customWidth="1"/>
    <col min="2050" max="2050" width="16.28515625" style="342" customWidth="1"/>
    <col min="2051" max="2052" width="9.85546875" style="342" customWidth="1"/>
    <col min="2053" max="2053" width="11.85546875" style="342" customWidth="1"/>
    <col min="2054" max="2054" width="10.85546875" style="342" customWidth="1"/>
    <col min="2055" max="2056" width="10.7109375" style="342" customWidth="1"/>
    <col min="2057" max="2057" width="8.5703125" style="342" customWidth="1"/>
    <col min="2058" max="2058" width="8.140625" style="342" customWidth="1"/>
    <col min="2059" max="2059" width="8.85546875" style="342" customWidth="1"/>
    <col min="2060" max="2060" width="8.28515625" style="342" customWidth="1"/>
    <col min="2061" max="2061" width="8.42578125" style="342" customWidth="1"/>
    <col min="2062" max="2062" width="10.140625" style="342" customWidth="1"/>
    <col min="2063" max="2063" width="10" style="342" customWidth="1"/>
    <col min="2064" max="2304" width="9.140625" style="342"/>
    <col min="2305" max="2305" width="12.7109375" style="342" customWidth="1"/>
    <col min="2306" max="2306" width="16.28515625" style="342" customWidth="1"/>
    <col min="2307" max="2308" width="9.85546875" style="342" customWidth="1"/>
    <col min="2309" max="2309" width="11.85546875" style="342" customWidth="1"/>
    <col min="2310" max="2310" width="10.85546875" style="342" customWidth="1"/>
    <col min="2311" max="2312" width="10.7109375" style="342" customWidth="1"/>
    <col min="2313" max="2313" width="8.5703125" style="342" customWidth="1"/>
    <col min="2314" max="2314" width="8.140625" style="342" customWidth="1"/>
    <col min="2315" max="2315" width="8.85546875" style="342" customWidth="1"/>
    <col min="2316" max="2316" width="8.28515625" style="342" customWidth="1"/>
    <col min="2317" max="2317" width="8.42578125" style="342" customWidth="1"/>
    <col min="2318" max="2318" width="10.140625" style="342" customWidth="1"/>
    <col min="2319" max="2319" width="10" style="342" customWidth="1"/>
    <col min="2320" max="2560" width="9.140625" style="342"/>
    <col min="2561" max="2561" width="12.7109375" style="342" customWidth="1"/>
    <col min="2562" max="2562" width="16.28515625" style="342" customWidth="1"/>
    <col min="2563" max="2564" width="9.85546875" style="342" customWidth="1"/>
    <col min="2565" max="2565" width="11.85546875" style="342" customWidth="1"/>
    <col min="2566" max="2566" width="10.85546875" style="342" customWidth="1"/>
    <col min="2567" max="2568" width="10.7109375" style="342" customWidth="1"/>
    <col min="2569" max="2569" width="8.5703125" style="342" customWidth="1"/>
    <col min="2570" max="2570" width="8.140625" style="342" customWidth="1"/>
    <col min="2571" max="2571" width="8.85546875" style="342" customWidth="1"/>
    <col min="2572" max="2572" width="8.28515625" style="342" customWidth="1"/>
    <col min="2573" max="2573" width="8.42578125" style="342" customWidth="1"/>
    <col min="2574" max="2574" width="10.140625" style="342" customWidth="1"/>
    <col min="2575" max="2575" width="10" style="342" customWidth="1"/>
    <col min="2576" max="2816" width="9.140625" style="342"/>
    <col min="2817" max="2817" width="12.7109375" style="342" customWidth="1"/>
    <col min="2818" max="2818" width="16.28515625" style="342" customWidth="1"/>
    <col min="2819" max="2820" width="9.85546875" style="342" customWidth="1"/>
    <col min="2821" max="2821" width="11.85546875" style="342" customWidth="1"/>
    <col min="2822" max="2822" width="10.85546875" style="342" customWidth="1"/>
    <col min="2823" max="2824" width="10.7109375" style="342" customWidth="1"/>
    <col min="2825" max="2825" width="8.5703125" style="342" customWidth="1"/>
    <col min="2826" max="2826" width="8.140625" style="342" customWidth="1"/>
    <col min="2827" max="2827" width="8.85546875" style="342" customWidth="1"/>
    <col min="2828" max="2828" width="8.28515625" style="342" customWidth="1"/>
    <col min="2829" max="2829" width="8.42578125" style="342" customWidth="1"/>
    <col min="2830" max="2830" width="10.140625" style="342" customWidth="1"/>
    <col min="2831" max="2831" width="10" style="342" customWidth="1"/>
    <col min="2832" max="3072" width="9.140625" style="342"/>
    <col min="3073" max="3073" width="12.7109375" style="342" customWidth="1"/>
    <col min="3074" max="3074" width="16.28515625" style="342" customWidth="1"/>
    <col min="3075" max="3076" width="9.85546875" style="342" customWidth="1"/>
    <col min="3077" max="3077" width="11.85546875" style="342" customWidth="1"/>
    <col min="3078" max="3078" width="10.85546875" style="342" customWidth="1"/>
    <col min="3079" max="3080" width="10.7109375" style="342" customWidth="1"/>
    <col min="3081" max="3081" width="8.5703125" style="342" customWidth="1"/>
    <col min="3082" max="3082" width="8.140625" style="342" customWidth="1"/>
    <col min="3083" max="3083" width="8.85546875" style="342" customWidth="1"/>
    <col min="3084" max="3084" width="8.28515625" style="342" customWidth="1"/>
    <col min="3085" max="3085" width="8.42578125" style="342" customWidth="1"/>
    <col min="3086" max="3086" width="10.140625" style="342" customWidth="1"/>
    <col min="3087" max="3087" width="10" style="342" customWidth="1"/>
    <col min="3088" max="3328" width="9.140625" style="342"/>
    <col min="3329" max="3329" width="12.7109375" style="342" customWidth="1"/>
    <col min="3330" max="3330" width="16.28515625" style="342" customWidth="1"/>
    <col min="3331" max="3332" width="9.85546875" style="342" customWidth="1"/>
    <col min="3333" max="3333" width="11.85546875" style="342" customWidth="1"/>
    <col min="3334" max="3334" width="10.85546875" style="342" customWidth="1"/>
    <col min="3335" max="3336" width="10.7109375" style="342" customWidth="1"/>
    <col min="3337" max="3337" width="8.5703125" style="342" customWidth="1"/>
    <col min="3338" max="3338" width="8.140625" style="342" customWidth="1"/>
    <col min="3339" max="3339" width="8.85546875" style="342" customWidth="1"/>
    <col min="3340" max="3340" width="8.28515625" style="342" customWidth="1"/>
    <col min="3341" max="3341" width="8.42578125" style="342" customWidth="1"/>
    <col min="3342" max="3342" width="10.140625" style="342" customWidth="1"/>
    <col min="3343" max="3343" width="10" style="342" customWidth="1"/>
    <col min="3344" max="3584" width="9.140625" style="342"/>
    <col min="3585" max="3585" width="12.7109375" style="342" customWidth="1"/>
    <col min="3586" max="3586" width="16.28515625" style="342" customWidth="1"/>
    <col min="3587" max="3588" width="9.85546875" style="342" customWidth="1"/>
    <col min="3589" max="3589" width="11.85546875" style="342" customWidth="1"/>
    <col min="3590" max="3590" width="10.85546875" style="342" customWidth="1"/>
    <col min="3591" max="3592" width="10.7109375" style="342" customWidth="1"/>
    <col min="3593" max="3593" width="8.5703125" style="342" customWidth="1"/>
    <col min="3594" max="3594" width="8.140625" style="342" customWidth="1"/>
    <col min="3595" max="3595" width="8.85546875" style="342" customWidth="1"/>
    <col min="3596" max="3596" width="8.28515625" style="342" customWidth="1"/>
    <col min="3597" max="3597" width="8.42578125" style="342" customWidth="1"/>
    <col min="3598" max="3598" width="10.140625" style="342" customWidth="1"/>
    <col min="3599" max="3599" width="10" style="342" customWidth="1"/>
    <col min="3600" max="3840" width="9.140625" style="342"/>
    <col min="3841" max="3841" width="12.7109375" style="342" customWidth="1"/>
    <col min="3842" max="3842" width="16.28515625" style="342" customWidth="1"/>
    <col min="3843" max="3844" width="9.85546875" style="342" customWidth="1"/>
    <col min="3845" max="3845" width="11.85546875" style="342" customWidth="1"/>
    <col min="3846" max="3846" width="10.85546875" style="342" customWidth="1"/>
    <col min="3847" max="3848" width="10.7109375" style="342" customWidth="1"/>
    <col min="3849" max="3849" width="8.5703125" style="342" customWidth="1"/>
    <col min="3850" max="3850" width="8.140625" style="342" customWidth="1"/>
    <col min="3851" max="3851" width="8.85546875" style="342" customWidth="1"/>
    <col min="3852" max="3852" width="8.28515625" style="342" customWidth="1"/>
    <col min="3853" max="3853" width="8.42578125" style="342" customWidth="1"/>
    <col min="3854" max="3854" width="10.140625" style="342" customWidth="1"/>
    <col min="3855" max="3855" width="10" style="342" customWidth="1"/>
    <col min="3856" max="4096" width="9.140625" style="342"/>
    <col min="4097" max="4097" width="12.7109375" style="342" customWidth="1"/>
    <col min="4098" max="4098" width="16.28515625" style="342" customWidth="1"/>
    <col min="4099" max="4100" width="9.85546875" style="342" customWidth="1"/>
    <col min="4101" max="4101" width="11.85546875" style="342" customWidth="1"/>
    <col min="4102" max="4102" width="10.85546875" style="342" customWidth="1"/>
    <col min="4103" max="4104" width="10.7109375" style="342" customWidth="1"/>
    <col min="4105" max="4105" width="8.5703125" style="342" customWidth="1"/>
    <col min="4106" max="4106" width="8.140625" style="342" customWidth="1"/>
    <col min="4107" max="4107" width="8.85546875" style="342" customWidth="1"/>
    <col min="4108" max="4108" width="8.28515625" style="342" customWidth="1"/>
    <col min="4109" max="4109" width="8.42578125" style="342" customWidth="1"/>
    <col min="4110" max="4110" width="10.140625" style="342" customWidth="1"/>
    <col min="4111" max="4111" width="10" style="342" customWidth="1"/>
    <col min="4112" max="4352" width="9.140625" style="342"/>
    <col min="4353" max="4353" width="12.7109375" style="342" customWidth="1"/>
    <col min="4354" max="4354" width="16.28515625" style="342" customWidth="1"/>
    <col min="4355" max="4356" width="9.85546875" style="342" customWidth="1"/>
    <col min="4357" max="4357" width="11.85546875" style="342" customWidth="1"/>
    <col min="4358" max="4358" width="10.85546875" style="342" customWidth="1"/>
    <col min="4359" max="4360" width="10.7109375" style="342" customWidth="1"/>
    <col min="4361" max="4361" width="8.5703125" style="342" customWidth="1"/>
    <col min="4362" max="4362" width="8.140625" style="342" customWidth="1"/>
    <col min="4363" max="4363" width="8.85546875" style="342" customWidth="1"/>
    <col min="4364" max="4364" width="8.28515625" style="342" customWidth="1"/>
    <col min="4365" max="4365" width="8.42578125" style="342" customWidth="1"/>
    <col min="4366" max="4366" width="10.140625" style="342" customWidth="1"/>
    <col min="4367" max="4367" width="10" style="342" customWidth="1"/>
    <col min="4368" max="4608" width="9.140625" style="342"/>
    <col min="4609" max="4609" width="12.7109375" style="342" customWidth="1"/>
    <col min="4610" max="4610" width="16.28515625" style="342" customWidth="1"/>
    <col min="4611" max="4612" width="9.85546875" style="342" customWidth="1"/>
    <col min="4613" max="4613" width="11.85546875" style="342" customWidth="1"/>
    <col min="4614" max="4614" width="10.85546875" style="342" customWidth="1"/>
    <col min="4615" max="4616" width="10.7109375" style="342" customWidth="1"/>
    <col min="4617" max="4617" width="8.5703125" style="342" customWidth="1"/>
    <col min="4618" max="4618" width="8.140625" style="342" customWidth="1"/>
    <col min="4619" max="4619" width="8.85546875" style="342" customWidth="1"/>
    <col min="4620" max="4620" width="8.28515625" style="342" customWidth="1"/>
    <col min="4621" max="4621" width="8.42578125" style="342" customWidth="1"/>
    <col min="4622" max="4622" width="10.140625" style="342" customWidth="1"/>
    <col min="4623" max="4623" width="10" style="342" customWidth="1"/>
    <col min="4624" max="4864" width="9.140625" style="342"/>
    <col min="4865" max="4865" width="12.7109375" style="342" customWidth="1"/>
    <col min="4866" max="4866" width="16.28515625" style="342" customWidth="1"/>
    <col min="4867" max="4868" width="9.85546875" style="342" customWidth="1"/>
    <col min="4869" max="4869" width="11.85546875" style="342" customWidth="1"/>
    <col min="4870" max="4870" width="10.85546875" style="342" customWidth="1"/>
    <col min="4871" max="4872" width="10.7109375" style="342" customWidth="1"/>
    <col min="4873" max="4873" width="8.5703125" style="342" customWidth="1"/>
    <col min="4874" max="4874" width="8.140625" style="342" customWidth="1"/>
    <col min="4875" max="4875" width="8.85546875" style="342" customWidth="1"/>
    <col min="4876" max="4876" width="8.28515625" style="342" customWidth="1"/>
    <col min="4877" max="4877" width="8.42578125" style="342" customWidth="1"/>
    <col min="4878" max="4878" width="10.140625" style="342" customWidth="1"/>
    <col min="4879" max="4879" width="10" style="342" customWidth="1"/>
    <col min="4880" max="5120" width="9.140625" style="342"/>
    <col min="5121" max="5121" width="12.7109375" style="342" customWidth="1"/>
    <col min="5122" max="5122" width="16.28515625" style="342" customWidth="1"/>
    <col min="5123" max="5124" width="9.85546875" style="342" customWidth="1"/>
    <col min="5125" max="5125" width="11.85546875" style="342" customWidth="1"/>
    <col min="5126" max="5126" width="10.85546875" style="342" customWidth="1"/>
    <col min="5127" max="5128" width="10.7109375" style="342" customWidth="1"/>
    <col min="5129" max="5129" width="8.5703125" style="342" customWidth="1"/>
    <col min="5130" max="5130" width="8.140625" style="342" customWidth="1"/>
    <col min="5131" max="5131" width="8.85546875" style="342" customWidth="1"/>
    <col min="5132" max="5132" width="8.28515625" style="342" customWidth="1"/>
    <col min="5133" max="5133" width="8.42578125" style="342" customWidth="1"/>
    <col min="5134" max="5134" width="10.140625" style="342" customWidth="1"/>
    <col min="5135" max="5135" width="10" style="342" customWidth="1"/>
    <col min="5136" max="5376" width="9.140625" style="342"/>
    <col min="5377" max="5377" width="12.7109375" style="342" customWidth="1"/>
    <col min="5378" max="5378" width="16.28515625" style="342" customWidth="1"/>
    <col min="5379" max="5380" width="9.85546875" style="342" customWidth="1"/>
    <col min="5381" max="5381" width="11.85546875" style="342" customWidth="1"/>
    <col min="5382" max="5382" width="10.85546875" style="342" customWidth="1"/>
    <col min="5383" max="5384" width="10.7109375" style="342" customWidth="1"/>
    <col min="5385" max="5385" width="8.5703125" style="342" customWidth="1"/>
    <col min="5386" max="5386" width="8.140625" style="342" customWidth="1"/>
    <col min="5387" max="5387" width="8.85546875" style="342" customWidth="1"/>
    <col min="5388" max="5388" width="8.28515625" style="342" customWidth="1"/>
    <col min="5389" max="5389" width="8.42578125" style="342" customWidth="1"/>
    <col min="5390" max="5390" width="10.140625" style="342" customWidth="1"/>
    <col min="5391" max="5391" width="10" style="342" customWidth="1"/>
    <col min="5392" max="5632" width="9.140625" style="342"/>
    <col min="5633" max="5633" width="12.7109375" style="342" customWidth="1"/>
    <col min="5634" max="5634" width="16.28515625" style="342" customWidth="1"/>
    <col min="5635" max="5636" width="9.85546875" style="342" customWidth="1"/>
    <col min="5637" max="5637" width="11.85546875" style="342" customWidth="1"/>
    <col min="5638" max="5638" width="10.85546875" style="342" customWidth="1"/>
    <col min="5639" max="5640" width="10.7109375" style="342" customWidth="1"/>
    <col min="5641" max="5641" width="8.5703125" style="342" customWidth="1"/>
    <col min="5642" max="5642" width="8.140625" style="342" customWidth="1"/>
    <col min="5643" max="5643" width="8.85546875" style="342" customWidth="1"/>
    <col min="5644" max="5644" width="8.28515625" style="342" customWidth="1"/>
    <col min="5645" max="5645" width="8.42578125" style="342" customWidth="1"/>
    <col min="5646" max="5646" width="10.140625" style="342" customWidth="1"/>
    <col min="5647" max="5647" width="10" style="342" customWidth="1"/>
    <col min="5648" max="5888" width="9.140625" style="342"/>
    <col min="5889" max="5889" width="12.7109375" style="342" customWidth="1"/>
    <col min="5890" max="5890" width="16.28515625" style="342" customWidth="1"/>
    <col min="5891" max="5892" width="9.85546875" style="342" customWidth="1"/>
    <col min="5893" max="5893" width="11.85546875" style="342" customWidth="1"/>
    <col min="5894" max="5894" width="10.85546875" style="342" customWidth="1"/>
    <col min="5895" max="5896" width="10.7109375" style="342" customWidth="1"/>
    <col min="5897" max="5897" width="8.5703125" style="342" customWidth="1"/>
    <col min="5898" max="5898" width="8.140625" style="342" customWidth="1"/>
    <col min="5899" max="5899" width="8.85546875" style="342" customWidth="1"/>
    <col min="5900" max="5900" width="8.28515625" style="342" customWidth="1"/>
    <col min="5901" max="5901" width="8.42578125" style="342" customWidth="1"/>
    <col min="5902" max="5902" width="10.140625" style="342" customWidth="1"/>
    <col min="5903" max="5903" width="10" style="342" customWidth="1"/>
    <col min="5904" max="6144" width="9.140625" style="342"/>
    <col min="6145" max="6145" width="12.7109375" style="342" customWidth="1"/>
    <col min="6146" max="6146" width="16.28515625" style="342" customWidth="1"/>
    <col min="6147" max="6148" width="9.85546875" style="342" customWidth="1"/>
    <col min="6149" max="6149" width="11.85546875" style="342" customWidth="1"/>
    <col min="6150" max="6150" width="10.85546875" style="342" customWidth="1"/>
    <col min="6151" max="6152" width="10.7109375" style="342" customWidth="1"/>
    <col min="6153" max="6153" width="8.5703125" style="342" customWidth="1"/>
    <col min="6154" max="6154" width="8.140625" style="342" customWidth="1"/>
    <col min="6155" max="6155" width="8.85546875" style="342" customWidth="1"/>
    <col min="6156" max="6156" width="8.28515625" style="342" customWidth="1"/>
    <col min="6157" max="6157" width="8.42578125" style="342" customWidth="1"/>
    <col min="6158" max="6158" width="10.140625" style="342" customWidth="1"/>
    <col min="6159" max="6159" width="10" style="342" customWidth="1"/>
    <col min="6160" max="6400" width="9.140625" style="342"/>
    <col min="6401" max="6401" width="12.7109375" style="342" customWidth="1"/>
    <col min="6402" max="6402" width="16.28515625" style="342" customWidth="1"/>
    <col min="6403" max="6404" width="9.85546875" style="342" customWidth="1"/>
    <col min="6405" max="6405" width="11.85546875" style="342" customWidth="1"/>
    <col min="6406" max="6406" width="10.85546875" style="342" customWidth="1"/>
    <col min="6407" max="6408" width="10.7109375" style="342" customWidth="1"/>
    <col min="6409" max="6409" width="8.5703125" style="342" customWidth="1"/>
    <col min="6410" max="6410" width="8.140625" style="342" customWidth="1"/>
    <col min="6411" max="6411" width="8.85546875" style="342" customWidth="1"/>
    <col min="6412" max="6412" width="8.28515625" style="342" customWidth="1"/>
    <col min="6413" max="6413" width="8.42578125" style="342" customWidth="1"/>
    <col min="6414" max="6414" width="10.140625" style="342" customWidth="1"/>
    <col min="6415" max="6415" width="10" style="342" customWidth="1"/>
    <col min="6416" max="6656" width="9.140625" style="342"/>
    <col min="6657" max="6657" width="12.7109375" style="342" customWidth="1"/>
    <col min="6658" max="6658" width="16.28515625" style="342" customWidth="1"/>
    <col min="6659" max="6660" width="9.85546875" style="342" customWidth="1"/>
    <col min="6661" max="6661" width="11.85546875" style="342" customWidth="1"/>
    <col min="6662" max="6662" width="10.85546875" style="342" customWidth="1"/>
    <col min="6663" max="6664" width="10.7109375" style="342" customWidth="1"/>
    <col min="6665" max="6665" width="8.5703125" style="342" customWidth="1"/>
    <col min="6666" max="6666" width="8.140625" style="342" customWidth="1"/>
    <col min="6667" max="6667" width="8.85546875" style="342" customWidth="1"/>
    <col min="6668" max="6668" width="8.28515625" style="342" customWidth="1"/>
    <col min="6669" max="6669" width="8.42578125" style="342" customWidth="1"/>
    <col min="6670" max="6670" width="10.140625" style="342" customWidth="1"/>
    <col min="6671" max="6671" width="10" style="342" customWidth="1"/>
    <col min="6672" max="6912" width="9.140625" style="342"/>
    <col min="6913" max="6913" width="12.7109375" style="342" customWidth="1"/>
    <col min="6914" max="6914" width="16.28515625" style="342" customWidth="1"/>
    <col min="6915" max="6916" width="9.85546875" style="342" customWidth="1"/>
    <col min="6917" max="6917" width="11.85546875" style="342" customWidth="1"/>
    <col min="6918" max="6918" width="10.85546875" style="342" customWidth="1"/>
    <col min="6919" max="6920" width="10.7109375" style="342" customWidth="1"/>
    <col min="6921" max="6921" width="8.5703125" style="342" customWidth="1"/>
    <col min="6922" max="6922" width="8.140625" style="342" customWidth="1"/>
    <col min="6923" max="6923" width="8.85546875" style="342" customWidth="1"/>
    <col min="6924" max="6924" width="8.28515625" style="342" customWidth="1"/>
    <col min="6925" max="6925" width="8.42578125" style="342" customWidth="1"/>
    <col min="6926" max="6926" width="10.140625" style="342" customWidth="1"/>
    <col min="6927" max="6927" width="10" style="342" customWidth="1"/>
    <col min="6928" max="7168" width="9.140625" style="342"/>
    <col min="7169" max="7169" width="12.7109375" style="342" customWidth="1"/>
    <col min="7170" max="7170" width="16.28515625" style="342" customWidth="1"/>
    <col min="7171" max="7172" width="9.85546875" style="342" customWidth="1"/>
    <col min="7173" max="7173" width="11.85546875" style="342" customWidth="1"/>
    <col min="7174" max="7174" width="10.85546875" style="342" customWidth="1"/>
    <col min="7175" max="7176" width="10.7109375" style="342" customWidth="1"/>
    <col min="7177" max="7177" width="8.5703125" style="342" customWidth="1"/>
    <col min="7178" max="7178" width="8.140625" style="342" customWidth="1"/>
    <col min="7179" max="7179" width="8.85546875" style="342" customWidth="1"/>
    <col min="7180" max="7180" width="8.28515625" style="342" customWidth="1"/>
    <col min="7181" max="7181" width="8.42578125" style="342" customWidth="1"/>
    <col min="7182" max="7182" width="10.140625" style="342" customWidth="1"/>
    <col min="7183" max="7183" width="10" style="342" customWidth="1"/>
    <col min="7184" max="7424" width="9.140625" style="342"/>
    <col min="7425" max="7425" width="12.7109375" style="342" customWidth="1"/>
    <col min="7426" max="7426" width="16.28515625" style="342" customWidth="1"/>
    <col min="7427" max="7428" width="9.85546875" style="342" customWidth="1"/>
    <col min="7429" max="7429" width="11.85546875" style="342" customWidth="1"/>
    <col min="7430" max="7430" width="10.85546875" style="342" customWidth="1"/>
    <col min="7431" max="7432" width="10.7109375" style="342" customWidth="1"/>
    <col min="7433" max="7433" width="8.5703125" style="342" customWidth="1"/>
    <col min="7434" max="7434" width="8.140625" style="342" customWidth="1"/>
    <col min="7435" max="7435" width="8.85546875" style="342" customWidth="1"/>
    <col min="7436" max="7436" width="8.28515625" style="342" customWidth="1"/>
    <col min="7437" max="7437" width="8.42578125" style="342" customWidth="1"/>
    <col min="7438" max="7438" width="10.140625" style="342" customWidth="1"/>
    <col min="7439" max="7439" width="10" style="342" customWidth="1"/>
    <col min="7440" max="7680" width="9.140625" style="342"/>
    <col min="7681" max="7681" width="12.7109375" style="342" customWidth="1"/>
    <col min="7682" max="7682" width="16.28515625" style="342" customWidth="1"/>
    <col min="7683" max="7684" width="9.85546875" style="342" customWidth="1"/>
    <col min="7685" max="7685" width="11.85546875" style="342" customWidth="1"/>
    <col min="7686" max="7686" width="10.85546875" style="342" customWidth="1"/>
    <col min="7687" max="7688" width="10.7109375" style="342" customWidth="1"/>
    <col min="7689" max="7689" width="8.5703125" style="342" customWidth="1"/>
    <col min="7690" max="7690" width="8.140625" style="342" customWidth="1"/>
    <col min="7691" max="7691" width="8.85546875" style="342" customWidth="1"/>
    <col min="7692" max="7692" width="8.28515625" style="342" customWidth="1"/>
    <col min="7693" max="7693" width="8.42578125" style="342" customWidth="1"/>
    <col min="7694" max="7694" width="10.140625" style="342" customWidth="1"/>
    <col min="7695" max="7695" width="10" style="342" customWidth="1"/>
    <col min="7696" max="7936" width="9.140625" style="342"/>
    <col min="7937" max="7937" width="12.7109375" style="342" customWidth="1"/>
    <col min="7938" max="7938" width="16.28515625" style="342" customWidth="1"/>
    <col min="7939" max="7940" width="9.85546875" style="342" customWidth="1"/>
    <col min="7941" max="7941" width="11.85546875" style="342" customWidth="1"/>
    <col min="7942" max="7942" width="10.85546875" style="342" customWidth="1"/>
    <col min="7943" max="7944" width="10.7109375" style="342" customWidth="1"/>
    <col min="7945" max="7945" width="8.5703125" style="342" customWidth="1"/>
    <col min="7946" max="7946" width="8.140625" style="342" customWidth="1"/>
    <col min="7947" max="7947" width="8.85546875" style="342" customWidth="1"/>
    <col min="7948" max="7948" width="8.28515625" style="342" customWidth="1"/>
    <col min="7949" max="7949" width="8.42578125" style="342" customWidth="1"/>
    <col min="7950" max="7950" width="10.140625" style="342" customWidth="1"/>
    <col min="7951" max="7951" width="10" style="342" customWidth="1"/>
    <col min="7952" max="8192" width="9.140625" style="342"/>
    <col min="8193" max="8193" width="12.7109375" style="342" customWidth="1"/>
    <col min="8194" max="8194" width="16.28515625" style="342" customWidth="1"/>
    <col min="8195" max="8196" width="9.85546875" style="342" customWidth="1"/>
    <col min="8197" max="8197" width="11.85546875" style="342" customWidth="1"/>
    <col min="8198" max="8198" width="10.85546875" style="342" customWidth="1"/>
    <col min="8199" max="8200" width="10.7109375" style="342" customWidth="1"/>
    <col min="8201" max="8201" width="8.5703125" style="342" customWidth="1"/>
    <col min="8202" max="8202" width="8.140625" style="342" customWidth="1"/>
    <col min="8203" max="8203" width="8.85546875" style="342" customWidth="1"/>
    <col min="8204" max="8204" width="8.28515625" style="342" customWidth="1"/>
    <col min="8205" max="8205" width="8.42578125" style="342" customWidth="1"/>
    <col min="8206" max="8206" width="10.140625" style="342" customWidth="1"/>
    <col min="8207" max="8207" width="10" style="342" customWidth="1"/>
    <col min="8208" max="8448" width="9.140625" style="342"/>
    <col min="8449" max="8449" width="12.7109375" style="342" customWidth="1"/>
    <col min="8450" max="8450" width="16.28515625" style="342" customWidth="1"/>
    <col min="8451" max="8452" width="9.85546875" style="342" customWidth="1"/>
    <col min="8453" max="8453" width="11.85546875" style="342" customWidth="1"/>
    <col min="8454" max="8454" width="10.85546875" style="342" customWidth="1"/>
    <col min="8455" max="8456" width="10.7109375" style="342" customWidth="1"/>
    <col min="8457" max="8457" width="8.5703125" style="342" customWidth="1"/>
    <col min="8458" max="8458" width="8.140625" style="342" customWidth="1"/>
    <col min="8459" max="8459" width="8.85546875" style="342" customWidth="1"/>
    <col min="8460" max="8460" width="8.28515625" style="342" customWidth="1"/>
    <col min="8461" max="8461" width="8.42578125" style="342" customWidth="1"/>
    <col min="8462" max="8462" width="10.140625" style="342" customWidth="1"/>
    <col min="8463" max="8463" width="10" style="342" customWidth="1"/>
    <col min="8464" max="8704" width="9.140625" style="342"/>
    <col min="8705" max="8705" width="12.7109375" style="342" customWidth="1"/>
    <col min="8706" max="8706" width="16.28515625" style="342" customWidth="1"/>
    <col min="8707" max="8708" width="9.85546875" style="342" customWidth="1"/>
    <col min="8709" max="8709" width="11.85546875" style="342" customWidth="1"/>
    <col min="8710" max="8710" width="10.85546875" style="342" customWidth="1"/>
    <col min="8711" max="8712" width="10.7109375" style="342" customWidth="1"/>
    <col min="8713" max="8713" width="8.5703125" style="342" customWidth="1"/>
    <col min="8714" max="8714" width="8.140625" style="342" customWidth="1"/>
    <col min="8715" max="8715" width="8.85546875" style="342" customWidth="1"/>
    <col min="8716" max="8716" width="8.28515625" style="342" customWidth="1"/>
    <col min="8717" max="8717" width="8.42578125" style="342" customWidth="1"/>
    <col min="8718" max="8718" width="10.140625" style="342" customWidth="1"/>
    <col min="8719" max="8719" width="10" style="342" customWidth="1"/>
    <col min="8720" max="8960" width="9.140625" style="342"/>
    <col min="8961" max="8961" width="12.7109375" style="342" customWidth="1"/>
    <col min="8962" max="8962" width="16.28515625" style="342" customWidth="1"/>
    <col min="8963" max="8964" width="9.85546875" style="342" customWidth="1"/>
    <col min="8965" max="8965" width="11.85546875" style="342" customWidth="1"/>
    <col min="8966" max="8966" width="10.85546875" style="342" customWidth="1"/>
    <col min="8967" max="8968" width="10.7109375" style="342" customWidth="1"/>
    <col min="8969" max="8969" width="8.5703125" style="342" customWidth="1"/>
    <col min="8970" max="8970" width="8.140625" style="342" customWidth="1"/>
    <col min="8971" max="8971" width="8.85546875" style="342" customWidth="1"/>
    <col min="8972" max="8972" width="8.28515625" style="342" customWidth="1"/>
    <col min="8973" max="8973" width="8.42578125" style="342" customWidth="1"/>
    <col min="8974" max="8974" width="10.140625" style="342" customWidth="1"/>
    <col min="8975" max="8975" width="10" style="342" customWidth="1"/>
    <col min="8976" max="9216" width="9.140625" style="342"/>
    <col min="9217" max="9217" width="12.7109375" style="342" customWidth="1"/>
    <col min="9218" max="9218" width="16.28515625" style="342" customWidth="1"/>
    <col min="9219" max="9220" width="9.85546875" style="342" customWidth="1"/>
    <col min="9221" max="9221" width="11.85546875" style="342" customWidth="1"/>
    <col min="9222" max="9222" width="10.85546875" style="342" customWidth="1"/>
    <col min="9223" max="9224" width="10.7109375" style="342" customWidth="1"/>
    <col min="9225" max="9225" width="8.5703125" style="342" customWidth="1"/>
    <col min="9226" max="9226" width="8.140625" style="342" customWidth="1"/>
    <col min="9227" max="9227" width="8.85546875" style="342" customWidth="1"/>
    <col min="9228" max="9228" width="8.28515625" style="342" customWidth="1"/>
    <col min="9229" max="9229" width="8.42578125" style="342" customWidth="1"/>
    <col min="9230" max="9230" width="10.140625" style="342" customWidth="1"/>
    <col min="9231" max="9231" width="10" style="342" customWidth="1"/>
    <col min="9232" max="9472" width="9.140625" style="342"/>
    <col min="9473" max="9473" width="12.7109375" style="342" customWidth="1"/>
    <col min="9474" max="9474" width="16.28515625" style="342" customWidth="1"/>
    <col min="9475" max="9476" width="9.85546875" style="342" customWidth="1"/>
    <col min="9477" max="9477" width="11.85546875" style="342" customWidth="1"/>
    <col min="9478" max="9478" width="10.85546875" style="342" customWidth="1"/>
    <col min="9479" max="9480" width="10.7109375" style="342" customWidth="1"/>
    <col min="9481" max="9481" width="8.5703125" style="342" customWidth="1"/>
    <col min="9482" max="9482" width="8.140625" style="342" customWidth="1"/>
    <col min="9483" max="9483" width="8.85546875" style="342" customWidth="1"/>
    <col min="9484" max="9484" width="8.28515625" style="342" customWidth="1"/>
    <col min="9485" max="9485" width="8.42578125" style="342" customWidth="1"/>
    <col min="9486" max="9486" width="10.140625" style="342" customWidth="1"/>
    <col min="9487" max="9487" width="10" style="342" customWidth="1"/>
    <col min="9488" max="9728" width="9.140625" style="342"/>
    <col min="9729" max="9729" width="12.7109375" style="342" customWidth="1"/>
    <col min="9730" max="9730" width="16.28515625" style="342" customWidth="1"/>
    <col min="9731" max="9732" width="9.85546875" style="342" customWidth="1"/>
    <col min="9733" max="9733" width="11.85546875" style="342" customWidth="1"/>
    <col min="9734" max="9734" width="10.85546875" style="342" customWidth="1"/>
    <col min="9735" max="9736" width="10.7109375" style="342" customWidth="1"/>
    <col min="9737" max="9737" width="8.5703125" style="342" customWidth="1"/>
    <col min="9738" max="9738" width="8.140625" style="342" customWidth="1"/>
    <col min="9739" max="9739" width="8.85546875" style="342" customWidth="1"/>
    <col min="9740" max="9740" width="8.28515625" style="342" customWidth="1"/>
    <col min="9741" max="9741" width="8.42578125" style="342" customWidth="1"/>
    <col min="9742" max="9742" width="10.140625" style="342" customWidth="1"/>
    <col min="9743" max="9743" width="10" style="342" customWidth="1"/>
    <col min="9744" max="9984" width="9.140625" style="342"/>
    <col min="9985" max="9985" width="12.7109375" style="342" customWidth="1"/>
    <col min="9986" max="9986" width="16.28515625" style="342" customWidth="1"/>
    <col min="9987" max="9988" width="9.85546875" style="342" customWidth="1"/>
    <col min="9989" max="9989" width="11.85546875" style="342" customWidth="1"/>
    <col min="9990" max="9990" width="10.85546875" style="342" customWidth="1"/>
    <col min="9991" max="9992" width="10.7109375" style="342" customWidth="1"/>
    <col min="9993" max="9993" width="8.5703125" style="342" customWidth="1"/>
    <col min="9994" max="9994" width="8.140625" style="342" customWidth="1"/>
    <col min="9995" max="9995" width="8.85546875" style="342" customWidth="1"/>
    <col min="9996" max="9996" width="8.28515625" style="342" customWidth="1"/>
    <col min="9997" max="9997" width="8.42578125" style="342" customWidth="1"/>
    <col min="9998" max="9998" width="10.140625" style="342" customWidth="1"/>
    <col min="9999" max="9999" width="10" style="342" customWidth="1"/>
    <col min="10000" max="10240" width="9.140625" style="342"/>
    <col min="10241" max="10241" width="12.7109375" style="342" customWidth="1"/>
    <col min="10242" max="10242" width="16.28515625" style="342" customWidth="1"/>
    <col min="10243" max="10244" width="9.85546875" style="342" customWidth="1"/>
    <col min="10245" max="10245" width="11.85546875" style="342" customWidth="1"/>
    <col min="10246" max="10246" width="10.85546875" style="342" customWidth="1"/>
    <col min="10247" max="10248" width="10.7109375" style="342" customWidth="1"/>
    <col min="10249" max="10249" width="8.5703125" style="342" customWidth="1"/>
    <col min="10250" max="10250" width="8.140625" style="342" customWidth="1"/>
    <col min="10251" max="10251" width="8.85546875" style="342" customWidth="1"/>
    <col min="10252" max="10252" width="8.28515625" style="342" customWidth="1"/>
    <col min="10253" max="10253" width="8.42578125" style="342" customWidth="1"/>
    <col min="10254" max="10254" width="10.140625" style="342" customWidth="1"/>
    <col min="10255" max="10255" width="10" style="342" customWidth="1"/>
    <col min="10256" max="10496" width="9.140625" style="342"/>
    <col min="10497" max="10497" width="12.7109375" style="342" customWidth="1"/>
    <col min="10498" max="10498" width="16.28515625" style="342" customWidth="1"/>
    <col min="10499" max="10500" width="9.85546875" style="342" customWidth="1"/>
    <col min="10501" max="10501" width="11.85546875" style="342" customWidth="1"/>
    <col min="10502" max="10502" width="10.85546875" style="342" customWidth="1"/>
    <col min="10503" max="10504" width="10.7109375" style="342" customWidth="1"/>
    <col min="10505" max="10505" width="8.5703125" style="342" customWidth="1"/>
    <col min="10506" max="10506" width="8.140625" style="342" customWidth="1"/>
    <col min="10507" max="10507" width="8.85546875" style="342" customWidth="1"/>
    <col min="10508" max="10508" width="8.28515625" style="342" customWidth="1"/>
    <col min="10509" max="10509" width="8.42578125" style="342" customWidth="1"/>
    <col min="10510" max="10510" width="10.140625" style="342" customWidth="1"/>
    <col min="10511" max="10511" width="10" style="342" customWidth="1"/>
    <col min="10512" max="10752" width="9.140625" style="342"/>
    <col min="10753" max="10753" width="12.7109375" style="342" customWidth="1"/>
    <col min="10754" max="10754" width="16.28515625" style="342" customWidth="1"/>
    <col min="10755" max="10756" width="9.85546875" style="342" customWidth="1"/>
    <col min="10757" max="10757" width="11.85546875" style="342" customWidth="1"/>
    <col min="10758" max="10758" width="10.85546875" style="342" customWidth="1"/>
    <col min="10759" max="10760" width="10.7109375" style="342" customWidth="1"/>
    <col min="10761" max="10761" width="8.5703125" style="342" customWidth="1"/>
    <col min="10762" max="10762" width="8.140625" style="342" customWidth="1"/>
    <col min="10763" max="10763" width="8.85546875" style="342" customWidth="1"/>
    <col min="10764" max="10764" width="8.28515625" style="342" customWidth="1"/>
    <col min="10765" max="10765" width="8.42578125" style="342" customWidth="1"/>
    <col min="10766" max="10766" width="10.140625" style="342" customWidth="1"/>
    <col min="10767" max="10767" width="10" style="342" customWidth="1"/>
    <col min="10768" max="11008" width="9.140625" style="342"/>
    <col min="11009" max="11009" width="12.7109375" style="342" customWidth="1"/>
    <col min="11010" max="11010" width="16.28515625" style="342" customWidth="1"/>
    <col min="11011" max="11012" width="9.85546875" style="342" customWidth="1"/>
    <col min="11013" max="11013" width="11.85546875" style="342" customWidth="1"/>
    <col min="11014" max="11014" width="10.85546875" style="342" customWidth="1"/>
    <col min="11015" max="11016" width="10.7109375" style="342" customWidth="1"/>
    <col min="11017" max="11017" width="8.5703125" style="342" customWidth="1"/>
    <col min="11018" max="11018" width="8.140625" style="342" customWidth="1"/>
    <col min="11019" max="11019" width="8.85546875" style="342" customWidth="1"/>
    <col min="11020" max="11020" width="8.28515625" style="342" customWidth="1"/>
    <col min="11021" max="11021" width="8.42578125" style="342" customWidth="1"/>
    <col min="11022" max="11022" width="10.140625" style="342" customWidth="1"/>
    <col min="11023" max="11023" width="10" style="342" customWidth="1"/>
    <col min="11024" max="11264" width="9.140625" style="342"/>
    <col min="11265" max="11265" width="12.7109375" style="342" customWidth="1"/>
    <col min="11266" max="11266" width="16.28515625" style="342" customWidth="1"/>
    <col min="11267" max="11268" width="9.85546875" style="342" customWidth="1"/>
    <col min="11269" max="11269" width="11.85546875" style="342" customWidth="1"/>
    <col min="11270" max="11270" width="10.85546875" style="342" customWidth="1"/>
    <col min="11271" max="11272" width="10.7109375" style="342" customWidth="1"/>
    <col min="11273" max="11273" width="8.5703125" style="342" customWidth="1"/>
    <col min="11274" max="11274" width="8.140625" style="342" customWidth="1"/>
    <col min="11275" max="11275" width="8.85546875" style="342" customWidth="1"/>
    <col min="11276" max="11276" width="8.28515625" style="342" customWidth="1"/>
    <col min="11277" max="11277" width="8.42578125" style="342" customWidth="1"/>
    <col min="11278" max="11278" width="10.140625" style="342" customWidth="1"/>
    <col min="11279" max="11279" width="10" style="342" customWidth="1"/>
    <col min="11280" max="11520" width="9.140625" style="342"/>
    <col min="11521" max="11521" width="12.7109375" style="342" customWidth="1"/>
    <col min="11522" max="11522" width="16.28515625" style="342" customWidth="1"/>
    <col min="11523" max="11524" width="9.85546875" style="342" customWidth="1"/>
    <col min="11525" max="11525" width="11.85546875" style="342" customWidth="1"/>
    <col min="11526" max="11526" width="10.85546875" style="342" customWidth="1"/>
    <col min="11527" max="11528" width="10.7109375" style="342" customWidth="1"/>
    <col min="11529" max="11529" width="8.5703125" style="342" customWidth="1"/>
    <col min="11530" max="11530" width="8.140625" style="342" customWidth="1"/>
    <col min="11531" max="11531" width="8.85546875" style="342" customWidth="1"/>
    <col min="11532" max="11532" width="8.28515625" style="342" customWidth="1"/>
    <col min="11533" max="11533" width="8.42578125" style="342" customWidth="1"/>
    <col min="11534" max="11534" width="10.140625" style="342" customWidth="1"/>
    <col min="11535" max="11535" width="10" style="342" customWidth="1"/>
    <col min="11536" max="11776" width="9.140625" style="342"/>
    <col min="11777" max="11777" width="12.7109375" style="342" customWidth="1"/>
    <col min="11778" max="11778" width="16.28515625" style="342" customWidth="1"/>
    <col min="11779" max="11780" width="9.85546875" style="342" customWidth="1"/>
    <col min="11781" max="11781" width="11.85546875" style="342" customWidth="1"/>
    <col min="11782" max="11782" width="10.85546875" style="342" customWidth="1"/>
    <col min="11783" max="11784" width="10.7109375" style="342" customWidth="1"/>
    <col min="11785" max="11785" width="8.5703125" style="342" customWidth="1"/>
    <col min="11786" max="11786" width="8.140625" style="342" customWidth="1"/>
    <col min="11787" max="11787" width="8.85546875" style="342" customWidth="1"/>
    <col min="11788" max="11788" width="8.28515625" style="342" customWidth="1"/>
    <col min="11789" max="11789" width="8.42578125" style="342" customWidth="1"/>
    <col min="11790" max="11790" width="10.140625" style="342" customWidth="1"/>
    <col min="11791" max="11791" width="10" style="342" customWidth="1"/>
    <col min="11792" max="12032" width="9.140625" style="342"/>
    <col min="12033" max="12033" width="12.7109375" style="342" customWidth="1"/>
    <col min="12034" max="12034" width="16.28515625" style="342" customWidth="1"/>
    <col min="12035" max="12036" width="9.85546875" style="342" customWidth="1"/>
    <col min="12037" max="12037" width="11.85546875" style="342" customWidth="1"/>
    <col min="12038" max="12038" width="10.85546875" style="342" customWidth="1"/>
    <col min="12039" max="12040" width="10.7109375" style="342" customWidth="1"/>
    <col min="12041" max="12041" width="8.5703125" style="342" customWidth="1"/>
    <col min="12042" max="12042" width="8.140625" style="342" customWidth="1"/>
    <col min="12043" max="12043" width="8.85546875" style="342" customWidth="1"/>
    <col min="12044" max="12044" width="8.28515625" style="342" customWidth="1"/>
    <col min="12045" max="12045" width="8.42578125" style="342" customWidth="1"/>
    <col min="12046" max="12046" width="10.140625" style="342" customWidth="1"/>
    <col min="12047" max="12047" width="10" style="342" customWidth="1"/>
    <col min="12048" max="12288" width="9.140625" style="342"/>
    <col min="12289" max="12289" width="12.7109375" style="342" customWidth="1"/>
    <col min="12290" max="12290" width="16.28515625" style="342" customWidth="1"/>
    <col min="12291" max="12292" width="9.85546875" style="342" customWidth="1"/>
    <col min="12293" max="12293" width="11.85546875" style="342" customWidth="1"/>
    <col min="12294" max="12294" width="10.85546875" style="342" customWidth="1"/>
    <col min="12295" max="12296" width="10.7109375" style="342" customWidth="1"/>
    <col min="12297" max="12297" width="8.5703125" style="342" customWidth="1"/>
    <col min="12298" max="12298" width="8.140625" style="342" customWidth="1"/>
    <col min="12299" max="12299" width="8.85546875" style="342" customWidth="1"/>
    <col min="12300" max="12300" width="8.28515625" style="342" customWidth="1"/>
    <col min="12301" max="12301" width="8.42578125" style="342" customWidth="1"/>
    <col min="12302" max="12302" width="10.140625" style="342" customWidth="1"/>
    <col min="12303" max="12303" width="10" style="342" customWidth="1"/>
    <col min="12304" max="12544" width="9.140625" style="342"/>
    <col min="12545" max="12545" width="12.7109375" style="342" customWidth="1"/>
    <col min="12546" max="12546" width="16.28515625" style="342" customWidth="1"/>
    <col min="12547" max="12548" width="9.85546875" style="342" customWidth="1"/>
    <col min="12549" max="12549" width="11.85546875" style="342" customWidth="1"/>
    <col min="12550" max="12550" width="10.85546875" style="342" customWidth="1"/>
    <col min="12551" max="12552" width="10.7109375" style="342" customWidth="1"/>
    <col min="12553" max="12553" width="8.5703125" style="342" customWidth="1"/>
    <col min="12554" max="12554" width="8.140625" style="342" customWidth="1"/>
    <col min="12555" max="12555" width="8.85546875" style="342" customWidth="1"/>
    <col min="12556" max="12556" width="8.28515625" style="342" customWidth="1"/>
    <col min="12557" max="12557" width="8.42578125" style="342" customWidth="1"/>
    <col min="12558" max="12558" width="10.140625" style="342" customWidth="1"/>
    <col min="12559" max="12559" width="10" style="342" customWidth="1"/>
    <col min="12560" max="12800" width="9.140625" style="342"/>
    <col min="12801" max="12801" width="12.7109375" style="342" customWidth="1"/>
    <col min="12802" max="12802" width="16.28515625" style="342" customWidth="1"/>
    <col min="12803" max="12804" width="9.85546875" style="342" customWidth="1"/>
    <col min="12805" max="12805" width="11.85546875" style="342" customWidth="1"/>
    <col min="12806" max="12806" width="10.85546875" style="342" customWidth="1"/>
    <col min="12807" max="12808" width="10.7109375" style="342" customWidth="1"/>
    <col min="12809" max="12809" width="8.5703125" style="342" customWidth="1"/>
    <col min="12810" max="12810" width="8.140625" style="342" customWidth="1"/>
    <col min="12811" max="12811" width="8.85546875" style="342" customWidth="1"/>
    <col min="12812" max="12812" width="8.28515625" style="342" customWidth="1"/>
    <col min="12813" max="12813" width="8.42578125" style="342" customWidth="1"/>
    <col min="12814" max="12814" width="10.140625" style="342" customWidth="1"/>
    <col min="12815" max="12815" width="10" style="342" customWidth="1"/>
    <col min="12816" max="13056" width="9.140625" style="342"/>
    <col min="13057" max="13057" width="12.7109375" style="342" customWidth="1"/>
    <col min="13058" max="13058" width="16.28515625" style="342" customWidth="1"/>
    <col min="13059" max="13060" width="9.85546875" style="342" customWidth="1"/>
    <col min="13061" max="13061" width="11.85546875" style="342" customWidth="1"/>
    <col min="13062" max="13062" width="10.85546875" style="342" customWidth="1"/>
    <col min="13063" max="13064" width="10.7109375" style="342" customWidth="1"/>
    <col min="13065" max="13065" width="8.5703125" style="342" customWidth="1"/>
    <col min="13066" max="13066" width="8.140625" style="342" customWidth="1"/>
    <col min="13067" max="13067" width="8.85546875" style="342" customWidth="1"/>
    <col min="13068" max="13068" width="8.28515625" style="342" customWidth="1"/>
    <col min="13069" max="13069" width="8.42578125" style="342" customWidth="1"/>
    <col min="13070" max="13070" width="10.140625" style="342" customWidth="1"/>
    <col min="13071" max="13071" width="10" style="342" customWidth="1"/>
    <col min="13072" max="13312" width="9.140625" style="342"/>
    <col min="13313" max="13313" width="12.7109375" style="342" customWidth="1"/>
    <col min="13314" max="13314" width="16.28515625" style="342" customWidth="1"/>
    <col min="13315" max="13316" width="9.85546875" style="342" customWidth="1"/>
    <col min="13317" max="13317" width="11.85546875" style="342" customWidth="1"/>
    <col min="13318" max="13318" width="10.85546875" style="342" customWidth="1"/>
    <col min="13319" max="13320" width="10.7109375" style="342" customWidth="1"/>
    <col min="13321" max="13321" width="8.5703125" style="342" customWidth="1"/>
    <col min="13322" max="13322" width="8.140625" style="342" customWidth="1"/>
    <col min="13323" max="13323" width="8.85546875" style="342" customWidth="1"/>
    <col min="13324" max="13324" width="8.28515625" style="342" customWidth="1"/>
    <col min="13325" max="13325" width="8.42578125" style="342" customWidth="1"/>
    <col min="13326" max="13326" width="10.140625" style="342" customWidth="1"/>
    <col min="13327" max="13327" width="10" style="342" customWidth="1"/>
    <col min="13328" max="13568" width="9.140625" style="342"/>
    <col min="13569" max="13569" width="12.7109375" style="342" customWidth="1"/>
    <col min="13570" max="13570" width="16.28515625" style="342" customWidth="1"/>
    <col min="13571" max="13572" width="9.85546875" style="342" customWidth="1"/>
    <col min="13573" max="13573" width="11.85546875" style="342" customWidth="1"/>
    <col min="13574" max="13574" width="10.85546875" style="342" customWidth="1"/>
    <col min="13575" max="13576" width="10.7109375" style="342" customWidth="1"/>
    <col min="13577" max="13577" width="8.5703125" style="342" customWidth="1"/>
    <col min="13578" max="13578" width="8.140625" style="342" customWidth="1"/>
    <col min="13579" max="13579" width="8.85546875" style="342" customWidth="1"/>
    <col min="13580" max="13580" width="8.28515625" style="342" customWidth="1"/>
    <col min="13581" max="13581" width="8.42578125" style="342" customWidth="1"/>
    <col min="13582" max="13582" width="10.140625" style="342" customWidth="1"/>
    <col min="13583" max="13583" width="10" style="342" customWidth="1"/>
    <col min="13584" max="13824" width="9.140625" style="342"/>
    <col min="13825" max="13825" width="12.7109375" style="342" customWidth="1"/>
    <col min="13826" max="13826" width="16.28515625" style="342" customWidth="1"/>
    <col min="13827" max="13828" width="9.85546875" style="342" customWidth="1"/>
    <col min="13829" max="13829" width="11.85546875" style="342" customWidth="1"/>
    <col min="13830" max="13830" width="10.85546875" style="342" customWidth="1"/>
    <col min="13831" max="13832" width="10.7109375" style="342" customWidth="1"/>
    <col min="13833" max="13833" width="8.5703125" style="342" customWidth="1"/>
    <col min="13834" max="13834" width="8.140625" style="342" customWidth="1"/>
    <col min="13835" max="13835" width="8.85546875" style="342" customWidth="1"/>
    <col min="13836" max="13836" width="8.28515625" style="342" customWidth="1"/>
    <col min="13837" max="13837" width="8.42578125" style="342" customWidth="1"/>
    <col min="13838" max="13838" width="10.140625" style="342" customWidth="1"/>
    <col min="13839" max="13839" width="10" style="342" customWidth="1"/>
    <col min="13840" max="14080" width="9.140625" style="342"/>
    <col min="14081" max="14081" width="12.7109375" style="342" customWidth="1"/>
    <col min="14082" max="14082" width="16.28515625" style="342" customWidth="1"/>
    <col min="14083" max="14084" width="9.85546875" style="342" customWidth="1"/>
    <col min="14085" max="14085" width="11.85546875" style="342" customWidth="1"/>
    <col min="14086" max="14086" width="10.85546875" style="342" customWidth="1"/>
    <col min="14087" max="14088" width="10.7109375" style="342" customWidth="1"/>
    <col min="14089" max="14089" width="8.5703125" style="342" customWidth="1"/>
    <col min="14090" max="14090" width="8.140625" style="342" customWidth="1"/>
    <col min="14091" max="14091" width="8.85546875" style="342" customWidth="1"/>
    <col min="14092" max="14092" width="8.28515625" style="342" customWidth="1"/>
    <col min="14093" max="14093" width="8.42578125" style="342" customWidth="1"/>
    <col min="14094" max="14094" width="10.140625" style="342" customWidth="1"/>
    <col min="14095" max="14095" width="10" style="342" customWidth="1"/>
    <col min="14096" max="14336" width="9.140625" style="342"/>
    <col min="14337" max="14337" width="12.7109375" style="342" customWidth="1"/>
    <col min="14338" max="14338" width="16.28515625" style="342" customWidth="1"/>
    <col min="14339" max="14340" width="9.85546875" style="342" customWidth="1"/>
    <col min="14341" max="14341" width="11.85546875" style="342" customWidth="1"/>
    <col min="14342" max="14342" width="10.85546875" style="342" customWidth="1"/>
    <col min="14343" max="14344" width="10.7109375" style="342" customWidth="1"/>
    <col min="14345" max="14345" width="8.5703125" style="342" customWidth="1"/>
    <col min="14346" max="14346" width="8.140625" style="342" customWidth="1"/>
    <col min="14347" max="14347" width="8.85546875" style="342" customWidth="1"/>
    <col min="14348" max="14348" width="8.28515625" style="342" customWidth="1"/>
    <col min="14349" max="14349" width="8.42578125" style="342" customWidth="1"/>
    <col min="14350" max="14350" width="10.140625" style="342" customWidth="1"/>
    <col min="14351" max="14351" width="10" style="342" customWidth="1"/>
    <col min="14352" max="14592" width="9.140625" style="342"/>
    <col min="14593" max="14593" width="12.7109375" style="342" customWidth="1"/>
    <col min="14594" max="14594" width="16.28515625" style="342" customWidth="1"/>
    <col min="14595" max="14596" width="9.85546875" style="342" customWidth="1"/>
    <col min="14597" max="14597" width="11.85546875" style="342" customWidth="1"/>
    <col min="14598" max="14598" width="10.85546875" style="342" customWidth="1"/>
    <col min="14599" max="14600" width="10.7109375" style="342" customWidth="1"/>
    <col min="14601" max="14601" width="8.5703125" style="342" customWidth="1"/>
    <col min="14602" max="14602" width="8.140625" style="342" customWidth="1"/>
    <col min="14603" max="14603" width="8.85546875" style="342" customWidth="1"/>
    <col min="14604" max="14604" width="8.28515625" style="342" customWidth="1"/>
    <col min="14605" max="14605" width="8.42578125" style="342" customWidth="1"/>
    <col min="14606" max="14606" width="10.140625" style="342" customWidth="1"/>
    <col min="14607" max="14607" width="10" style="342" customWidth="1"/>
    <col min="14608" max="14848" width="9.140625" style="342"/>
    <col min="14849" max="14849" width="12.7109375" style="342" customWidth="1"/>
    <col min="14850" max="14850" width="16.28515625" style="342" customWidth="1"/>
    <col min="14851" max="14852" width="9.85546875" style="342" customWidth="1"/>
    <col min="14853" max="14853" width="11.85546875" style="342" customWidth="1"/>
    <col min="14854" max="14854" width="10.85546875" style="342" customWidth="1"/>
    <col min="14855" max="14856" width="10.7109375" style="342" customWidth="1"/>
    <col min="14857" max="14857" width="8.5703125" style="342" customWidth="1"/>
    <col min="14858" max="14858" width="8.140625" style="342" customWidth="1"/>
    <col min="14859" max="14859" width="8.85546875" style="342" customWidth="1"/>
    <col min="14860" max="14860" width="8.28515625" style="342" customWidth="1"/>
    <col min="14861" max="14861" width="8.42578125" style="342" customWidth="1"/>
    <col min="14862" max="14862" width="10.140625" style="342" customWidth="1"/>
    <col min="14863" max="14863" width="10" style="342" customWidth="1"/>
    <col min="14864" max="15104" width="9.140625" style="342"/>
    <col min="15105" max="15105" width="12.7109375" style="342" customWidth="1"/>
    <col min="15106" max="15106" width="16.28515625" style="342" customWidth="1"/>
    <col min="15107" max="15108" width="9.85546875" style="342" customWidth="1"/>
    <col min="15109" max="15109" width="11.85546875" style="342" customWidth="1"/>
    <col min="15110" max="15110" width="10.85546875" style="342" customWidth="1"/>
    <col min="15111" max="15112" width="10.7109375" style="342" customWidth="1"/>
    <col min="15113" max="15113" width="8.5703125" style="342" customWidth="1"/>
    <col min="15114" max="15114" width="8.140625" style="342" customWidth="1"/>
    <col min="15115" max="15115" width="8.85546875" style="342" customWidth="1"/>
    <col min="15116" max="15116" width="8.28515625" style="342" customWidth="1"/>
    <col min="15117" max="15117" width="8.42578125" style="342" customWidth="1"/>
    <col min="15118" max="15118" width="10.140625" style="342" customWidth="1"/>
    <col min="15119" max="15119" width="10" style="342" customWidth="1"/>
    <col min="15120" max="15360" width="9.140625" style="342"/>
    <col min="15361" max="15361" width="12.7109375" style="342" customWidth="1"/>
    <col min="15362" max="15362" width="16.28515625" style="342" customWidth="1"/>
    <col min="15363" max="15364" width="9.85546875" style="342" customWidth="1"/>
    <col min="15365" max="15365" width="11.85546875" style="342" customWidth="1"/>
    <col min="15366" max="15366" width="10.85546875" style="342" customWidth="1"/>
    <col min="15367" max="15368" width="10.7109375" style="342" customWidth="1"/>
    <col min="15369" max="15369" width="8.5703125" style="342" customWidth="1"/>
    <col min="15370" max="15370" width="8.140625" style="342" customWidth="1"/>
    <col min="15371" max="15371" width="8.85546875" style="342" customWidth="1"/>
    <col min="15372" max="15372" width="8.28515625" style="342" customWidth="1"/>
    <col min="15373" max="15373" width="8.42578125" style="342" customWidth="1"/>
    <col min="15374" max="15374" width="10.140625" style="342" customWidth="1"/>
    <col min="15375" max="15375" width="10" style="342" customWidth="1"/>
    <col min="15376" max="15616" width="9.140625" style="342"/>
    <col min="15617" max="15617" width="12.7109375" style="342" customWidth="1"/>
    <col min="15618" max="15618" width="16.28515625" style="342" customWidth="1"/>
    <col min="15619" max="15620" width="9.85546875" style="342" customWidth="1"/>
    <col min="15621" max="15621" width="11.85546875" style="342" customWidth="1"/>
    <col min="15622" max="15622" width="10.85546875" style="342" customWidth="1"/>
    <col min="15623" max="15624" width="10.7109375" style="342" customWidth="1"/>
    <col min="15625" max="15625" width="8.5703125" style="342" customWidth="1"/>
    <col min="15626" max="15626" width="8.140625" style="342" customWidth="1"/>
    <col min="15627" max="15627" width="8.85546875" style="342" customWidth="1"/>
    <col min="15628" max="15628" width="8.28515625" style="342" customWidth="1"/>
    <col min="15629" max="15629" width="8.42578125" style="342" customWidth="1"/>
    <col min="15630" max="15630" width="10.140625" style="342" customWidth="1"/>
    <col min="15631" max="15631" width="10" style="342" customWidth="1"/>
    <col min="15632" max="15872" width="9.140625" style="342"/>
    <col min="15873" max="15873" width="12.7109375" style="342" customWidth="1"/>
    <col min="15874" max="15874" width="16.28515625" style="342" customWidth="1"/>
    <col min="15875" max="15876" width="9.85546875" style="342" customWidth="1"/>
    <col min="15877" max="15877" width="11.85546875" style="342" customWidth="1"/>
    <col min="15878" max="15878" width="10.85546875" style="342" customWidth="1"/>
    <col min="15879" max="15880" width="10.7109375" style="342" customWidth="1"/>
    <col min="15881" max="15881" width="8.5703125" style="342" customWidth="1"/>
    <col min="15882" max="15882" width="8.140625" style="342" customWidth="1"/>
    <col min="15883" max="15883" width="8.85546875" style="342" customWidth="1"/>
    <col min="15884" max="15884" width="8.28515625" style="342" customWidth="1"/>
    <col min="15885" max="15885" width="8.42578125" style="342" customWidth="1"/>
    <col min="15886" max="15886" width="10.140625" style="342" customWidth="1"/>
    <col min="15887" max="15887" width="10" style="342" customWidth="1"/>
    <col min="15888" max="16128" width="9.140625" style="342"/>
    <col min="16129" max="16129" width="12.7109375" style="342" customWidth="1"/>
    <col min="16130" max="16130" width="16.28515625" style="342" customWidth="1"/>
    <col min="16131" max="16132" width="9.85546875" style="342" customWidth="1"/>
    <col min="16133" max="16133" width="11.85546875" style="342" customWidth="1"/>
    <col min="16134" max="16134" width="10.85546875" style="342" customWidth="1"/>
    <col min="16135" max="16136" width="10.7109375" style="342" customWidth="1"/>
    <col min="16137" max="16137" width="8.5703125" style="342" customWidth="1"/>
    <col min="16138" max="16138" width="8.140625" style="342" customWidth="1"/>
    <col min="16139" max="16139" width="8.85546875" style="342" customWidth="1"/>
    <col min="16140" max="16140" width="8.28515625" style="342" customWidth="1"/>
    <col min="16141" max="16141" width="8.42578125" style="342" customWidth="1"/>
    <col min="16142" max="16142" width="10.140625" style="342" customWidth="1"/>
    <col min="16143" max="16143" width="10" style="342" customWidth="1"/>
    <col min="16144" max="16384" width="9.140625" style="342"/>
  </cols>
  <sheetData>
    <row r="1" spans="1:13" ht="15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</row>
    <row r="2" spans="1:13" ht="15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</row>
    <row r="3" spans="1:13">
      <c r="A3" s="1114" t="s">
        <v>1214</v>
      </c>
      <c r="B3" s="1115"/>
      <c r="C3" s="1113" t="s">
        <v>1788</v>
      </c>
      <c r="D3" s="1113"/>
      <c r="E3" s="1116" t="s">
        <v>5369</v>
      </c>
      <c r="F3" s="1115"/>
      <c r="G3" s="419">
        <v>906140201</v>
      </c>
      <c r="H3" s="1116" t="s">
        <v>5370</v>
      </c>
      <c r="I3" s="1115"/>
      <c r="J3" s="419">
        <v>409.31</v>
      </c>
      <c r="K3" s="1116" t="s">
        <v>5371</v>
      </c>
      <c r="L3" s="1115"/>
      <c r="M3" s="420">
        <v>80</v>
      </c>
    </row>
    <row r="4" spans="1:13" ht="15">
      <c r="A4" s="808" t="s">
        <v>4176</v>
      </c>
      <c r="B4" s="808"/>
      <c r="C4" s="808"/>
      <c r="D4" s="421"/>
      <c r="E4" s="421"/>
      <c r="F4" s="421"/>
      <c r="G4" s="421"/>
      <c r="H4" s="422"/>
      <c r="I4" s="422"/>
      <c r="J4" s="422"/>
      <c r="K4" s="422"/>
      <c r="L4" s="422"/>
    </row>
    <row r="5" spans="1:13">
      <c r="A5" s="1114" t="s">
        <v>832</v>
      </c>
      <c r="B5" s="1115"/>
      <c r="C5" s="1113" t="s">
        <v>5456</v>
      </c>
      <c r="D5" s="1113"/>
      <c r="E5" s="1116" t="s">
        <v>5373</v>
      </c>
      <c r="F5" s="1115"/>
      <c r="G5" s="1108" t="s">
        <v>5457</v>
      </c>
      <c r="H5" s="1108"/>
      <c r="I5" s="423"/>
      <c r="K5" s="423"/>
      <c r="L5" s="422"/>
    </row>
    <row r="6" spans="1:13">
      <c r="A6" s="421"/>
      <c r="B6" s="422"/>
      <c r="C6" s="421"/>
      <c r="D6" s="421"/>
      <c r="E6" s="421"/>
      <c r="F6" s="421"/>
      <c r="G6" s="421"/>
      <c r="H6" s="422"/>
      <c r="I6" s="422"/>
      <c r="J6" s="422"/>
      <c r="K6" s="422"/>
      <c r="L6" s="422"/>
    </row>
    <row r="7" spans="1:13">
      <c r="A7" s="1114" t="s">
        <v>618</v>
      </c>
      <c r="B7" s="1115"/>
      <c r="C7" s="1113" t="s">
        <v>5458</v>
      </c>
      <c r="D7" s="1113"/>
      <c r="E7" s="1117" t="s">
        <v>1206</v>
      </c>
      <c r="F7" s="1118"/>
      <c r="G7" s="1100" t="s">
        <v>5459</v>
      </c>
      <c r="H7" s="1100"/>
      <c r="I7" s="422"/>
      <c r="J7" s="422"/>
      <c r="K7" s="422"/>
      <c r="L7" s="422"/>
    </row>
    <row r="8" spans="1:13">
      <c r="A8" s="421"/>
      <c r="B8" s="422"/>
      <c r="C8" s="421"/>
      <c r="D8" s="421"/>
      <c r="E8" s="421"/>
      <c r="F8" s="421"/>
      <c r="G8" s="421"/>
      <c r="H8" s="422"/>
      <c r="I8" s="422"/>
      <c r="J8" s="422"/>
      <c r="K8" s="422"/>
      <c r="L8" s="422"/>
    </row>
    <row r="9" spans="1:13">
      <c r="A9" s="1108" t="s">
        <v>838</v>
      </c>
      <c r="B9" s="1108"/>
      <c r="C9" s="1108"/>
      <c r="D9" s="1113" t="s">
        <v>5460</v>
      </c>
      <c r="E9" s="1113"/>
      <c r="F9" s="1108"/>
      <c r="G9" s="1108"/>
      <c r="H9" s="1108"/>
      <c r="I9" s="1108"/>
      <c r="J9" s="1112"/>
      <c r="K9" s="1112"/>
      <c r="L9" s="422"/>
    </row>
    <row r="10" spans="1:13">
      <c r="A10" s="1108" t="s">
        <v>1203</v>
      </c>
      <c r="B10" s="1108"/>
      <c r="C10" s="1108"/>
      <c r="D10" s="1113" t="s">
        <v>5461</v>
      </c>
      <c r="E10" s="1113"/>
      <c r="F10" s="1108"/>
      <c r="G10" s="1108"/>
      <c r="H10" s="1108"/>
      <c r="I10" s="1108"/>
      <c r="J10" s="1112"/>
      <c r="K10" s="1112"/>
      <c r="L10" s="422"/>
    </row>
    <row r="11" spans="1:13">
      <c r="A11" s="1108" t="s">
        <v>1202</v>
      </c>
      <c r="B11" s="1108"/>
      <c r="C11" s="1108"/>
      <c r="D11" s="1109" t="s">
        <v>5462</v>
      </c>
      <c r="E11" s="1110"/>
      <c r="F11" s="1108" t="s">
        <v>5463</v>
      </c>
      <c r="G11" s="1108"/>
      <c r="H11" s="1111" t="s">
        <v>5464</v>
      </c>
      <c r="I11" s="1111"/>
      <c r="J11" s="1141" t="s">
        <v>5465</v>
      </c>
      <c r="K11" s="1142"/>
      <c r="L11" s="422"/>
    </row>
    <row r="12" spans="1:13">
      <c r="A12" s="1108" t="s">
        <v>1196</v>
      </c>
      <c r="B12" s="1108"/>
      <c r="C12" s="1108"/>
      <c r="D12" s="1113" t="s">
        <v>5398</v>
      </c>
      <c r="E12" s="1113"/>
      <c r="F12" s="1108"/>
      <c r="G12" s="1108"/>
      <c r="H12" s="1108"/>
      <c r="I12" s="1108"/>
      <c r="J12" s="1112"/>
      <c r="K12" s="1112"/>
      <c r="L12" s="422"/>
    </row>
    <row r="13" spans="1:13">
      <c r="A13" s="421"/>
      <c r="B13" s="422"/>
      <c r="C13" s="421"/>
      <c r="D13" s="421"/>
      <c r="E13" s="421"/>
      <c r="F13" s="421"/>
      <c r="G13" s="421"/>
      <c r="H13" s="422"/>
      <c r="I13" s="422"/>
      <c r="J13" s="422"/>
      <c r="K13" s="422"/>
      <c r="L13" s="422"/>
    </row>
    <row r="14" spans="1:13">
      <c r="A14" s="1101" t="s">
        <v>1194</v>
      </c>
      <c r="B14" s="1102"/>
      <c r="C14" s="552">
        <v>1</v>
      </c>
      <c r="D14" s="1103" t="s">
        <v>1193</v>
      </c>
      <c r="E14" s="1101"/>
      <c r="F14" s="424" t="s">
        <v>5417</v>
      </c>
      <c r="G14" s="421" t="s">
        <v>643</v>
      </c>
      <c r="H14" s="424">
        <v>8</v>
      </c>
      <c r="I14" s="421" t="s">
        <v>644</v>
      </c>
      <c r="J14" s="420">
        <v>1</v>
      </c>
      <c r="K14" s="422" t="s">
        <v>645</v>
      </c>
      <c r="L14" s="420">
        <v>15</v>
      </c>
    </row>
    <row r="15" spans="1:13">
      <c r="A15" s="421"/>
      <c r="B15" s="425"/>
      <c r="C15" s="421"/>
      <c r="D15" s="423"/>
      <c r="E15" s="421"/>
      <c r="F15" s="423"/>
      <c r="G15" s="421"/>
      <c r="H15" s="426"/>
      <c r="I15" s="422"/>
      <c r="J15" s="422"/>
      <c r="K15" s="422"/>
      <c r="L15" s="422"/>
    </row>
    <row r="16" spans="1:13" ht="33.75">
      <c r="A16" s="427" t="s">
        <v>1192</v>
      </c>
      <c r="B16" s="428" t="s">
        <v>204</v>
      </c>
      <c r="C16" s="552">
        <v>76</v>
      </c>
      <c r="D16" s="550" t="s">
        <v>205</v>
      </c>
      <c r="E16" s="552">
        <v>24</v>
      </c>
      <c r="F16" s="421" t="s">
        <v>206</v>
      </c>
      <c r="G16" s="552">
        <v>0</v>
      </c>
      <c r="H16" s="422" t="s">
        <v>230</v>
      </c>
      <c r="I16" s="552">
        <f>G16+E16+C16</f>
        <v>100</v>
      </c>
      <c r="J16" s="422" t="s">
        <v>207</v>
      </c>
      <c r="K16" s="471">
        <v>2</v>
      </c>
      <c r="L16" s="427" t="s">
        <v>855</v>
      </c>
      <c r="M16" s="343">
        <v>3</v>
      </c>
    </row>
    <row r="17" spans="1:15">
      <c r="A17" s="1104" t="s">
        <v>1191</v>
      </c>
      <c r="B17" s="428" t="s">
        <v>210</v>
      </c>
      <c r="C17" s="552">
        <v>184</v>
      </c>
      <c r="D17" s="550" t="s">
        <v>211</v>
      </c>
      <c r="E17" s="552">
        <v>57</v>
      </c>
      <c r="F17" s="421" t="s">
        <v>212</v>
      </c>
      <c r="G17" s="552">
        <v>0</v>
      </c>
      <c r="H17" s="422" t="s">
        <v>411</v>
      </c>
      <c r="I17" s="552">
        <f>G17+E17+C17</f>
        <v>241</v>
      </c>
      <c r="J17" s="426"/>
      <c r="K17" s="426"/>
      <c r="L17" s="426"/>
      <c r="M17" s="429"/>
    </row>
    <row r="18" spans="1:15" ht="24">
      <c r="A18" s="1104"/>
      <c r="B18" s="428" t="s">
        <v>213</v>
      </c>
      <c r="C18" s="552">
        <v>199</v>
      </c>
      <c r="D18" s="550" t="s">
        <v>214</v>
      </c>
      <c r="E18" s="552">
        <v>53</v>
      </c>
      <c r="F18" s="421" t="s">
        <v>215</v>
      </c>
      <c r="G18" s="552">
        <v>0</v>
      </c>
      <c r="H18" s="422" t="s">
        <v>410</v>
      </c>
      <c r="I18" s="552">
        <f>G18+E18+C18</f>
        <v>252</v>
      </c>
      <c r="J18" s="426"/>
      <c r="K18" s="426"/>
      <c r="L18" s="426"/>
      <c r="M18" s="429"/>
    </row>
    <row r="19" spans="1:15">
      <c r="A19" s="421"/>
      <c r="B19" s="422"/>
      <c r="C19" s="421"/>
      <c r="D19" s="421"/>
      <c r="E19" s="421"/>
      <c r="F19" s="421"/>
      <c r="G19" s="421"/>
      <c r="H19" s="422"/>
      <c r="I19" s="422"/>
      <c r="J19" s="422"/>
      <c r="K19" s="422"/>
      <c r="L19" s="422"/>
    </row>
    <row r="20" spans="1:15">
      <c r="A20" s="1105" t="s">
        <v>409</v>
      </c>
      <c r="B20" s="1105"/>
      <c r="C20" s="421"/>
      <c r="D20" s="421"/>
      <c r="E20" s="421"/>
      <c r="F20" s="421"/>
      <c r="G20" s="421"/>
      <c r="H20" s="422"/>
      <c r="I20" s="422"/>
      <c r="J20" s="422"/>
      <c r="K20" s="422"/>
      <c r="L20" s="422"/>
    </row>
    <row r="21" spans="1:15">
      <c r="A21" s="1100" t="s">
        <v>1190</v>
      </c>
      <c r="B21" s="1100"/>
      <c r="C21" s="1106" t="s">
        <v>1189</v>
      </c>
      <c r="D21" s="1095" t="s">
        <v>219</v>
      </c>
      <c r="E21" s="1095" t="s">
        <v>5384</v>
      </c>
      <c r="F21" s="1095" t="s">
        <v>5385</v>
      </c>
      <c r="G21" s="1097" t="s">
        <v>5386</v>
      </c>
      <c r="H21" s="1098"/>
      <c r="I21" s="1098"/>
      <c r="J21" s="1098"/>
      <c r="K21" s="1098"/>
      <c r="L21" s="1098"/>
      <c r="M21" s="1099"/>
      <c r="N21" s="343"/>
      <c r="O21" s="343"/>
    </row>
    <row r="22" spans="1:15" ht="36">
      <c r="A22" s="1100"/>
      <c r="B22" s="1100"/>
      <c r="C22" s="1107"/>
      <c r="D22" s="1096"/>
      <c r="E22" s="1096"/>
      <c r="F22" s="1096"/>
      <c r="G22" s="420" t="s">
        <v>227</v>
      </c>
      <c r="H22" s="424" t="s">
        <v>228</v>
      </c>
      <c r="I22" s="420" t="s">
        <v>229</v>
      </c>
      <c r="J22" s="342" t="s">
        <v>1499</v>
      </c>
      <c r="K22" s="420" t="s">
        <v>4831</v>
      </c>
      <c r="L22" s="420" t="s">
        <v>4832</v>
      </c>
      <c r="M22" s="420" t="s">
        <v>4833</v>
      </c>
      <c r="N22" s="430" t="s">
        <v>5387</v>
      </c>
      <c r="O22" s="431" t="s">
        <v>662</v>
      </c>
    </row>
    <row r="23" spans="1:15">
      <c r="A23" s="1100" t="s">
        <v>232</v>
      </c>
      <c r="B23" s="1100"/>
      <c r="C23" s="420">
        <v>8000</v>
      </c>
      <c r="D23" s="472" t="s">
        <v>1175</v>
      </c>
      <c r="E23" s="433">
        <f>+C23*J3/100000</f>
        <v>32.744799999999998</v>
      </c>
      <c r="F23" s="433">
        <f>1330000/100000</f>
        <v>13.3</v>
      </c>
      <c r="G23" s="433">
        <v>0</v>
      </c>
      <c r="H23" s="433">
        <f>303775/100000</f>
        <v>3.03775</v>
      </c>
      <c r="I23" s="435">
        <f>1010101/100000</f>
        <v>10.10101</v>
      </c>
      <c r="J23" s="435"/>
      <c r="K23" s="435"/>
      <c r="L23" s="435"/>
      <c r="M23" s="435"/>
      <c r="N23" s="463">
        <f>+G23+H23+I23+J23+K23+L23+M23</f>
        <v>13.138760000000001</v>
      </c>
      <c r="O23" s="463">
        <f>N23*100/F23</f>
        <v>98.78766917293234</v>
      </c>
    </row>
    <row r="24" spans="1:15">
      <c r="A24" s="1100" t="s">
        <v>234</v>
      </c>
      <c r="B24" s="1100"/>
      <c r="C24" s="420">
        <v>7000</v>
      </c>
      <c r="D24" s="472" t="s">
        <v>1175</v>
      </c>
      <c r="E24" s="433">
        <f>C24*80/100000</f>
        <v>5.6</v>
      </c>
      <c r="F24" s="433">
        <v>0</v>
      </c>
      <c r="G24" s="433">
        <v>0</v>
      </c>
      <c r="H24" s="433">
        <v>0</v>
      </c>
      <c r="I24" s="435">
        <v>0</v>
      </c>
      <c r="J24" s="435"/>
      <c r="K24" s="435"/>
      <c r="L24" s="435"/>
      <c r="M24" s="435"/>
      <c r="N24" s="463">
        <f t="shared" ref="N24:N31" si="0">+G24+H24+I24+J24+K24+L24+M24</f>
        <v>0</v>
      </c>
      <c r="O24" s="463">
        <v>0</v>
      </c>
    </row>
    <row r="25" spans="1:15">
      <c r="A25" s="1100" t="s">
        <v>235</v>
      </c>
      <c r="B25" s="1100"/>
      <c r="C25" s="420">
        <v>86</v>
      </c>
      <c r="D25" s="472" t="s">
        <v>236</v>
      </c>
      <c r="E25" s="433">
        <v>0.43</v>
      </c>
      <c r="F25" s="433">
        <f>35000/100000</f>
        <v>0.35</v>
      </c>
      <c r="G25" s="433">
        <v>0</v>
      </c>
      <c r="H25" s="433">
        <f>2450/100000</f>
        <v>2.4500000000000001E-2</v>
      </c>
      <c r="I25" s="435">
        <f>13705/100000</f>
        <v>0.13705000000000001</v>
      </c>
      <c r="J25" s="435"/>
      <c r="K25" s="435"/>
      <c r="L25" s="435"/>
      <c r="M25" s="435"/>
      <c r="N25" s="463">
        <f t="shared" si="0"/>
        <v>0.16155</v>
      </c>
      <c r="O25" s="463">
        <f t="shared" ref="O25:O32" si="1">N25*100/F25</f>
        <v>46.157142857142865</v>
      </c>
    </row>
    <row r="26" spans="1:15">
      <c r="A26" s="1100" t="s">
        <v>237</v>
      </c>
      <c r="B26" s="1100"/>
      <c r="C26" s="420">
        <v>68</v>
      </c>
      <c r="D26" s="472" t="s">
        <v>236</v>
      </c>
      <c r="E26" s="433">
        <v>0.34</v>
      </c>
      <c r="F26" s="433">
        <f>16000/100000</f>
        <v>0.16</v>
      </c>
      <c r="G26" s="433">
        <v>0</v>
      </c>
      <c r="H26" s="433">
        <f>16000/100000</f>
        <v>0.16</v>
      </c>
      <c r="I26" s="435">
        <v>0</v>
      </c>
      <c r="J26" s="435"/>
      <c r="K26" s="435"/>
      <c r="L26" s="435"/>
      <c r="M26" s="435"/>
      <c r="N26" s="463">
        <f t="shared" si="0"/>
        <v>0.16</v>
      </c>
      <c r="O26" s="463">
        <f t="shared" si="1"/>
        <v>100</v>
      </c>
    </row>
    <row r="27" spans="1:15">
      <c r="A27" s="1100" t="s">
        <v>238</v>
      </c>
      <c r="B27" s="1100"/>
      <c r="C27" s="420">
        <v>1200</v>
      </c>
      <c r="D27" s="472" t="s">
        <v>1175</v>
      </c>
      <c r="E27" s="433">
        <f>+C27*J3/100000</f>
        <v>4.9117199999999999</v>
      </c>
      <c r="F27" s="433">
        <f>200000/100000</f>
        <v>2</v>
      </c>
      <c r="G27" s="433">
        <v>0</v>
      </c>
      <c r="H27" s="433">
        <v>0</v>
      </c>
      <c r="I27" s="435">
        <f>165000/100000</f>
        <v>1.65</v>
      </c>
      <c r="J27" s="435"/>
      <c r="K27" s="435"/>
      <c r="L27" s="435"/>
      <c r="M27" s="435"/>
      <c r="N27" s="463">
        <f t="shared" si="0"/>
        <v>1.65</v>
      </c>
      <c r="O27" s="463">
        <f t="shared" si="1"/>
        <v>82.5</v>
      </c>
    </row>
    <row r="28" spans="1:15">
      <c r="A28" s="1100" t="s">
        <v>667</v>
      </c>
      <c r="B28" s="1100"/>
      <c r="C28" s="420">
        <v>565</v>
      </c>
      <c r="D28" s="472" t="s">
        <v>1175</v>
      </c>
      <c r="E28" s="433">
        <f>ROUND((+C28*J3),0)/100000</f>
        <v>2.3126000000000002</v>
      </c>
      <c r="F28" s="433">
        <f>231255/100000</f>
        <v>2.3125499999999999</v>
      </c>
      <c r="G28" s="433">
        <v>0</v>
      </c>
      <c r="H28" s="433">
        <f>231255/100000</f>
        <v>2.3125499999999999</v>
      </c>
      <c r="I28" s="435">
        <v>0</v>
      </c>
      <c r="J28" s="435"/>
      <c r="K28" s="435"/>
      <c r="L28" s="435"/>
      <c r="M28" s="435"/>
      <c r="N28" s="463">
        <f t="shared" si="0"/>
        <v>2.3125499999999999</v>
      </c>
      <c r="O28" s="463">
        <f t="shared" si="1"/>
        <v>100</v>
      </c>
    </row>
    <row r="29" spans="1:15">
      <c r="A29" s="1100" t="s">
        <v>1176</v>
      </c>
      <c r="B29" s="1100"/>
      <c r="C29" s="420">
        <v>1000</v>
      </c>
      <c r="D29" s="472" t="s">
        <v>1175</v>
      </c>
      <c r="E29" s="433">
        <f>+C29*J3/100000</f>
        <v>4.0930999999999997</v>
      </c>
      <c r="F29" s="433">
        <v>0</v>
      </c>
      <c r="G29" s="433">
        <v>0</v>
      </c>
      <c r="H29" s="433">
        <v>0</v>
      </c>
      <c r="I29" s="435">
        <v>0</v>
      </c>
      <c r="J29" s="435"/>
      <c r="K29" s="435"/>
      <c r="L29" s="435"/>
      <c r="M29" s="435"/>
      <c r="N29" s="463">
        <f t="shared" si="0"/>
        <v>0</v>
      </c>
      <c r="O29" s="463">
        <v>0</v>
      </c>
    </row>
    <row r="30" spans="1:15">
      <c r="A30" s="1100" t="s">
        <v>394</v>
      </c>
      <c r="B30" s="1100"/>
      <c r="C30" s="420">
        <v>2750</v>
      </c>
      <c r="D30" s="472" t="s">
        <v>242</v>
      </c>
      <c r="E30" s="434">
        <f>66000/100000+1.687</f>
        <v>2.347</v>
      </c>
      <c r="F30" s="434">
        <f>66000/100000</f>
        <v>0.66</v>
      </c>
      <c r="G30" s="433">
        <v>0</v>
      </c>
      <c r="H30" s="433">
        <f>30250/100000</f>
        <v>0.30249999999999999</v>
      </c>
      <c r="I30" s="435">
        <f>35700/100000</f>
        <v>0.35699999999999998</v>
      </c>
      <c r="J30" s="435"/>
      <c r="K30" s="435"/>
      <c r="L30" s="435"/>
      <c r="M30" s="435"/>
      <c r="N30" s="463">
        <f t="shared" si="0"/>
        <v>0.65949999999999998</v>
      </c>
      <c r="O30" s="463">
        <f t="shared" si="1"/>
        <v>99.924242424242422</v>
      </c>
    </row>
    <row r="31" spans="1:15" ht="15">
      <c r="A31" s="1128" t="s">
        <v>670</v>
      </c>
      <c r="B31" s="1128"/>
      <c r="C31" s="443">
        <v>2000</v>
      </c>
      <c r="D31" s="439" t="s">
        <v>5390</v>
      </c>
      <c r="E31" s="447">
        <f>10000/100000</f>
        <v>0.1</v>
      </c>
      <c r="F31" s="433">
        <v>0.1</v>
      </c>
      <c r="G31" s="433"/>
      <c r="H31" s="433">
        <v>0.1</v>
      </c>
      <c r="I31" s="435"/>
      <c r="J31" s="435"/>
      <c r="K31" s="435"/>
      <c r="L31" s="435"/>
      <c r="M31" s="435"/>
      <c r="N31" s="463">
        <f t="shared" si="0"/>
        <v>0.1</v>
      </c>
      <c r="O31" s="463">
        <f t="shared" si="1"/>
        <v>100</v>
      </c>
    </row>
    <row r="32" spans="1:15" s="473" customFormat="1">
      <c r="A32" s="1137" t="s">
        <v>230</v>
      </c>
      <c r="B32" s="1138"/>
      <c r="C32" s="465"/>
      <c r="D32" s="466"/>
      <c r="E32" s="467">
        <f>SUM(E23:E31)</f>
        <v>52.879220000000011</v>
      </c>
      <c r="F32" s="467">
        <f t="shared" ref="F32:N32" si="2">SUM(F23:F31)</f>
        <v>18.882550000000002</v>
      </c>
      <c r="G32" s="467">
        <f t="shared" si="2"/>
        <v>0</v>
      </c>
      <c r="H32" s="467">
        <f t="shared" si="2"/>
        <v>5.9373000000000005</v>
      </c>
      <c r="I32" s="467">
        <f t="shared" si="2"/>
        <v>12.24506</v>
      </c>
      <c r="J32" s="467">
        <f t="shared" si="2"/>
        <v>0</v>
      </c>
      <c r="K32" s="467">
        <f t="shared" si="2"/>
        <v>0</v>
      </c>
      <c r="L32" s="467">
        <f t="shared" si="2"/>
        <v>0</v>
      </c>
      <c r="M32" s="467">
        <f t="shared" si="2"/>
        <v>0</v>
      </c>
      <c r="N32" s="467">
        <f t="shared" si="2"/>
        <v>18.182360000000003</v>
      </c>
      <c r="O32" s="436">
        <f t="shared" si="1"/>
        <v>96.291867359016663</v>
      </c>
    </row>
  </sheetData>
  <mergeCells count="56">
    <mergeCell ref="A4:C4"/>
    <mergeCell ref="A1:M1"/>
    <mergeCell ref="A2:M2"/>
    <mergeCell ref="A3:B3"/>
    <mergeCell ref="C3:D3"/>
    <mergeCell ref="E3:F3"/>
    <mergeCell ref="H3:I3"/>
    <mergeCell ref="K3:L3"/>
    <mergeCell ref="A5:B5"/>
    <mergeCell ref="C5:D5"/>
    <mergeCell ref="E5:F5"/>
    <mergeCell ref="G5:H5"/>
    <mergeCell ref="A7:B7"/>
    <mergeCell ref="C7:D7"/>
    <mergeCell ref="E7:F7"/>
    <mergeCell ref="G7:H7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12:C12"/>
    <mergeCell ref="D12:E12"/>
    <mergeCell ref="F12:G12"/>
    <mergeCell ref="H12:I12"/>
    <mergeCell ref="J12:K12"/>
    <mergeCell ref="A11:C11"/>
    <mergeCell ref="D11:E11"/>
    <mergeCell ref="F11:G11"/>
    <mergeCell ref="H11:I11"/>
    <mergeCell ref="J11:K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G21:M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75" right="0.75" top="1" bottom="1" header="0.5" footer="0.5"/>
  <pageSetup scale="75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indexed="35"/>
  </sheetPr>
  <dimension ref="A1:O32"/>
  <sheetViews>
    <sheetView workbookViewId="0">
      <selection activeCell="A4" sqref="A4:C4"/>
    </sheetView>
  </sheetViews>
  <sheetFormatPr defaultRowHeight="12.75"/>
  <cols>
    <col min="1" max="1" width="12.7109375" style="342" customWidth="1"/>
    <col min="2" max="2" width="13.7109375" style="342" customWidth="1"/>
    <col min="3" max="4" width="9.85546875" style="342" customWidth="1"/>
    <col min="5" max="5" width="11.85546875" style="342" customWidth="1"/>
    <col min="6" max="6" width="10.85546875" style="342" customWidth="1"/>
    <col min="7" max="8" width="10.7109375" style="342" customWidth="1"/>
    <col min="9" max="9" width="8.5703125" style="342" customWidth="1"/>
    <col min="10" max="10" width="8.140625" style="342" customWidth="1"/>
    <col min="11" max="11" width="8.85546875" style="342" customWidth="1"/>
    <col min="12" max="12" width="12.28515625" style="342" customWidth="1"/>
    <col min="13" max="13" width="8.42578125" style="342" customWidth="1"/>
    <col min="14" max="14" width="10.85546875" style="342" customWidth="1"/>
    <col min="15" max="15" width="10.5703125" style="342" bestFit="1" customWidth="1"/>
    <col min="16" max="256" width="9.140625" style="342"/>
    <col min="257" max="257" width="12.7109375" style="342" customWidth="1"/>
    <col min="258" max="258" width="13.7109375" style="342" customWidth="1"/>
    <col min="259" max="260" width="9.85546875" style="342" customWidth="1"/>
    <col min="261" max="261" width="11.85546875" style="342" customWidth="1"/>
    <col min="262" max="262" width="10.85546875" style="342" customWidth="1"/>
    <col min="263" max="264" width="10.7109375" style="342" customWidth="1"/>
    <col min="265" max="265" width="8.5703125" style="342" customWidth="1"/>
    <col min="266" max="266" width="8.140625" style="342" customWidth="1"/>
    <col min="267" max="267" width="8.85546875" style="342" customWidth="1"/>
    <col min="268" max="268" width="12.28515625" style="342" customWidth="1"/>
    <col min="269" max="269" width="8.42578125" style="342" customWidth="1"/>
    <col min="270" max="270" width="10.85546875" style="342" customWidth="1"/>
    <col min="271" max="271" width="10.5703125" style="342" bestFit="1" customWidth="1"/>
    <col min="272" max="512" width="9.140625" style="342"/>
    <col min="513" max="513" width="12.7109375" style="342" customWidth="1"/>
    <col min="514" max="514" width="13.7109375" style="342" customWidth="1"/>
    <col min="515" max="516" width="9.85546875" style="342" customWidth="1"/>
    <col min="517" max="517" width="11.85546875" style="342" customWidth="1"/>
    <col min="518" max="518" width="10.85546875" style="342" customWidth="1"/>
    <col min="519" max="520" width="10.7109375" style="342" customWidth="1"/>
    <col min="521" max="521" width="8.5703125" style="342" customWidth="1"/>
    <col min="522" max="522" width="8.140625" style="342" customWidth="1"/>
    <col min="523" max="523" width="8.85546875" style="342" customWidth="1"/>
    <col min="524" max="524" width="12.28515625" style="342" customWidth="1"/>
    <col min="525" max="525" width="8.42578125" style="342" customWidth="1"/>
    <col min="526" max="526" width="10.85546875" style="342" customWidth="1"/>
    <col min="527" max="527" width="10.5703125" style="342" bestFit="1" customWidth="1"/>
    <col min="528" max="768" width="9.140625" style="342"/>
    <col min="769" max="769" width="12.7109375" style="342" customWidth="1"/>
    <col min="770" max="770" width="13.7109375" style="342" customWidth="1"/>
    <col min="771" max="772" width="9.85546875" style="342" customWidth="1"/>
    <col min="773" max="773" width="11.85546875" style="342" customWidth="1"/>
    <col min="774" max="774" width="10.85546875" style="342" customWidth="1"/>
    <col min="775" max="776" width="10.7109375" style="342" customWidth="1"/>
    <col min="777" max="777" width="8.5703125" style="342" customWidth="1"/>
    <col min="778" max="778" width="8.140625" style="342" customWidth="1"/>
    <col min="779" max="779" width="8.85546875" style="342" customWidth="1"/>
    <col min="780" max="780" width="12.28515625" style="342" customWidth="1"/>
    <col min="781" max="781" width="8.42578125" style="342" customWidth="1"/>
    <col min="782" max="782" width="10.85546875" style="342" customWidth="1"/>
    <col min="783" max="783" width="10.5703125" style="342" bestFit="1" customWidth="1"/>
    <col min="784" max="1024" width="9.140625" style="342"/>
    <col min="1025" max="1025" width="12.7109375" style="342" customWidth="1"/>
    <col min="1026" max="1026" width="13.7109375" style="342" customWidth="1"/>
    <col min="1027" max="1028" width="9.85546875" style="342" customWidth="1"/>
    <col min="1029" max="1029" width="11.85546875" style="342" customWidth="1"/>
    <col min="1030" max="1030" width="10.85546875" style="342" customWidth="1"/>
    <col min="1031" max="1032" width="10.7109375" style="342" customWidth="1"/>
    <col min="1033" max="1033" width="8.5703125" style="342" customWidth="1"/>
    <col min="1034" max="1034" width="8.140625" style="342" customWidth="1"/>
    <col min="1035" max="1035" width="8.85546875" style="342" customWidth="1"/>
    <col min="1036" max="1036" width="12.28515625" style="342" customWidth="1"/>
    <col min="1037" max="1037" width="8.42578125" style="342" customWidth="1"/>
    <col min="1038" max="1038" width="10.85546875" style="342" customWidth="1"/>
    <col min="1039" max="1039" width="10.5703125" style="342" bestFit="1" customWidth="1"/>
    <col min="1040" max="1280" width="9.140625" style="342"/>
    <col min="1281" max="1281" width="12.7109375" style="342" customWidth="1"/>
    <col min="1282" max="1282" width="13.7109375" style="342" customWidth="1"/>
    <col min="1283" max="1284" width="9.85546875" style="342" customWidth="1"/>
    <col min="1285" max="1285" width="11.85546875" style="342" customWidth="1"/>
    <col min="1286" max="1286" width="10.85546875" style="342" customWidth="1"/>
    <col min="1287" max="1288" width="10.7109375" style="342" customWidth="1"/>
    <col min="1289" max="1289" width="8.5703125" style="342" customWidth="1"/>
    <col min="1290" max="1290" width="8.140625" style="342" customWidth="1"/>
    <col min="1291" max="1291" width="8.85546875" style="342" customWidth="1"/>
    <col min="1292" max="1292" width="12.28515625" style="342" customWidth="1"/>
    <col min="1293" max="1293" width="8.42578125" style="342" customWidth="1"/>
    <col min="1294" max="1294" width="10.85546875" style="342" customWidth="1"/>
    <col min="1295" max="1295" width="10.5703125" style="342" bestFit="1" customWidth="1"/>
    <col min="1296" max="1536" width="9.140625" style="342"/>
    <col min="1537" max="1537" width="12.7109375" style="342" customWidth="1"/>
    <col min="1538" max="1538" width="13.7109375" style="342" customWidth="1"/>
    <col min="1539" max="1540" width="9.85546875" style="342" customWidth="1"/>
    <col min="1541" max="1541" width="11.85546875" style="342" customWidth="1"/>
    <col min="1542" max="1542" width="10.85546875" style="342" customWidth="1"/>
    <col min="1543" max="1544" width="10.7109375" style="342" customWidth="1"/>
    <col min="1545" max="1545" width="8.5703125" style="342" customWidth="1"/>
    <col min="1546" max="1546" width="8.140625" style="342" customWidth="1"/>
    <col min="1547" max="1547" width="8.85546875" style="342" customWidth="1"/>
    <col min="1548" max="1548" width="12.28515625" style="342" customWidth="1"/>
    <col min="1549" max="1549" width="8.42578125" style="342" customWidth="1"/>
    <col min="1550" max="1550" width="10.85546875" style="342" customWidth="1"/>
    <col min="1551" max="1551" width="10.5703125" style="342" bestFit="1" customWidth="1"/>
    <col min="1552" max="1792" width="9.140625" style="342"/>
    <col min="1793" max="1793" width="12.7109375" style="342" customWidth="1"/>
    <col min="1794" max="1794" width="13.7109375" style="342" customWidth="1"/>
    <col min="1795" max="1796" width="9.85546875" style="342" customWidth="1"/>
    <col min="1797" max="1797" width="11.85546875" style="342" customWidth="1"/>
    <col min="1798" max="1798" width="10.85546875" style="342" customWidth="1"/>
    <col min="1799" max="1800" width="10.7109375" style="342" customWidth="1"/>
    <col min="1801" max="1801" width="8.5703125" style="342" customWidth="1"/>
    <col min="1802" max="1802" width="8.140625" style="342" customWidth="1"/>
    <col min="1803" max="1803" width="8.85546875" style="342" customWidth="1"/>
    <col min="1804" max="1804" width="12.28515625" style="342" customWidth="1"/>
    <col min="1805" max="1805" width="8.42578125" style="342" customWidth="1"/>
    <col min="1806" max="1806" width="10.85546875" style="342" customWidth="1"/>
    <col min="1807" max="1807" width="10.5703125" style="342" bestFit="1" customWidth="1"/>
    <col min="1808" max="2048" width="9.140625" style="342"/>
    <col min="2049" max="2049" width="12.7109375" style="342" customWidth="1"/>
    <col min="2050" max="2050" width="13.7109375" style="342" customWidth="1"/>
    <col min="2051" max="2052" width="9.85546875" style="342" customWidth="1"/>
    <col min="2053" max="2053" width="11.85546875" style="342" customWidth="1"/>
    <col min="2054" max="2054" width="10.85546875" style="342" customWidth="1"/>
    <col min="2055" max="2056" width="10.7109375" style="342" customWidth="1"/>
    <col min="2057" max="2057" width="8.5703125" style="342" customWidth="1"/>
    <col min="2058" max="2058" width="8.140625" style="342" customWidth="1"/>
    <col min="2059" max="2059" width="8.85546875" style="342" customWidth="1"/>
    <col min="2060" max="2060" width="12.28515625" style="342" customWidth="1"/>
    <col min="2061" max="2061" width="8.42578125" style="342" customWidth="1"/>
    <col min="2062" max="2062" width="10.85546875" style="342" customWidth="1"/>
    <col min="2063" max="2063" width="10.5703125" style="342" bestFit="1" customWidth="1"/>
    <col min="2064" max="2304" width="9.140625" style="342"/>
    <col min="2305" max="2305" width="12.7109375" style="342" customWidth="1"/>
    <col min="2306" max="2306" width="13.7109375" style="342" customWidth="1"/>
    <col min="2307" max="2308" width="9.85546875" style="342" customWidth="1"/>
    <col min="2309" max="2309" width="11.85546875" style="342" customWidth="1"/>
    <col min="2310" max="2310" width="10.85546875" style="342" customWidth="1"/>
    <col min="2311" max="2312" width="10.7109375" style="342" customWidth="1"/>
    <col min="2313" max="2313" width="8.5703125" style="342" customWidth="1"/>
    <col min="2314" max="2314" width="8.140625" style="342" customWidth="1"/>
    <col min="2315" max="2315" width="8.85546875" style="342" customWidth="1"/>
    <col min="2316" max="2316" width="12.28515625" style="342" customWidth="1"/>
    <col min="2317" max="2317" width="8.42578125" style="342" customWidth="1"/>
    <col min="2318" max="2318" width="10.85546875" style="342" customWidth="1"/>
    <col min="2319" max="2319" width="10.5703125" style="342" bestFit="1" customWidth="1"/>
    <col min="2320" max="2560" width="9.140625" style="342"/>
    <col min="2561" max="2561" width="12.7109375" style="342" customWidth="1"/>
    <col min="2562" max="2562" width="13.7109375" style="342" customWidth="1"/>
    <col min="2563" max="2564" width="9.85546875" style="342" customWidth="1"/>
    <col min="2565" max="2565" width="11.85546875" style="342" customWidth="1"/>
    <col min="2566" max="2566" width="10.85546875" style="342" customWidth="1"/>
    <col min="2567" max="2568" width="10.7109375" style="342" customWidth="1"/>
    <col min="2569" max="2569" width="8.5703125" style="342" customWidth="1"/>
    <col min="2570" max="2570" width="8.140625" style="342" customWidth="1"/>
    <col min="2571" max="2571" width="8.85546875" style="342" customWidth="1"/>
    <col min="2572" max="2572" width="12.28515625" style="342" customWidth="1"/>
    <col min="2573" max="2573" width="8.42578125" style="342" customWidth="1"/>
    <col min="2574" max="2574" width="10.85546875" style="342" customWidth="1"/>
    <col min="2575" max="2575" width="10.5703125" style="342" bestFit="1" customWidth="1"/>
    <col min="2576" max="2816" width="9.140625" style="342"/>
    <col min="2817" max="2817" width="12.7109375" style="342" customWidth="1"/>
    <col min="2818" max="2818" width="13.7109375" style="342" customWidth="1"/>
    <col min="2819" max="2820" width="9.85546875" style="342" customWidth="1"/>
    <col min="2821" max="2821" width="11.85546875" style="342" customWidth="1"/>
    <col min="2822" max="2822" width="10.85546875" style="342" customWidth="1"/>
    <col min="2823" max="2824" width="10.7109375" style="342" customWidth="1"/>
    <col min="2825" max="2825" width="8.5703125" style="342" customWidth="1"/>
    <col min="2826" max="2826" width="8.140625" style="342" customWidth="1"/>
    <col min="2827" max="2827" width="8.85546875" style="342" customWidth="1"/>
    <col min="2828" max="2828" width="12.28515625" style="342" customWidth="1"/>
    <col min="2829" max="2829" width="8.42578125" style="342" customWidth="1"/>
    <col min="2830" max="2830" width="10.85546875" style="342" customWidth="1"/>
    <col min="2831" max="2831" width="10.5703125" style="342" bestFit="1" customWidth="1"/>
    <col min="2832" max="3072" width="9.140625" style="342"/>
    <col min="3073" max="3073" width="12.7109375" style="342" customWidth="1"/>
    <col min="3074" max="3074" width="13.7109375" style="342" customWidth="1"/>
    <col min="3075" max="3076" width="9.85546875" style="342" customWidth="1"/>
    <col min="3077" max="3077" width="11.85546875" style="342" customWidth="1"/>
    <col min="3078" max="3078" width="10.85546875" style="342" customWidth="1"/>
    <col min="3079" max="3080" width="10.7109375" style="342" customWidth="1"/>
    <col min="3081" max="3081" width="8.5703125" style="342" customWidth="1"/>
    <col min="3082" max="3082" width="8.140625" style="342" customWidth="1"/>
    <col min="3083" max="3083" width="8.85546875" style="342" customWidth="1"/>
    <col min="3084" max="3084" width="12.28515625" style="342" customWidth="1"/>
    <col min="3085" max="3085" width="8.42578125" style="342" customWidth="1"/>
    <col min="3086" max="3086" width="10.85546875" style="342" customWidth="1"/>
    <col min="3087" max="3087" width="10.5703125" style="342" bestFit="1" customWidth="1"/>
    <col min="3088" max="3328" width="9.140625" style="342"/>
    <col min="3329" max="3329" width="12.7109375" style="342" customWidth="1"/>
    <col min="3330" max="3330" width="13.7109375" style="342" customWidth="1"/>
    <col min="3331" max="3332" width="9.85546875" style="342" customWidth="1"/>
    <col min="3333" max="3333" width="11.85546875" style="342" customWidth="1"/>
    <col min="3334" max="3334" width="10.85546875" style="342" customWidth="1"/>
    <col min="3335" max="3336" width="10.7109375" style="342" customWidth="1"/>
    <col min="3337" max="3337" width="8.5703125" style="342" customWidth="1"/>
    <col min="3338" max="3338" width="8.140625" style="342" customWidth="1"/>
    <col min="3339" max="3339" width="8.85546875" style="342" customWidth="1"/>
    <col min="3340" max="3340" width="12.28515625" style="342" customWidth="1"/>
    <col min="3341" max="3341" width="8.42578125" style="342" customWidth="1"/>
    <col min="3342" max="3342" width="10.85546875" style="342" customWidth="1"/>
    <col min="3343" max="3343" width="10.5703125" style="342" bestFit="1" customWidth="1"/>
    <col min="3344" max="3584" width="9.140625" style="342"/>
    <col min="3585" max="3585" width="12.7109375" style="342" customWidth="1"/>
    <col min="3586" max="3586" width="13.7109375" style="342" customWidth="1"/>
    <col min="3587" max="3588" width="9.85546875" style="342" customWidth="1"/>
    <col min="3589" max="3589" width="11.85546875" style="342" customWidth="1"/>
    <col min="3590" max="3590" width="10.85546875" style="342" customWidth="1"/>
    <col min="3591" max="3592" width="10.7109375" style="342" customWidth="1"/>
    <col min="3593" max="3593" width="8.5703125" style="342" customWidth="1"/>
    <col min="3594" max="3594" width="8.140625" style="342" customWidth="1"/>
    <col min="3595" max="3595" width="8.85546875" style="342" customWidth="1"/>
    <col min="3596" max="3596" width="12.28515625" style="342" customWidth="1"/>
    <col min="3597" max="3597" width="8.42578125" style="342" customWidth="1"/>
    <col min="3598" max="3598" width="10.85546875" style="342" customWidth="1"/>
    <col min="3599" max="3599" width="10.5703125" style="342" bestFit="1" customWidth="1"/>
    <col min="3600" max="3840" width="9.140625" style="342"/>
    <col min="3841" max="3841" width="12.7109375" style="342" customWidth="1"/>
    <col min="3842" max="3842" width="13.7109375" style="342" customWidth="1"/>
    <col min="3843" max="3844" width="9.85546875" style="342" customWidth="1"/>
    <col min="3845" max="3845" width="11.85546875" style="342" customWidth="1"/>
    <col min="3846" max="3846" width="10.85546875" style="342" customWidth="1"/>
    <col min="3847" max="3848" width="10.7109375" style="342" customWidth="1"/>
    <col min="3849" max="3849" width="8.5703125" style="342" customWidth="1"/>
    <col min="3850" max="3850" width="8.140625" style="342" customWidth="1"/>
    <col min="3851" max="3851" width="8.85546875" style="342" customWidth="1"/>
    <col min="3852" max="3852" width="12.28515625" style="342" customWidth="1"/>
    <col min="3853" max="3853" width="8.42578125" style="342" customWidth="1"/>
    <col min="3854" max="3854" width="10.85546875" style="342" customWidth="1"/>
    <col min="3855" max="3855" width="10.5703125" style="342" bestFit="1" customWidth="1"/>
    <col min="3856" max="4096" width="9.140625" style="342"/>
    <col min="4097" max="4097" width="12.7109375" style="342" customWidth="1"/>
    <col min="4098" max="4098" width="13.7109375" style="342" customWidth="1"/>
    <col min="4099" max="4100" width="9.85546875" style="342" customWidth="1"/>
    <col min="4101" max="4101" width="11.85546875" style="342" customWidth="1"/>
    <col min="4102" max="4102" width="10.85546875" style="342" customWidth="1"/>
    <col min="4103" max="4104" width="10.7109375" style="342" customWidth="1"/>
    <col min="4105" max="4105" width="8.5703125" style="342" customWidth="1"/>
    <col min="4106" max="4106" width="8.140625" style="342" customWidth="1"/>
    <col min="4107" max="4107" width="8.85546875" style="342" customWidth="1"/>
    <col min="4108" max="4108" width="12.28515625" style="342" customWidth="1"/>
    <col min="4109" max="4109" width="8.42578125" style="342" customWidth="1"/>
    <col min="4110" max="4110" width="10.85546875" style="342" customWidth="1"/>
    <col min="4111" max="4111" width="10.5703125" style="342" bestFit="1" customWidth="1"/>
    <col min="4112" max="4352" width="9.140625" style="342"/>
    <col min="4353" max="4353" width="12.7109375" style="342" customWidth="1"/>
    <col min="4354" max="4354" width="13.7109375" style="342" customWidth="1"/>
    <col min="4355" max="4356" width="9.85546875" style="342" customWidth="1"/>
    <col min="4357" max="4357" width="11.85546875" style="342" customWidth="1"/>
    <col min="4358" max="4358" width="10.85546875" style="342" customWidth="1"/>
    <col min="4359" max="4360" width="10.7109375" style="342" customWidth="1"/>
    <col min="4361" max="4361" width="8.5703125" style="342" customWidth="1"/>
    <col min="4362" max="4362" width="8.140625" style="342" customWidth="1"/>
    <col min="4363" max="4363" width="8.85546875" style="342" customWidth="1"/>
    <col min="4364" max="4364" width="12.28515625" style="342" customWidth="1"/>
    <col min="4365" max="4365" width="8.42578125" style="342" customWidth="1"/>
    <col min="4366" max="4366" width="10.85546875" style="342" customWidth="1"/>
    <col min="4367" max="4367" width="10.5703125" style="342" bestFit="1" customWidth="1"/>
    <col min="4368" max="4608" width="9.140625" style="342"/>
    <col min="4609" max="4609" width="12.7109375" style="342" customWidth="1"/>
    <col min="4610" max="4610" width="13.7109375" style="342" customWidth="1"/>
    <col min="4611" max="4612" width="9.85546875" style="342" customWidth="1"/>
    <col min="4613" max="4613" width="11.85546875" style="342" customWidth="1"/>
    <col min="4614" max="4614" width="10.85546875" style="342" customWidth="1"/>
    <col min="4615" max="4616" width="10.7109375" style="342" customWidth="1"/>
    <col min="4617" max="4617" width="8.5703125" style="342" customWidth="1"/>
    <col min="4618" max="4618" width="8.140625" style="342" customWidth="1"/>
    <col min="4619" max="4619" width="8.85546875" style="342" customWidth="1"/>
    <col min="4620" max="4620" width="12.28515625" style="342" customWidth="1"/>
    <col min="4621" max="4621" width="8.42578125" style="342" customWidth="1"/>
    <col min="4622" max="4622" width="10.85546875" style="342" customWidth="1"/>
    <col min="4623" max="4623" width="10.5703125" style="342" bestFit="1" customWidth="1"/>
    <col min="4624" max="4864" width="9.140625" style="342"/>
    <col min="4865" max="4865" width="12.7109375" style="342" customWidth="1"/>
    <col min="4866" max="4866" width="13.7109375" style="342" customWidth="1"/>
    <col min="4867" max="4868" width="9.85546875" style="342" customWidth="1"/>
    <col min="4869" max="4869" width="11.85546875" style="342" customWidth="1"/>
    <col min="4870" max="4870" width="10.85546875" style="342" customWidth="1"/>
    <col min="4871" max="4872" width="10.7109375" style="342" customWidth="1"/>
    <col min="4873" max="4873" width="8.5703125" style="342" customWidth="1"/>
    <col min="4874" max="4874" width="8.140625" style="342" customWidth="1"/>
    <col min="4875" max="4875" width="8.85546875" style="342" customWidth="1"/>
    <col min="4876" max="4876" width="12.28515625" style="342" customWidth="1"/>
    <col min="4877" max="4877" width="8.42578125" style="342" customWidth="1"/>
    <col min="4878" max="4878" width="10.85546875" style="342" customWidth="1"/>
    <col min="4879" max="4879" width="10.5703125" style="342" bestFit="1" customWidth="1"/>
    <col min="4880" max="5120" width="9.140625" style="342"/>
    <col min="5121" max="5121" width="12.7109375" style="342" customWidth="1"/>
    <col min="5122" max="5122" width="13.7109375" style="342" customWidth="1"/>
    <col min="5123" max="5124" width="9.85546875" style="342" customWidth="1"/>
    <col min="5125" max="5125" width="11.85546875" style="342" customWidth="1"/>
    <col min="5126" max="5126" width="10.85546875" style="342" customWidth="1"/>
    <col min="5127" max="5128" width="10.7109375" style="342" customWidth="1"/>
    <col min="5129" max="5129" width="8.5703125" style="342" customWidth="1"/>
    <col min="5130" max="5130" width="8.140625" style="342" customWidth="1"/>
    <col min="5131" max="5131" width="8.85546875" style="342" customWidth="1"/>
    <col min="5132" max="5132" width="12.28515625" style="342" customWidth="1"/>
    <col min="5133" max="5133" width="8.42578125" style="342" customWidth="1"/>
    <col min="5134" max="5134" width="10.85546875" style="342" customWidth="1"/>
    <col min="5135" max="5135" width="10.5703125" style="342" bestFit="1" customWidth="1"/>
    <col min="5136" max="5376" width="9.140625" style="342"/>
    <col min="5377" max="5377" width="12.7109375" style="342" customWidth="1"/>
    <col min="5378" max="5378" width="13.7109375" style="342" customWidth="1"/>
    <col min="5379" max="5380" width="9.85546875" style="342" customWidth="1"/>
    <col min="5381" max="5381" width="11.85546875" style="342" customWidth="1"/>
    <col min="5382" max="5382" width="10.85546875" style="342" customWidth="1"/>
    <col min="5383" max="5384" width="10.7109375" style="342" customWidth="1"/>
    <col min="5385" max="5385" width="8.5703125" style="342" customWidth="1"/>
    <col min="5386" max="5386" width="8.140625" style="342" customWidth="1"/>
    <col min="5387" max="5387" width="8.85546875" style="342" customWidth="1"/>
    <col min="5388" max="5388" width="12.28515625" style="342" customWidth="1"/>
    <col min="5389" max="5389" width="8.42578125" style="342" customWidth="1"/>
    <col min="5390" max="5390" width="10.85546875" style="342" customWidth="1"/>
    <col min="5391" max="5391" width="10.5703125" style="342" bestFit="1" customWidth="1"/>
    <col min="5392" max="5632" width="9.140625" style="342"/>
    <col min="5633" max="5633" width="12.7109375" style="342" customWidth="1"/>
    <col min="5634" max="5634" width="13.7109375" style="342" customWidth="1"/>
    <col min="5635" max="5636" width="9.85546875" style="342" customWidth="1"/>
    <col min="5637" max="5637" width="11.85546875" style="342" customWidth="1"/>
    <col min="5638" max="5638" width="10.85546875" style="342" customWidth="1"/>
    <col min="5639" max="5640" width="10.7109375" style="342" customWidth="1"/>
    <col min="5641" max="5641" width="8.5703125" style="342" customWidth="1"/>
    <col min="5642" max="5642" width="8.140625" style="342" customWidth="1"/>
    <col min="5643" max="5643" width="8.85546875" style="342" customWidth="1"/>
    <col min="5644" max="5644" width="12.28515625" style="342" customWidth="1"/>
    <col min="5645" max="5645" width="8.42578125" style="342" customWidth="1"/>
    <col min="5646" max="5646" width="10.85546875" style="342" customWidth="1"/>
    <col min="5647" max="5647" width="10.5703125" style="342" bestFit="1" customWidth="1"/>
    <col min="5648" max="5888" width="9.140625" style="342"/>
    <col min="5889" max="5889" width="12.7109375" style="342" customWidth="1"/>
    <col min="5890" max="5890" width="13.7109375" style="342" customWidth="1"/>
    <col min="5891" max="5892" width="9.85546875" style="342" customWidth="1"/>
    <col min="5893" max="5893" width="11.85546875" style="342" customWidth="1"/>
    <col min="5894" max="5894" width="10.85546875" style="342" customWidth="1"/>
    <col min="5895" max="5896" width="10.7109375" style="342" customWidth="1"/>
    <col min="5897" max="5897" width="8.5703125" style="342" customWidth="1"/>
    <col min="5898" max="5898" width="8.140625" style="342" customWidth="1"/>
    <col min="5899" max="5899" width="8.85546875" style="342" customWidth="1"/>
    <col min="5900" max="5900" width="12.28515625" style="342" customWidth="1"/>
    <col min="5901" max="5901" width="8.42578125" style="342" customWidth="1"/>
    <col min="5902" max="5902" width="10.85546875" style="342" customWidth="1"/>
    <col min="5903" max="5903" width="10.5703125" style="342" bestFit="1" customWidth="1"/>
    <col min="5904" max="6144" width="9.140625" style="342"/>
    <col min="6145" max="6145" width="12.7109375" style="342" customWidth="1"/>
    <col min="6146" max="6146" width="13.7109375" style="342" customWidth="1"/>
    <col min="6147" max="6148" width="9.85546875" style="342" customWidth="1"/>
    <col min="6149" max="6149" width="11.85546875" style="342" customWidth="1"/>
    <col min="6150" max="6150" width="10.85546875" style="342" customWidth="1"/>
    <col min="6151" max="6152" width="10.7109375" style="342" customWidth="1"/>
    <col min="6153" max="6153" width="8.5703125" style="342" customWidth="1"/>
    <col min="6154" max="6154" width="8.140625" style="342" customWidth="1"/>
    <col min="6155" max="6155" width="8.85546875" style="342" customWidth="1"/>
    <col min="6156" max="6156" width="12.28515625" style="342" customWidth="1"/>
    <col min="6157" max="6157" width="8.42578125" style="342" customWidth="1"/>
    <col min="6158" max="6158" width="10.85546875" style="342" customWidth="1"/>
    <col min="6159" max="6159" width="10.5703125" style="342" bestFit="1" customWidth="1"/>
    <col min="6160" max="6400" width="9.140625" style="342"/>
    <col min="6401" max="6401" width="12.7109375" style="342" customWidth="1"/>
    <col min="6402" max="6402" width="13.7109375" style="342" customWidth="1"/>
    <col min="6403" max="6404" width="9.85546875" style="342" customWidth="1"/>
    <col min="6405" max="6405" width="11.85546875" style="342" customWidth="1"/>
    <col min="6406" max="6406" width="10.85546875" style="342" customWidth="1"/>
    <col min="6407" max="6408" width="10.7109375" style="342" customWidth="1"/>
    <col min="6409" max="6409" width="8.5703125" style="342" customWidth="1"/>
    <col min="6410" max="6410" width="8.140625" style="342" customWidth="1"/>
    <col min="6411" max="6411" width="8.85546875" style="342" customWidth="1"/>
    <col min="6412" max="6412" width="12.28515625" style="342" customWidth="1"/>
    <col min="6413" max="6413" width="8.42578125" style="342" customWidth="1"/>
    <col min="6414" max="6414" width="10.85546875" style="342" customWidth="1"/>
    <col min="6415" max="6415" width="10.5703125" style="342" bestFit="1" customWidth="1"/>
    <col min="6416" max="6656" width="9.140625" style="342"/>
    <col min="6657" max="6657" width="12.7109375" style="342" customWidth="1"/>
    <col min="6658" max="6658" width="13.7109375" style="342" customWidth="1"/>
    <col min="6659" max="6660" width="9.85546875" style="342" customWidth="1"/>
    <col min="6661" max="6661" width="11.85546875" style="342" customWidth="1"/>
    <col min="6662" max="6662" width="10.85546875" style="342" customWidth="1"/>
    <col min="6663" max="6664" width="10.7109375" style="342" customWidth="1"/>
    <col min="6665" max="6665" width="8.5703125" style="342" customWidth="1"/>
    <col min="6666" max="6666" width="8.140625" style="342" customWidth="1"/>
    <col min="6667" max="6667" width="8.85546875" style="342" customWidth="1"/>
    <col min="6668" max="6668" width="12.28515625" style="342" customWidth="1"/>
    <col min="6669" max="6669" width="8.42578125" style="342" customWidth="1"/>
    <col min="6670" max="6670" width="10.85546875" style="342" customWidth="1"/>
    <col min="6671" max="6671" width="10.5703125" style="342" bestFit="1" customWidth="1"/>
    <col min="6672" max="6912" width="9.140625" style="342"/>
    <col min="6913" max="6913" width="12.7109375" style="342" customWidth="1"/>
    <col min="6914" max="6914" width="13.7109375" style="342" customWidth="1"/>
    <col min="6915" max="6916" width="9.85546875" style="342" customWidth="1"/>
    <col min="6917" max="6917" width="11.85546875" style="342" customWidth="1"/>
    <col min="6918" max="6918" width="10.85546875" style="342" customWidth="1"/>
    <col min="6919" max="6920" width="10.7109375" style="342" customWidth="1"/>
    <col min="6921" max="6921" width="8.5703125" style="342" customWidth="1"/>
    <col min="6922" max="6922" width="8.140625" style="342" customWidth="1"/>
    <col min="6923" max="6923" width="8.85546875" style="342" customWidth="1"/>
    <col min="6924" max="6924" width="12.28515625" style="342" customWidth="1"/>
    <col min="6925" max="6925" width="8.42578125" style="342" customWidth="1"/>
    <col min="6926" max="6926" width="10.85546875" style="342" customWidth="1"/>
    <col min="6927" max="6927" width="10.5703125" style="342" bestFit="1" customWidth="1"/>
    <col min="6928" max="7168" width="9.140625" style="342"/>
    <col min="7169" max="7169" width="12.7109375" style="342" customWidth="1"/>
    <col min="7170" max="7170" width="13.7109375" style="342" customWidth="1"/>
    <col min="7171" max="7172" width="9.85546875" style="342" customWidth="1"/>
    <col min="7173" max="7173" width="11.85546875" style="342" customWidth="1"/>
    <col min="7174" max="7174" width="10.85546875" style="342" customWidth="1"/>
    <col min="7175" max="7176" width="10.7109375" style="342" customWidth="1"/>
    <col min="7177" max="7177" width="8.5703125" style="342" customWidth="1"/>
    <col min="7178" max="7178" width="8.140625" style="342" customWidth="1"/>
    <col min="7179" max="7179" width="8.85546875" style="342" customWidth="1"/>
    <col min="7180" max="7180" width="12.28515625" style="342" customWidth="1"/>
    <col min="7181" max="7181" width="8.42578125" style="342" customWidth="1"/>
    <col min="7182" max="7182" width="10.85546875" style="342" customWidth="1"/>
    <col min="7183" max="7183" width="10.5703125" style="342" bestFit="1" customWidth="1"/>
    <col min="7184" max="7424" width="9.140625" style="342"/>
    <col min="7425" max="7425" width="12.7109375" style="342" customWidth="1"/>
    <col min="7426" max="7426" width="13.7109375" style="342" customWidth="1"/>
    <col min="7427" max="7428" width="9.85546875" style="342" customWidth="1"/>
    <col min="7429" max="7429" width="11.85546875" style="342" customWidth="1"/>
    <col min="7430" max="7430" width="10.85546875" style="342" customWidth="1"/>
    <col min="7431" max="7432" width="10.7109375" style="342" customWidth="1"/>
    <col min="7433" max="7433" width="8.5703125" style="342" customWidth="1"/>
    <col min="7434" max="7434" width="8.140625" style="342" customWidth="1"/>
    <col min="7435" max="7435" width="8.85546875" style="342" customWidth="1"/>
    <col min="7436" max="7436" width="12.28515625" style="342" customWidth="1"/>
    <col min="7437" max="7437" width="8.42578125" style="342" customWidth="1"/>
    <col min="7438" max="7438" width="10.85546875" style="342" customWidth="1"/>
    <col min="7439" max="7439" width="10.5703125" style="342" bestFit="1" customWidth="1"/>
    <col min="7440" max="7680" width="9.140625" style="342"/>
    <col min="7681" max="7681" width="12.7109375" style="342" customWidth="1"/>
    <col min="7682" max="7682" width="13.7109375" style="342" customWidth="1"/>
    <col min="7683" max="7684" width="9.85546875" style="342" customWidth="1"/>
    <col min="7685" max="7685" width="11.85546875" style="342" customWidth="1"/>
    <col min="7686" max="7686" width="10.85546875" style="342" customWidth="1"/>
    <col min="7687" max="7688" width="10.7109375" style="342" customWidth="1"/>
    <col min="7689" max="7689" width="8.5703125" style="342" customWidth="1"/>
    <col min="7690" max="7690" width="8.140625" style="342" customWidth="1"/>
    <col min="7691" max="7691" width="8.85546875" style="342" customWidth="1"/>
    <col min="7692" max="7692" width="12.28515625" style="342" customWidth="1"/>
    <col min="7693" max="7693" width="8.42578125" style="342" customWidth="1"/>
    <col min="7694" max="7694" width="10.85546875" style="342" customWidth="1"/>
    <col min="7695" max="7695" width="10.5703125" style="342" bestFit="1" customWidth="1"/>
    <col min="7696" max="7936" width="9.140625" style="342"/>
    <col min="7937" max="7937" width="12.7109375" style="342" customWidth="1"/>
    <col min="7938" max="7938" width="13.7109375" style="342" customWidth="1"/>
    <col min="7939" max="7940" width="9.85546875" style="342" customWidth="1"/>
    <col min="7941" max="7941" width="11.85546875" style="342" customWidth="1"/>
    <col min="7942" max="7942" width="10.85546875" style="342" customWidth="1"/>
    <col min="7943" max="7944" width="10.7109375" style="342" customWidth="1"/>
    <col min="7945" max="7945" width="8.5703125" style="342" customWidth="1"/>
    <col min="7946" max="7946" width="8.140625" style="342" customWidth="1"/>
    <col min="7947" max="7947" width="8.85546875" style="342" customWidth="1"/>
    <col min="7948" max="7948" width="12.28515625" style="342" customWidth="1"/>
    <col min="7949" max="7949" width="8.42578125" style="342" customWidth="1"/>
    <col min="7950" max="7950" width="10.85546875" style="342" customWidth="1"/>
    <col min="7951" max="7951" width="10.5703125" style="342" bestFit="1" customWidth="1"/>
    <col min="7952" max="8192" width="9.140625" style="342"/>
    <col min="8193" max="8193" width="12.7109375" style="342" customWidth="1"/>
    <col min="8194" max="8194" width="13.7109375" style="342" customWidth="1"/>
    <col min="8195" max="8196" width="9.85546875" style="342" customWidth="1"/>
    <col min="8197" max="8197" width="11.85546875" style="342" customWidth="1"/>
    <col min="8198" max="8198" width="10.85546875" style="342" customWidth="1"/>
    <col min="8199" max="8200" width="10.7109375" style="342" customWidth="1"/>
    <col min="8201" max="8201" width="8.5703125" style="342" customWidth="1"/>
    <col min="8202" max="8202" width="8.140625" style="342" customWidth="1"/>
    <col min="8203" max="8203" width="8.85546875" style="342" customWidth="1"/>
    <col min="8204" max="8204" width="12.28515625" style="342" customWidth="1"/>
    <col min="8205" max="8205" width="8.42578125" style="342" customWidth="1"/>
    <col min="8206" max="8206" width="10.85546875" style="342" customWidth="1"/>
    <col min="8207" max="8207" width="10.5703125" style="342" bestFit="1" customWidth="1"/>
    <col min="8208" max="8448" width="9.140625" style="342"/>
    <col min="8449" max="8449" width="12.7109375" style="342" customWidth="1"/>
    <col min="8450" max="8450" width="13.7109375" style="342" customWidth="1"/>
    <col min="8451" max="8452" width="9.85546875" style="342" customWidth="1"/>
    <col min="8453" max="8453" width="11.85546875" style="342" customWidth="1"/>
    <col min="8454" max="8454" width="10.85546875" style="342" customWidth="1"/>
    <col min="8455" max="8456" width="10.7109375" style="342" customWidth="1"/>
    <col min="8457" max="8457" width="8.5703125" style="342" customWidth="1"/>
    <col min="8458" max="8458" width="8.140625" style="342" customWidth="1"/>
    <col min="8459" max="8459" width="8.85546875" style="342" customWidth="1"/>
    <col min="8460" max="8460" width="12.28515625" style="342" customWidth="1"/>
    <col min="8461" max="8461" width="8.42578125" style="342" customWidth="1"/>
    <col min="8462" max="8462" width="10.85546875" style="342" customWidth="1"/>
    <col min="8463" max="8463" width="10.5703125" style="342" bestFit="1" customWidth="1"/>
    <col min="8464" max="8704" width="9.140625" style="342"/>
    <col min="8705" max="8705" width="12.7109375" style="342" customWidth="1"/>
    <col min="8706" max="8706" width="13.7109375" style="342" customWidth="1"/>
    <col min="8707" max="8708" width="9.85546875" style="342" customWidth="1"/>
    <col min="8709" max="8709" width="11.85546875" style="342" customWidth="1"/>
    <col min="8710" max="8710" width="10.85546875" style="342" customWidth="1"/>
    <col min="8711" max="8712" width="10.7109375" style="342" customWidth="1"/>
    <col min="8713" max="8713" width="8.5703125" style="342" customWidth="1"/>
    <col min="8714" max="8714" width="8.140625" style="342" customWidth="1"/>
    <col min="8715" max="8715" width="8.85546875" style="342" customWidth="1"/>
    <col min="8716" max="8716" width="12.28515625" style="342" customWidth="1"/>
    <col min="8717" max="8717" width="8.42578125" style="342" customWidth="1"/>
    <col min="8718" max="8718" width="10.85546875" style="342" customWidth="1"/>
    <col min="8719" max="8719" width="10.5703125" style="342" bestFit="1" customWidth="1"/>
    <col min="8720" max="8960" width="9.140625" style="342"/>
    <col min="8961" max="8961" width="12.7109375" style="342" customWidth="1"/>
    <col min="8962" max="8962" width="13.7109375" style="342" customWidth="1"/>
    <col min="8963" max="8964" width="9.85546875" style="342" customWidth="1"/>
    <col min="8965" max="8965" width="11.85546875" style="342" customWidth="1"/>
    <col min="8966" max="8966" width="10.85546875" style="342" customWidth="1"/>
    <col min="8967" max="8968" width="10.7109375" style="342" customWidth="1"/>
    <col min="8969" max="8969" width="8.5703125" style="342" customWidth="1"/>
    <col min="8970" max="8970" width="8.140625" style="342" customWidth="1"/>
    <col min="8971" max="8971" width="8.85546875" style="342" customWidth="1"/>
    <col min="8972" max="8972" width="12.28515625" style="342" customWidth="1"/>
    <col min="8973" max="8973" width="8.42578125" style="342" customWidth="1"/>
    <col min="8974" max="8974" width="10.85546875" style="342" customWidth="1"/>
    <col min="8975" max="8975" width="10.5703125" style="342" bestFit="1" customWidth="1"/>
    <col min="8976" max="9216" width="9.140625" style="342"/>
    <col min="9217" max="9217" width="12.7109375" style="342" customWidth="1"/>
    <col min="9218" max="9218" width="13.7109375" style="342" customWidth="1"/>
    <col min="9219" max="9220" width="9.85546875" style="342" customWidth="1"/>
    <col min="9221" max="9221" width="11.85546875" style="342" customWidth="1"/>
    <col min="9222" max="9222" width="10.85546875" style="342" customWidth="1"/>
    <col min="9223" max="9224" width="10.7109375" style="342" customWidth="1"/>
    <col min="9225" max="9225" width="8.5703125" style="342" customWidth="1"/>
    <col min="9226" max="9226" width="8.140625" style="342" customWidth="1"/>
    <col min="9227" max="9227" width="8.85546875" style="342" customWidth="1"/>
    <col min="9228" max="9228" width="12.28515625" style="342" customWidth="1"/>
    <col min="9229" max="9229" width="8.42578125" style="342" customWidth="1"/>
    <col min="9230" max="9230" width="10.85546875" style="342" customWidth="1"/>
    <col min="9231" max="9231" width="10.5703125" style="342" bestFit="1" customWidth="1"/>
    <col min="9232" max="9472" width="9.140625" style="342"/>
    <col min="9473" max="9473" width="12.7109375" style="342" customWidth="1"/>
    <col min="9474" max="9474" width="13.7109375" style="342" customWidth="1"/>
    <col min="9475" max="9476" width="9.85546875" style="342" customWidth="1"/>
    <col min="9477" max="9477" width="11.85546875" style="342" customWidth="1"/>
    <col min="9478" max="9478" width="10.85546875" style="342" customWidth="1"/>
    <col min="9479" max="9480" width="10.7109375" style="342" customWidth="1"/>
    <col min="9481" max="9481" width="8.5703125" style="342" customWidth="1"/>
    <col min="9482" max="9482" width="8.140625" style="342" customWidth="1"/>
    <col min="9483" max="9483" width="8.85546875" style="342" customWidth="1"/>
    <col min="9484" max="9484" width="12.28515625" style="342" customWidth="1"/>
    <col min="9485" max="9485" width="8.42578125" style="342" customWidth="1"/>
    <col min="9486" max="9486" width="10.85546875" style="342" customWidth="1"/>
    <col min="9487" max="9487" width="10.5703125" style="342" bestFit="1" customWidth="1"/>
    <col min="9488" max="9728" width="9.140625" style="342"/>
    <col min="9729" max="9729" width="12.7109375" style="342" customWidth="1"/>
    <col min="9730" max="9730" width="13.7109375" style="342" customWidth="1"/>
    <col min="9731" max="9732" width="9.85546875" style="342" customWidth="1"/>
    <col min="9733" max="9733" width="11.85546875" style="342" customWidth="1"/>
    <col min="9734" max="9734" width="10.85546875" style="342" customWidth="1"/>
    <col min="9735" max="9736" width="10.7109375" style="342" customWidth="1"/>
    <col min="9737" max="9737" width="8.5703125" style="342" customWidth="1"/>
    <col min="9738" max="9738" width="8.140625" style="342" customWidth="1"/>
    <col min="9739" max="9739" width="8.85546875" style="342" customWidth="1"/>
    <col min="9740" max="9740" width="12.28515625" style="342" customWidth="1"/>
    <col min="9741" max="9741" width="8.42578125" style="342" customWidth="1"/>
    <col min="9742" max="9742" width="10.85546875" style="342" customWidth="1"/>
    <col min="9743" max="9743" width="10.5703125" style="342" bestFit="1" customWidth="1"/>
    <col min="9744" max="9984" width="9.140625" style="342"/>
    <col min="9985" max="9985" width="12.7109375" style="342" customWidth="1"/>
    <col min="9986" max="9986" width="13.7109375" style="342" customWidth="1"/>
    <col min="9987" max="9988" width="9.85546875" style="342" customWidth="1"/>
    <col min="9989" max="9989" width="11.85546875" style="342" customWidth="1"/>
    <col min="9990" max="9990" width="10.85546875" style="342" customWidth="1"/>
    <col min="9991" max="9992" width="10.7109375" style="342" customWidth="1"/>
    <col min="9993" max="9993" width="8.5703125" style="342" customWidth="1"/>
    <col min="9994" max="9994" width="8.140625" style="342" customWidth="1"/>
    <col min="9995" max="9995" width="8.85546875" style="342" customWidth="1"/>
    <col min="9996" max="9996" width="12.28515625" style="342" customWidth="1"/>
    <col min="9997" max="9997" width="8.42578125" style="342" customWidth="1"/>
    <col min="9998" max="9998" width="10.85546875" style="342" customWidth="1"/>
    <col min="9999" max="9999" width="10.5703125" style="342" bestFit="1" customWidth="1"/>
    <col min="10000" max="10240" width="9.140625" style="342"/>
    <col min="10241" max="10241" width="12.7109375" style="342" customWidth="1"/>
    <col min="10242" max="10242" width="13.7109375" style="342" customWidth="1"/>
    <col min="10243" max="10244" width="9.85546875" style="342" customWidth="1"/>
    <col min="10245" max="10245" width="11.85546875" style="342" customWidth="1"/>
    <col min="10246" max="10246" width="10.85546875" style="342" customWidth="1"/>
    <col min="10247" max="10248" width="10.7109375" style="342" customWidth="1"/>
    <col min="10249" max="10249" width="8.5703125" style="342" customWidth="1"/>
    <col min="10250" max="10250" width="8.140625" style="342" customWidth="1"/>
    <col min="10251" max="10251" width="8.85546875" style="342" customWidth="1"/>
    <col min="10252" max="10252" width="12.28515625" style="342" customWidth="1"/>
    <col min="10253" max="10253" width="8.42578125" style="342" customWidth="1"/>
    <col min="10254" max="10254" width="10.85546875" style="342" customWidth="1"/>
    <col min="10255" max="10255" width="10.5703125" style="342" bestFit="1" customWidth="1"/>
    <col min="10256" max="10496" width="9.140625" style="342"/>
    <col min="10497" max="10497" width="12.7109375" style="342" customWidth="1"/>
    <col min="10498" max="10498" width="13.7109375" style="342" customWidth="1"/>
    <col min="10499" max="10500" width="9.85546875" style="342" customWidth="1"/>
    <col min="10501" max="10501" width="11.85546875" style="342" customWidth="1"/>
    <col min="10502" max="10502" width="10.85546875" style="342" customWidth="1"/>
    <col min="10503" max="10504" width="10.7109375" style="342" customWidth="1"/>
    <col min="10505" max="10505" width="8.5703125" style="342" customWidth="1"/>
    <col min="10506" max="10506" width="8.140625" style="342" customWidth="1"/>
    <col min="10507" max="10507" width="8.85546875" style="342" customWidth="1"/>
    <col min="10508" max="10508" width="12.28515625" style="342" customWidth="1"/>
    <col min="10509" max="10509" width="8.42578125" style="342" customWidth="1"/>
    <col min="10510" max="10510" width="10.85546875" style="342" customWidth="1"/>
    <col min="10511" max="10511" width="10.5703125" style="342" bestFit="1" customWidth="1"/>
    <col min="10512" max="10752" width="9.140625" style="342"/>
    <col min="10753" max="10753" width="12.7109375" style="342" customWidth="1"/>
    <col min="10754" max="10754" width="13.7109375" style="342" customWidth="1"/>
    <col min="10755" max="10756" width="9.85546875" style="342" customWidth="1"/>
    <col min="10757" max="10757" width="11.85546875" style="342" customWidth="1"/>
    <col min="10758" max="10758" width="10.85546875" style="342" customWidth="1"/>
    <col min="10759" max="10760" width="10.7109375" style="342" customWidth="1"/>
    <col min="10761" max="10761" width="8.5703125" style="342" customWidth="1"/>
    <col min="10762" max="10762" width="8.140625" style="342" customWidth="1"/>
    <col min="10763" max="10763" width="8.85546875" style="342" customWidth="1"/>
    <col min="10764" max="10764" width="12.28515625" style="342" customWidth="1"/>
    <col min="10765" max="10765" width="8.42578125" style="342" customWidth="1"/>
    <col min="10766" max="10766" width="10.85546875" style="342" customWidth="1"/>
    <col min="10767" max="10767" width="10.5703125" style="342" bestFit="1" customWidth="1"/>
    <col min="10768" max="11008" width="9.140625" style="342"/>
    <col min="11009" max="11009" width="12.7109375" style="342" customWidth="1"/>
    <col min="11010" max="11010" width="13.7109375" style="342" customWidth="1"/>
    <col min="11011" max="11012" width="9.85546875" style="342" customWidth="1"/>
    <col min="11013" max="11013" width="11.85546875" style="342" customWidth="1"/>
    <col min="11014" max="11014" width="10.85546875" style="342" customWidth="1"/>
    <col min="11015" max="11016" width="10.7109375" style="342" customWidth="1"/>
    <col min="11017" max="11017" width="8.5703125" style="342" customWidth="1"/>
    <col min="11018" max="11018" width="8.140625" style="342" customWidth="1"/>
    <col min="11019" max="11019" width="8.85546875" style="342" customWidth="1"/>
    <col min="11020" max="11020" width="12.28515625" style="342" customWidth="1"/>
    <col min="11021" max="11021" width="8.42578125" style="342" customWidth="1"/>
    <col min="11022" max="11022" width="10.85546875" style="342" customWidth="1"/>
    <col min="11023" max="11023" width="10.5703125" style="342" bestFit="1" customWidth="1"/>
    <col min="11024" max="11264" width="9.140625" style="342"/>
    <col min="11265" max="11265" width="12.7109375" style="342" customWidth="1"/>
    <col min="11266" max="11266" width="13.7109375" style="342" customWidth="1"/>
    <col min="11267" max="11268" width="9.85546875" style="342" customWidth="1"/>
    <col min="11269" max="11269" width="11.85546875" style="342" customWidth="1"/>
    <col min="11270" max="11270" width="10.85546875" style="342" customWidth="1"/>
    <col min="11271" max="11272" width="10.7109375" style="342" customWidth="1"/>
    <col min="11273" max="11273" width="8.5703125" style="342" customWidth="1"/>
    <col min="11274" max="11274" width="8.140625" style="342" customWidth="1"/>
    <col min="11275" max="11275" width="8.85546875" style="342" customWidth="1"/>
    <col min="11276" max="11276" width="12.28515625" style="342" customWidth="1"/>
    <col min="11277" max="11277" width="8.42578125" style="342" customWidth="1"/>
    <col min="11278" max="11278" width="10.85546875" style="342" customWidth="1"/>
    <col min="11279" max="11279" width="10.5703125" style="342" bestFit="1" customWidth="1"/>
    <col min="11280" max="11520" width="9.140625" style="342"/>
    <col min="11521" max="11521" width="12.7109375" style="342" customWidth="1"/>
    <col min="11522" max="11522" width="13.7109375" style="342" customWidth="1"/>
    <col min="11523" max="11524" width="9.85546875" style="342" customWidth="1"/>
    <col min="11525" max="11525" width="11.85546875" style="342" customWidth="1"/>
    <col min="11526" max="11526" width="10.85546875" style="342" customWidth="1"/>
    <col min="11527" max="11528" width="10.7109375" style="342" customWidth="1"/>
    <col min="11529" max="11529" width="8.5703125" style="342" customWidth="1"/>
    <col min="11530" max="11530" width="8.140625" style="342" customWidth="1"/>
    <col min="11531" max="11531" width="8.85546875" style="342" customWidth="1"/>
    <col min="11532" max="11532" width="12.28515625" style="342" customWidth="1"/>
    <col min="11533" max="11533" width="8.42578125" style="342" customWidth="1"/>
    <col min="11534" max="11534" width="10.85546875" style="342" customWidth="1"/>
    <col min="11535" max="11535" width="10.5703125" style="342" bestFit="1" customWidth="1"/>
    <col min="11536" max="11776" width="9.140625" style="342"/>
    <col min="11777" max="11777" width="12.7109375" style="342" customWidth="1"/>
    <col min="11778" max="11778" width="13.7109375" style="342" customWidth="1"/>
    <col min="11779" max="11780" width="9.85546875" style="342" customWidth="1"/>
    <col min="11781" max="11781" width="11.85546875" style="342" customWidth="1"/>
    <col min="11782" max="11782" width="10.85546875" style="342" customWidth="1"/>
    <col min="11783" max="11784" width="10.7109375" style="342" customWidth="1"/>
    <col min="11785" max="11785" width="8.5703125" style="342" customWidth="1"/>
    <col min="11786" max="11786" width="8.140625" style="342" customWidth="1"/>
    <col min="11787" max="11787" width="8.85546875" style="342" customWidth="1"/>
    <col min="11788" max="11788" width="12.28515625" style="342" customWidth="1"/>
    <col min="11789" max="11789" width="8.42578125" style="342" customWidth="1"/>
    <col min="11790" max="11790" width="10.85546875" style="342" customWidth="1"/>
    <col min="11791" max="11791" width="10.5703125" style="342" bestFit="1" customWidth="1"/>
    <col min="11792" max="12032" width="9.140625" style="342"/>
    <col min="12033" max="12033" width="12.7109375" style="342" customWidth="1"/>
    <col min="12034" max="12034" width="13.7109375" style="342" customWidth="1"/>
    <col min="12035" max="12036" width="9.85546875" style="342" customWidth="1"/>
    <col min="12037" max="12037" width="11.85546875" style="342" customWidth="1"/>
    <col min="12038" max="12038" width="10.85546875" style="342" customWidth="1"/>
    <col min="12039" max="12040" width="10.7109375" style="342" customWidth="1"/>
    <col min="12041" max="12041" width="8.5703125" style="342" customWidth="1"/>
    <col min="12042" max="12042" width="8.140625" style="342" customWidth="1"/>
    <col min="12043" max="12043" width="8.85546875" style="342" customWidth="1"/>
    <col min="12044" max="12044" width="12.28515625" style="342" customWidth="1"/>
    <col min="12045" max="12045" width="8.42578125" style="342" customWidth="1"/>
    <col min="12046" max="12046" width="10.85546875" style="342" customWidth="1"/>
    <col min="12047" max="12047" width="10.5703125" style="342" bestFit="1" customWidth="1"/>
    <col min="12048" max="12288" width="9.140625" style="342"/>
    <col min="12289" max="12289" width="12.7109375" style="342" customWidth="1"/>
    <col min="12290" max="12290" width="13.7109375" style="342" customWidth="1"/>
    <col min="12291" max="12292" width="9.85546875" style="342" customWidth="1"/>
    <col min="12293" max="12293" width="11.85546875" style="342" customWidth="1"/>
    <col min="12294" max="12294" width="10.85546875" style="342" customWidth="1"/>
    <col min="12295" max="12296" width="10.7109375" style="342" customWidth="1"/>
    <col min="12297" max="12297" width="8.5703125" style="342" customWidth="1"/>
    <col min="12298" max="12298" width="8.140625" style="342" customWidth="1"/>
    <col min="12299" max="12299" width="8.85546875" style="342" customWidth="1"/>
    <col min="12300" max="12300" width="12.28515625" style="342" customWidth="1"/>
    <col min="12301" max="12301" width="8.42578125" style="342" customWidth="1"/>
    <col min="12302" max="12302" width="10.85546875" style="342" customWidth="1"/>
    <col min="12303" max="12303" width="10.5703125" style="342" bestFit="1" customWidth="1"/>
    <col min="12304" max="12544" width="9.140625" style="342"/>
    <col min="12545" max="12545" width="12.7109375" style="342" customWidth="1"/>
    <col min="12546" max="12546" width="13.7109375" style="342" customWidth="1"/>
    <col min="12547" max="12548" width="9.85546875" style="342" customWidth="1"/>
    <col min="12549" max="12549" width="11.85546875" style="342" customWidth="1"/>
    <col min="12550" max="12550" width="10.85546875" style="342" customWidth="1"/>
    <col min="12551" max="12552" width="10.7109375" style="342" customWidth="1"/>
    <col min="12553" max="12553" width="8.5703125" style="342" customWidth="1"/>
    <col min="12554" max="12554" width="8.140625" style="342" customWidth="1"/>
    <col min="12555" max="12555" width="8.85546875" style="342" customWidth="1"/>
    <col min="12556" max="12556" width="12.28515625" style="342" customWidth="1"/>
    <col min="12557" max="12557" width="8.42578125" style="342" customWidth="1"/>
    <col min="12558" max="12558" width="10.85546875" style="342" customWidth="1"/>
    <col min="12559" max="12559" width="10.5703125" style="342" bestFit="1" customWidth="1"/>
    <col min="12560" max="12800" width="9.140625" style="342"/>
    <col min="12801" max="12801" width="12.7109375" style="342" customWidth="1"/>
    <col min="12802" max="12802" width="13.7109375" style="342" customWidth="1"/>
    <col min="12803" max="12804" width="9.85546875" style="342" customWidth="1"/>
    <col min="12805" max="12805" width="11.85546875" style="342" customWidth="1"/>
    <col min="12806" max="12806" width="10.85546875" style="342" customWidth="1"/>
    <col min="12807" max="12808" width="10.7109375" style="342" customWidth="1"/>
    <col min="12809" max="12809" width="8.5703125" style="342" customWidth="1"/>
    <col min="12810" max="12810" width="8.140625" style="342" customWidth="1"/>
    <col min="12811" max="12811" width="8.85546875" style="342" customWidth="1"/>
    <col min="12812" max="12812" width="12.28515625" style="342" customWidth="1"/>
    <col min="12813" max="12813" width="8.42578125" style="342" customWidth="1"/>
    <col min="12814" max="12814" width="10.85546875" style="342" customWidth="1"/>
    <col min="12815" max="12815" width="10.5703125" style="342" bestFit="1" customWidth="1"/>
    <col min="12816" max="13056" width="9.140625" style="342"/>
    <col min="13057" max="13057" width="12.7109375" style="342" customWidth="1"/>
    <col min="13058" max="13058" width="13.7109375" style="342" customWidth="1"/>
    <col min="13059" max="13060" width="9.85546875" style="342" customWidth="1"/>
    <col min="13061" max="13061" width="11.85546875" style="342" customWidth="1"/>
    <col min="13062" max="13062" width="10.85546875" style="342" customWidth="1"/>
    <col min="13063" max="13064" width="10.7109375" style="342" customWidth="1"/>
    <col min="13065" max="13065" width="8.5703125" style="342" customWidth="1"/>
    <col min="13066" max="13066" width="8.140625" style="342" customWidth="1"/>
    <col min="13067" max="13067" width="8.85546875" style="342" customWidth="1"/>
    <col min="13068" max="13068" width="12.28515625" style="342" customWidth="1"/>
    <col min="13069" max="13069" width="8.42578125" style="342" customWidth="1"/>
    <col min="13070" max="13070" width="10.85546875" style="342" customWidth="1"/>
    <col min="13071" max="13071" width="10.5703125" style="342" bestFit="1" customWidth="1"/>
    <col min="13072" max="13312" width="9.140625" style="342"/>
    <col min="13313" max="13313" width="12.7109375" style="342" customWidth="1"/>
    <col min="13314" max="13314" width="13.7109375" style="342" customWidth="1"/>
    <col min="13315" max="13316" width="9.85546875" style="342" customWidth="1"/>
    <col min="13317" max="13317" width="11.85546875" style="342" customWidth="1"/>
    <col min="13318" max="13318" width="10.85546875" style="342" customWidth="1"/>
    <col min="13319" max="13320" width="10.7109375" style="342" customWidth="1"/>
    <col min="13321" max="13321" width="8.5703125" style="342" customWidth="1"/>
    <col min="13322" max="13322" width="8.140625" style="342" customWidth="1"/>
    <col min="13323" max="13323" width="8.85546875" style="342" customWidth="1"/>
    <col min="13324" max="13324" width="12.28515625" style="342" customWidth="1"/>
    <col min="13325" max="13325" width="8.42578125" style="342" customWidth="1"/>
    <col min="13326" max="13326" width="10.85546875" style="342" customWidth="1"/>
    <col min="13327" max="13327" width="10.5703125" style="342" bestFit="1" customWidth="1"/>
    <col min="13328" max="13568" width="9.140625" style="342"/>
    <col min="13569" max="13569" width="12.7109375" style="342" customWidth="1"/>
    <col min="13570" max="13570" width="13.7109375" style="342" customWidth="1"/>
    <col min="13571" max="13572" width="9.85546875" style="342" customWidth="1"/>
    <col min="13573" max="13573" width="11.85546875" style="342" customWidth="1"/>
    <col min="13574" max="13574" width="10.85546875" style="342" customWidth="1"/>
    <col min="13575" max="13576" width="10.7109375" style="342" customWidth="1"/>
    <col min="13577" max="13577" width="8.5703125" style="342" customWidth="1"/>
    <col min="13578" max="13578" width="8.140625" style="342" customWidth="1"/>
    <col min="13579" max="13579" width="8.85546875" style="342" customWidth="1"/>
    <col min="13580" max="13580" width="12.28515625" style="342" customWidth="1"/>
    <col min="13581" max="13581" width="8.42578125" style="342" customWidth="1"/>
    <col min="13582" max="13582" width="10.85546875" style="342" customWidth="1"/>
    <col min="13583" max="13583" width="10.5703125" style="342" bestFit="1" customWidth="1"/>
    <col min="13584" max="13824" width="9.140625" style="342"/>
    <col min="13825" max="13825" width="12.7109375" style="342" customWidth="1"/>
    <col min="13826" max="13826" width="13.7109375" style="342" customWidth="1"/>
    <col min="13827" max="13828" width="9.85546875" style="342" customWidth="1"/>
    <col min="13829" max="13829" width="11.85546875" style="342" customWidth="1"/>
    <col min="13830" max="13830" width="10.85546875" style="342" customWidth="1"/>
    <col min="13831" max="13832" width="10.7109375" style="342" customWidth="1"/>
    <col min="13833" max="13833" width="8.5703125" style="342" customWidth="1"/>
    <col min="13834" max="13834" width="8.140625" style="342" customWidth="1"/>
    <col min="13835" max="13835" width="8.85546875" style="342" customWidth="1"/>
    <col min="13836" max="13836" width="12.28515625" style="342" customWidth="1"/>
    <col min="13837" max="13837" width="8.42578125" style="342" customWidth="1"/>
    <col min="13838" max="13838" width="10.85546875" style="342" customWidth="1"/>
    <col min="13839" max="13839" width="10.5703125" style="342" bestFit="1" customWidth="1"/>
    <col min="13840" max="14080" width="9.140625" style="342"/>
    <col min="14081" max="14081" width="12.7109375" style="342" customWidth="1"/>
    <col min="14082" max="14082" width="13.7109375" style="342" customWidth="1"/>
    <col min="14083" max="14084" width="9.85546875" style="342" customWidth="1"/>
    <col min="14085" max="14085" width="11.85546875" style="342" customWidth="1"/>
    <col min="14086" max="14086" width="10.85546875" style="342" customWidth="1"/>
    <col min="14087" max="14088" width="10.7109375" style="342" customWidth="1"/>
    <col min="14089" max="14089" width="8.5703125" style="342" customWidth="1"/>
    <col min="14090" max="14090" width="8.140625" style="342" customWidth="1"/>
    <col min="14091" max="14091" width="8.85546875" style="342" customWidth="1"/>
    <col min="14092" max="14092" width="12.28515625" style="342" customWidth="1"/>
    <col min="14093" max="14093" width="8.42578125" style="342" customWidth="1"/>
    <col min="14094" max="14094" width="10.85546875" style="342" customWidth="1"/>
    <col min="14095" max="14095" width="10.5703125" style="342" bestFit="1" customWidth="1"/>
    <col min="14096" max="14336" width="9.140625" style="342"/>
    <col min="14337" max="14337" width="12.7109375" style="342" customWidth="1"/>
    <col min="14338" max="14338" width="13.7109375" style="342" customWidth="1"/>
    <col min="14339" max="14340" width="9.85546875" style="342" customWidth="1"/>
    <col min="14341" max="14341" width="11.85546875" style="342" customWidth="1"/>
    <col min="14342" max="14342" width="10.85546875" style="342" customWidth="1"/>
    <col min="14343" max="14344" width="10.7109375" style="342" customWidth="1"/>
    <col min="14345" max="14345" width="8.5703125" style="342" customWidth="1"/>
    <col min="14346" max="14346" width="8.140625" style="342" customWidth="1"/>
    <col min="14347" max="14347" width="8.85546875" style="342" customWidth="1"/>
    <col min="14348" max="14348" width="12.28515625" style="342" customWidth="1"/>
    <col min="14349" max="14349" width="8.42578125" style="342" customWidth="1"/>
    <col min="14350" max="14350" width="10.85546875" style="342" customWidth="1"/>
    <col min="14351" max="14351" width="10.5703125" style="342" bestFit="1" customWidth="1"/>
    <col min="14352" max="14592" width="9.140625" style="342"/>
    <col min="14593" max="14593" width="12.7109375" style="342" customWidth="1"/>
    <col min="14594" max="14594" width="13.7109375" style="342" customWidth="1"/>
    <col min="14595" max="14596" width="9.85546875" style="342" customWidth="1"/>
    <col min="14597" max="14597" width="11.85546875" style="342" customWidth="1"/>
    <col min="14598" max="14598" width="10.85546875" style="342" customWidth="1"/>
    <col min="14599" max="14600" width="10.7109375" style="342" customWidth="1"/>
    <col min="14601" max="14601" width="8.5703125" style="342" customWidth="1"/>
    <col min="14602" max="14602" width="8.140625" style="342" customWidth="1"/>
    <col min="14603" max="14603" width="8.85546875" style="342" customWidth="1"/>
    <col min="14604" max="14604" width="12.28515625" style="342" customWidth="1"/>
    <col min="14605" max="14605" width="8.42578125" style="342" customWidth="1"/>
    <col min="14606" max="14606" width="10.85546875" style="342" customWidth="1"/>
    <col min="14607" max="14607" width="10.5703125" style="342" bestFit="1" customWidth="1"/>
    <col min="14608" max="14848" width="9.140625" style="342"/>
    <col min="14849" max="14849" width="12.7109375" style="342" customWidth="1"/>
    <col min="14850" max="14850" width="13.7109375" style="342" customWidth="1"/>
    <col min="14851" max="14852" width="9.85546875" style="342" customWidth="1"/>
    <col min="14853" max="14853" width="11.85546875" style="342" customWidth="1"/>
    <col min="14854" max="14854" width="10.85546875" style="342" customWidth="1"/>
    <col min="14855" max="14856" width="10.7109375" style="342" customWidth="1"/>
    <col min="14857" max="14857" width="8.5703125" style="342" customWidth="1"/>
    <col min="14858" max="14858" width="8.140625" style="342" customWidth="1"/>
    <col min="14859" max="14859" width="8.85546875" style="342" customWidth="1"/>
    <col min="14860" max="14860" width="12.28515625" style="342" customWidth="1"/>
    <col min="14861" max="14861" width="8.42578125" style="342" customWidth="1"/>
    <col min="14862" max="14862" width="10.85546875" style="342" customWidth="1"/>
    <col min="14863" max="14863" width="10.5703125" style="342" bestFit="1" customWidth="1"/>
    <col min="14864" max="15104" width="9.140625" style="342"/>
    <col min="15105" max="15105" width="12.7109375" style="342" customWidth="1"/>
    <col min="15106" max="15106" width="13.7109375" style="342" customWidth="1"/>
    <col min="15107" max="15108" width="9.85546875" style="342" customWidth="1"/>
    <col min="15109" max="15109" width="11.85546875" style="342" customWidth="1"/>
    <col min="15110" max="15110" width="10.85546875" style="342" customWidth="1"/>
    <col min="15111" max="15112" width="10.7109375" style="342" customWidth="1"/>
    <col min="15113" max="15113" width="8.5703125" style="342" customWidth="1"/>
    <col min="15114" max="15114" width="8.140625" style="342" customWidth="1"/>
    <col min="15115" max="15115" width="8.85546875" style="342" customWidth="1"/>
    <col min="15116" max="15116" width="12.28515625" style="342" customWidth="1"/>
    <col min="15117" max="15117" width="8.42578125" style="342" customWidth="1"/>
    <col min="15118" max="15118" width="10.85546875" style="342" customWidth="1"/>
    <col min="15119" max="15119" width="10.5703125" style="342" bestFit="1" customWidth="1"/>
    <col min="15120" max="15360" width="9.140625" style="342"/>
    <col min="15361" max="15361" width="12.7109375" style="342" customWidth="1"/>
    <col min="15362" max="15362" width="13.7109375" style="342" customWidth="1"/>
    <col min="15363" max="15364" width="9.85546875" style="342" customWidth="1"/>
    <col min="15365" max="15365" width="11.85546875" style="342" customWidth="1"/>
    <col min="15366" max="15366" width="10.85546875" style="342" customWidth="1"/>
    <col min="15367" max="15368" width="10.7109375" style="342" customWidth="1"/>
    <col min="15369" max="15369" width="8.5703125" style="342" customWidth="1"/>
    <col min="15370" max="15370" width="8.140625" style="342" customWidth="1"/>
    <col min="15371" max="15371" width="8.85546875" style="342" customWidth="1"/>
    <col min="15372" max="15372" width="12.28515625" style="342" customWidth="1"/>
    <col min="15373" max="15373" width="8.42578125" style="342" customWidth="1"/>
    <col min="15374" max="15374" width="10.85546875" style="342" customWidth="1"/>
    <col min="15375" max="15375" width="10.5703125" style="342" bestFit="1" customWidth="1"/>
    <col min="15376" max="15616" width="9.140625" style="342"/>
    <col min="15617" max="15617" width="12.7109375" style="342" customWidth="1"/>
    <col min="15618" max="15618" width="13.7109375" style="342" customWidth="1"/>
    <col min="15619" max="15620" width="9.85546875" style="342" customWidth="1"/>
    <col min="15621" max="15621" width="11.85546875" style="342" customWidth="1"/>
    <col min="15622" max="15622" width="10.85546875" style="342" customWidth="1"/>
    <col min="15623" max="15624" width="10.7109375" style="342" customWidth="1"/>
    <col min="15625" max="15625" width="8.5703125" style="342" customWidth="1"/>
    <col min="15626" max="15626" width="8.140625" style="342" customWidth="1"/>
    <col min="15627" max="15627" width="8.85546875" style="342" customWidth="1"/>
    <col min="15628" max="15628" width="12.28515625" style="342" customWidth="1"/>
    <col min="15629" max="15629" width="8.42578125" style="342" customWidth="1"/>
    <col min="15630" max="15630" width="10.85546875" style="342" customWidth="1"/>
    <col min="15631" max="15631" width="10.5703125" style="342" bestFit="1" customWidth="1"/>
    <col min="15632" max="15872" width="9.140625" style="342"/>
    <col min="15873" max="15873" width="12.7109375" style="342" customWidth="1"/>
    <col min="15874" max="15874" width="13.7109375" style="342" customWidth="1"/>
    <col min="15875" max="15876" width="9.85546875" style="342" customWidth="1"/>
    <col min="15877" max="15877" width="11.85546875" style="342" customWidth="1"/>
    <col min="15878" max="15878" width="10.85546875" style="342" customWidth="1"/>
    <col min="15879" max="15880" width="10.7109375" style="342" customWidth="1"/>
    <col min="15881" max="15881" width="8.5703125" style="342" customWidth="1"/>
    <col min="15882" max="15882" width="8.140625" style="342" customWidth="1"/>
    <col min="15883" max="15883" width="8.85546875" style="342" customWidth="1"/>
    <col min="15884" max="15884" width="12.28515625" style="342" customWidth="1"/>
    <col min="15885" max="15885" width="8.42578125" style="342" customWidth="1"/>
    <col min="15886" max="15886" width="10.85546875" style="342" customWidth="1"/>
    <col min="15887" max="15887" width="10.5703125" style="342" bestFit="1" customWidth="1"/>
    <col min="15888" max="16128" width="9.140625" style="342"/>
    <col min="16129" max="16129" width="12.7109375" style="342" customWidth="1"/>
    <col min="16130" max="16130" width="13.7109375" style="342" customWidth="1"/>
    <col min="16131" max="16132" width="9.85546875" style="342" customWidth="1"/>
    <col min="16133" max="16133" width="11.85546875" style="342" customWidth="1"/>
    <col min="16134" max="16134" width="10.85546875" style="342" customWidth="1"/>
    <col min="16135" max="16136" width="10.7109375" style="342" customWidth="1"/>
    <col min="16137" max="16137" width="8.5703125" style="342" customWidth="1"/>
    <col min="16138" max="16138" width="8.140625" style="342" customWidth="1"/>
    <col min="16139" max="16139" width="8.85546875" style="342" customWidth="1"/>
    <col min="16140" max="16140" width="12.28515625" style="342" customWidth="1"/>
    <col min="16141" max="16141" width="8.42578125" style="342" customWidth="1"/>
    <col min="16142" max="16142" width="10.85546875" style="342" customWidth="1"/>
    <col min="16143" max="16143" width="10.5703125" style="342" bestFit="1" customWidth="1"/>
    <col min="16144" max="16384" width="9.140625" style="342"/>
  </cols>
  <sheetData>
    <row r="1" spans="1:13" ht="15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</row>
    <row r="2" spans="1:13" ht="15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</row>
    <row r="3" spans="1:13">
      <c r="A3" s="1114" t="s">
        <v>1214</v>
      </c>
      <c r="B3" s="1115"/>
      <c r="C3" s="1113" t="s">
        <v>5466</v>
      </c>
      <c r="D3" s="1113"/>
      <c r="E3" s="1116" t="s">
        <v>5369</v>
      </c>
      <c r="F3" s="1115"/>
      <c r="G3" s="419">
        <v>906160201</v>
      </c>
      <c r="H3" s="1116" t="s">
        <v>5370</v>
      </c>
      <c r="I3" s="1115"/>
      <c r="J3" s="419">
        <v>853.14599999999996</v>
      </c>
      <c r="K3" s="1116" t="s">
        <v>5371</v>
      </c>
      <c r="L3" s="1115"/>
      <c r="M3" s="420">
        <v>80</v>
      </c>
    </row>
    <row r="4" spans="1:13" ht="15">
      <c r="A4" s="808" t="s">
        <v>4176</v>
      </c>
      <c r="B4" s="808"/>
      <c r="C4" s="808"/>
      <c r="D4" s="421"/>
      <c r="E4" s="421"/>
      <c r="F4" s="421"/>
      <c r="G4" s="421"/>
      <c r="H4" s="422"/>
      <c r="I4" s="422"/>
      <c r="J4" s="422"/>
      <c r="K4" s="422"/>
      <c r="L4" s="422"/>
    </row>
    <row r="5" spans="1:13">
      <c r="A5" s="1114" t="s">
        <v>832</v>
      </c>
      <c r="B5" s="1115"/>
      <c r="C5" s="1113" t="s">
        <v>5467</v>
      </c>
      <c r="D5" s="1113"/>
      <c r="E5" s="1116" t="s">
        <v>5373</v>
      </c>
      <c r="F5" s="1115"/>
      <c r="G5" s="1108" t="s">
        <v>5468</v>
      </c>
      <c r="H5" s="1108"/>
      <c r="I5" s="423"/>
      <c r="K5" s="423"/>
      <c r="L5" s="422"/>
    </row>
    <row r="6" spans="1:13">
      <c r="A6" s="421"/>
      <c r="B6" s="422"/>
      <c r="C6" s="421"/>
      <c r="D6" s="421"/>
      <c r="E6" s="421"/>
      <c r="F6" s="421"/>
      <c r="G6" s="421"/>
      <c r="H6" s="422"/>
      <c r="I6" s="422"/>
      <c r="J6" s="422"/>
      <c r="K6" s="422"/>
      <c r="L6" s="422"/>
    </row>
    <row r="7" spans="1:13">
      <c r="A7" s="1114" t="s">
        <v>618</v>
      </c>
      <c r="B7" s="1115"/>
      <c r="C7" s="1113" t="s">
        <v>5469</v>
      </c>
      <c r="D7" s="1113"/>
      <c r="E7" s="1117" t="s">
        <v>1206</v>
      </c>
      <c r="F7" s="1118"/>
      <c r="G7" s="1100" t="s">
        <v>5470</v>
      </c>
      <c r="H7" s="1100"/>
      <c r="I7" s="422"/>
      <c r="J7" s="422"/>
      <c r="K7" s="422"/>
      <c r="L7" s="422"/>
    </row>
    <row r="8" spans="1:13">
      <c r="A8" s="421"/>
      <c r="B8" s="422"/>
      <c r="C8" s="421"/>
      <c r="D8" s="421"/>
      <c r="E8" s="421"/>
      <c r="F8" s="421"/>
      <c r="G8" s="421"/>
      <c r="H8" s="422"/>
      <c r="I8" s="422"/>
      <c r="J8" s="422"/>
      <c r="K8" s="422"/>
      <c r="L8" s="422"/>
    </row>
    <row r="9" spans="1:13">
      <c r="A9" s="1108" t="s">
        <v>838</v>
      </c>
      <c r="B9" s="1108"/>
      <c r="C9" s="1108"/>
      <c r="D9" s="1113" t="s">
        <v>5471</v>
      </c>
      <c r="E9" s="1113"/>
      <c r="F9" s="1108" t="s">
        <v>5472</v>
      </c>
      <c r="G9" s="1108"/>
      <c r="H9" s="1108" t="s">
        <v>5473</v>
      </c>
      <c r="I9" s="1108"/>
      <c r="J9" s="1112" t="s">
        <v>5474</v>
      </c>
      <c r="K9" s="1112"/>
      <c r="L9" s="420" t="s">
        <v>5430</v>
      </c>
    </row>
    <row r="10" spans="1:13" ht="24">
      <c r="A10" s="1108" t="s">
        <v>1203</v>
      </c>
      <c r="B10" s="1108"/>
      <c r="C10" s="1108"/>
      <c r="D10" s="1113" t="s">
        <v>5475</v>
      </c>
      <c r="E10" s="1113"/>
      <c r="F10" s="1108" t="s">
        <v>5476</v>
      </c>
      <c r="G10" s="1108"/>
      <c r="H10" s="1108" t="s">
        <v>5477</v>
      </c>
      <c r="I10" s="1108"/>
      <c r="J10" s="1112"/>
      <c r="K10" s="1112"/>
      <c r="L10" s="424" t="s">
        <v>5478</v>
      </c>
    </row>
    <row r="11" spans="1:13" ht="24">
      <c r="A11" s="1108" t="s">
        <v>1202</v>
      </c>
      <c r="B11" s="1108"/>
      <c r="C11" s="1108"/>
      <c r="D11" s="1109" t="s">
        <v>5479</v>
      </c>
      <c r="E11" s="1110"/>
      <c r="F11" s="1108" t="s">
        <v>5480</v>
      </c>
      <c r="G11" s="1108"/>
      <c r="H11" s="1111" t="s">
        <v>5481</v>
      </c>
      <c r="I11" s="1111"/>
      <c r="J11" s="1112" t="s">
        <v>5482</v>
      </c>
      <c r="K11" s="1112"/>
      <c r="L11" s="424" t="s">
        <v>5483</v>
      </c>
    </row>
    <row r="12" spans="1:13">
      <c r="A12" s="1108" t="s">
        <v>1196</v>
      </c>
      <c r="B12" s="1108"/>
      <c r="C12" s="1108"/>
      <c r="D12" s="1113" t="s">
        <v>5484</v>
      </c>
      <c r="E12" s="1113"/>
      <c r="F12" s="1108" t="s">
        <v>5485</v>
      </c>
      <c r="G12" s="1108"/>
      <c r="H12" s="1108" t="s">
        <v>1237</v>
      </c>
      <c r="I12" s="1108"/>
      <c r="J12" s="1112"/>
      <c r="K12" s="1112"/>
      <c r="L12" s="420"/>
    </row>
    <row r="13" spans="1:13">
      <c r="A13" s="421"/>
      <c r="B13" s="422"/>
      <c r="C13" s="421"/>
      <c r="D13" s="421"/>
      <c r="E13" s="421"/>
      <c r="F13" s="421"/>
      <c r="G13" s="421"/>
      <c r="H13" s="422"/>
      <c r="I13" s="422"/>
      <c r="J13" s="422"/>
      <c r="K13" s="422"/>
      <c r="L13" s="422"/>
    </row>
    <row r="14" spans="1:13">
      <c r="A14" s="1101" t="s">
        <v>1194</v>
      </c>
      <c r="B14" s="1102"/>
      <c r="C14" s="552">
        <v>5</v>
      </c>
      <c r="D14" s="1103" t="s">
        <v>1193</v>
      </c>
      <c r="E14" s="1101"/>
      <c r="F14" s="424">
        <v>5</v>
      </c>
      <c r="G14" s="421" t="s">
        <v>643</v>
      </c>
      <c r="H14" s="424">
        <v>15</v>
      </c>
      <c r="I14" s="421" t="s">
        <v>644</v>
      </c>
      <c r="J14" s="420">
        <v>2</v>
      </c>
      <c r="K14" s="422" t="s">
        <v>645</v>
      </c>
      <c r="L14" s="420">
        <v>10</v>
      </c>
    </row>
    <row r="15" spans="1:13">
      <c r="A15" s="421"/>
      <c r="B15" s="425"/>
      <c r="C15" s="421"/>
      <c r="D15" s="423"/>
      <c r="E15" s="421"/>
      <c r="F15" s="423"/>
      <c r="G15" s="421"/>
      <c r="H15" s="426"/>
      <c r="I15" s="422"/>
      <c r="J15" s="422"/>
      <c r="K15" s="422"/>
      <c r="L15" s="422"/>
    </row>
    <row r="16" spans="1:13" ht="22.5">
      <c r="A16" s="427" t="s">
        <v>1192</v>
      </c>
      <c r="B16" s="428" t="s">
        <v>204</v>
      </c>
      <c r="C16" s="552">
        <f>45+11+84+18+40</f>
        <v>198</v>
      </c>
      <c r="D16" s="550" t="s">
        <v>205</v>
      </c>
      <c r="E16" s="552">
        <v>22</v>
      </c>
      <c r="F16" s="421" t="s">
        <v>206</v>
      </c>
      <c r="G16" s="552">
        <v>1</v>
      </c>
      <c r="H16" s="422" t="s">
        <v>230</v>
      </c>
      <c r="I16" s="552">
        <f>G16+E16+C16</f>
        <v>221</v>
      </c>
      <c r="J16" s="422" t="s">
        <v>207</v>
      </c>
      <c r="K16" s="420">
        <v>37</v>
      </c>
      <c r="L16" s="427" t="s">
        <v>855</v>
      </c>
      <c r="M16" s="343">
        <v>12</v>
      </c>
    </row>
    <row r="17" spans="1:15">
      <c r="A17" s="1104" t="s">
        <v>1191</v>
      </c>
      <c r="B17" s="428" t="s">
        <v>210</v>
      </c>
      <c r="C17" s="552">
        <v>654</v>
      </c>
      <c r="D17" s="550" t="s">
        <v>211</v>
      </c>
      <c r="E17" s="552">
        <v>72</v>
      </c>
      <c r="F17" s="421" t="s">
        <v>212</v>
      </c>
      <c r="G17" s="552">
        <v>2</v>
      </c>
      <c r="H17" s="422" t="s">
        <v>411</v>
      </c>
      <c r="I17" s="552">
        <f>G17+E17+C17</f>
        <v>728</v>
      </c>
      <c r="J17" s="426"/>
      <c r="K17" s="426"/>
      <c r="L17" s="426"/>
      <c r="M17" s="429"/>
    </row>
    <row r="18" spans="1:15" ht="24">
      <c r="A18" s="1104"/>
      <c r="B18" s="428" t="s">
        <v>213</v>
      </c>
      <c r="C18" s="552">
        <v>645</v>
      </c>
      <c r="D18" s="550" t="s">
        <v>214</v>
      </c>
      <c r="E18" s="552">
        <v>78</v>
      </c>
      <c r="F18" s="421" t="s">
        <v>215</v>
      </c>
      <c r="G18" s="552">
        <v>2</v>
      </c>
      <c r="H18" s="422" t="s">
        <v>410</v>
      </c>
      <c r="I18" s="552">
        <f>G18+E18+C18</f>
        <v>725</v>
      </c>
      <c r="J18" s="426"/>
      <c r="K18" s="426"/>
      <c r="L18" s="426"/>
      <c r="M18" s="429"/>
    </row>
    <row r="19" spans="1:15">
      <c r="A19" s="421"/>
      <c r="B19" s="422"/>
      <c r="C19" s="421"/>
      <c r="D19" s="421"/>
      <c r="E19" s="421"/>
      <c r="F19" s="421"/>
      <c r="G19" s="421"/>
      <c r="H19" s="422"/>
      <c r="I19" s="422"/>
      <c r="J19" s="422"/>
      <c r="K19" s="422"/>
      <c r="L19" s="422"/>
    </row>
    <row r="20" spans="1:15">
      <c r="A20" s="1105" t="s">
        <v>409</v>
      </c>
      <c r="B20" s="1105"/>
      <c r="C20" s="421"/>
      <c r="D20" s="421"/>
      <c r="E20" s="421"/>
      <c r="F20" s="421"/>
      <c r="G20" s="421"/>
      <c r="H20" s="422"/>
      <c r="I20" s="422"/>
      <c r="J20" s="422"/>
      <c r="K20" s="422"/>
      <c r="L20" s="422"/>
    </row>
    <row r="21" spans="1:15">
      <c r="A21" s="1148" t="s">
        <v>1190</v>
      </c>
      <c r="B21" s="1148"/>
      <c r="C21" s="1149" t="s">
        <v>1189</v>
      </c>
      <c r="D21" s="1143" t="s">
        <v>219</v>
      </c>
      <c r="E21" s="1143" t="s">
        <v>5384</v>
      </c>
      <c r="F21" s="1143" t="s">
        <v>5385</v>
      </c>
      <c r="G21" s="1145" t="s">
        <v>5386</v>
      </c>
      <c r="H21" s="1146"/>
      <c r="I21" s="1146"/>
      <c r="J21" s="1146"/>
      <c r="K21" s="1146"/>
      <c r="L21" s="1146"/>
      <c r="M21" s="1147"/>
      <c r="N21" s="474"/>
      <c r="O21" s="474"/>
    </row>
    <row r="22" spans="1:15" ht="24">
      <c r="A22" s="1148"/>
      <c r="B22" s="1148"/>
      <c r="C22" s="1150"/>
      <c r="D22" s="1144"/>
      <c r="E22" s="1144"/>
      <c r="F22" s="1144"/>
      <c r="G22" s="475" t="s">
        <v>227</v>
      </c>
      <c r="H22" s="476" t="s">
        <v>228</v>
      </c>
      <c r="I22" s="475" t="s">
        <v>229</v>
      </c>
      <c r="J22" s="474" t="s">
        <v>1499</v>
      </c>
      <c r="K22" s="475" t="s">
        <v>4831</v>
      </c>
      <c r="L22" s="475" t="s">
        <v>4832</v>
      </c>
      <c r="M22" s="475" t="s">
        <v>4833</v>
      </c>
      <c r="N22" s="477" t="s">
        <v>5387</v>
      </c>
      <c r="O22" s="478" t="s">
        <v>662</v>
      </c>
    </row>
    <row r="23" spans="1:15">
      <c r="A23" s="1148" t="s">
        <v>232</v>
      </c>
      <c r="B23" s="1148"/>
      <c r="C23" s="475">
        <v>8000</v>
      </c>
      <c r="D23" s="479" t="s">
        <v>873</v>
      </c>
      <c r="E23" s="480">
        <f>+C23*J3/100000</f>
        <v>68.251679999999993</v>
      </c>
      <c r="F23" s="481">
        <f>1730000/100000</f>
        <v>17.3</v>
      </c>
      <c r="G23" s="480">
        <v>0</v>
      </c>
      <c r="H23" s="480">
        <f>405029/100000</f>
        <v>4.0502900000000004</v>
      </c>
      <c r="I23" s="482">
        <f>967567/100000</f>
        <v>9.6756700000000002</v>
      </c>
      <c r="J23" s="482"/>
      <c r="K23" s="482"/>
      <c r="L23" s="482"/>
      <c r="M23" s="482"/>
      <c r="N23" s="457">
        <f>+G23+H23+I23+J23+K23+L23+M23</f>
        <v>13.725960000000001</v>
      </c>
      <c r="O23" s="458">
        <f>N23*100/F23</f>
        <v>79.340809248554905</v>
      </c>
    </row>
    <row r="24" spans="1:15">
      <c r="A24" s="1148" t="s">
        <v>234</v>
      </c>
      <c r="B24" s="1148"/>
      <c r="C24" s="475">
        <v>7000</v>
      </c>
      <c r="D24" s="483" t="s">
        <v>873</v>
      </c>
      <c r="E24" s="480">
        <f>+C24*M3/100000</f>
        <v>5.6</v>
      </c>
      <c r="F24" s="480">
        <v>0</v>
      </c>
      <c r="G24" s="480">
        <v>0</v>
      </c>
      <c r="H24" s="480">
        <v>0</v>
      </c>
      <c r="I24" s="482">
        <v>0</v>
      </c>
      <c r="J24" s="482"/>
      <c r="K24" s="482"/>
      <c r="L24" s="482"/>
      <c r="M24" s="482"/>
      <c r="N24" s="458">
        <f t="shared" ref="N24:N31" si="0">+G24+H24+I24+J24+K24+L24+M24</f>
        <v>0</v>
      </c>
      <c r="O24" s="458">
        <v>0</v>
      </c>
    </row>
    <row r="25" spans="1:15">
      <c r="A25" s="1148" t="s">
        <v>235</v>
      </c>
      <c r="B25" s="1148"/>
      <c r="C25" s="475">
        <v>86</v>
      </c>
      <c r="D25" s="483" t="s">
        <v>5388</v>
      </c>
      <c r="E25" s="480">
        <v>0.43</v>
      </c>
      <c r="F25" s="481">
        <f>35000/100000</f>
        <v>0.35</v>
      </c>
      <c r="G25" s="480">
        <v>0</v>
      </c>
      <c r="H25" s="480">
        <f>3440/100000</f>
        <v>3.44E-2</v>
      </c>
      <c r="I25" s="482">
        <f>3390/100000</f>
        <v>3.39E-2</v>
      </c>
      <c r="J25" s="482"/>
      <c r="K25" s="482"/>
      <c r="L25" s="482"/>
      <c r="M25" s="482"/>
      <c r="N25" s="457">
        <f t="shared" si="0"/>
        <v>6.83E-2</v>
      </c>
      <c r="O25" s="458">
        <f t="shared" ref="O25:O32" si="1">N25*100/F25</f>
        <v>19.514285714285716</v>
      </c>
    </row>
    <row r="26" spans="1:15">
      <c r="A26" s="1148" t="s">
        <v>237</v>
      </c>
      <c r="B26" s="1148"/>
      <c r="C26" s="475">
        <v>68</v>
      </c>
      <c r="D26" s="483" t="s">
        <v>5388</v>
      </c>
      <c r="E26" s="480">
        <v>0.34</v>
      </c>
      <c r="F26" s="481">
        <f>16000/100000</f>
        <v>0.16</v>
      </c>
      <c r="G26" s="480">
        <v>0</v>
      </c>
      <c r="H26" s="480">
        <f>16000/100000</f>
        <v>0.16</v>
      </c>
      <c r="I26" s="482">
        <v>0</v>
      </c>
      <c r="J26" s="482"/>
      <c r="K26" s="482"/>
      <c r="L26" s="482"/>
      <c r="M26" s="482"/>
      <c r="N26" s="457">
        <f t="shared" si="0"/>
        <v>0.16</v>
      </c>
      <c r="O26" s="458">
        <f t="shared" si="1"/>
        <v>100</v>
      </c>
    </row>
    <row r="27" spans="1:15">
      <c r="A27" s="1148" t="s">
        <v>238</v>
      </c>
      <c r="B27" s="1148"/>
      <c r="C27" s="475">
        <v>1200</v>
      </c>
      <c r="D27" s="483" t="s">
        <v>873</v>
      </c>
      <c r="E27" s="480">
        <f>+C27*J3/100000</f>
        <v>10.237752</v>
      </c>
      <c r="F27" s="481">
        <f>200000/100000</f>
        <v>2</v>
      </c>
      <c r="G27" s="480">
        <v>0</v>
      </c>
      <c r="H27" s="480">
        <v>0</v>
      </c>
      <c r="I27" s="484">
        <f>150930/100000</f>
        <v>1.5093000000000001</v>
      </c>
      <c r="J27" s="482"/>
      <c r="K27" s="482"/>
      <c r="L27" s="482"/>
      <c r="M27" s="482"/>
      <c r="N27" s="457">
        <f t="shared" si="0"/>
        <v>1.5093000000000001</v>
      </c>
      <c r="O27" s="458">
        <f t="shared" si="1"/>
        <v>75.465000000000003</v>
      </c>
    </row>
    <row r="28" spans="1:15">
      <c r="A28" s="1148" t="s">
        <v>667</v>
      </c>
      <c r="B28" s="1148"/>
      <c r="C28" s="475">
        <v>565</v>
      </c>
      <c r="D28" s="483" t="s">
        <v>873</v>
      </c>
      <c r="E28" s="480">
        <f>+C28*J3/100000</f>
        <v>4.8202749000000003</v>
      </c>
      <c r="F28" s="481">
        <f>482001/100000</f>
        <v>4.8200099999999999</v>
      </c>
      <c r="G28" s="480">
        <v>0</v>
      </c>
      <c r="H28" s="480">
        <f>422001/100000</f>
        <v>4.2200100000000003</v>
      </c>
      <c r="I28" s="482">
        <v>0</v>
      </c>
      <c r="J28" s="482"/>
      <c r="K28" s="482"/>
      <c r="L28" s="482"/>
      <c r="M28" s="482"/>
      <c r="N28" s="457">
        <f t="shared" si="0"/>
        <v>4.2200100000000003</v>
      </c>
      <c r="O28" s="458">
        <f t="shared" si="1"/>
        <v>87.551893045865057</v>
      </c>
    </row>
    <row r="29" spans="1:15">
      <c r="A29" s="1148" t="s">
        <v>1176</v>
      </c>
      <c r="B29" s="1148"/>
      <c r="C29" s="475">
        <v>1000</v>
      </c>
      <c r="D29" s="483" t="s">
        <v>873</v>
      </c>
      <c r="E29" s="480">
        <f>+C29*J3/100000</f>
        <v>8.5314599999999992</v>
      </c>
      <c r="F29" s="480">
        <v>0</v>
      </c>
      <c r="G29" s="480">
        <v>0</v>
      </c>
      <c r="H29" s="480">
        <v>0</v>
      </c>
      <c r="I29" s="482">
        <v>0</v>
      </c>
      <c r="J29" s="482"/>
      <c r="K29" s="482"/>
      <c r="L29" s="482"/>
      <c r="M29" s="482"/>
      <c r="N29" s="458">
        <f t="shared" si="0"/>
        <v>0</v>
      </c>
      <c r="O29" s="458">
        <v>0</v>
      </c>
    </row>
    <row r="30" spans="1:15">
      <c r="A30" s="1148" t="s">
        <v>394</v>
      </c>
      <c r="B30" s="1148"/>
      <c r="C30" s="475">
        <f>250*5+750+500</f>
        <v>2500</v>
      </c>
      <c r="D30" s="483" t="s">
        <v>5486</v>
      </c>
      <c r="E30" s="481">
        <f>66000/100000</f>
        <v>0.66</v>
      </c>
      <c r="F30" s="481">
        <f>66000/100000</f>
        <v>0.66</v>
      </c>
      <c r="G30" s="480">
        <v>0</v>
      </c>
      <c r="H30" s="480">
        <f>28790/100000</f>
        <v>0.28789999999999999</v>
      </c>
      <c r="I30" s="482">
        <f>28210/100000</f>
        <v>0.28210000000000002</v>
      </c>
      <c r="J30" s="482"/>
      <c r="K30" s="482"/>
      <c r="L30" s="482"/>
      <c r="M30" s="482"/>
      <c r="N30" s="457">
        <f>+G30+H30+I30+J30+K30+L30+M30</f>
        <v>0.57000000000000006</v>
      </c>
      <c r="O30" s="458">
        <f t="shared" si="1"/>
        <v>86.363636363636374</v>
      </c>
    </row>
    <row r="31" spans="1:15">
      <c r="A31" s="1148" t="s">
        <v>670</v>
      </c>
      <c r="B31" s="1148"/>
      <c r="C31" s="475">
        <v>2000</v>
      </c>
      <c r="D31" s="485" t="s">
        <v>5390</v>
      </c>
      <c r="E31" s="480">
        <f>10000/100000</f>
        <v>0.1</v>
      </c>
      <c r="F31" s="480">
        <f>10000/100000</f>
        <v>0.1</v>
      </c>
      <c r="G31" s="480">
        <v>0</v>
      </c>
      <c r="H31" s="480">
        <f>10000/100000</f>
        <v>0.1</v>
      </c>
      <c r="I31" s="482">
        <v>0</v>
      </c>
      <c r="J31" s="482"/>
      <c r="K31" s="482"/>
      <c r="L31" s="482"/>
      <c r="M31" s="482"/>
      <c r="N31" s="458">
        <f t="shared" si="0"/>
        <v>0.1</v>
      </c>
      <c r="O31" s="458">
        <f t="shared" si="1"/>
        <v>100</v>
      </c>
    </row>
    <row r="32" spans="1:15">
      <c r="A32" s="1135" t="s">
        <v>230</v>
      </c>
      <c r="B32" s="1136"/>
      <c r="C32" s="475"/>
      <c r="D32" s="476"/>
      <c r="E32" s="481">
        <f>SUM(E23:E31)</f>
        <v>98.971166899999986</v>
      </c>
      <c r="F32" s="481">
        <f>SUM(F23:F31)</f>
        <v>25.390010000000004</v>
      </c>
      <c r="G32" s="481">
        <f>SUM(G23:G31)</f>
        <v>0</v>
      </c>
      <c r="H32" s="481">
        <f>SUM(H23:H31)</f>
        <v>8.8526000000000007</v>
      </c>
      <c r="I32" s="481">
        <f>SUM(I23:I31)</f>
        <v>11.500969999999999</v>
      </c>
      <c r="J32" s="482"/>
      <c r="K32" s="482"/>
      <c r="L32" s="482"/>
      <c r="M32" s="482"/>
      <c r="N32" s="481">
        <f>SUM(N23:N31)</f>
        <v>20.353570000000005</v>
      </c>
      <c r="O32" s="457">
        <f t="shared" si="1"/>
        <v>80.163694303389406</v>
      </c>
    </row>
  </sheetData>
  <mergeCells count="56">
    <mergeCell ref="A4:C4"/>
    <mergeCell ref="A1:M1"/>
    <mergeCell ref="A2:M2"/>
    <mergeCell ref="A3:B3"/>
    <mergeCell ref="C3:D3"/>
    <mergeCell ref="E3:F3"/>
    <mergeCell ref="H3:I3"/>
    <mergeCell ref="K3:L3"/>
    <mergeCell ref="A5:B5"/>
    <mergeCell ref="C5:D5"/>
    <mergeCell ref="E5:F5"/>
    <mergeCell ref="G5:H5"/>
    <mergeCell ref="A7:B7"/>
    <mergeCell ref="C7:D7"/>
    <mergeCell ref="E7:F7"/>
    <mergeCell ref="G7:H7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12:C12"/>
    <mergeCell ref="D12:E12"/>
    <mergeCell ref="F12:G12"/>
    <mergeCell ref="H12:I12"/>
    <mergeCell ref="J12:K12"/>
    <mergeCell ref="A11:C11"/>
    <mergeCell ref="D11:E11"/>
    <mergeCell ref="F11:G11"/>
    <mergeCell ref="H11:I11"/>
    <mergeCell ref="J11:K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G21:M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75" right="0.75" top="1" bottom="1" header="0.5" footer="0.5"/>
  <pageSetup scale="62" orientation="landscape" horizontalDpi="180" verticalDpi="18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dimension ref="A1:P32"/>
  <sheetViews>
    <sheetView view="pageBreakPreview" zoomScaleSheetLayoutView="100" workbookViewId="0">
      <selection activeCell="A4" sqref="A4:C4"/>
    </sheetView>
  </sheetViews>
  <sheetFormatPr defaultRowHeight="12.75"/>
  <cols>
    <col min="1" max="1" width="12.7109375" style="342" customWidth="1"/>
    <col min="2" max="2" width="15.7109375" style="342" customWidth="1"/>
    <col min="3" max="3" width="12.42578125" style="342" customWidth="1"/>
    <col min="4" max="4" width="10.28515625" style="342" customWidth="1"/>
    <col min="5" max="5" width="11.85546875" style="342" customWidth="1"/>
    <col min="6" max="7" width="10.85546875" style="342" customWidth="1"/>
    <col min="8" max="9" width="10.7109375" style="342" customWidth="1"/>
    <col min="10" max="10" width="10.42578125" style="342" customWidth="1"/>
    <col min="11" max="11" width="8.140625" style="342" customWidth="1"/>
    <col min="12" max="13" width="8.85546875" style="342" customWidth="1"/>
    <col min="14" max="14" width="8.42578125" style="342" customWidth="1"/>
    <col min="15" max="15" width="10" style="342" customWidth="1"/>
    <col min="16" max="16" width="10.5703125" style="342" bestFit="1" customWidth="1"/>
    <col min="17" max="256" width="9.140625" style="342"/>
    <col min="257" max="257" width="12.7109375" style="342" customWidth="1"/>
    <col min="258" max="258" width="15.7109375" style="342" customWidth="1"/>
    <col min="259" max="259" width="12.42578125" style="342" customWidth="1"/>
    <col min="260" max="260" width="10.28515625" style="342" customWidth="1"/>
    <col min="261" max="261" width="11.85546875" style="342" customWidth="1"/>
    <col min="262" max="263" width="10.85546875" style="342" customWidth="1"/>
    <col min="264" max="265" width="10.7109375" style="342" customWidth="1"/>
    <col min="266" max="266" width="10.42578125" style="342" customWidth="1"/>
    <col min="267" max="267" width="8.140625" style="342" customWidth="1"/>
    <col min="268" max="269" width="8.85546875" style="342" customWidth="1"/>
    <col min="270" max="270" width="8.42578125" style="342" customWidth="1"/>
    <col min="271" max="271" width="10" style="342" customWidth="1"/>
    <col min="272" max="272" width="10.5703125" style="342" bestFit="1" customWidth="1"/>
    <col min="273" max="512" width="9.140625" style="342"/>
    <col min="513" max="513" width="12.7109375" style="342" customWidth="1"/>
    <col min="514" max="514" width="15.7109375" style="342" customWidth="1"/>
    <col min="515" max="515" width="12.42578125" style="342" customWidth="1"/>
    <col min="516" max="516" width="10.28515625" style="342" customWidth="1"/>
    <col min="517" max="517" width="11.85546875" style="342" customWidth="1"/>
    <col min="518" max="519" width="10.85546875" style="342" customWidth="1"/>
    <col min="520" max="521" width="10.7109375" style="342" customWidth="1"/>
    <col min="522" max="522" width="10.42578125" style="342" customWidth="1"/>
    <col min="523" max="523" width="8.140625" style="342" customWidth="1"/>
    <col min="524" max="525" width="8.85546875" style="342" customWidth="1"/>
    <col min="526" max="526" width="8.42578125" style="342" customWidth="1"/>
    <col min="527" max="527" width="10" style="342" customWidth="1"/>
    <col min="528" max="528" width="10.5703125" style="342" bestFit="1" customWidth="1"/>
    <col min="529" max="768" width="9.140625" style="342"/>
    <col min="769" max="769" width="12.7109375" style="342" customWidth="1"/>
    <col min="770" max="770" width="15.7109375" style="342" customWidth="1"/>
    <col min="771" max="771" width="12.42578125" style="342" customWidth="1"/>
    <col min="772" max="772" width="10.28515625" style="342" customWidth="1"/>
    <col min="773" max="773" width="11.85546875" style="342" customWidth="1"/>
    <col min="774" max="775" width="10.85546875" style="342" customWidth="1"/>
    <col min="776" max="777" width="10.7109375" style="342" customWidth="1"/>
    <col min="778" max="778" width="10.42578125" style="342" customWidth="1"/>
    <col min="779" max="779" width="8.140625" style="342" customWidth="1"/>
    <col min="780" max="781" width="8.85546875" style="342" customWidth="1"/>
    <col min="782" max="782" width="8.42578125" style="342" customWidth="1"/>
    <col min="783" max="783" width="10" style="342" customWidth="1"/>
    <col min="784" max="784" width="10.5703125" style="342" bestFit="1" customWidth="1"/>
    <col min="785" max="1024" width="9.140625" style="342"/>
    <col min="1025" max="1025" width="12.7109375" style="342" customWidth="1"/>
    <col min="1026" max="1026" width="15.7109375" style="342" customWidth="1"/>
    <col min="1027" max="1027" width="12.42578125" style="342" customWidth="1"/>
    <col min="1028" max="1028" width="10.28515625" style="342" customWidth="1"/>
    <col min="1029" max="1029" width="11.85546875" style="342" customWidth="1"/>
    <col min="1030" max="1031" width="10.85546875" style="342" customWidth="1"/>
    <col min="1032" max="1033" width="10.7109375" style="342" customWidth="1"/>
    <col min="1034" max="1034" width="10.42578125" style="342" customWidth="1"/>
    <col min="1035" max="1035" width="8.140625" style="342" customWidth="1"/>
    <col min="1036" max="1037" width="8.85546875" style="342" customWidth="1"/>
    <col min="1038" max="1038" width="8.42578125" style="342" customWidth="1"/>
    <col min="1039" max="1039" width="10" style="342" customWidth="1"/>
    <col min="1040" max="1040" width="10.5703125" style="342" bestFit="1" customWidth="1"/>
    <col min="1041" max="1280" width="9.140625" style="342"/>
    <col min="1281" max="1281" width="12.7109375" style="342" customWidth="1"/>
    <col min="1282" max="1282" width="15.7109375" style="342" customWidth="1"/>
    <col min="1283" max="1283" width="12.42578125" style="342" customWidth="1"/>
    <col min="1284" max="1284" width="10.28515625" style="342" customWidth="1"/>
    <col min="1285" max="1285" width="11.85546875" style="342" customWidth="1"/>
    <col min="1286" max="1287" width="10.85546875" style="342" customWidth="1"/>
    <col min="1288" max="1289" width="10.7109375" style="342" customWidth="1"/>
    <col min="1290" max="1290" width="10.42578125" style="342" customWidth="1"/>
    <col min="1291" max="1291" width="8.140625" style="342" customWidth="1"/>
    <col min="1292" max="1293" width="8.85546875" style="342" customWidth="1"/>
    <col min="1294" max="1294" width="8.42578125" style="342" customWidth="1"/>
    <col min="1295" max="1295" width="10" style="342" customWidth="1"/>
    <col min="1296" max="1296" width="10.5703125" style="342" bestFit="1" customWidth="1"/>
    <col min="1297" max="1536" width="9.140625" style="342"/>
    <col min="1537" max="1537" width="12.7109375" style="342" customWidth="1"/>
    <col min="1538" max="1538" width="15.7109375" style="342" customWidth="1"/>
    <col min="1539" max="1539" width="12.42578125" style="342" customWidth="1"/>
    <col min="1540" max="1540" width="10.28515625" style="342" customWidth="1"/>
    <col min="1541" max="1541" width="11.85546875" style="342" customWidth="1"/>
    <col min="1542" max="1543" width="10.85546875" style="342" customWidth="1"/>
    <col min="1544" max="1545" width="10.7109375" style="342" customWidth="1"/>
    <col min="1546" max="1546" width="10.42578125" style="342" customWidth="1"/>
    <col min="1547" max="1547" width="8.140625" style="342" customWidth="1"/>
    <col min="1548" max="1549" width="8.85546875" style="342" customWidth="1"/>
    <col min="1550" max="1550" width="8.42578125" style="342" customWidth="1"/>
    <col min="1551" max="1551" width="10" style="342" customWidth="1"/>
    <col min="1552" max="1552" width="10.5703125" style="342" bestFit="1" customWidth="1"/>
    <col min="1553" max="1792" width="9.140625" style="342"/>
    <col min="1793" max="1793" width="12.7109375" style="342" customWidth="1"/>
    <col min="1794" max="1794" width="15.7109375" style="342" customWidth="1"/>
    <col min="1795" max="1795" width="12.42578125" style="342" customWidth="1"/>
    <col min="1796" max="1796" width="10.28515625" style="342" customWidth="1"/>
    <col min="1797" max="1797" width="11.85546875" style="342" customWidth="1"/>
    <col min="1798" max="1799" width="10.85546875" style="342" customWidth="1"/>
    <col min="1800" max="1801" width="10.7109375" style="342" customWidth="1"/>
    <col min="1802" max="1802" width="10.42578125" style="342" customWidth="1"/>
    <col min="1803" max="1803" width="8.140625" style="342" customWidth="1"/>
    <col min="1804" max="1805" width="8.85546875" style="342" customWidth="1"/>
    <col min="1806" max="1806" width="8.42578125" style="342" customWidth="1"/>
    <col min="1807" max="1807" width="10" style="342" customWidth="1"/>
    <col min="1808" max="1808" width="10.5703125" style="342" bestFit="1" customWidth="1"/>
    <col min="1809" max="2048" width="9.140625" style="342"/>
    <col min="2049" max="2049" width="12.7109375" style="342" customWidth="1"/>
    <col min="2050" max="2050" width="15.7109375" style="342" customWidth="1"/>
    <col min="2051" max="2051" width="12.42578125" style="342" customWidth="1"/>
    <col min="2052" max="2052" width="10.28515625" style="342" customWidth="1"/>
    <col min="2053" max="2053" width="11.85546875" style="342" customWidth="1"/>
    <col min="2054" max="2055" width="10.85546875" style="342" customWidth="1"/>
    <col min="2056" max="2057" width="10.7109375" style="342" customWidth="1"/>
    <col min="2058" max="2058" width="10.42578125" style="342" customWidth="1"/>
    <col min="2059" max="2059" width="8.140625" style="342" customWidth="1"/>
    <col min="2060" max="2061" width="8.85546875" style="342" customWidth="1"/>
    <col min="2062" max="2062" width="8.42578125" style="342" customWidth="1"/>
    <col min="2063" max="2063" width="10" style="342" customWidth="1"/>
    <col min="2064" max="2064" width="10.5703125" style="342" bestFit="1" customWidth="1"/>
    <col min="2065" max="2304" width="9.140625" style="342"/>
    <col min="2305" max="2305" width="12.7109375" style="342" customWidth="1"/>
    <col min="2306" max="2306" width="15.7109375" style="342" customWidth="1"/>
    <col min="2307" max="2307" width="12.42578125" style="342" customWidth="1"/>
    <col min="2308" max="2308" width="10.28515625" style="342" customWidth="1"/>
    <col min="2309" max="2309" width="11.85546875" style="342" customWidth="1"/>
    <col min="2310" max="2311" width="10.85546875" style="342" customWidth="1"/>
    <col min="2312" max="2313" width="10.7109375" style="342" customWidth="1"/>
    <col min="2314" max="2314" width="10.42578125" style="342" customWidth="1"/>
    <col min="2315" max="2315" width="8.140625" style="342" customWidth="1"/>
    <col min="2316" max="2317" width="8.85546875" style="342" customWidth="1"/>
    <col min="2318" max="2318" width="8.42578125" style="342" customWidth="1"/>
    <col min="2319" max="2319" width="10" style="342" customWidth="1"/>
    <col min="2320" max="2320" width="10.5703125" style="342" bestFit="1" customWidth="1"/>
    <col min="2321" max="2560" width="9.140625" style="342"/>
    <col min="2561" max="2561" width="12.7109375" style="342" customWidth="1"/>
    <col min="2562" max="2562" width="15.7109375" style="342" customWidth="1"/>
    <col min="2563" max="2563" width="12.42578125" style="342" customWidth="1"/>
    <col min="2564" max="2564" width="10.28515625" style="342" customWidth="1"/>
    <col min="2565" max="2565" width="11.85546875" style="342" customWidth="1"/>
    <col min="2566" max="2567" width="10.85546875" style="342" customWidth="1"/>
    <col min="2568" max="2569" width="10.7109375" style="342" customWidth="1"/>
    <col min="2570" max="2570" width="10.42578125" style="342" customWidth="1"/>
    <col min="2571" max="2571" width="8.140625" style="342" customWidth="1"/>
    <col min="2572" max="2573" width="8.85546875" style="342" customWidth="1"/>
    <col min="2574" max="2574" width="8.42578125" style="342" customWidth="1"/>
    <col min="2575" max="2575" width="10" style="342" customWidth="1"/>
    <col min="2576" max="2576" width="10.5703125" style="342" bestFit="1" customWidth="1"/>
    <col min="2577" max="2816" width="9.140625" style="342"/>
    <col min="2817" max="2817" width="12.7109375" style="342" customWidth="1"/>
    <col min="2818" max="2818" width="15.7109375" style="342" customWidth="1"/>
    <col min="2819" max="2819" width="12.42578125" style="342" customWidth="1"/>
    <col min="2820" max="2820" width="10.28515625" style="342" customWidth="1"/>
    <col min="2821" max="2821" width="11.85546875" style="342" customWidth="1"/>
    <col min="2822" max="2823" width="10.85546875" style="342" customWidth="1"/>
    <col min="2824" max="2825" width="10.7109375" style="342" customWidth="1"/>
    <col min="2826" max="2826" width="10.42578125" style="342" customWidth="1"/>
    <col min="2827" max="2827" width="8.140625" style="342" customWidth="1"/>
    <col min="2828" max="2829" width="8.85546875" style="342" customWidth="1"/>
    <col min="2830" max="2830" width="8.42578125" style="342" customWidth="1"/>
    <col min="2831" max="2831" width="10" style="342" customWidth="1"/>
    <col min="2832" max="2832" width="10.5703125" style="342" bestFit="1" customWidth="1"/>
    <col min="2833" max="3072" width="9.140625" style="342"/>
    <col min="3073" max="3073" width="12.7109375" style="342" customWidth="1"/>
    <col min="3074" max="3074" width="15.7109375" style="342" customWidth="1"/>
    <col min="3075" max="3075" width="12.42578125" style="342" customWidth="1"/>
    <col min="3076" max="3076" width="10.28515625" style="342" customWidth="1"/>
    <col min="3077" max="3077" width="11.85546875" style="342" customWidth="1"/>
    <col min="3078" max="3079" width="10.85546875" style="342" customWidth="1"/>
    <col min="3080" max="3081" width="10.7109375" style="342" customWidth="1"/>
    <col min="3082" max="3082" width="10.42578125" style="342" customWidth="1"/>
    <col min="3083" max="3083" width="8.140625" style="342" customWidth="1"/>
    <col min="3084" max="3085" width="8.85546875" style="342" customWidth="1"/>
    <col min="3086" max="3086" width="8.42578125" style="342" customWidth="1"/>
    <col min="3087" max="3087" width="10" style="342" customWidth="1"/>
    <col min="3088" max="3088" width="10.5703125" style="342" bestFit="1" customWidth="1"/>
    <col min="3089" max="3328" width="9.140625" style="342"/>
    <col min="3329" max="3329" width="12.7109375" style="342" customWidth="1"/>
    <col min="3330" max="3330" width="15.7109375" style="342" customWidth="1"/>
    <col min="3331" max="3331" width="12.42578125" style="342" customWidth="1"/>
    <col min="3332" max="3332" width="10.28515625" style="342" customWidth="1"/>
    <col min="3333" max="3333" width="11.85546875" style="342" customWidth="1"/>
    <col min="3334" max="3335" width="10.85546875" style="342" customWidth="1"/>
    <col min="3336" max="3337" width="10.7109375" style="342" customWidth="1"/>
    <col min="3338" max="3338" width="10.42578125" style="342" customWidth="1"/>
    <col min="3339" max="3339" width="8.140625" style="342" customWidth="1"/>
    <col min="3340" max="3341" width="8.85546875" style="342" customWidth="1"/>
    <col min="3342" max="3342" width="8.42578125" style="342" customWidth="1"/>
    <col min="3343" max="3343" width="10" style="342" customWidth="1"/>
    <col min="3344" max="3344" width="10.5703125" style="342" bestFit="1" customWidth="1"/>
    <col min="3345" max="3584" width="9.140625" style="342"/>
    <col min="3585" max="3585" width="12.7109375" style="342" customWidth="1"/>
    <col min="3586" max="3586" width="15.7109375" style="342" customWidth="1"/>
    <col min="3587" max="3587" width="12.42578125" style="342" customWidth="1"/>
    <col min="3588" max="3588" width="10.28515625" style="342" customWidth="1"/>
    <col min="3589" max="3589" width="11.85546875" style="342" customWidth="1"/>
    <col min="3590" max="3591" width="10.85546875" style="342" customWidth="1"/>
    <col min="3592" max="3593" width="10.7109375" style="342" customWidth="1"/>
    <col min="3594" max="3594" width="10.42578125" style="342" customWidth="1"/>
    <col min="3595" max="3595" width="8.140625" style="342" customWidth="1"/>
    <col min="3596" max="3597" width="8.85546875" style="342" customWidth="1"/>
    <col min="3598" max="3598" width="8.42578125" style="342" customWidth="1"/>
    <col min="3599" max="3599" width="10" style="342" customWidth="1"/>
    <col min="3600" max="3600" width="10.5703125" style="342" bestFit="1" customWidth="1"/>
    <col min="3601" max="3840" width="9.140625" style="342"/>
    <col min="3841" max="3841" width="12.7109375" style="342" customWidth="1"/>
    <col min="3842" max="3842" width="15.7109375" style="342" customWidth="1"/>
    <col min="3843" max="3843" width="12.42578125" style="342" customWidth="1"/>
    <col min="3844" max="3844" width="10.28515625" style="342" customWidth="1"/>
    <col min="3845" max="3845" width="11.85546875" style="342" customWidth="1"/>
    <col min="3846" max="3847" width="10.85546875" style="342" customWidth="1"/>
    <col min="3848" max="3849" width="10.7109375" style="342" customWidth="1"/>
    <col min="3850" max="3850" width="10.42578125" style="342" customWidth="1"/>
    <col min="3851" max="3851" width="8.140625" style="342" customWidth="1"/>
    <col min="3852" max="3853" width="8.85546875" style="342" customWidth="1"/>
    <col min="3854" max="3854" width="8.42578125" style="342" customWidth="1"/>
    <col min="3855" max="3855" width="10" style="342" customWidth="1"/>
    <col min="3856" max="3856" width="10.5703125" style="342" bestFit="1" customWidth="1"/>
    <col min="3857" max="4096" width="9.140625" style="342"/>
    <col min="4097" max="4097" width="12.7109375" style="342" customWidth="1"/>
    <col min="4098" max="4098" width="15.7109375" style="342" customWidth="1"/>
    <col min="4099" max="4099" width="12.42578125" style="342" customWidth="1"/>
    <col min="4100" max="4100" width="10.28515625" style="342" customWidth="1"/>
    <col min="4101" max="4101" width="11.85546875" style="342" customWidth="1"/>
    <col min="4102" max="4103" width="10.85546875" style="342" customWidth="1"/>
    <col min="4104" max="4105" width="10.7109375" style="342" customWidth="1"/>
    <col min="4106" max="4106" width="10.42578125" style="342" customWidth="1"/>
    <col min="4107" max="4107" width="8.140625" style="342" customWidth="1"/>
    <col min="4108" max="4109" width="8.85546875" style="342" customWidth="1"/>
    <col min="4110" max="4110" width="8.42578125" style="342" customWidth="1"/>
    <col min="4111" max="4111" width="10" style="342" customWidth="1"/>
    <col min="4112" max="4112" width="10.5703125" style="342" bestFit="1" customWidth="1"/>
    <col min="4113" max="4352" width="9.140625" style="342"/>
    <col min="4353" max="4353" width="12.7109375" style="342" customWidth="1"/>
    <col min="4354" max="4354" width="15.7109375" style="342" customWidth="1"/>
    <col min="4355" max="4355" width="12.42578125" style="342" customWidth="1"/>
    <col min="4356" max="4356" width="10.28515625" style="342" customWidth="1"/>
    <col min="4357" max="4357" width="11.85546875" style="342" customWidth="1"/>
    <col min="4358" max="4359" width="10.85546875" style="342" customWidth="1"/>
    <col min="4360" max="4361" width="10.7109375" style="342" customWidth="1"/>
    <col min="4362" max="4362" width="10.42578125" style="342" customWidth="1"/>
    <col min="4363" max="4363" width="8.140625" style="342" customWidth="1"/>
    <col min="4364" max="4365" width="8.85546875" style="342" customWidth="1"/>
    <col min="4366" max="4366" width="8.42578125" style="342" customWidth="1"/>
    <col min="4367" max="4367" width="10" style="342" customWidth="1"/>
    <col min="4368" max="4368" width="10.5703125" style="342" bestFit="1" customWidth="1"/>
    <col min="4369" max="4608" width="9.140625" style="342"/>
    <col min="4609" max="4609" width="12.7109375" style="342" customWidth="1"/>
    <col min="4610" max="4610" width="15.7109375" style="342" customWidth="1"/>
    <col min="4611" max="4611" width="12.42578125" style="342" customWidth="1"/>
    <col min="4612" max="4612" width="10.28515625" style="342" customWidth="1"/>
    <col min="4613" max="4613" width="11.85546875" style="342" customWidth="1"/>
    <col min="4614" max="4615" width="10.85546875" style="342" customWidth="1"/>
    <col min="4616" max="4617" width="10.7109375" style="342" customWidth="1"/>
    <col min="4618" max="4618" width="10.42578125" style="342" customWidth="1"/>
    <col min="4619" max="4619" width="8.140625" style="342" customWidth="1"/>
    <col min="4620" max="4621" width="8.85546875" style="342" customWidth="1"/>
    <col min="4622" max="4622" width="8.42578125" style="342" customWidth="1"/>
    <col min="4623" max="4623" width="10" style="342" customWidth="1"/>
    <col min="4624" max="4624" width="10.5703125" style="342" bestFit="1" customWidth="1"/>
    <col min="4625" max="4864" width="9.140625" style="342"/>
    <col min="4865" max="4865" width="12.7109375" style="342" customWidth="1"/>
    <col min="4866" max="4866" width="15.7109375" style="342" customWidth="1"/>
    <col min="4867" max="4867" width="12.42578125" style="342" customWidth="1"/>
    <col min="4868" max="4868" width="10.28515625" style="342" customWidth="1"/>
    <col min="4869" max="4869" width="11.85546875" style="342" customWidth="1"/>
    <col min="4870" max="4871" width="10.85546875" style="342" customWidth="1"/>
    <col min="4872" max="4873" width="10.7109375" style="342" customWidth="1"/>
    <col min="4874" max="4874" width="10.42578125" style="342" customWidth="1"/>
    <col min="4875" max="4875" width="8.140625" style="342" customWidth="1"/>
    <col min="4876" max="4877" width="8.85546875" style="342" customWidth="1"/>
    <col min="4878" max="4878" width="8.42578125" style="342" customWidth="1"/>
    <col min="4879" max="4879" width="10" style="342" customWidth="1"/>
    <col min="4880" max="4880" width="10.5703125" style="342" bestFit="1" customWidth="1"/>
    <col min="4881" max="5120" width="9.140625" style="342"/>
    <col min="5121" max="5121" width="12.7109375" style="342" customWidth="1"/>
    <col min="5122" max="5122" width="15.7109375" style="342" customWidth="1"/>
    <col min="5123" max="5123" width="12.42578125" style="342" customWidth="1"/>
    <col min="5124" max="5124" width="10.28515625" style="342" customWidth="1"/>
    <col min="5125" max="5125" width="11.85546875" style="342" customWidth="1"/>
    <col min="5126" max="5127" width="10.85546875" style="342" customWidth="1"/>
    <col min="5128" max="5129" width="10.7109375" style="342" customWidth="1"/>
    <col min="5130" max="5130" width="10.42578125" style="342" customWidth="1"/>
    <col min="5131" max="5131" width="8.140625" style="342" customWidth="1"/>
    <col min="5132" max="5133" width="8.85546875" style="342" customWidth="1"/>
    <col min="5134" max="5134" width="8.42578125" style="342" customWidth="1"/>
    <col min="5135" max="5135" width="10" style="342" customWidth="1"/>
    <col min="5136" max="5136" width="10.5703125" style="342" bestFit="1" customWidth="1"/>
    <col min="5137" max="5376" width="9.140625" style="342"/>
    <col min="5377" max="5377" width="12.7109375" style="342" customWidth="1"/>
    <col min="5378" max="5378" width="15.7109375" style="342" customWidth="1"/>
    <col min="5379" max="5379" width="12.42578125" style="342" customWidth="1"/>
    <col min="5380" max="5380" width="10.28515625" style="342" customWidth="1"/>
    <col min="5381" max="5381" width="11.85546875" style="342" customWidth="1"/>
    <col min="5382" max="5383" width="10.85546875" style="342" customWidth="1"/>
    <col min="5384" max="5385" width="10.7109375" style="342" customWidth="1"/>
    <col min="5386" max="5386" width="10.42578125" style="342" customWidth="1"/>
    <col min="5387" max="5387" width="8.140625" style="342" customWidth="1"/>
    <col min="5388" max="5389" width="8.85546875" style="342" customWidth="1"/>
    <col min="5390" max="5390" width="8.42578125" style="342" customWidth="1"/>
    <col min="5391" max="5391" width="10" style="342" customWidth="1"/>
    <col min="5392" max="5392" width="10.5703125" style="342" bestFit="1" customWidth="1"/>
    <col min="5393" max="5632" width="9.140625" style="342"/>
    <col min="5633" max="5633" width="12.7109375" style="342" customWidth="1"/>
    <col min="5634" max="5634" width="15.7109375" style="342" customWidth="1"/>
    <col min="5635" max="5635" width="12.42578125" style="342" customWidth="1"/>
    <col min="5636" max="5636" width="10.28515625" style="342" customWidth="1"/>
    <col min="5637" max="5637" width="11.85546875" style="342" customWidth="1"/>
    <col min="5638" max="5639" width="10.85546875" style="342" customWidth="1"/>
    <col min="5640" max="5641" width="10.7109375" style="342" customWidth="1"/>
    <col min="5642" max="5642" width="10.42578125" style="342" customWidth="1"/>
    <col min="5643" max="5643" width="8.140625" style="342" customWidth="1"/>
    <col min="5644" max="5645" width="8.85546875" style="342" customWidth="1"/>
    <col min="5646" max="5646" width="8.42578125" style="342" customWidth="1"/>
    <col min="5647" max="5647" width="10" style="342" customWidth="1"/>
    <col min="5648" max="5648" width="10.5703125" style="342" bestFit="1" customWidth="1"/>
    <col min="5649" max="5888" width="9.140625" style="342"/>
    <col min="5889" max="5889" width="12.7109375" style="342" customWidth="1"/>
    <col min="5890" max="5890" width="15.7109375" style="342" customWidth="1"/>
    <col min="5891" max="5891" width="12.42578125" style="342" customWidth="1"/>
    <col min="5892" max="5892" width="10.28515625" style="342" customWidth="1"/>
    <col min="5893" max="5893" width="11.85546875" style="342" customWidth="1"/>
    <col min="5894" max="5895" width="10.85546875" style="342" customWidth="1"/>
    <col min="5896" max="5897" width="10.7109375" style="342" customWidth="1"/>
    <col min="5898" max="5898" width="10.42578125" style="342" customWidth="1"/>
    <col min="5899" max="5899" width="8.140625" style="342" customWidth="1"/>
    <col min="5900" max="5901" width="8.85546875" style="342" customWidth="1"/>
    <col min="5902" max="5902" width="8.42578125" style="342" customWidth="1"/>
    <col min="5903" max="5903" width="10" style="342" customWidth="1"/>
    <col min="5904" max="5904" width="10.5703125" style="342" bestFit="1" customWidth="1"/>
    <col min="5905" max="6144" width="9.140625" style="342"/>
    <col min="6145" max="6145" width="12.7109375" style="342" customWidth="1"/>
    <col min="6146" max="6146" width="15.7109375" style="342" customWidth="1"/>
    <col min="6147" max="6147" width="12.42578125" style="342" customWidth="1"/>
    <col min="6148" max="6148" width="10.28515625" style="342" customWidth="1"/>
    <col min="6149" max="6149" width="11.85546875" style="342" customWidth="1"/>
    <col min="6150" max="6151" width="10.85546875" style="342" customWidth="1"/>
    <col min="6152" max="6153" width="10.7109375" style="342" customWidth="1"/>
    <col min="6154" max="6154" width="10.42578125" style="342" customWidth="1"/>
    <col min="6155" max="6155" width="8.140625" style="342" customWidth="1"/>
    <col min="6156" max="6157" width="8.85546875" style="342" customWidth="1"/>
    <col min="6158" max="6158" width="8.42578125" style="342" customWidth="1"/>
    <col min="6159" max="6159" width="10" style="342" customWidth="1"/>
    <col min="6160" max="6160" width="10.5703125" style="342" bestFit="1" customWidth="1"/>
    <col min="6161" max="6400" width="9.140625" style="342"/>
    <col min="6401" max="6401" width="12.7109375" style="342" customWidth="1"/>
    <col min="6402" max="6402" width="15.7109375" style="342" customWidth="1"/>
    <col min="6403" max="6403" width="12.42578125" style="342" customWidth="1"/>
    <col min="6404" max="6404" width="10.28515625" style="342" customWidth="1"/>
    <col min="6405" max="6405" width="11.85546875" style="342" customWidth="1"/>
    <col min="6406" max="6407" width="10.85546875" style="342" customWidth="1"/>
    <col min="6408" max="6409" width="10.7109375" style="342" customWidth="1"/>
    <col min="6410" max="6410" width="10.42578125" style="342" customWidth="1"/>
    <col min="6411" max="6411" width="8.140625" style="342" customWidth="1"/>
    <col min="6412" max="6413" width="8.85546875" style="342" customWidth="1"/>
    <col min="6414" max="6414" width="8.42578125" style="342" customWidth="1"/>
    <col min="6415" max="6415" width="10" style="342" customWidth="1"/>
    <col min="6416" max="6416" width="10.5703125" style="342" bestFit="1" customWidth="1"/>
    <col min="6417" max="6656" width="9.140625" style="342"/>
    <col min="6657" max="6657" width="12.7109375" style="342" customWidth="1"/>
    <col min="6658" max="6658" width="15.7109375" style="342" customWidth="1"/>
    <col min="6659" max="6659" width="12.42578125" style="342" customWidth="1"/>
    <col min="6660" max="6660" width="10.28515625" style="342" customWidth="1"/>
    <col min="6661" max="6661" width="11.85546875" style="342" customWidth="1"/>
    <col min="6662" max="6663" width="10.85546875" style="342" customWidth="1"/>
    <col min="6664" max="6665" width="10.7109375" style="342" customWidth="1"/>
    <col min="6666" max="6666" width="10.42578125" style="342" customWidth="1"/>
    <col min="6667" max="6667" width="8.140625" style="342" customWidth="1"/>
    <col min="6668" max="6669" width="8.85546875" style="342" customWidth="1"/>
    <col min="6670" max="6670" width="8.42578125" style="342" customWidth="1"/>
    <col min="6671" max="6671" width="10" style="342" customWidth="1"/>
    <col min="6672" max="6672" width="10.5703125" style="342" bestFit="1" customWidth="1"/>
    <col min="6673" max="6912" width="9.140625" style="342"/>
    <col min="6913" max="6913" width="12.7109375" style="342" customWidth="1"/>
    <col min="6914" max="6914" width="15.7109375" style="342" customWidth="1"/>
    <col min="6915" max="6915" width="12.42578125" style="342" customWidth="1"/>
    <col min="6916" max="6916" width="10.28515625" style="342" customWidth="1"/>
    <col min="6917" max="6917" width="11.85546875" style="342" customWidth="1"/>
    <col min="6918" max="6919" width="10.85546875" style="342" customWidth="1"/>
    <col min="6920" max="6921" width="10.7109375" style="342" customWidth="1"/>
    <col min="6922" max="6922" width="10.42578125" style="342" customWidth="1"/>
    <col min="6923" max="6923" width="8.140625" style="342" customWidth="1"/>
    <col min="6924" max="6925" width="8.85546875" style="342" customWidth="1"/>
    <col min="6926" max="6926" width="8.42578125" style="342" customWidth="1"/>
    <col min="6927" max="6927" width="10" style="342" customWidth="1"/>
    <col min="6928" max="6928" width="10.5703125" style="342" bestFit="1" customWidth="1"/>
    <col min="6929" max="7168" width="9.140625" style="342"/>
    <col min="7169" max="7169" width="12.7109375" style="342" customWidth="1"/>
    <col min="7170" max="7170" width="15.7109375" style="342" customWidth="1"/>
    <col min="7171" max="7171" width="12.42578125" style="342" customWidth="1"/>
    <col min="7172" max="7172" width="10.28515625" style="342" customWidth="1"/>
    <col min="7173" max="7173" width="11.85546875" style="342" customWidth="1"/>
    <col min="7174" max="7175" width="10.85546875" style="342" customWidth="1"/>
    <col min="7176" max="7177" width="10.7109375" style="342" customWidth="1"/>
    <col min="7178" max="7178" width="10.42578125" style="342" customWidth="1"/>
    <col min="7179" max="7179" width="8.140625" style="342" customWidth="1"/>
    <col min="7180" max="7181" width="8.85546875" style="342" customWidth="1"/>
    <col min="7182" max="7182" width="8.42578125" style="342" customWidth="1"/>
    <col min="7183" max="7183" width="10" style="342" customWidth="1"/>
    <col min="7184" max="7184" width="10.5703125" style="342" bestFit="1" customWidth="1"/>
    <col min="7185" max="7424" width="9.140625" style="342"/>
    <col min="7425" max="7425" width="12.7109375" style="342" customWidth="1"/>
    <col min="7426" max="7426" width="15.7109375" style="342" customWidth="1"/>
    <col min="7427" max="7427" width="12.42578125" style="342" customWidth="1"/>
    <col min="7428" max="7428" width="10.28515625" style="342" customWidth="1"/>
    <col min="7429" max="7429" width="11.85546875" style="342" customWidth="1"/>
    <col min="7430" max="7431" width="10.85546875" style="342" customWidth="1"/>
    <col min="7432" max="7433" width="10.7109375" style="342" customWidth="1"/>
    <col min="7434" max="7434" width="10.42578125" style="342" customWidth="1"/>
    <col min="7435" max="7435" width="8.140625" style="342" customWidth="1"/>
    <col min="7436" max="7437" width="8.85546875" style="342" customWidth="1"/>
    <col min="7438" max="7438" width="8.42578125" style="342" customWidth="1"/>
    <col min="7439" max="7439" width="10" style="342" customWidth="1"/>
    <col min="7440" max="7440" width="10.5703125" style="342" bestFit="1" customWidth="1"/>
    <col min="7441" max="7680" width="9.140625" style="342"/>
    <col min="7681" max="7681" width="12.7109375" style="342" customWidth="1"/>
    <col min="7682" max="7682" width="15.7109375" style="342" customWidth="1"/>
    <col min="7683" max="7683" width="12.42578125" style="342" customWidth="1"/>
    <col min="7684" max="7684" width="10.28515625" style="342" customWidth="1"/>
    <col min="7685" max="7685" width="11.85546875" style="342" customWidth="1"/>
    <col min="7686" max="7687" width="10.85546875" style="342" customWidth="1"/>
    <col min="7688" max="7689" width="10.7109375" style="342" customWidth="1"/>
    <col min="7690" max="7690" width="10.42578125" style="342" customWidth="1"/>
    <col min="7691" max="7691" width="8.140625" style="342" customWidth="1"/>
    <col min="7692" max="7693" width="8.85546875" style="342" customWidth="1"/>
    <col min="7694" max="7694" width="8.42578125" style="342" customWidth="1"/>
    <col min="7695" max="7695" width="10" style="342" customWidth="1"/>
    <col min="7696" max="7696" width="10.5703125" style="342" bestFit="1" customWidth="1"/>
    <col min="7697" max="7936" width="9.140625" style="342"/>
    <col min="7937" max="7937" width="12.7109375" style="342" customWidth="1"/>
    <col min="7938" max="7938" width="15.7109375" style="342" customWidth="1"/>
    <col min="7939" max="7939" width="12.42578125" style="342" customWidth="1"/>
    <col min="7940" max="7940" width="10.28515625" style="342" customWidth="1"/>
    <col min="7941" max="7941" width="11.85546875" style="342" customWidth="1"/>
    <col min="7942" max="7943" width="10.85546875" style="342" customWidth="1"/>
    <col min="7944" max="7945" width="10.7109375" style="342" customWidth="1"/>
    <col min="7946" max="7946" width="10.42578125" style="342" customWidth="1"/>
    <col min="7947" max="7947" width="8.140625" style="342" customWidth="1"/>
    <col min="7948" max="7949" width="8.85546875" style="342" customWidth="1"/>
    <col min="7950" max="7950" width="8.42578125" style="342" customWidth="1"/>
    <col min="7951" max="7951" width="10" style="342" customWidth="1"/>
    <col min="7952" max="7952" width="10.5703125" style="342" bestFit="1" customWidth="1"/>
    <col min="7953" max="8192" width="9.140625" style="342"/>
    <col min="8193" max="8193" width="12.7109375" style="342" customWidth="1"/>
    <col min="8194" max="8194" width="15.7109375" style="342" customWidth="1"/>
    <col min="8195" max="8195" width="12.42578125" style="342" customWidth="1"/>
    <col min="8196" max="8196" width="10.28515625" style="342" customWidth="1"/>
    <col min="8197" max="8197" width="11.85546875" style="342" customWidth="1"/>
    <col min="8198" max="8199" width="10.85546875" style="342" customWidth="1"/>
    <col min="8200" max="8201" width="10.7109375" style="342" customWidth="1"/>
    <col min="8202" max="8202" width="10.42578125" style="342" customWidth="1"/>
    <col min="8203" max="8203" width="8.140625" style="342" customWidth="1"/>
    <col min="8204" max="8205" width="8.85546875" style="342" customWidth="1"/>
    <col min="8206" max="8206" width="8.42578125" style="342" customWidth="1"/>
    <col min="8207" max="8207" width="10" style="342" customWidth="1"/>
    <col min="8208" max="8208" width="10.5703125" style="342" bestFit="1" customWidth="1"/>
    <col min="8209" max="8448" width="9.140625" style="342"/>
    <col min="8449" max="8449" width="12.7109375" style="342" customWidth="1"/>
    <col min="8450" max="8450" width="15.7109375" style="342" customWidth="1"/>
    <col min="8451" max="8451" width="12.42578125" style="342" customWidth="1"/>
    <col min="8452" max="8452" width="10.28515625" style="342" customWidth="1"/>
    <col min="8453" max="8453" width="11.85546875" style="342" customWidth="1"/>
    <col min="8454" max="8455" width="10.85546875" style="342" customWidth="1"/>
    <col min="8456" max="8457" width="10.7109375" style="342" customWidth="1"/>
    <col min="8458" max="8458" width="10.42578125" style="342" customWidth="1"/>
    <col min="8459" max="8459" width="8.140625" style="342" customWidth="1"/>
    <col min="8460" max="8461" width="8.85546875" style="342" customWidth="1"/>
    <col min="8462" max="8462" width="8.42578125" style="342" customWidth="1"/>
    <col min="8463" max="8463" width="10" style="342" customWidth="1"/>
    <col min="8464" max="8464" width="10.5703125" style="342" bestFit="1" customWidth="1"/>
    <col min="8465" max="8704" width="9.140625" style="342"/>
    <col min="8705" max="8705" width="12.7109375" style="342" customWidth="1"/>
    <col min="8706" max="8706" width="15.7109375" style="342" customWidth="1"/>
    <col min="8707" max="8707" width="12.42578125" style="342" customWidth="1"/>
    <col min="8708" max="8708" width="10.28515625" style="342" customWidth="1"/>
    <col min="8709" max="8709" width="11.85546875" style="342" customWidth="1"/>
    <col min="8710" max="8711" width="10.85546875" style="342" customWidth="1"/>
    <col min="8712" max="8713" width="10.7109375" style="342" customWidth="1"/>
    <col min="8714" max="8714" width="10.42578125" style="342" customWidth="1"/>
    <col min="8715" max="8715" width="8.140625" style="342" customWidth="1"/>
    <col min="8716" max="8717" width="8.85546875" style="342" customWidth="1"/>
    <col min="8718" max="8718" width="8.42578125" style="342" customWidth="1"/>
    <col min="8719" max="8719" width="10" style="342" customWidth="1"/>
    <col min="8720" max="8720" width="10.5703125" style="342" bestFit="1" customWidth="1"/>
    <col min="8721" max="8960" width="9.140625" style="342"/>
    <col min="8961" max="8961" width="12.7109375" style="342" customWidth="1"/>
    <col min="8962" max="8962" width="15.7109375" style="342" customWidth="1"/>
    <col min="8963" max="8963" width="12.42578125" style="342" customWidth="1"/>
    <col min="8964" max="8964" width="10.28515625" style="342" customWidth="1"/>
    <col min="8965" max="8965" width="11.85546875" style="342" customWidth="1"/>
    <col min="8966" max="8967" width="10.85546875" style="342" customWidth="1"/>
    <col min="8968" max="8969" width="10.7109375" style="342" customWidth="1"/>
    <col min="8970" max="8970" width="10.42578125" style="342" customWidth="1"/>
    <col min="8971" max="8971" width="8.140625" style="342" customWidth="1"/>
    <col min="8972" max="8973" width="8.85546875" style="342" customWidth="1"/>
    <col min="8974" max="8974" width="8.42578125" style="342" customWidth="1"/>
    <col min="8975" max="8975" width="10" style="342" customWidth="1"/>
    <col min="8976" max="8976" width="10.5703125" style="342" bestFit="1" customWidth="1"/>
    <col min="8977" max="9216" width="9.140625" style="342"/>
    <col min="9217" max="9217" width="12.7109375" style="342" customWidth="1"/>
    <col min="9218" max="9218" width="15.7109375" style="342" customWidth="1"/>
    <col min="9219" max="9219" width="12.42578125" style="342" customWidth="1"/>
    <col min="9220" max="9220" width="10.28515625" style="342" customWidth="1"/>
    <col min="9221" max="9221" width="11.85546875" style="342" customWidth="1"/>
    <col min="9222" max="9223" width="10.85546875" style="342" customWidth="1"/>
    <col min="9224" max="9225" width="10.7109375" style="342" customWidth="1"/>
    <col min="9226" max="9226" width="10.42578125" style="342" customWidth="1"/>
    <col min="9227" max="9227" width="8.140625" style="342" customWidth="1"/>
    <col min="9228" max="9229" width="8.85546875" style="342" customWidth="1"/>
    <col min="9230" max="9230" width="8.42578125" style="342" customWidth="1"/>
    <col min="9231" max="9231" width="10" style="342" customWidth="1"/>
    <col min="9232" max="9232" width="10.5703125" style="342" bestFit="1" customWidth="1"/>
    <col min="9233" max="9472" width="9.140625" style="342"/>
    <col min="9473" max="9473" width="12.7109375" style="342" customWidth="1"/>
    <col min="9474" max="9474" width="15.7109375" style="342" customWidth="1"/>
    <col min="9475" max="9475" width="12.42578125" style="342" customWidth="1"/>
    <col min="9476" max="9476" width="10.28515625" style="342" customWidth="1"/>
    <col min="9477" max="9477" width="11.85546875" style="342" customWidth="1"/>
    <col min="9478" max="9479" width="10.85546875" style="342" customWidth="1"/>
    <col min="9480" max="9481" width="10.7109375" style="342" customWidth="1"/>
    <col min="9482" max="9482" width="10.42578125" style="342" customWidth="1"/>
    <col min="9483" max="9483" width="8.140625" style="342" customWidth="1"/>
    <col min="9484" max="9485" width="8.85546875" style="342" customWidth="1"/>
    <col min="9486" max="9486" width="8.42578125" style="342" customWidth="1"/>
    <col min="9487" max="9487" width="10" style="342" customWidth="1"/>
    <col min="9488" max="9488" width="10.5703125" style="342" bestFit="1" customWidth="1"/>
    <col min="9489" max="9728" width="9.140625" style="342"/>
    <col min="9729" max="9729" width="12.7109375" style="342" customWidth="1"/>
    <col min="9730" max="9730" width="15.7109375" style="342" customWidth="1"/>
    <col min="9731" max="9731" width="12.42578125" style="342" customWidth="1"/>
    <col min="9732" max="9732" width="10.28515625" style="342" customWidth="1"/>
    <col min="9733" max="9733" width="11.85546875" style="342" customWidth="1"/>
    <col min="9734" max="9735" width="10.85546875" style="342" customWidth="1"/>
    <col min="9736" max="9737" width="10.7109375" style="342" customWidth="1"/>
    <col min="9738" max="9738" width="10.42578125" style="342" customWidth="1"/>
    <col min="9739" max="9739" width="8.140625" style="342" customWidth="1"/>
    <col min="9740" max="9741" width="8.85546875" style="342" customWidth="1"/>
    <col min="9742" max="9742" width="8.42578125" style="342" customWidth="1"/>
    <col min="9743" max="9743" width="10" style="342" customWidth="1"/>
    <col min="9744" max="9744" width="10.5703125" style="342" bestFit="1" customWidth="1"/>
    <col min="9745" max="9984" width="9.140625" style="342"/>
    <col min="9985" max="9985" width="12.7109375" style="342" customWidth="1"/>
    <col min="9986" max="9986" width="15.7109375" style="342" customWidth="1"/>
    <col min="9987" max="9987" width="12.42578125" style="342" customWidth="1"/>
    <col min="9988" max="9988" width="10.28515625" style="342" customWidth="1"/>
    <col min="9989" max="9989" width="11.85546875" style="342" customWidth="1"/>
    <col min="9990" max="9991" width="10.85546875" style="342" customWidth="1"/>
    <col min="9992" max="9993" width="10.7109375" style="342" customWidth="1"/>
    <col min="9994" max="9994" width="10.42578125" style="342" customWidth="1"/>
    <col min="9995" max="9995" width="8.140625" style="342" customWidth="1"/>
    <col min="9996" max="9997" width="8.85546875" style="342" customWidth="1"/>
    <col min="9998" max="9998" width="8.42578125" style="342" customWidth="1"/>
    <col min="9999" max="9999" width="10" style="342" customWidth="1"/>
    <col min="10000" max="10000" width="10.5703125" style="342" bestFit="1" customWidth="1"/>
    <col min="10001" max="10240" width="9.140625" style="342"/>
    <col min="10241" max="10241" width="12.7109375" style="342" customWidth="1"/>
    <col min="10242" max="10242" width="15.7109375" style="342" customWidth="1"/>
    <col min="10243" max="10243" width="12.42578125" style="342" customWidth="1"/>
    <col min="10244" max="10244" width="10.28515625" style="342" customWidth="1"/>
    <col min="10245" max="10245" width="11.85546875" style="342" customWidth="1"/>
    <col min="10246" max="10247" width="10.85546875" style="342" customWidth="1"/>
    <col min="10248" max="10249" width="10.7109375" style="342" customWidth="1"/>
    <col min="10250" max="10250" width="10.42578125" style="342" customWidth="1"/>
    <col min="10251" max="10251" width="8.140625" style="342" customWidth="1"/>
    <col min="10252" max="10253" width="8.85546875" style="342" customWidth="1"/>
    <col min="10254" max="10254" width="8.42578125" style="342" customWidth="1"/>
    <col min="10255" max="10255" width="10" style="342" customWidth="1"/>
    <col min="10256" max="10256" width="10.5703125" style="342" bestFit="1" customWidth="1"/>
    <col min="10257" max="10496" width="9.140625" style="342"/>
    <col min="10497" max="10497" width="12.7109375" style="342" customWidth="1"/>
    <col min="10498" max="10498" width="15.7109375" style="342" customWidth="1"/>
    <col min="10499" max="10499" width="12.42578125" style="342" customWidth="1"/>
    <col min="10500" max="10500" width="10.28515625" style="342" customWidth="1"/>
    <col min="10501" max="10501" width="11.85546875" style="342" customWidth="1"/>
    <col min="10502" max="10503" width="10.85546875" style="342" customWidth="1"/>
    <col min="10504" max="10505" width="10.7109375" style="342" customWidth="1"/>
    <col min="10506" max="10506" width="10.42578125" style="342" customWidth="1"/>
    <col min="10507" max="10507" width="8.140625" style="342" customWidth="1"/>
    <col min="10508" max="10509" width="8.85546875" style="342" customWidth="1"/>
    <col min="10510" max="10510" width="8.42578125" style="342" customWidth="1"/>
    <col min="10511" max="10511" width="10" style="342" customWidth="1"/>
    <col min="10512" max="10512" width="10.5703125" style="342" bestFit="1" customWidth="1"/>
    <col min="10513" max="10752" width="9.140625" style="342"/>
    <col min="10753" max="10753" width="12.7109375" style="342" customWidth="1"/>
    <col min="10754" max="10754" width="15.7109375" style="342" customWidth="1"/>
    <col min="10755" max="10755" width="12.42578125" style="342" customWidth="1"/>
    <col min="10756" max="10756" width="10.28515625" style="342" customWidth="1"/>
    <col min="10757" max="10757" width="11.85546875" style="342" customWidth="1"/>
    <col min="10758" max="10759" width="10.85546875" style="342" customWidth="1"/>
    <col min="10760" max="10761" width="10.7109375" style="342" customWidth="1"/>
    <col min="10762" max="10762" width="10.42578125" style="342" customWidth="1"/>
    <col min="10763" max="10763" width="8.140625" style="342" customWidth="1"/>
    <col min="10764" max="10765" width="8.85546875" style="342" customWidth="1"/>
    <col min="10766" max="10766" width="8.42578125" style="342" customWidth="1"/>
    <col min="10767" max="10767" width="10" style="342" customWidth="1"/>
    <col min="10768" max="10768" width="10.5703125" style="342" bestFit="1" customWidth="1"/>
    <col min="10769" max="11008" width="9.140625" style="342"/>
    <col min="11009" max="11009" width="12.7109375" style="342" customWidth="1"/>
    <col min="11010" max="11010" width="15.7109375" style="342" customWidth="1"/>
    <col min="11011" max="11011" width="12.42578125" style="342" customWidth="1"/>
    <col min="11012" max="11012" width="10.28515625" style="342" customWidth="1"/>
    <col min="11013" max="11013" width="11.85546875" style="342" customWidth="1"/>
    <col min="11014" max="11015" width="10.85546875" style="342" customWidth="1"/>
    <col min="11016" max="11017" width="10.7109375" style="342" customWidth="1"/>
    <col min="11018" max="11018" width="10.42578125" style="342" customWidth="1"/>
    <col min="11019" max="11019" width="8.140625" style="342" customWidth="1"/>
    <col min="11020" max="11021" width="8.85546875" style="342" customWidth="1"/>
    <col min="11022" max="11022" width="8.42578125" style="342" customWidth="1"/>
    <col min="11023" max="11023" width="10" style="342" customWidth="1"/>
    <col min="11024" max="11024" width="10.5703125" style="342" bestFit="1" customWidth="1"/>
    <col min="11025" max="11264" width="9.140625" style="342"/>
    <col min="11265" max="11265" width="12.7109375" style="342" customWidth="1"/>
    <col min="11266" max="11266" width="15.7109375" style="342" customWidth="1"/>
    <col min="11267" max="11267" width="12.42578125" style="342" customWidth="1"/>
    <col min="11268" max="11268" width="10.28515625" style="342" customWidth="1"/>
    <col min="11269" max="11269" width="11.85546875" style="342" customWidth="1"/>
    <col min="11270" max="11271" width="10.85546875" style="342" customWidth="1"/>
    <col min="11272" max="11273" width="10.7109375" style="342" customWidth="1"/>
    <col min="11274" max="11274" width="10.42578125" style="342" customWidth="1"/>
    <col min="11275" max="11275" width="8.140625" style="342" customWidth="1"/>
    <col min="11276" max="11277" width="8.85546875" style="342" customWidth="1"/>
    <col min="11278" max="11278" width="8.42578125" style="342" customWidth="1"/>
    <col min="11279" max="11279" width="10" style="342" customWidth="1"/>
    <col min="11280" max="11280" width="10.5703125" style="342" bestFit="1" customWidth="1"/>
    <col min="11281" max="11520" width="9.140625" style="342"/>
    <col min="11521" max="11521" width="12.7109375" style="342" customWidth="1"/>
    <col min="11522" max="11522" width="15.7109375" style="342" customWidth="1"/>
    <col min="11523" max="11523" width="12.42578125" style="342" customWidth="1"/>
    <col min="11524" max="11524" width="10.28515625" style="342" customWidth="1"/>
    <col min="11525" max="11525" width="11.85546875" style="342" customWidth="1"/>
    <col min="11526" max="11527" width="10.85546875" style="342" customWidth="1"/>
    <col min="11528" max="11529" width="10.7109375" style="342" customWidth="1"/>
    <col min="11530" max="11530" width="10.42578125" style="342" customWidth="1"/>
    <col min="11531" max="11531" width="8.140625" style="342" customWidth="1"/>
    <col min="11532" max="11533" width="8.85546875" style="342" customWidth="1"/>
    <col min="11534" max="11534" width="8.42578125" style="342" customWidth="1"/>
    <col min="11535" max="11535" width="10" style="342" customWidth="1"/>
    <col min="11536" max="11536" width="10.5703125" style="342" bestFit="1" customWidth="1"/>
    <col min="11537" max="11776" width="9.140625" style="342"/>
    <col min="11777" max="11777" width="12.7109375" style="342" customWidth="1"/>
    <col min="11778" max="11778" width="15.7109375" style="342" customWidth="1"/>
    <col min="11779" max="11779" width="12.42578125" style="342" customWidth="1"/>
    <col min="11780" max="11780" width="10.28515625" style="342" customWidth="1"/>
    <col min="11781" max="11781" width="11.85546875" style="342" customWidth="1"/>
    <col min="11782" max="11783" width="10.85546875" style="342" customWidth="1"/>
    <col min="11784" max="11785" width="10.7109375" style="342" customWidth="1"/>
    <col min="11786" max="11786" width="10.42578125" style="342" customWidth="1"/>
    <col min="11787" max="11787" width="8.140625" style="342" customWidth="1"/>
    <col min="11788" max="11789" width="8.85546875" style="342" customWidth="1"/>
    <col min="11790" max="11790" width="8.42578125" style="342" customWidth="1"/>
    <col min="11791" max="11791" width="10" style="342" customWidth="1"/>
    <col min="11792" max="11792" width="10.5703125" style="342" bestFit="1" customWidth="1"/>
    <col min="11793" max="12032" width="9.140625" style="342"/>
    <col min="12033" max="12033" width="12.7109375" style="342" customWidth="1"/>
    <col min="12034" max="12034" width="15.7109375" style="342" customWidth="1"/>
    <col min="12035" max="12035" width="12.42578125" style="342" customWidth="1"/>
    <col min="12036" max="12036" width="10.28515625" style="342" customWidth="1"/>
    <col min="12037" max="12037" width="11.85546875" style="342" customWidth="1"/>
    <col min="12038" max="12039" width="10.85546875" style="342" customWidth="1"/>
    <col min="12040" max="12041" width="10.7109375" style="342" customWidth="1"/>
    <col min="12042" max="12042" width="10.42578125" style="342" customWidth="1"/>
    <col min="12043" max="12043" width="8.140625" style="342" customWidth="1"/>
    <col min="12044" max="12045" width="8.85546875" style="342" customWidth="1"/>
    <col min="12046" max="12046" width="8.42578125" style="342" customWidth="1"/>
    <col min="12047" max="12047" width="10" style="342" customWidth="1"/>
    <col min="12048" max="12048" width="10.5703125" style="342" bestFit="1" customWidth="1"/>
    <col min="12049" max="12288" width="9.140625" style="342"/>
    <col min="12289" max="12289" width="12.7109375" style="342" customWidth="1"/>
    <col min="12290" max="12290" width="15.7109375" style="342" customWidth="1"/>
    <col min="12291" max="12291" width="12.42578125" style="342" customWidth="1"/>
    <col min="12292" max="12292" width="10.28515625" style="342" customWidth="1"/>
    <col min="12293" max="12293" width="11.85546875" style="342" customWidth="1"/>
    <col min="12294" max="12295" width="10.85546875" style="342" customWidth="1"/>
    <col min="12296" max="12297" width="10.7109375" style="342" customWidth="1"/>
    <col min="12298" max="12298" width="10.42578125" style="342" customWidth="1"/>
    <col min="12299" max="12299" width="8.140625" style="342" customWidth="1"/>
    <col min="12300" max="12301" width="8.85546875" style="342" customWidth="1"/>
    <col min="12302" max="12302" width="8.42578125" style="342" customWidth="1"/>
    <col min="12303" max="12303" width="10" style="342" customWidth="1"/>
    <col min="12304" max="12304" width="10.5703125" style="342" bestFit="1" customWidth="1"/>
    <col min="12305" max="12544" width="9.140625" style="342"/>
    <col min="12545" max="12545" width="12.7109375" style="342" customWidth="1"/>
    <col min="12546" max="12546" width="15.7109375" style="342" customWidth="1"/>
    <col min="12547" max="12547" width="12.42578125" style="342" customWidth="1"/>
    <col min="12548" max="12548" width="10.28515625" style="342" customWidth="1"/>
    <col min="12549" max="12549" width="11.85546875" style="342" customWidth="1"/>
    <col min="12550" max="12551" width="10.85546875" style="342" customWidth="1"/>
    <col min="12552" max="12553" width="10.7109375" style="342" customWidth="1"/>
    <col min="12554" max="12554" width="10.42578125" style="342" customWidth="1"/>
    <col min="12555" max="12555" width="8.140625" style="342" customWidth="1"/>
    <col min="12556" max="12557" width="8.85546875" style="342" customWidth="1"/>
    <col min="12558" max="12558" width="8.42578125" style="342" customWidth="1"/>
    <col min="12559" max="12559" width="10" style="342" customWidth="1"/>
    <col min="12560" max="12560" width="10.5703125" style="342" bestFit="1" customWidth="1"/>
    <col min="12561" max="12800" width="9.140625" style="342"/>
    <col min="12801" max="12801" width="12.7109375" style="342" customWidth="1"/>
    <col min="12802" max="12802" width="15.7109375" style="342" customWidth="1"/>
    <col min="12803" max="12803" width="12.42578125" style="342" customWidth="1"/>
    <col min="12804" max="12804" width="10.28515625" style="342" customWidth="1"/>
    <col min="12805" max="12805" width="11.85546875" style="342" customWidth="1"/>
    <col min="12806" max="12807" width="10.85546875" style="342" customWidth="1"/>
    <col min="12808" max="12809" width="10.7109375" style="342" customWidth="1"/>
    <col min="12810" max="12810" width="10.42578125" style="342" customWidth="1"/>
    <col min="12811" max="12811" width="8.140625" style="342" customWidth="1"/>
    <col min="12812" max="12813" width="8.85546875" style="342" customWidth="1"/>
    <col min="12814" max="12814" width="8.42578125" style="342" customWidth="1"/>
    <col min="12815" max="12815" width="10" style="342" customWidth="1"/>
    <col min="12816" max="12816" width="10.5703125" style="342" bestFit="1" customWidth="1"/>
    <col min="12817" max="13056" width="9.140625" style="342"/>
    <col min="13057" max="13057" width="12.7109375" style="342" customWidth="1"/>
    <col min="13058" max="13058" width="15.7109375" style="342" customWidth="1"/>
    <col min="13059" max="13059" width="12.42578125" style="342" customWidth="1"/>
    <col min="13060" max="13060" width="10.28515625" style="342" customWidth="1"/>
    <col min="13061" max="13061" width="11.85546875" style="342" customWidth="1"/>
    <col min="13062" max="13063" width="10.85546875" style="342" customWidth="1"/>
    <col min="13064" max="13065" width="10.7109375" style="342" customWidth="1"/>
    <col min="13066" max="13066" width="10.42578125" style="342" customWidth="1"/>
    <col min="13067" max="13067" width="8.140625" style="342" customWidth="1"/>
    <col min="13068" max="13069" width="8.85546875" style="342" customWidth="1"/>
    <col min="13070" max="13070" width="8.42578125" style="342" customWidth="1"/>
    <col min="13071" max="13071" width="10" style="342" customWidth="1"/>
    <col min="13072" max="13072" width="10.5703125" style="342" bestFit="1" customWidth="1"/>
    <col min="13073" max="13312" width="9.140625" style="342"/>
    <col min="13313" max="13313" width="12.7109375" style="342" customWidth="1"/>
    <col min="13314" max="13314" width="15.7109375" style="342" customWidth="1"/>
    <col min="13315" max="13315" width="12.42578125" style="342" customWidth="1"/>
    <col min="13316" max="13316" width="10.28515625" style="342" customWidth="1"/>
    <col min="13317" max="13317" width="11.85546875" style="342" customWidth="1"/>
    <col min="13318" max="13319" width="10.85546875" style="342" customWidth="1"/>
    <col min="13320" max="13321" width="10.7109375" style="342" customWidth="1"/>
    <col min="13322" max="13322" width="10.42578125" style="342" customWidth="1"/>
    <col min="13323" max="13323" width="8.140625" style="342" customWidth="1"/>
    <col min="13324" max="13325" width="8.85546875" style="342" customWidth="1"/>
    <col min="13326" max="13326" width="8.42578125" style="342" customWidth="1"/>
    <col min="13327" max="13327" width="10" style="342" customWidth="1"/>
    <col min="13328" max="13328" width="10.5703125" style="342" bestFit="1" customWidth="1"/>
    <col min="13329" max="13568" width="9.140625" style="342"/>
    <col min="13569" max="13569" width="12.7109375" style="342" customWidth="1"/>
    <col min="13570" max="13570" width="15.7109375" style="342" customWidth="1"/>
    <col min="13571" max="13571" width="12.42578125" style="342" customWidth="1"/>
    <col min="13572" max="13572" width="10.28515625" style="342" customWidth="1"/>
    <col min="13573" max="13573" width="11.85546875" style="342" customWidth="1"/>
    <col min="13574" max="13575" width="10.85546875" style="342" customWidth="1"/>
    <col min="13576" max="13577" width="10.7109375" style="342" customWidth="1"/>
    <col min="13578" max="13578" width="10.42578125" style="342" customWidth="1"/>
    <col min="13579" max="13579" width="8.140625" style="342" customWidth="1"/>
    <col min="13580" max="13581" width="8.85546875" style="342" customWidth="1"/>
    <col min="13582" max="13582" width="8.42578125" style="342" customWidth="1"/>
    <col min="13583" max="13583" width="10" style="342" customWidth="1"/>
    <col min="13584" max="13584" width="10.5703125" style="342" bestFit="1" customWidth="1"/>
    <col min="13585" max="13824" width="9.140625" style="342"/>
    <col min="13825" max="13825" width="12.7109375" style="342" customWidth="1"/>
    <col min="13826" max="13826" width="15.7109375" style="342" customWidth="1"/>
    <col min="13827" max="13827" width="12.42578125" style="342" customWidth="1"/>
    <col min="13828" max="13828" width="10.28515625" style="342" customWidth="1"/>
    <col min="13829" max="13829" width="11.85546875" style="342" customWidth="1"/>
    <col min="13830" max="13831" width="10.85546875" style="342" customWidth="1"/>
    <col min="13832" max="13833" width="10.7109375" style="342" customWidth="1"/>
    <col min="13834" max="13834" width="10.42578125" style="342" customWidth="1"/>
    <col min="13835" max="13835" width="8.140625" style="342" customWidth="1"/>
    <col min="13836" max="13837" width="8.85546875" style="342" customWidth="1"/>
    <col min="13838" max="13838" width="8.42578125" style="342" customWidth="1"/>
    <col min="13839" max="13839" width="10" style="342" customWidth="1"/>
    <col min="13840" max="13840" width="10.5703125" style="342" bestFit="1" customWidth="1"/>
    <col min="13841" max="14080" width="9.140625" style="342"/>
    <col min="14081" max="14081" width="12.7109375" style="342" customWidth="1"/>
    <col min="14082" max="14082" width="15.7109375" style="342" customWidth="1"/>
    <col min="14083" max="14083" width="12.42578125" style="342" customWidth="1"/>
    <col min="14084" max="14084" width="10.28515625" style="342" customWidth="1"/>
    <col min="14085" max="14085" width="11.85546875" style="342" customWidth="1"/>
    <col min="14086" max="14087" width="10.85546875" style="342" customWidth="1"/>
    <col min="14088" max="14089" width="10.7109375" style="342" customWidth="1"/>
    <col min="14090" max="14090" width="10.42578125" style="342" customWidth="1"/>
    <col min="14091" max="14091" width="8.140625" style="342" customWidth="1"/>
    <col min="14092" max="14093" width="8.85546875" style="342" customWidth="1"/>
    <col min="14094" max="14094" width="8.42578125" style="342" customWidth="1"/>
    <col min="14095" max="14095" width="10" style="342" customWidth="1"/>
    <col min="14096" max="14096" width="10.5703125" style="342" bestFit="1" customWidth="1"/>
    <col min="14097" max="14336" width="9.140625" style="342"/>
    <col min="14337" max="14337" width="12.7109375" style="342" customWidth="1"/>
    <col min="14338" max="14338" width="15.7109375" style="342" customWidth="1"/>
    <col min="14339" max="14339" width="12.42578125" style="342" customWidth="1"/>
    <col min="14340" max="14340" width="10.28515625" style="342" customWidth="1"/>
    <col min="14341" max="14341" width="11.85546875" style="342" customWidth="1"/>
    <col min="14342" max="14343" width="10.85546875" style="342" customWidth="1"/>
    <col min="14344" max="14345" width="10.7109375" style="342" customWidth="1"/>
    <col min="14346" max="14346" width="10.42578125" style="342" customWidth="1"/>
    <col min="14347" max="14347" width="8.140625" style="342" customWidth="1"/>
    <col min="14348" max="14349" width="8.85546875" style="342" customWidth="1"/>
    <col min="14350" max="14350" width="8.42578125" style="342" customWidth="1"/>
    <col min="14351" max="14351" width="10" style="342" customWidth="1"/>
    <col min="14352" max="14352" width="10.5703125" style="342" bestFit="1" customWidth="1"/>
    <col min="14353" max="14592" width="9.140625" style="342"/>
    <col min="14593" max="14593" width="12.7109375" style="342" customWidth="1"/>
    <col min="14594" max="14594" width="15.7109375" style="342" customWidth="1"/>
    <col min="14595" max="14595" width="12.42578125" style="342" customWidth="1"/>
    <col min="14596" max="14596" width="10.28515625" style="342" customWidth="1"/>
    <col min="14597" max="14597" width="11.85546875" style="342" customWidth="1"/>
    <col min="14598" max="14599" width="10.85546875" style="342" customWidth="1"/>
    <col min="14600" max="14601" width="10.7109375" style="342" customWidth="1"/>
    <col min="14602" max="14602" width="10.42578125" style="342" customWidth="1"/>
    <col min="14603" max="14603" width="8.140625" style="342" customWidth="1"/>
    <col min="14604" max="14605" width="8.85546875" style="342" customWidth="1"/>
    <col min="14606" max="14606" width="8.42578125" style="342" customWidth="1"/>
    <col min="14607" max="14607" width="10" style="342" customWidth="1"/>
    <col min="14608" max="14608" width="10.5703125" style="342" bestFit="1" customWidth="1"/>
    <col min="14609" max="14848" width="9.140625" style="342"/>
    <col min="14849" max="14849" width="12.7109375" style="342" customWidth="1"/>
    <col min="14850" max="14850" width="15.7109375" style="342" customWidth="1"/>
    <col min="14851" max="14851" width="12.42578125" style="342" customWidth="1"/>
    <col min="14852" max="14852" width="10.28515625" style="342" customWidth="1"/>
    <col min="14853" max="14853" width="11.85546875" style="342" customWidth="1"/>
    <col min="14854" max="14855" width="10.85546875" style="342" customWidth="1"/>
    <col min="14856" max="14857" width="10.7109375" style="342" customWidth="1"/>
    <col min="14858" max="14858" width="10.42578125" style="342" customWidth="1"/>
    <col min="14859" max="14859" width="8.140625" style="342" customWidth="1"/>
    <col min="14860" max="14861" width="8.85546875" style="342" customWidth="1"/>
    <col min="14862" max="14862" width="8.42578125" style="342" customWidth="1"/>
    <col min="14863" max="14863" width="10" style="342" customWidth="1"/>
    <col min="14864" max="14864" width="10.5703125" style="342" bestFit="1" customWidth="1"/>
    <col min="14865" max="15104" width="9.140625" style="342"/>
    <col min="15105" max="15105" width="12.7109375" style="342" customWidth="1"/>
    <col min="15106" max="15106" width="15.7109375" style="342" customWidth="1"/>
    <col min="15107" max="15107" width="12.42578125" style="342" customWidth="1"/>
    <col min="15108" max="15108" width="10.28515625" style="342" customWidth="1"/>
    <col min="15109" max="15109" width="11.85546875" style="342" customWidth="1"/>
    <col min="15110" max="15111" width="10.85546875" style="342" customWidth="1"/>
    <col min="15112" max="15113" width="10.7109375" style="342" customWidth="1"/>
    <col min="15114" max="15114" width="10.42578125" style="342" customWidth="1"/>
    <col min="15115" max="15115" width="8.140625" style="342" customWidth="1"/>
    <col min="15116" max="15117" width="8.85546875" style="342" customWidth="1"/>
    <col min="15118" max="15118" width="8.42578125" style="342" customWidth="1"/>
    <col min="15119" max="15119" width="10" style="342" customWidth="1"/>
    <col min="15120" max="15120" width="10.5703125" style="342" bestFit="1" customWidth="1"/>
    <col min="15121" max="15360" width="9.140625" style="342"/>
    <col min="15361" max="15361" width="12.7109375" style="342" customWidth="1"/>
    <col min="15362" max="15362" width="15.7109375" style="342" customWidth="1"/>
    <col min="15363" max="15363" width="12.42578125" style="342" customWidth="1"/>
    <col min="15364" max="15364" width="10.28515625" style="342" customWidth="1"/>
    <col min="15365" max="15365" width="11.85546875" style="342" customWidth="1"/>
    <col min="15366" max="15367" width="10.85546875" style="342" customWidth="1"/>
    <col min="15368" max="15369" width="10.7109375" style="342" customWidth="1"/>
    <col min="15370" max="15370" width="10.42578125" style="342" customWidth="1"/>
    <col min="15371" max="15371" width="8.140625" style="342" customWidth="1"/>
    <col min="15372" max="15373" width="8.85546875" style="342" customWidth="1"/>
    <col min="15374" max="15374" width="8.42578125" style="342" customWidth="1"/>
    <col min="15375" max="15375" width="10" style="342" customWidth="1"/>
    <col min="15376" max="15376" width="10.5703125" style="342" bestFit="1" customWidth="1"/>
    <col min="15377" max="15616" width="9.140625" style="342"/>
    <col min="15617" max="15617" width="12.7109375" style="342" customWidth="1"/>
    <col min="15618" max="15618" width="15.7109375" style="342" customWidth="1"/>
    <col min="15619" max="15619" width="12.42578125" style="342" customWidth="1"/>
    <col min="15620" max="15620" width="10.28515625" style="342" customWidth="1"/>
    <col min="15621" max="15621" width="11.85546875" style="342" customWidth="1"/>
    <col min="15622" max="15623" width="10.85546875" style="342" customWidth="1"/>
    <col min="15624" max="15625" width="10.7109375" style="342" customWidth="1"/>
    <col min="15626" max="15626" width="10.42578125" style="342" customWidth="1"/>
    <col min="15627" max="15627" width="8.140625" style="342" customWidth="1"/>
    <col min="15628" max="15629" width="8.85546875" style="342" customWidth="1"/>
    <col min="15630" max="15630" width="8.42578125" style="342" customWidth="1"/>
    <col min="15631" max="15631" width="10" style="342" customWidth="1"/>
    <col min="15632" max="15632" width="10.5703125" style="342" bestFit="1" customWidth="1"/>
    <col min="15633" max="15872" width="9.140625" style="342"/>
    <col min="15873" max="15873" width="12.7109375" style="342" customWidth="1"/>
    <col min="15874" max="15874" width="15.7109375" style="342" customWidth="1"/>
    <col min="15875" max="15875" width="12.42578125" style="342" customWidth="1"/>
    <col min="15876" max="15876" width="10.28515625" style="342" customWidth="1"/>
    <col min="15877" max="15877" width="11.85546875" style="342" customWidth="1"/>
    <col min="15878" max="15879" width="10.85546875" style="342" customWidth="1"/>
    <col min="15880" max="15881" width="10.7109375" style="342" customWidth="1"/>
    <col min="15882" max="15882" width="10.42578125" style="342" customWidth="1"/>
    <col min="15883" max="15883" width="8.140625" style="342" customWidth="1"/>
    <col min="15884" max="15885" width="8.85546875" style="342" customWidth="1"/>
    <col min="15886" max="15886" width="8.42578125" style="342" customWidth="1"/>
    <col min="15887" max="15887" width="10" style="342" customWidth="1"/>
    <col min="15888" max="15888" width="10.5703125" style="342" bestFit="1" customWidth="1"/>
    <col min="15889" max="16128" width="9.140625" style="342"/>
    <col min="16129" max="16129" width="12.7109375" style="342" customWidth="1"/>
    <col min="16130" max="16130" width="15.7109375" style="342" customWidth="1"/>
    <col min="16131" max="16131" width="12.42578125" style="342" customWidth="1"/>
    <col min="16132" max="16132" width="10.28515625" style="342" customWidth="1"/>
    <col min="16133" max="16133" width="11.85546875" style="342" customWidth="1"/>
    <col min="16134" max="16135" width="10.85546875" style="342" customWidth="1"/>
    <col min="16136" max="16137" width="10.7109375" style="342" customWidth="1"/>
    <col min="16138" max="16138" width="10.42578125" style="342" customWidth="1"/>
    <col min="16139" max="16139" width="8.140625" style="342" customWidth="1"/>
    <col min="16140" max="16141" width="8.85546875" style="342" customWidth="1"/>
    <col min="16142" max="16142" width="8.42578125" style="342" customWidth="1"/>
    <col min="16143" max="16143" width="10" style="342" customWidth="1"/>
    <col min="16144" max="16144" width="10.5703125" style="342" bestFit="1" customWidth="1"/>
    <col min="16145" max="16384" width="9.140625" style="342"/>
  </cols>
  <sheetData>
    <row r="1" spans="1:14" ht="15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  <c r="N1" s="1119"/>
    </row>
    <row r="2" spans="1:14" ht="15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</row>
    <row r="3" spans="1:14">
      <c r="A3" s="1114" t="s">
        <v>1214</v>
      </c>
      <c r="B3" s="1115"/>
      <c r="C3" s="1113" t="s">
        <v>5487</v>
      </c>
      <c r="D3" s="1113"/>
      <c r="E3" s="1116" t="s">
        <v>5369</v>
      </c>
      <c r="F3" s="1115"/>
      <c r="G3" s="551"/>
      <c r="H3" s="419">
        <v>906170101</v>
      </c>
      <c r="I3" s="1116" t="s">
        <v>5370</v>
      </c>
      <c r="J3" s="1115"/>
      <c r="K3" s="419">
        <v>547.24900000000002</v>
      </c>
      <c r="L3" s="1116" t="s">
        <v>5371</v>
      </c>
      <c r="M3" s="1115"/>
      <c r="N3" s="420">
        <v>80</v>
      </c>
    </row>
    <row r="4" spans="1:14" ht="15">
      <c r="A4" s="808" t="s">
        <v>4176</v>
      </c>
      <c r="B4" s="808"/>
      <c r="C4" s="808"/>
      <c r="D4" s="421"/>
      <c r="E4" s="421"/>
      <c r="F4" s="421"/>
      <c r="G4" s="421"/>
      <c r="H4" s="421"/>
      <c r="I4" s="422"/>
      <c r="J4" s="422"/>
      <c r="K4" s="422"/>
      <c r="L4" s="422"/>
      <c r="M4" s="422"/>
    </row>
    <row r="5" spans="1:14">
      <c r="A5" s="1114" t="s">
        <v>832</v>
      </c>
      <c r="B5" s="1115"/>
      <c r="C5" s="1113" t="s">
        <v>5488</v>
      </c>
      <c r="D5" s="1113"/>
      <c r="E5" s="1116" t="s">
        <v>5373</v>
      </c>
      <c r="F5" s="1115"/>
      <c r="G5" s="551"/>
      <c r="H5" s="1108" t="s">
        <v>5489</v>
      </c>
      <c r="I5" s="1108"/>
      <c r="J5" s="423"/>
      <c r="L5" s="423"/>
      <c r="M5" s="422"/>
    </row>
    <row r="6" spans="1:14">
      <c r="A6" s="421"/>
      <c r="B6" s="422"/>
      <c r="C6" s="421"/>
      <c r="D6" s="421"/>
      <c r="E6" s="421"/>
      <c r="F6" s="421"/>
      <c r="G6" s="421"/>
      <c r="H6" s="421"/>
      <c r="I6" s="422"/>
      <c r="J6" s="422"/>
      <c r="K6" s="422"/>
      <c r="L6" s="422"/>
      <c r="M6" s="422"/>
    </row>
    <row r="7" spans="1:14">
      <c r="A7" s="1114" t="s">
        <v>618</v>
      </c>
      <c r="B7" s="1115"/>
      <c r="C7" s="1113" t="s">
        <v>5490</v>
      </c>
      <c r="D7" s="1113"/>
      <c r="E7" s="1117" t="s">
        <v>1206</v>
      </c>
      <c r="F7" s="1118"/>
      <c r="G7" s="553"/>
      <c r="H7" s="1100" t="s">
        <v>5491</v>
      </c>
      <c r="I7" s="1100"/>
      <c r="J7" s="422"/>
      <c r="K7" s="422"/>
      <c r="L7" s="422"/>
      <c r="M7" s="422"/>
    </row>
    <row r="8" spans="1:14">
      <c r="A8" s="421"/>
      <c r="B8" s="422"/>
      <c r="C8" s="421"/>
      <c r="D8" s="421"/>
      <c r="E8" s="421"/>
      <c r="F8" s="421"/>
      <c r="G8" s="421"/>
      <c r="H8" s="421"/>
      <c r="I8" s="422"/>
      <c r="J8" s="422"/>
      <c r="K8" s="422"/>
      <c r="L8" s="422"/>
      <c r="M8" s="422"/>
    </row>
    <row r="9" spans="1:14">
      <c r="A9" s="1108" t="s">
        <v>838</v>
      </c>
      <c r="B9" s="1108"/>
      <c r="C9" s="1108"/>
      <c r="D9" s="1113" t="s">
        <v>5492</v>
      </c>
      <c r="E9" s="1113"/>
      <c r="F9" s="1108" t="s">
        <v>5493</v>
      </c>
      <c r="G9" s="1108"/>
      <c r="H9" s="1108"/>
      <c r="I9" s="1108" t="s">
        <v>5494</v>
      </c>
      <c r="J9" s="1108"/>
      <c r="K9" s="1112"/>
      <c r="L9" s="1112"/>
      <c r="M9" s="422"/>
    </row>
    <row r="10" spans="1:14">
      <c r="A10" s="1108" t="s">
        <v>1203</v>
      </c>
      <c r="B10" s="1108"/>
      <c r="C10" s="1108"/>
      <c r="D10" s="1113" t="s">
        <v>5495</v>
      </c>
      <c r="E10" s="1113"/>
      <c r="F10" s="1108" t="s">
        <v>5496</v>
      </c>
      <c r="G10" s="1108"/>
      <c r="H10" s="1108"/>
      <c r="I10" s="1108" t="s">
        <v>5497</v>
      </c>
      <c r="J10" s="1108"/>
      <c r="K10" s="1112"/>
      <c r="L10" s="1112"/>
      <c r="M10" s="422"/>
    </row>
    <row r="11" spans="1:14">
      <c r="A11" s="1108" t="s">
        <v>1202</v>
      </c>
      <c r="B11" s="1108"/>
      <c r="C11" s="1108"/>
      <c r="D11" s="1109" t="s">
        <v>5498</v>
      </c>
      <c r="E11" s="1110"/>
      <c r="F11" s="1108" t="s">
        <v>5499</v>
      </c>
      <c r="G11" s="1108"/>
      <c r="H11" s="1108"/>
      <c r="I11" s="1111" t="s">
        <v>5500</v>
      </c>
      <c r="J11" s="1111"/>
      <c r="K11" s="1112"/>
      <c r="L11" s="1112"/>
      <c r="M11" s="422"/>
    </row>
    <row r="12" spans="1:14">
      <c r="A12" s="1108" t="s">
        <v>1196</v>
      </c>
      <c r="B12" s="1108"/>
      <c r="C12" s="1108"/>
      <c r="D12" s="1113" t="s">
        <v>5501</v>
      </c>
      <c r="E12" s="1113"/>
      <c r="F12" s="1108" t="s">
        <v>5502</v>
      </c>
      <c r="G12" s="1108"/>
      <c r="H12" s="1108"/>
      <c r="I12" s="1108" t="s">
        <v>5503</v>
      </c>
      <c r="J12" s="1108"/>
      <c r="K12" s="1112"/>
      <c r="L12" s="1112"/>
      <c r="M12" s="422"/>
    </row>
    <row r="13" spans="1:14">
      <c r="A13" s="421"/>
      <c r="B13" s="422"/>
      <c r="C13" s="421"/>
      <c r="D13" s="421"/>
      <c r="E13" s="421"/>
      <c r="F13" s="421"/>
      <c r="G13" s="421"/>
      <c r="H13" s="421"/>
      <c r="I13" s="422"/>
      <c r="J13" s="422"/>
      <c r="K13" s="422"/>
      <c r="L13" s="422"/>
      <c r="M13" s="422"/>
    </row>
    <row r="14" spans="1:14">
      <c r="A14" s="1101" t="s">
        <v>1194</v>
      </c>
      <c r="B14" s="1102"/>
      <c r="C14" s="552">
        <v>3</v>
      </c>
      <c r="D14" s="1103" t="s">
        <v>1193</v>
      </c>
      <c r="E14" s="1101"/>
      <c r="F14" s="424">
        <v>3</v>
      </c>
      <c r="G14" s="423"/>
      <c r="H14" s="421" t="s">
        <v>643</v>
      </c>
      <c r="I14" s="424">
        <v>9</v>
      </c>
      <c r="J14" s="421" t="s">
        <v>644</v>
      </c>
      <c r="K14" s="420">
        <v>2</v>
      </c>
      <c r="L14" s="422" t="s">
        <v>645</v>
      </c>
      <c r="M14" s="420">
        <v>11</v>
      </c>
    </row>
    <row r="15" spans="1:14">
      <c r="A15" s="421"/>
      <c r="B15" s="425"/>
      <c r="C15" s="421"/>
      <c r="D15" s="423"/>
      <c r="E15" s="421"/>
      <c r="F15" s="423"/>
      <c r="G15" s="423"/>
      <c r="H15" s="421"/>
      <c r="I15" s="426"/>
      <c r="J15" s="422"/>
      <c r="K15" s="422"/>
      <c r="L15" s="422"/>
      <c r="M15" s="422"/>
    </row>
    <row r="16" spans="1:14" ht="22.5">
      <c r="A16" s="427" t="s">
        <v>1192</v>
      </c>
      <c r="B16" s="428" t="s">
        <v>204</v>
      </c>
      <c r="C16" s="552">
        <v>150</v>
      </c>
      <c r="D16" s="550" t="s">
        <v>205</v>
      </c>
      <c r="E16" s="552">
        <v>5</v>
      </c>
      <c r="F16" s="421" t="s">
        <v>206</v>
      </c>
      <c r="G16" s="421"/>
      <c r="H16" s="552">
        <v>1</v>
      </c>
      <c r="I16" s="422" t="s">
        <v>230</v>
      </c>
      <c r="J16" s="552">
        <f>H16+E16+C16</f>
        <v>156</v>
      </c>
      <c r="K16" s="422" t="s">
        <v>207</v>
      </c>
      <c r="L16" s="471">
        <v>9</v>
      </c>
      <c r="M16" s="427" t="s">
        <v>855</v>
      </c>
      <c r="N16" s="575">
        <v>8</v>
      </c>
    </row>
    <row r="17" spans="1:16">
      <c r="A17" s="1104" t="s">
        <v>1191</v>
      </c>
      <c r="B17" s="428" t="s">
        <v>210</v>
      </c>
      <c r="C17" s="552">
        <v>420</v>
      </c>
      <c r="D17" s="550" t="s">
        <v>211</v>
      </c>
      <c r="E17" s="552">
        <v>12</v>
      </c>
      <c r="F17" s="421" t="s">
        <v>212</v>
      </c>
      <c r="G17" s="421"/>
      <c r="H17" s="552">
        <v>1</v>
      </c>
      <c r="I17" s="422" t="s">
        <v>411</v>
      </c>
      <c r="J17" s="552">
        <f>H17+E17+C17</f>
        <v>433</v>
      </c>
      <c r="K17" s="426"/>
      <c r="L17" s="426"/>
      <c r="M17" s="426"/>
      <c r="N17" s="429"/>
    </row>
    <row r="18" spans="1:16" ht="24">
      <c r="A18" s="1104"/>
      <c r="B18" s="428" t="s">
        <v>213</v>
      </c>
      <c r="C18" s="552">
        <v>404</v>
      </c>
      <c r="D18" s="550" t="s">
        <v>214</v>
      </c>
      <c r="E18" s="552">
        <v>14</v>
      </c>
      <c r="F18" s="421" t="s">
        <v>215</v>
      </c>
      <c r="G18" s="421"/>
      <c r="H18" s="552">
        <v>1</v>
      </c>
      <c r="I18" s="422" t="s">
        <v>410</v>
      </c>
      <c r="J18" s="552">
        <f>H18+E18+C18</f>
        <v>419</v>
      </c>
      <c r="K18" s="426"/>
      <c r="L18" s="426"/>
      <c r="M18" s="426"/>
      <c r="N18" s="429"/>
    </row>
    <row r="19" spans="1:16">
      <c r="A19" s="421"/>
      <c r="B19" s="422"/>
      <c r="C19" s="421"/>
      <c r="D19" s="421"/>
      <c r="E19" s="421"/>
      <c r="F19" s="421"/>
      <c r="G19" s="421"/>
      <c r="H19" s="421"/>
      <c r="I19" s="422"/>
      <c r="J19" s="422"/>
      <c r="K19" s="422"/>
      <c r="L19" s="422"/>
      <c r="M19" s="422"/>
    </row>
    <row r="20" spans="1:16">
      <c r="A20" s="1105" t="s">
        <v>409</v>
      </c>
      <c r="B20" s="1105"/>
      <c r="C20" s="421"/>
      <c r="D20" s="421"/>
      <c r="E20" s="421"/>
      <c r="F20" s="421"/>
      <c r="G20" s="421"/>
      <c r="H20" s="421"/>
      <c r="I20" s="422"/>
      <c r="J20" s="422"/>
      <c r="K20" s="422"/>
      <c r="L20" s="422"/>
      <c r="M20" s="422"/>
    </row>
    <row r="21" spans="1:16">
      <c r="A21" s="1100" t="s">
        <v>1190</v>
      </c>
      <c r="B21" s="1100"/>
      <c r="C21" s="1106" t="s">
        <v>1189</v>
      </c>
      <c r="D21" s="1095" t="s">
        <v>219</v>
      </c>
      <c r="E21" s="1095" t="s">
        <v>5384</v>
      </c>
      <c r="F21" s="1095" t="s">
        <v>5385</v>
      </c>
      <c r="G21" s="552"/>
      <c r="H21" s="1097" t="s">
        <v>5386</v>
      </c>
      <c r="I21" s="1098"/>
      <c r="J21" s="1098"/>
      <c r="K21" s="1098"/>
      <c r="L21" s="1098"/>
      <c r="M21" s="1098"/>
      <c r="N21" s="1099"/>
    </row>
    <row r="22" spans="1:16" ht="36">
      <c r="A22" s="1100"/>
      <c r="B22" s="1100"/>
      <c r="C22" s="1107"/>
      <c r="D22" s="1096"/>
      <c r="E22" s="1096"/>
      <c r="F22" s="1096"/>
      <c r="G22" s="554" t="s">
        <v>1181</v>
      </c>
      <c r="H22" s="420" t="s">
        <v>227</v>
      </c>
      <c r="I22" s="424" t="s">
        <v>228</v>
      </c>
      <c r="J22" s="420" t="s">
        <v>229</v>
      </c>
      <c r="K22" s="342" t="s">
        <v>1499</v>
      </c>
      <c r="L22" s="420" t="s">
        <v>4831</v>
      </c>
      <c r="M22" s="420" t="s">
        <v>4832</v>
      </c>
      <c r="N22" s="420" t="s">
        <v>4833</v>
      </c>
      <c r="O22" s="430" t="s">
        <v>5387</v>
      </c>
      <c r="P22" s="431" t="s">
        <v>662</v>
      </c>
    </row>
    <row r="23" spans="1:16">
      <c r="A23" s="1100" t="s">
        <v>232</v>
      </c>
      <c r="B23" s="1100"/>
      <c r="C23" s="420">
        <v>8000</v>
      </c>
      <c r="D23" s="472" t="s">
        <v>1175</v>
      </c>
      <c r="E23" s="433">
        <f>+C23*K3/100000</f>
        <v>43.779919999999997</v>
      </c>
      <c r="F23" s="433">
        <f>1880000/100000</f>
        <v>18.8</v>
      </c>
      <c r="G23" s="433"/>
      <c r="H23" s="433">
        <v>0</v>
      </c>
      <c r="I23" s="433">
        <f>141000/100000</f>
        <v>1.41</v>
      </c>
      <c r="J23" s="435">
        <f>1484863/100000</f>
        <v>14.84863</v>
      </c>
      <c r="K23" s="435"/>
      <c r="L23" s="435"/>
      <c r="M23" s="435"/>
      <c r="N23" s="435"/>
      <c r="O23" s="463">
        <f>+H23+I23+J23+K23+L23+M23+N23</f>
        <v>16.25863</v>
      </c>
      <c r="P23" s="437">
        <f>O23*100/F23</f>
        <v>86.482074468085102</v>
      </c>
    </row>
    <row r="24" spans="1:16">
      <c r="A24" s="1100" t="s">
        <v>234</v>
      </c>
      <c r="B24" s="1100"/>
      <c r="C24" s="420">
        <v>7000</v>
      </c>
      <c r="D24" s="472" t="s">
        <v>1175</v>
      </c>
      <c r="E24" s="433">
        <f>C24*80/100000</f>
        <v>5.6</v>
      </c>
      <c r="F24" s="433">
        <v>0</v>
      </c>
      <c r="G24" s="433"/>
      <c r="H24" s="433">
        <v>0</v>
      </c>
      <c r="I24" s="433">
        <v>0</v>
      </c>
      <c r="J24" s="435">
        <v>0</v>
      </c>
      <c r="K24" s="435"/>
      <c r="L24" s="435"/>
      <c r="M24" s="435"/>
      <c r="N24" s="435"/>
      <c r="O24" s="463">
        <f t="shared" ref="O24:O31" si="0">+H24+I24+J24+K24+L24+M24+N24</f>
        <v>0</v>
      </c>
      <c r="P24" s="437">
        <v>0</v>
      </c>
    </row>
    <row r="25" spans="1:16">
      <c r="A25" s="1100" t="s">
        <v>235</v>
      </c>
      <c r="B25" s="1100"/>
      <c r="C25" s="420">
        <v>86</v>
      </c>
      <c r="D25" s="472" t="s">
        <v>236</v>
      </c>
      <c r="E25" s="433">
        <f>43000/100000</f>
        <v>0.43</v>
      </c>
      <c r="F25" s="433">
        <f>35000/100000</f>
        <v>0.35</v>
      </c>
      <c r="G25" s="433"/>
      <c r="H25" s="433">
        <v>0</v>
      </c>
      <c r="I25" s="433">
        <f>2980/100000</f>
        <v>2.98E-2</v>
      </c>
      <c r="J25" s="435">
        <f>6380/100000</f>
        <v>6.3799999999999996E-2</v>
      </c>
      <c r="K25" s="435"/>
      <c r="L25" s="435"/>
      <c r="M25" s="435"/>
      <c r="N25" s="435"/>
      <c r="O25" s="463">
        <f t="shared" si="0"/>
        <v>9.3599999999999989E-2</v>
      </c>
      <c r="P25" s="437">
        <f>O25*100/F25</f>
        <v>26.742857142857144</v>
      </c>
    </row>
    <row r="26" spans="1:16">
      <c r="A26" s="1100" t="s">
        <v>237</v>
      </c>
      <c r="B26" s="1100"/>
      <c r="C26" s="420">
        <v>68</v>
      </c>
      <c r="D26" s="472" t="s">
        <v>236</v>
      </c>
      <c r="E26" s="433">
        <f>34000/100000</f>
        <v>0.34</v>
      </c>
      <c r="F26" s="433">
        <f>16000/100000</f>
        <v>0.16</v>
      </c>
      <c r="G26" s="433"/>
      <c r="H26" s="433">
        <v>0</v>
      </c>
      <c r="I26" s="433">
        <f>16000/100000</f>
        <v>0.16</v>
      </c>
      <c r="J26" s="435">
        <v>0</v>
      </c>
      <c r="K26" s="435"/>
      <c r="L26" s="435"/>
      <c r="M26" s="435"/>
      <c r="N26" s="435"/>
      <c r="O26" s="463">
        <f t="shared" si="0"/>
        <v>0.16</v>
      </c>
      <c r="P26" s="437">
        <f>O26*100/F26</f>
        <v>100</v>
      </c>
    </row>
    <row r="27" spans="1:16">
      <c r="A27" s="1100" t="s">
        <v>238</v>
      </c>
      <c r="B27" s="1100"/>
      <c r="C27" s="420">
        <v>1200</v>
      </c>
      <c r="D27" s="472" t="s">
        <v>1175</v>
      </c>
      <c r="E27" s="433">
        <f>ROUND((+C27*K3),0)/100000</f>
        <v>6.5669899999999997</v>
      </c>
      <c r="F27" s="433">
        <f>200000/100000</f>
        <v>2</v>
      </c>
      <c r="G27" s="433"/>
      <c r="H27" s="433">
        <v>0</v>
      </c>
      <c r="I27" s="433">
        <v>0</v>
      </c>
      <c r="J27" s="435">
        <f>30000/100000</f>
        <v>0.3</v>
      </c>
      <c r="K27" s="435"/>
      <c r="L27" s="435"/>
      <c r="M27" s="435"/>
      <c r="N27" s="435"/>
      <c r="O27" s="463">
        <f t="shared" si="0"/>
        <v>0.3</v>
      </c>
      <c r="P27" s="437">
        <f>O27*100/F27</f>
        <v>15</v>
      </c>
    </row>
    <row r="28" spans="1:16">
      <c r="A28" s="1100" t="s">
        <v>667</v>
      </c>
      <c r="B28" s="1100"/>
      <c r="C28" s="420">
        <v>565</v>
      </c>
      <c r="D28" s="472" t="s">
        <v>1175</v>
      </c>
      <c r="E28" s="433">
        <f>ROUND((+C28*K3),0)/100000</f>
        <v>3.0919599999999998</v>
      </c>
      <c r="F28" s="433">
        <f>309168/100000</f>
        <v>3.0916800000000002</v>
      </c>
      <c r="G28" s="433"/>
      <c r="H28" s="433">
        <v>0</v>
      </c>
      <c r="I28" s="433">
        <f>309168/100000</f>
        <v>3.0916800000000002</v>
      </c>
      <c r="J28" s="435">
        <v>0</v>
      </c>
      <c r="K28" s="435"/>
      <c r="L28" s="435"/>
      <c r="M28" s="435"/>
      <c r="N28" s="435"/>
      <c r="O28" s="463">
        <f t="shared" si="0"/>
        <v>3.0916800000000002</v>
      </c>
      <c r="P28" s="437">
        <f>O28*100/F28</f>
        <v>100</v>
      </c>
    </row>
    <row r="29" spans="1:16">
      <c r="A29" s="1100" t="s">
        <v>1176</v>
      </c>
      <c r="B29" s="1100"/>
      <c r="C29" s="420">
        <v>1000</v>
      </c>
      <c r="D29" s="472" t="s">
        <v>1175</v>
      </c>
      <c r="E29" s="433">
        <f>+C29*K3/100000</f>
        <v>5.4724899999999996</v>
      </c>
      <c r="F29" s="433">
        <v>0</v>
      </c>
      <c r="G29" s="433"/>
      <c r="H29" s="433">
        <v>0</v>
      </c>
      <c r="I29" s="433">
        <v>0</v>
      </c>
      <c r="J29" s="435">
        <v>0</v>
      </c>
      <c r="K29" s="435"/>
      <c r="L29" s="435"/>
      <c r="M29" s="435"/>
      <c r="N29" s="435"/>
      <c r="O29" s="463">
        <f t="shared" si="0"/>
        <v>0</v>
      </c>
      <c r="P29" s="437">
        <v>0</v>
      </c>
    </row>
    <row r="30" spans="1:16">
      <c r="A30" s="1100" t="s">
        <v>394</v>
      </c>
      <c r="B30" s="1100"/>
      <c r="C30" s="420">
        <v>2750</v>
      </c>
      <c r="D30" s="472" t="s">
        <v>242</v>
      </c>
      <c r="E30" s="434">
        <f>66000/100000+1.687</f>
        <v>2.347</v>
      </c>
      <c r="F30" s="434">
        <f>66000/100000</f>
        <v>0.66</v>
      </c>
      <c r="G30" s="433"/>
      <c r="H30" s="433">
        <v>0</v>
      </c>
      <c r="I30" s="433">
        <f>32500/100000</f>
        <v>0.32500000000000001</v>
      </c>
      <c r="J30" s="435">
        <f>33703/100000</f>
        <v>0.33703</v>
      </c>
      <c r="K30" s="435"/>
      <c r="L30" s="435"/>
      <c r="M30" s="435"/>
      <c r="N30" s="435"/>
      <c r="O30" s="463">
        <f t="shared" si="0"/>
        <v>0.66203000000000001</v>
      </c>
      <c r="P30" s="437">
        <f>O30*100/F30</f>
        <v>100.30757575757576</v>
      </c>
    </row>
    <row r="31" spans="1:16" ht="15">
      <c r="A31" s="1128" t="s">
        <v>670</v>
      </c>
      <c r="B31" s="1128"/>
      <c r="C31" s="443">
        <v>2000</v>
      </c>
      <c r="D31" s="439" t="s">
        <v>5390</v>
      </c>
      <c r="E31" s="447">
        <f>10000/100000</f>
        <v>0.1</v>
      </c>
      <c r="F31" s="447">
        <f>10000/100000</f>
        <v>0.1</v>
      </c>
      <c r="G31" s="433">
        <v>0</v>
      </c>
      <c r="H31" s="433">
        <v>0</v>
      </c>
      <c r="I31" s="447">
        <f>10000/100000</f>
        <v>0.1</v>
      </c>
      <c r="J31" s="435">
        <v>0</v>
      </c>
      <c r="K31" s="435">
        <v>0</v>
      </c>
      <c r="L31" s="435">
        <v>0</v>
      </c>
      <c r="M31" s="435">
        <v>0</v>
      </c>
      <c r="N31" s="435">
        <v>0</v>
      </c>
      <c r="O31" s="463">
        <f t="shared" si="0"/>
        <v>0.1</v>
      </c>
      <c r="P31" s="437">
        <f>O31*100/F31</f>
        <v>100</v>
      </c>
    </row>
    <row r="32" spans="1:16">
      <c r="A32" s="1093" t="s">
        <v>230</v>
      </c>
      <c r="B32" s="1094"/>
      <c r="C32" s="420"/>
      <c r="D32" s="424"/>
      <c r="E32" s="440">
        <f>SUM(E23:E31)</f>
        <v>67.728359999999981</v>
      </c>
      <c r="F32" s="440">
        <f t="shared" ref="F32:O32" si="1">SUM(F23:F31)</f>
        <v>25.161680000000004</v>
      </c>
      <c r="G32" s="440">
        <f t="shared" si="1"/>
        <v>0</v>
      </c>
      <c r="H32" s="440">
        <f t="shared" si="1"/>
        <v>0</v>
      </c>
      <c r="I32" s="440">
        <f t="shared" si="1"/>
        <v>5.1164800000000001</v>
      </c>
      <c r="J32" s="440">
        <f t="shared" si="1"/>
        <v>15.549460000000002</v>
      </c>
      <c r="K32" s="440">
        <f t="shared" si="1"/>
        <v>0</v>
      </c>
      <c r="L32" s="440">
        <f t="shared" si="1"/>
        <v>0</v>
      </c>
      <c r="M32" s="440">
        <f t="shared" si="1"/>
        <v>0</v>
      </c>
      <c r="N32" s="440">
        <f t="shared" si="1"/>
        <v>0</v>
      </c>
      <c r="O32" s="440">
        <f t="shared" si="1"/>
        <v>20.665940000000003</v>
      </c>
      <c r="P32" s="436">
        <f>O32*100/F32</f>
        <v>82.132592100368484</v>
      </c>
    </row>
  </sheetData>
  <mergeCells count="56">
    <mergeCell ref="A4:C4"/>
    <mergeCell ref="A1:N1"/>
    <mergeCell ref="A2:N2"/>
    <mergeCell ref="A3:B3"/>
    <mergeCell ref="C3:D3"/>
    <mergeCell ref="E3:F3"/>
    <mergeCell ref="I3:J3"/>
    <mergeCell ref="L3:M3"/>
    <mergeCell ref="A5:B5"/>
    <mergeCell ref="C5:D5"/>
    <mergeCell ref="E5:F5"/>
    <mergeCell ref="H5:I5"/>
    <mergeCell ref="A7:B7"/>
    <mergeCell ref="C7:D7"/>
    <mergeCell ref="E7:F7"/>
    <mergeCell ref="H7:I7"/>
    <mergeCell ref="A10:C10"/>
    <mergeCell ref="D10:E10"/>
    <mergeCell ref="F10:H10"/>
    <mergeCell ref="I10:J10"/>
    <mergeCell ref="K10:L10"/>
    <mergeCell ref="A9:C9"/>
    <mergeCell ref="D9:E9"/>
    <mergeCell ref="F9:H9"/>
    <mergeCell ref="I9:J9"/>
    <mergeCell ref="K9:L9"/>
    <mergeCell ref="A12:C12"/>
    <mergeCell ref="D12:E12"/>
    <mergeCell ref="F12:H12"/>
    <mergeCell ref="I12:J12"/>
    <mergeCell ref="K12:L12"/>
    <mergeCell ref="A11:C11"/>
    <mergeCell ref="D11:E11"/>
    <mergeCell ref="F11:H11"/>
    <mergeCell ref="I11:J11"/>
    <mergeCell ref="K11:L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H21:N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75" right="0.75" top="1" bottom="1" header="0.5" footer="0.5"/>
  <pageSetup scale="70" orientation="landscape" horizontalDpi="180" verticalDpi="18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indexed="29"/>
  </sheetPr>
  <dimension ref="A1:O32"/>
  <sheetViews>
    <sheetView workbookViewId="0">
      <selection activeCell="A4" sqref="A4:C4"/>
    </sheetView>
  </sheetViews>
  <sheetFormatPr defaultRowHeight="12.75"/>
  <cols>
    <col min="1" max="1" width="12.7109375" style="342" customWidth="1"/>
    <col min="2" max="2" width="13.7109375" style="342" customWidth="1"/>
    <col min="3" max="4" width="9.85546875" style="342" customWidth="1"/>
    <col min="5" max="5" width="11.85546875" style="342" customWidth="1"/>
    <col min="6" max="6" width="10.85546875" style="342" customWidth="1"/>
    <col min="7" max="7" width="10" style="342" customWidth="1"/>
    <col min="8" max="8" width="10.7109375" style="342" customWidth="1"/>
    <col min="9" max="9" width="8.5703125" style="342" customWidth="1"/>
    <col min="10" max="11" width="8.140625" style="342" customWidth="1"/>
    <col min="12" max="12" width="12" style="342" customWidth="1"/>
    <col min="13" max="13" width="7.42578125" style="342" bestFit="1" customWidth="1"/>
    <col min="14" max="14" width="11.5703125" style="342" customWidth="1"/>
    <col min="15" max="15" width="10.5703125" style="342" bestFit="1" customWidth="1"/>
    <col min="16" max="256" width="9.140625" style="342"/>
    <col min="257" max="257" width="12.7109375" style="342" customWidth="1"/>
    <col min="258" max="258" width="13.7109375" style="342" customWidth="1"/>
    <col min="259" max="260" width="9.85546875" style="342" customWidth="1"/>
    <col min="261" max="261" width="11.85546875" style="342" customWidth="1"/>
    <col min="262" max="262" width="10.85546875" style="342" customWidth="1"/>
    <col min="263" max="263" width="10" style="342" customWidth="1"/>
    <col min="264" max="264" width="10.7109375" style="342" customWidth="1"/>
    <col min="265" max="265" width="8.5703125" style="342" customWidth="1"/>
    <col min="266" max="267" width="8.140625" style="342" customWidth="1"/>
    <col min="268" max="268" width="12" style="342" customWidth="1"/>
    <col min="269" max="269" width="7.42578125" style="342" bestFit="1" customWidth="1"/>
    <col min="270" max="270" width="11.5703125" style="342" customWidth="1"/>
    <col min="271" max="271" width="10.5703125" style="342" bestFit="1" customWidth="1"/>
    <col min="272" max="512" width="9.140625" style="342"/>
    <col min="513" max="513" width="12.7109375" style="342" customWidth="1"/>
    <col min="514" max="514" width="13.7109375" style="342" customWidth="1"/>
    <col min="515" max="516" width="9.85546875" style="342" customWidth="1"/>
    <col min="517" max="517" width="11.85546875" style="342" customWidth="1"/>
    <col min="518" max="518" width="10.85546875" style="342" customWidth="1"/>
    <col min="519" max="519" width="10" style="342" customWidth="1"/>
    <col min="520" max="520" width="10.7109375" style="342" customWidth="1"/>
    <col min="521" max="521" width="8.5703125" style="342" customWidth="1"/>
    <col min="522" max="523" width="8.140625" style="342" customWidth="1"/>
    <col min="524" max="524" width="12" style="342" customWidth="1"/>
    <col min="525" max="525" width="7.42578125" style="342" bestFit="1" customWidth="1"/>
    <col min="526" max="526" width="11.5703125" style="342" customWidth="1"/>
    <col min="527" max="527" width="10.5703125" style="342" bestFit="1" customWidth="1"/>
    <col min="528" max="768" width="9.140625" style="342"/>
    <col min="769" max="769" width="12.7109375" style="342" customWidth="1"/>
    <col min="770" max="770" width="13.7109375" style="342" customWidth="1"/>
    <col min="771" max="772" width="9.85546875" style="342" customWidth="1"/>
    <col min="773" max="773" width="11.85546875" style="342" customWidth="1"/>
    <col min="774" max="774" width="10.85546875" style="342" customWidth="1"/>
    <col min="775" max="775" width="10" style="342" customWidth="1"/>
    <col min="776" max="776" width="10.7109375" style="342" customWidth="1"/>
    <col min="777" max="777" width="8.5703125" style="342" customWidth="1"/>
    <col min="778" max="779" width="8.140625" style="342" customWidth="1"/>
    <col min="780" max="780" width="12" style="342" customWidth="1"/>
    <col min="781" max="781" width="7.42578125" style="342" bestFit="1" customWidth="1"/>
    <col min="782" max="782" width="11.5703125" style="342" customWidth="1"/>
    <col min="783" max="783" width="10.5703125" style="342" bestFit="1" customWidth="1"/>
    <col min="784" max="1024" width="9.140625" style="342"/>
    <col min="1025" max="1025" width="12.7109375" style="342" customWidth="1"/>
    <col min="1026" max="1026" width="13.7109375" style="342" customWidth="1"/>
    <col min="1027" max="1028" width="9.85546875" style="342" customWidth="1"/>
    <col min="1029" max="1029" width="11.85546875" style="342" customWidth="1"/>
    <col min="1030" max="1030" width="10.85546875" style="342" customWidth="1"/>
    <col min="1031" max="1031" width="10" style="342" customWidth="1"/>
    <col min="1032" max="1032" width="10.7109375" style="342" customWidth="1"/>
    <col min="1033" max="1033" width="8.5703125" style="342" customWidth="1"/>
    <col min="1034" max="1035" width="8.140625" style="342" customWidth="1"/>
    <col min="1036" max="1036" width="12" style="342" customWidth="1"/>
    <col min="1037" max="1037" width="7.42578125" style="342" bestFit="1" customWidth="1"/>
    <col min="1038" max="1038" width="11.5703125" style="342" customWidth="1"/>
    <col min="1039" max="1039" width="10.5703125" style="342" bestFit="1" customWidth="1"/>
    <col min="1040" max="1280" width="9.140625" style="342"/>
    <col min="1281" max="1281" width="12.7109375" style="342" customWidth="1"/>
    <col min="1282" max="1282" width="13.7109375" style="342" customWidth="1"/>
    <col min="1283" max="1284" width="9.85546875" style="342" customWidth="1"/>
    <col min="1285" max="1285" width="11.85546875" style="342" customWidth="1"/>
    <col min="1286" max="1286" width="10.85546875" style="342" customWidth="1"/>
    <col min="1287" max="1287" width="10" style="342" customWidth="1"/>
    <col min="1288" max="1288" width="10.7109375" style="342" customWidth="1"/>
    <col min="1289" max="1289" width="8.5703125" style="342" customWidth="1"/>
    <col min="1290" max="1291" width="8.140625" style="342" customWidth="1"/>
    <col min="1292" max="1292" width="12" style="342" customWidth="1"/>
    <col min="1293" max="1293" width="7.42578125" style="342" bestFit="1" customWidth="1"/>
    <col min="1294" max="1294" width="11.5703125" style="342" customWidth="1"/>
    <col min="1295" max="1295" width="10.5703125" style="342" bestFit="1" customWidth="1"/>
    <col min="1296" max="1536" width="9.140625" style="342"/>
    <col min="1537" max="1537" width="12.7109375" style="342" customWidth="1"/>
    <col min="1538" max="1538" width="13.7109375" style="342" customWidth="1"/>
    <col min="1539" max="1540" width="9.85546875" style="342" customWidth="1"/>
    <col min="1541" max="1541" width="11.85546875" style="342" customWidth="1"/>
    <col min="1542" max="1542" width="10.85546875" style="342" customWidth="1"/>
    <col min="1543" max="1543" width="10" style="342" customWidth="1"/>
    <col min="1544" max="1544" width="10.7109375" style="342" customWidth="1"/>
    <col min="1545" max="1545" width="8.5703125" style="342" customWidth="1"/>
    <col min="1546" max="1547" width="8.140625" style="342" customWidth="1"/>
    <col min="1548" max="1548" width="12" style="342" customWidth="1"/>
    <col min="1549" max="1549" width="7.42578125" style="342" bestFit="1" customWidth="1"/>
    <col min="1550" max="1550" width="11.5703125" style="342" customWidth="1"/>
    <col min="1551" max="1551" width="10.5703125" style="342" bestFit="1" customWidth="1"/>
    <col min="1552" max="1792" width="9.140625" style="342"/>
    <col min="1793" max="1793" width="12.7109375" style="342" customWidth="1"/>
    <col min="1794" max="1794" width="13.7109375" style="342" customWidth="1"/>
    <col min="1795" max="1796" width="9.85546875" style="342" customWidth="1"/>
    <col min="1797" max="1797" width="11.85546875" style="342" customWidth="1"/>
    <col min="1798" max="1798" width="10.85546875" style="342" customWidth="1"/>
    <col min="1799" max="1799" width="10" style="342" customWidth="1"/>
    <col min="1800" max="1800" width="10.7109375" style="342" customWidth="1"/>
    <col min="1801" max="1801" width="8.5703125" style="342" customWidth="1"/>
    <col min="1802" max="1803" width="8.140625" style="342" customWidth="1"/>
    <col min="1804" max="1804" width="12" style="342" customWidth="1"/>
    <col min="1805" max="1805" width="7.42578125" style="342" bestFit="1" customWidth="1"/>
    <col min="1806" max="1806" width="11.5703125" style="342" customWidth="1"/>
    <col min="1807" max="1807" width="10.5703125" style="342" bestFit="1" customWidth="1"/>
    <col min="1808" max="2048" width="9.140625" style="342"/>
    <col min="2049" max="2049" width="12.7109375" style="342" customWidth="1"/>
    <col min="2050" max="2050" width="13.7109375" style="342" customWidth="1"/>
    <col min="2051" max="2052" width="9.85546875" style="342" customWidth="1"/>
    <col min="2053" max="2053" width="11.85546875" style="342" customWidth="1"/>
    <col min="2054" max="2054" width="10.85546875" style="342" customWidth="1"/>
    <col min="2055" max="2055" width="10" style="342" customWidth="1"/>
    <col min="2056" max="2056" width="10.7109375" style="342" customWidth="1"/>
    <col min="2057" max="2057" width="8.5703125" style="342" customWidth="1"/>
    <col min="2058" max="2059" width="8.140625" style="342" customWidth="1"/>
    <col min="2060" max="2060" width="12" style="342" customWidth="1"/>
    <col min="2061" max="2061" width="7.42578125" style="342" bestFit="1" customWidth="1"/>
    <col min="2062" max="2062" width="11.5703125" style="342" customWidth="1"/>
    <col min="2063" max="2063" width="10.5703125" style="342" bestFit="1" customWidth="1"/>
    <col min="2064" max="2304" width="9.140625" style="342"/>
    <col min="2305" max="2305" width="12.7109375" style="342" customWidth="1"/>
    <col min="2306" max="2306" width="13.7109375" style="342" customWidth="1"/>
    <col min="2307" max="2308" width="9.85546875" style="342" customWidth="1"/>
    <col min="2309" max="2309" width="11.85546875" style="342" customWidth="1"/>
    <col min="2310" max="2310" width="10.85546875" style="342" customWidth="1"/>
    <col min="2311" max="2311" width="10" style="342" customWidth="1"/>
    <col min="2312" max="2312" width="10.7109375" style="342" customWidth="1"/>
    <col min="2313" max="2313" width="8.5703125" style="342" customWidth="1"/>
    <col min="2314" max="2315" width="8.140625" style="342" customWidth="1"/>
    <col min="2316" max="2316" width="12" style="342" customWidth="1"/>
    <col min="2317" max="2317" width="7.42578125" style="342" bestFit="1" customWidth="1"/>
    <col min="2318" max="2318" width="11.5703125" style="342" customWidth="1"/>
    <col min="2319" max="2319" width="10.5703125" style="342" bestFit="1" customWidth="1"/>
    <col min="2320" max="2560" width="9.140625" style="342"/>
    <col min="2561" max="2561" width="12.7109375" style="342" customWidth="1"/>
    <col min="2562" max="2562" width="13.7109375" style="342" customWidth="1"/>
    <col min="2563" max="2564" width="9.85546875" style="342" customWidth="1"/>
    <col min="2565" max="2565" width="11.85546875" style="342" customWidth="1"/>
    <col min="2566" max="2566" width="10.85546875" style="342" customWidth="1"/>
    <col min="2567" max="2567" width="10" style="342" customWidth="1"/>
    <col min="2568" max="2568" width="10.7109375" style="342" customWidth="1"/>
    <col min="2569" max="2569" width="8.5703125" style="342" customWidth="1"/>
    <col min="2570" max="2571" width="8.140625" style="342" customWidth="1"/>
    <col min="2572" max="2572" width="12" style="342" customWidth="1"/>
    <col min="2573" max="2573" width="7.42578125" style="342" bestFit="1" customWidth="1"/>
    <col min="2574" max="2574" width="11.5703125" style="342" customWidth="1"/>
    <col min="2575" max="2575" width="10.5703125" style="342" bestFit="1" customWidth="1"/>
    <col min="2576" max="2816" width="9.140625" style="342"/>
    <col min="2817" max="2817" width="12.7109375" style="342" customWidth="1"/>
    <col min="2818" max="2818" width="13.7109375" style="342" customWidth="1"/>
    <col min="2819" max="2820" width="9.85546875" style="342" customWidth="1"/>
    <col min="2821" max="2821" width="11.85546875" style="342" customWidth="1"/>
    <col min="2822" max="2822" width="10.85546875" style="342" customWidth="1"/>
    <col min="2823" max="2823" width="10" style="342" customWidth="1"/>
    <col min="2824" max="2824" width="10.7109375" style="342" customWidth="1"/>
    <col min="2825" max="2825" width="8.5703125" style="342" customWidth="1"/>
    <col min="2826" max="2827" width="8.140625" style="342" customWidth="1"/>
    <col min="2828" max="2828" width="12" style="342" customWidth="1"/>
    <col min="2829" max="2829" width="7.42578125" style="342" bestFit="1" customWidth="1"/>
    <col min="2830" max="2830" width="11.5703125" style="342" customWidth="1"/>
    <col min="2831" max="2831" width="10.5703125" style="342" bestFit="1" customWidth="1"/>
    <col min="2832" max="3072" width="9.140625" style="342"/>
    <col min="3073" max="3073" width="12.7109375" style="342" customWidth="1"/>
    <col min="3074" max="3074" width="13.7109375" style="342" customWidth="1"/>
    <col min="3075" max="3076" width="9.85546875" style="342" customWidth="1"/>
    <col min="3077" max="3077" width="11.85546875" style="342" customWidth="1"/>
    <col min="3078" max="3078" width="10.85546875" style="342" customWidth="1"/>
    <col min="3079" max="3079" width="10" style="342" customWidth="1"/>
    <col min="3080" max="3080" width="10.7109375" style="342" customWidth="1"/>
    <col min="3081" max="3081" width="8.5703125" style="342" customWidth="1"/>
    <col min="3082" max="3083" width="8.140625" style="342" customWidth="1"/>
    <col min="3084" max="3084" width="12" style="342" customWidth="1"/>
    <col min="3085" max="3085" width="7.42578125" style="342" bestFit="1" customWidth="1"/>
    <col min="3086" max="3086" width="11.5703125" style="342" customWidth="1"/>
    <col min="3087" max="3087" width="10.5703125" style="342" bestFit="1" customWidth="1"/>
    <col min="3088" max="3328" width="9.140625" style="342"/>
    <col min="3329" max="3329" width="12.7109375" style="342" customWidth="1"/>
    <col min="3330" max="3330" width="13.7109375" style="342" customWidth="1"/>
    <col min="3331" max="3332" width="9.85546875" style="342" customWidth="1"/>
    <col min="3333" max="3333" width="11.85546875" style="342" customWidth="1"/>
    <col min="3334" max="3334" width="10.85546875" style="342" customWidth="1"/>
    <col min="3335" max="3335" width="10" style="342" customWidth="1"/>
    <col min="3336" max="3336" width="10.7109375" style="342" customWidth="1"/>
    <col min="3337" max="3337" width="8.5703125" style="342" customWidth="1"/>
    <col min="3338" max="3339" width="8.140625" style="342" customWidth="1"/>
    <col min="3340" max="3340" width="12" style="342" customWidth="1"/>
    <col min="3341" max="3341" width="7.42578125" style="342" bestFit="1" customWidth="1"/>
    <col min="3342" max="3342" width="11.5703125" style="342" customWidth="1"/>
    <col min="3343" max="3343" width="10.5703125" style="342" bestFit="1" customWidth="1"/>
    <col min="3344" max="3584" width="9.140625" style="342"/>
    <col min="3585" max="3585" width="12.7109375" style="342" customWidth="1"/>
    <col min="3586" max="3586" width="13.7109375" style="342" customWidth="1"/>
    <col min="3587" max="3588" width="9.85546875" style="342" customWidth="1"/>
    <col min="3589" max="3589" width="11.85546875" style="342" customWidth="1"/>
    <col min="3590" max="3590" width="10.85546875" style="342" customWidth="1"/>
    <col min="3591" max="3591" width="10" style="342" customWidth="1"/>
    <col min="3592" max="3592" width="10.7109375" style="342" customWidth="1"/>
    <col min="3593" max="3593" width="8.5703125" style="342" customWidth="1"/>
    <col min="3594" max="3595" width="8.140625" style="342" customWidth="1"/>
    <col min="3596" max="3596" width="12" style="342" customWidth="1"/>
    <col min="3597" max="3597" width="7.42578125" style="342" bestFit="1" customWidth="1"/>
    <col min="3598" max="3598" width="11.5703125" style="342" customWidth="1"/>
    <col min="3599" max="3599" width="10.5703125" style="342" bestFit="1" customWidth="1"/>
    <col min="3600" max="3840" width="9.140625" style="342"/>
    <col min="3841" max="3841" width="12.7109375" style="342" customWidth="1"/>
    <col min="3842" max="3842" width="13.7109375" style="342" customWidth="1"/>
    <col min="3843" max="3844" width="9.85546875" style="342" customWidth="1"/>
    <col min="3845" max="3845" width="11.85546875" style="342" customWidth="1"/>
    <col min="3846" max="3846" width="10.85546875" style="342" customWidth="1"/>
    <col min="3847" max="3847" width="10" style="342" customWidth="1"/>
    <col min="3848" max="3848" width="10.7109375" style="342" customWidth="1"/>
    <col min="3849" max="3849" width="8.5703125" style="342" customWidth="1"/>
    <col min="3850" max="3851" width="8.140625" style="342" customWidth="1"/>
    <col min="3852" max="3852" width="12" style="342" customWidth="1"/>
    <col min="3853" max="3853" width="7.42578125" style="342" bestFit="1" customWidth="1"/>
    <col min="3854" max="3854" width="11.5703125" style="342" customWidth="1"/>
    <col min="3855" max="3855" width="10.5703125" style="342" bestFit="1" customWidth="1"/>
    <col min="3856" max="4096" width="9.140625" style="342"/>
    <col min="4097" max="4097" width="12.7109375" style="342" customWidth="1"/>
    <col min="4098" max="4098" width="13.7109375" style="342" customWidth="1"/>
    <col min="4099" max="4100" width="9.85546875" style="342" customWidth="1"/>
    <col min="4101" max="4101" width="11.85546875" style="342" customWidth="1"/>
    <col min="4102" max="4102" width="10.85546875" style="342" customWidth="1"/>
    <col min="4103" max="4103" width="10" style="342" customWidth="1"/>
    <col min="4104" max="4104" width="10.7109375" style="342" customWidth="1"/>
    <col min="4105" max="4105" width="8.5703125" style="342" customWidth="1"/>
    <col min="4106" max="4107" width="8.140625" style="342" customWidth="1"/>
    <col min="4108" max="4108" width="12" style="342" customWidth="1"/>
    <col min="4109" max="4109" width="7.42578125" style="342" bestFit="1" customWidth="1"/>
    <col min="4110" max="4110" width="11.5703125" style="342" customWidth="1"/>
    <col min="4111" max="4111" width="10.5703125" style="342" bestFit="1" customWidth="1"/>
    <col min="4112" max="4352" width="9.140625" style="342"/>
    <col min="4353" max="4353" width="12.7109375" style="342" customWidth="1"/>
    <col min="4354" max="4354" width="13.7109375" style="342" customWidth="1"/>
    <col min="4355" max="4356" width="9.85546875" style="342" customWidth="1"/>
    <col min="4357" max="4357" width="11.85546875" style="342" customWidth="1"/>
    <col min="4358" max="4358" width="10.85546875" style="342" customWidth="1"/>
    <col min="4359" max="4359" width="10" style="342" customWidth="1"/>
    <col min="4360" max="4360" width="10.7109375" style="342" customWidth="1"/>
    <col min="4361" max="4361" width="8.5703125" style="342" customWidth="1"/>
    <col min="4362" max="4363" width="8.140625" style="342" customWidth="1"/>
    <col min="4364" max="4364" width="12" style="342" customWidth="1"/>
    <col min="4365" max="4365" width="7.42578125" style="342" bestFit="1" customWidth="1"/>
    <col min="4366" max="4366" width="11.5703125" style="342" customWidth="1"/>
    <col min="4367" max="4367" width="10.5703125" style="342" bestFit="1" customWidth="1"/>
    <col min="4368" max="4608" width="9.140625" style="342"/>
    <col min="4609" max="4609" width="12.7109375" style="342" customWidth="1"/>
    <col min="4610" max="4610" width="13.7109375" style="342" customWidth="1"/>
    <col min="4611" max="4612" width="9.85546875" style="342" customWidth="1"/>
    <col min="4613" max="4613" width="11.85546875" style="342" customWidth="1"/>
    <col min="4614" max="4614" width="10.85546875" style="342" customWidth="1"/>
    <col min="4615" max="4615" width="10" style="342" customWidth="1"/>
    <col min="4616" max="4616" width="10.7109375" style="342" customWidth="1"/>
    <col min="4617" max="4617" width="8.5703125" style="342" customWidth="1"/>
    <col min="4618" max="4619" width="8.140625" style="342" customWidth="1"/>
    <col min="4620" max="4620" width="12" style="342" customWidth="1"/>
    <col min="4621" max="4621" width="7.42578125" style="342" bestFit="1" customWidth="1"/>
    <col min="4622" max="4622" width="11.5703125" style="342" customWidth="1"/>
    <col min="4623" max="4623" width="10.5703125" style="342" bestFit="1" customWidth="1"/>
    <col min="4624" max="4864" width="9.140625" style="342"/>
    <col min="4865" max="4865" width="12.7109375" style="342" customWidth="1"/>
    <col min="4866" max="4866" width="13.7109375" style="342" customWidth="1"/>
    <col min="4867" max="4868" width="9.85546875" style="342" customWidth="1"/>
    <col min="4869" max="4869" width="11.85546875" style="342" customWidth="1"/>
    <col min="4870" max="4870" width="10.85546875" style="342" customWidth="1"/>
    <col min="4871" max="4871" width="10" style="342" customWidth="1"/>
    <col min="4872" max="4872" width="10.7109375" style="342" customWidth="1"/>
    <col min="4873" max="4873" width="8.5703125" style="342" customWidth="1"/>
    <col min="4874" max="4875" width="8.140625" style="342" customWidth="1"/>
    <col min="4876" max="4876" width="12" style="342" customWidth="1"/>
    <col min="4877" max="4877" width="7.42578125" style="342" bestFit="1" customWidth="1"/>
    <col min="4878" max="4878" width="11.5703125" style="342" customWidth="1"/>
    <col min="4879" max="4879" width="10.5703125" style="342" bestFit="1" customWidth="1"/>
    <col min="4880" max="5120" width="9.140625" style="342"/>
    <col min="5121" max="5121" width="12.7109375" style="342" customWidth="1"/>
    <col min="5122" max="5122" width="13.7109375" style="342" customWidth="1"/>
    <col min="5123" max="5124" width="9.85546875" style="342" customWidth="1"/>
    <col min="5125" max="5125" width="11.85546875" style="342" customWidth="1"/>
    <col min="5126" max="5126" width="10.85546875" style="342" customWidth="1"/>
    <col min="5127" max="5127" width="10" style="342" customWidth="1"/>
    <col min="5128" max="5128" width="10.7109375" style="342" customWidth="1"/>
    <col min="5129" max="5129" width="8.5703125" style="342" customWidth="1"/>
    <col min="5130" max="5131" width="8.140625" style="342" customWidth="1"/>
    <col min="5132" max="5132" width="12" style="342" customWidth="1"/>
    <col min="5133" max="5133" width="7.42578125" style="342" bestFit="1" customWidth="1"/>
    <col min="5134" max="5134" width="11.5703125" style="342" customWidth="1"/>
    <col min="5135" max="5135" width="10.5703125" style="342" bestFit="1" customWidth="1"/>
    <col min="5136" max="5376" width="9.140625" style="342"/>
    <col min="5377" max="5377" width="12.7109375" style="342" customWidth="1"/>
    <col min="5378" max="5378" width="13.7109375" style="342" customWidth="1"/>
    <col min="5379" max="5380" width="9.85546875" style="342" customWidth="1"/>
    <col min="5381" max="5381" width="11.85546875" style="342" customWidth="1"/>
    <col min="5382" max="5382" width="10.85546875" style="342" customWidth="1"/>
    <col min="5383" max="5383" width="10" style="342" customWidth="1"/>
    <col min="5384" max="5384" width="10.7109375" style="342" customWidth="1"/>
    <col min="5385" max="5385" width="8.5703125" style="342" customWidth="1"/>
    <col min="5386" max="5387" width="8.140625" style="342" customWidth="1"/>
    <col min="5388" max="5388" width="12" style="342" customWidth="1"/>
    <col min="5389" max="5389" width="7.42578125" style="342" bestFit="1" customWidth="1"/>
    <col min="5390" max="5390" width="11.5703125" style="342" customWidth="1"/>
    <col min="5391" max="5391" width="10.5703125" style="342" bestFit="1" customWidth="1"/>
    <col min="5392" max="5632" width="9.140625" style="342"/>
    <col min="5633" max="5633" width="12.7109375" style="342" customWidth="1"/>
    <col min="5634" max="5634" width="13.7109375" style="342" customWidth="1"/>
    <col min="5635" max="5636" width="9.85546875" style="342" customWidth="1"/>
    <col min="5637" max="5637" width="11.85546875" style="342" customWidth="1"/>
    <col min="5638" max="5638" width="10.85546875" style="342" customWidth="1"/>
    <col min="5639" max="5639" width="10" style="342" customWidth="1"/>
    <col min="5640" max="5640" width="10.7109375" style="342" customWidth="1"/>
    <col min="5641" max="5641" width="8.5703125" style="342" customWidth="1"/>
    <col min="5642" max="5643" width="8.140625" style="342" customWidth="1"/>
    <col min="5644" max="5644" width="12" style="342" customWidth="1"/>
    <col min="5645" max="5645" width="7.42578125" style="342" bestFit="1" customWidth="1"/>
    <col min="5646" max="5646" width="11.5703125" style="342" customWidth="1"/>
    <col min="5647" max="5647" width="10.5703125" style="342" bestFit="1" customWidth="1"/>
    <col min="5648" max="5888" width="9.140625" style="342"/>
    <col min="5889" max="5889" width="12.7109375" style="342" customWidth="1"/>
    <col min="5890" max="5890" width="13.7109375" style="342" customWidth="1"/>
    <col min="5891" max="5892" width="9.85546875" style="342" customWidth="1"/>
    <col min="5893" max="5893" width="11.85546875" style="342" customWidth="1"/>
    <col min="5894" max="5894" width="10.85546875" style="342" customWidth="1"/>
    <col min="5895" max="5895" width="10" style="342" customWidth="1"/>
    <col min="5896" max="5896" width="10.7109375" style="342" customWidth="1"/>
    <col min="5897" max="5897" width="8.5703125" style="342" customWidth="1"/>
    <col min="5898" max="5899" width="8.140625" style="342" customWidth="1"/>
    <col min="5900" max="5900" width="12" style="342" customWidth="1"/>
    <col min="5901" max="5901" width="7.42578125" style="342" bestFit="1" customWidth="1"/>
    <col min="5902" max="5902" width="11.5703125" style="342" customWidth="1"/>
    <col min="5903" max="5903" width="10.5703125" style="342" bestFit="1" customWidth="1"/>
    <col min="5904" max="6144" width="9.140625" style="342"/>
    <col min="6145" max="6145" width="12.7109375" style="342" customWidth="1"/>
    <col min="6146" max="6146" width="13.7109375" style="342" customWidth="1"/>
    <col min="6147" max="6148" width="9.85546875" style="342" customWidth="1"/>
    <col min="6149" max="6149" width="11.85546875" style="342" customWidth="1"/>
    <col min="6150" max="6150" width="10.85546875" style="342" customWidth="1"/>
    <col min="6151" max="6151" width="10" style="342" customWidth="1"/>
    <col min="6152" max="6152" width="10.7109375" style="342" customWidth="1"/>
    <col min="6153" max="6153" width="8.5703125" style="342" customWidth="1"/>
    <col min="6154" max="6155" width="8.140625" style="342" customWidth="1"/>
    <col min="6156" max="6156" width="12" style="342" customWidth="1"/>
    <col min="6157" max="6157" width="7.42578125" style="342" bestFit="1" customWidth="1"/>
    <col min="6158" max="6158" width="11.5703125" style="342" customWidth="1"/>
    <col min="6159" max="6159" width="10.5703125" style="342" bestFit="1" customWidth="1"/>
    <col min="6160" max="6400" width="9.140625" style="342"/>
    <col min="6401" max="6401" width="12.7109375" style="342" customWidth="1"/>
    <col min="6402" max="6402" width="13.7109375" style="342" customWidth="1"/>
    <col min="6403" max="6404" width="9.85546875" style="342" customWidth="1"/>
    <col min="6405" max="6405" width="11.85546875" style="342" customWidth="1"/>
    <col min="6406" max="6406" width="10.85546875" style="342" customWidth="1"/>
    <col min="6407" max="6407" width="10" style="342" customWidth="1"/>
    <col min="6408" max="6408" width="10.7109375" style="342" customWidth="1"/>
    <col min="6409" max="6409" width="8.5703125" style="342" customWidth="1"/>
    <col min="6410" max="6411" width="8.140625" style="342" customWidth="1"/>
    <col min="6412" max="6412" width="12" style="342" customWidth="1"/>
    <col min="6413" max="6413" width="7.42578125" style="342" bestFit="1" customWidth="1"/>
    <col min="6414" max="6414" width="11.5703125" style="342" customWidth="1"/>
    <col min="6415" max="6415" width="10.5703125" style="342" bestFit="1" customWidth="1"/>
    <col min="6416" max="6656" width="9.140625" style="342"/>
    <col min="6657" max="6657" width="12.7109375" style="342" customWidth="1"/>
    <col min="6658" max="6658" width="13.7109375" style="342" customWidth="1"/>
    <col min="6659" max="6660" width="9.85546875" style="342" customWidth="1"/>
    <col min="6661" max="6661" width="11.85546875" style="342" customWidth="1"/>
    <col min="6662" max="6662" width="10.85546875" style="342" customWidth="1"/>
    <col min="6663" max="6663" width="10" style="342" customWidth="1"/>
    <col min="6664" max="6664" width="10.7109375" style="342" customWidth="1"/>
    <col min="6665" max="6665" width="8.5703125" style="342" customWidth="1"/>
    <col min="6666" max="6667" width="8.140625" style="342" customWidth="1"/>
    <col min="6668" max="6668" width="12" style="342" customWidth="1"/>
    <col min="6669" max="6669" width="7.42578125" style="342" bestFit="1" customWidth="1"/>
    <col min="6670" max="6670" width="11.5703125" style="342" customWidth="1"/>
    <col min="6671" max="6671" width="10.5703125" style="342" bestFit="1" customWidth="1"/>
    <col min="6672" max="6912" width="9.140625" style="342"/>
    <col min="6913" max="6913" width="12.7109375" style="342" customWidth="1"/>
    <col min="6914" max="6914" width="13.7109375" style="342" customWidth="1"/>
    <col min="6915" max="6916" width="9.85546875" style="342" customWidth="1"/>
    <col min="6917" max="6917" width="11.85546875" style="342" customWidth="1"/>
    <col min="6918" max="6918" width="10.85546875" style="342" customWidth="1"/>
    <col min="6919" max="6919" width="10" style="342" customWidth="1"/>
    <col min="6920" max="6920" width="10.7109375" style="342" customWidth="1"/>
    <col min="6921" max="6921" width="8.5703125" style="342" customWidth="1"/>
    <col min="6922" max="6923" width="8.140625" style="342" customWidth="1"/>
    <col min="6924" max="6924" width="12" style="342" customWidth="1"/>
    <col min="6925" max="6925" width="7.42578125" style="342" bestFit="1" customWidth="1"/>
    <col min="6926" max="6926" width="11.5703125" style="342" customWidth="1"/>
    <col min="6927" max="6927" width="10.5703125" style="342" bestFit="1" customWidth="1"/>
    <col min="6928" max="7168" width="9.140625" style="342"/>
    <col min="7169" max="7169" width="12.7109375" style="342" customWidth="1"/>
    <col min="7170" max="7170" width="13.7109375" style="342" customWidth="1"/>
    <col min="7171" max="7172" width="9.85546875" style="342" customWidth="1"/>
    <col min="7173" max="7173" width="11.85546875" style="342" customWidth="1"/>
    <col min="7174" max="7174" width="10.85546875" style="342" customWidth="1"/>
    <col min="7175" max="7175" width="10" style="342" customWidth="1"/>
    <col min="7176" max="7176" width="10.7109375" style="342" customWidth="1"/>
    <col min="7177" max="7177" width="8.5703125" style="342" customWidth="1"/>
    <col min="7178" max="7179" width="8.140625" style="342" customWidth="1"/>
    <col min="7180" max="7180" width="12" style="342" customWidth="1"/>
    <col min="7181" max="7181" width="7.42578125" style="342" bestFit="1" customWidth="1"/>
    <col min="7182" max="7182" width="11.5703125" style="342" customWidth="1"/>
    <col min="7183" max="7183" width="10.5703125" style="342" bestFit="1" customWidth="1"/>
    <col min="7184" max="7424" width="9.140625" style="342"/>
    <col min="7425" max="7425" width="12.7109375" style="342" customWidth="1"/>
    <col min="7426" max="7426" width="13.7109375" style="342" customWidth="1"/>
    <col min="7427" max="7428" width="9.85546875" style="342" customWidth="1"/>
    <col min="7429" max="7429" width="11.85546875" style="342" customWidth="1"/>
    <col min="7430" max="7430" width="10.85546875" style="342" customWidth="1"/>
    <col min="7431" max="7431" width="10" style="342" customWidth="1"/>
    <col min="7432" max="7432" width="10.7109375" style="342" customWidth="1"/>
    <col min="7433" max="7433" width="8.5703125" style="342" customWidth="1"/>
    <col min="7434" max="7435" width="8.140625" style="342" customWidth="1"/>
    <col min="7436" max="7436" width="12" style="342" customWidth="1"/>
    <col min="7437" max="7437" width="7.42578125" style="342" bestFit="1" customWidth="1"/>
    <col min="7438" max="7438" width="11.5703125" style="342" customWidth="1"/>
    <col min="7439" max="7439" width="10.5703125" style="342" bestFit="1" customWidth="1"/>
    <col min="7440" max="7680" width="9.140625" style="342"/>
    <col min="7681" max="7681" width="12.7109375" style="342" customWidth="1"/>
    <col min="7682" max="7682" width="13.7109375" style="342" customWidth="1"/>
    <col min="7683" max="7684" width="9.85546875" style="342" customWidth="1"/>
    <col min="7685" max="7685" width="11.85546875" style="342" customWidth="1"/>
    <col min="7686" max="7686" width="10.85546875" style="342" customWidth="1"/>
    <col min="7687" max="7687" width="10" style="342" customWidth="1"/>
    <col min="7688" max="7688" width="10.7109375" style="342" customWidth="1"/>
    <col min="7689" max="7689" width="8.5703125" style="342" customWidth="1"/>
    <col min="7690" max="7691" width="8.140625" style="342" customWidth="1"/>
    <col min="7692" max="7692" width="12" style="342" customWidth="1"/>
    <col min="7693" max="7693" width="7.42578125" style="342" bestFit="1" customWidth="1"/>
    <col min="7694" max="7694" width="11.5703125" style="342" customWidth="1"/>
    <col min="7695" max="7695" width="10.5703125" style="342" bestFit="1" customWidth="1"/>
    <col min="7696" max="7936" width="9.140625" style="342"/>
    <col min="7937" max="7937" width="12.7109375" style="342" customWidth="1"/>
    <col min="7938" max="7938" width="13.7109375" style="342" customWidth="1"/>
    <col min="7939" max="7940" width="9.85546875" style="342" customWidth="1"/>
    <col min="7941" max="7941" width="11.85546875" style="342" customWidth="1"/>
    <col min="7942" max="7942" width="10.85546875" style="342" customWidth="1"/>
    <col min="7943" max="7943" width="10" style="342" customWidth="1"/>
    <col min="7944" max="7944" width="10.7109375" style="342" customWidth="1"/>
    <col min="7945" max="7945" width="8.5703125" style="342" customWidth="1"/>
    <col min="7946" max="7947" width="8.140625" style="342" customWidth="1"/>
    <col min="7948" max="7948" width="12" style="342" customWidth="1"/>
    <col min="7949" max="7949" width="7.42578125" style="342" bestFit="1" customWidth="1"/>
    <col min="7950" max="7950" width="11.5703125" style="342" customWidth="1"/>
    <col min="7951" max="7951" width="10.5703125" style="342" bestFit="1" customWidth="1"/>
    <col min="7952" max="8192" width="9.140625" style="342"/>
    <col min="8193" max="8193" width="12.7109375" style="342" customWidth="1"/>
    <col min="8194" max="8194" width="13.7109375" style="342" customWidth="1"/>
    <col min="8195" max="8196" width="9.85546875" style="342" customWidth="1"/>
    <col min="8197" max="8197" width="11.85546875" style="342" customWidth="1"/>
    <col min="8198" max="8198" width="10.85546875" style="342" customWidth="1"/>
    <col min="8199" max="8199" width="10" style="342" customWidth="1"/>
    <col min="8200" max="8200" width="10.7109375" style="342" customWidth="1"/>
    <col min="8201" max="8201" width="8.5703125" style="342" customWidth="1"/>
    <col min="8202" max="8203" width="8.140625" style="342" customWidth="1"/>
    <col min="8204" max="8204" width="12" style="342" customWidth="1"/>
    <col min="8205" max="8205" width="7.42578125" style="342" bestFit="1" customWidth="1"/>
    <col min="8206" max="8206" width="11.5703125" style="342" customWidth="1"/>
    <col min="8207" max="8207" width="10.5703125" style="342" bestFit="1" customWidth="1"/>
    <col min="8208" max="8448" width="9.140625" style="342"/>
    <col min="8449" max="8449" width="12.7109375" style="342" customWidth="1"/>
    <col min="8450" max="8450" width="13.7109375" style="342" customWidth="1"/>
    <col min="8451" max="8452" width="9.85546875" style="342" customWidth="1"/>
    <col min="8453" max="8453" width="11.85546875" style="342" customWidth="1"/>
    <col min="8454" max="8454" width="10.85546875" style="342" customWidth="1"/>
    <col min="8455" max="8455" width="10" style="342" customWidth="1"/>
    <col min="8456" max="8456" width="10.7109375" style="342" customWidth="1"/>
    <col min="8457" max="8457" width="8.5703125" style="342" customWidth="1"/>
    <col min="8458" max="8459" width="8.140625" style="342" customWidth="1"/>
    <col min="8460" max="8460" width="12" style="342" customWidth="1"/>
    <col min="8461" max="8461" width="7.42578125" style="342" bestFit="1" customWidth="1"/>
    <col min="8462" max="8462" width="11.5703125" style="342" customWidth="1"/>
    <col min="8463" max="8463" width="10.5703125" style="342" bestFit="1" customWidth="1"/>
    <col min="8464" max="8704" width="9.140625" style="342"/>
    <col min="8705" max="8705" width="12.7109375" style="342" customWidth="1"/>
    <col min="8706" max="8706" width="13.7109375" style="342" customWidth="1"/>
    <col min="8707" max="8708" width="9.85546875" style="342" customWidth="1"/>
    <col min="8709" max="8709" width="11.85546875" style="342" customWidth="1"/>
    <col min="8710" max="8710" width="10.85546875" style="342" customWidth="1"/>
    <col min="8711" max="8711" width="10" style="342" customWidth="1"/>
    <col min="8712" max="8712" width="10.7109375" style="342" customWidth="1"/>
    <col min="8713" max="8713" width="8.5703125" style="342" customWidth="1"/>
    <col min="8714" max="8715" width="8.140625" style="342" customWidth="1"/>
    <col min="8716" max="8716" width="12" style="342" customWidth="1"/>
    <col min="8717" max="8717" width="7.42578125" style="342" bestFit="1" customWidth="1"/>
    <col min="8718" max="8718" width="11.5703125" style="342" customWidth="1"/>
    <col min="8719" max="8719" width="10.5703125" style="342" bestFit="1" customWidth="1"/>
    <col min="8720" max="8960" width="9.140625" style="342"/>
    <col min="8961" max="8961" width="12.7109375" style="342" customWidth="1"/>
    <col min="8962" max="8962" width="13.7109375" style="342" customWidth="1"/>
    <col min="8963" max="8964" width="9.85546875" style="342" customWidth="1"/>
    <col min="8965" max="8965" width="11.85546875" style="342" customWidth="1"/>
    <col min="8966" max="8966" width="10.85546875" style="342" customWidth="1"/>
    <col min="8967" max="8967" width="10" style="342" customWidth="1"/>
    <col min="8968" max="8968" width="10.7109375" style="342" customWidth="1"/>
    <col min="8969" max="8969" width="8.5703125" style="342" customWidth="1"/>
    <col min="8970" max="8971" width="8.140625" style="342" customWidth="1"/>
    <col min="8972" max="8972" width="12" style="342" customWidth="1"/>
    <col min="8973" max="8973" width="7.42578125" style="342" bestFit="1" customWidth="1"/>
    <col min="8974" max="8974" width="11.5703125" style="342" customWidth="1"/>
    <col min="8975" max="8975" width="10.5703125" style="342" bestFit="1" customWidth="1"/>
    <col min="8976" max="9216" width="9.140625" style="342"/>
    <col min="9217" max="9217" width="12.7109375" style="342" customWidth="1"/>
    <col min="9218" max="9218" width="13.7109375" style="342" customWidth="1"/>
    <col min="9219" max="9220" width="9.85546875" style="342" customWidth="1"/>
    <col min="9221" max="9221" width="11.85546875" style="342" customWidth="1"/>
    <col min="9222" max="9222" width="10.85546875" style="342" customWidth="1"/>
    <col min="9223" max="9223" width="10" style="342" customWidth="1"/>
    <col min="9224" max="9224" width="10.7109375" style="342" customWidth="1"/>
    <col min="9225" max="9225" width="8.5703125" style="342" customWidth="1"/>
    <col min="9226" max="9227" width="8.140625" style="342" customWidth="1"/>
    <col min="9228" max="9228" width="12" style="342" customWidth="1"/>
    <col min="9229" max="9229" width="7.42578125" style="342" bestFit="1" customWidth="1"/>
    <col min="9230" max="9230" width="11.5703125" style="342" customWidth="1"/>
    <col min="9231" max="9231" width="10.5703125" style="342" bestFit="1" customWidth="1"/>
    <col min="9232" max="9472" width="9.140625" style="342"/>
    <col min="9473" max="9473" width="12.7109375" style="342" customWidth="1"/>
    <col min="9474" max="9474" width="13.7109375" style="342" customWidth="1"/>
    <col min="9475" max="9476" width="9.85546875" style="342" customWidth="1"/>
    <col min="9477" max="9477" width="11.85546875" style="342" customWidth="1"/>
    <col min="9478" max="9478" width="10.85546875" style="342" customWidth="1"/>
    <col min="9479" max="9479" width="10" style="342" customWidth="1"/>
    <col min="9480" max="9480" width="10.7109375" style="342" customWidth="1"/>
    <col min="9481" max="9481" width="8.5703125" style="342" customWidth="1"/>
    <col min="9482" max="9483" width="8.140625" style="342" customWidth="1"/>
    <col min="9484" max="9484" width="12" style="342" customWidth="1"/>
    <col min="9485" max="9485" width="7.42578125" style="342" bestFit="1" customWidth="1"/>
    <col min="9486" max="9486" width="11.5703125" style="342" customWidth="1"/>
    <col min="9487" max="9487" width="10.5703125" style="342" bestFit="1" customWidth="1"/>
    <col min="9488" max="9728" width="9.140625" style="342"/>
    <col min="9729" max="9729" width="12.7109375" style="342" customWidth="1"/>
    <col min="9730" max="9730" width="13.7109375" style="342" customWidth="1"/>
    <col min="9731" max="9732" width="9.85546875" style="342" customWidth="1"/>
    <col min="9733" max="9733" width="11.85546875" style="342" customWidth="1"/>
    <col min="9734" max="9734" width="10.85546875" style="342" customWidth="1"/>
    <col min="9735" max="9735" width="10" style="342" customWidth="1"/>
    <col min="9736" max="9736" width="10.7109375" style="342" customWidth="1"/>
    <col min="9737" max="9737" width="8.5703125" style="342" customWidth="1"/>
    <col min="9738" max="9739" width="8.140625" style="342" customWidth="1"/>
    <col min="9740" max="9740" width="12" style="342" customWidth="1"/>
    <col min="9741" max="9741" width="7.42578125" style="342" bestFit="1" customWidth="1"/>
    <col min="9742" max="9742" width="11.5703125" style="342" customWidth="1"/>
    <col min="9743" max="9743" width="10.5703125" style="342" bestFit="1" customWidth="1"/>
    <col min="9744" max="9984" width="9.140625" style="342"/>
    <col min="9985" max="9985" width="12.7109375" style="342" customWidth="1"/>
    <col min="9986" max="9986" width="13.7109375" style="342" customWidth="1"/>
    <col min="9987" max="9988" width="9.85546875" style="342" customWidth="1"/>
    <col min="9989" max="9989" width="11.85546875" style="342" customWidth="1"/>
    <col min="9990" max="9990" width="10.85546875" style="342" customWidth="1"/>
    <col min="9991" max="9991" width="10" style="342" customWidth="1"/>
    <col min="9992" max="9992" width="10.7109375" style="342" customWidth="1"/>
    <col min="9993" max="9993" width="8.5703125" style="342" customWidth="1"/>
    <col min="9994" max="9995" width="8.140625" style="342" customWidth="1"/>
    <col min="9996" max="9996" width="12" style="342" customWidth="1"/>
    <col min="9997" max="9997" width="7.42578125" style="342" bestFit="1" customWidth="1"/>
    <col min="9998" max="9998" width="11.5703125" style="342" customWidth="1"/>
    <col min="9999" max="9999" width="10.5703125" style="342" bestFit="1" customWidth="1"/>
    <col min="10000" max="10240" width="9.140625" style="342"/>
    <col min="10241" max="10241" width="12.7109375" style="342" customWidth="1"/>
    <col min="10242" max="10242" width="13.7109375" style="342" customWidth="1"/>
    <col min="10243" max="10244" width="9.85546875" style="342" customWidth="1"/>
    <col min="10245" max="10245" width="11.85546875" style="342" customWidth="1"/>
    <col min="10246" max="10246" width="10.85546875" style="342" customWidth="1"/>
    <col min="10247" max="10247" width="10" style="342" customWidth="1"/>
    <col min="10248" max="10248" width="10.7109375" style="342" customWidth="1"/>
    <col min="10249" max="10249" width="8.5703125" style="342" customWidth="1"/>
    <col min="10250" max="10251" width="8.140625" style="342" customWidth="1"/>
    <col min="10252" max="10252" width="12" style="342" customWidth="1"/>
    <col min="10253" max="10253" width="7.42578125" style="342" bestFit="1" customWidth="1"/>
    <col min="10254" max="10254" width="11.5703125" style="342" customWidth="1"/>
    <col min="10255" max="10255" width="10.5703125" style="342" bestFit="1" customWidth="1"/>
    <col min="10256" max="10496" width="9.140625" style="342"/>
    <col min="10497" max="10497" width="12.7109375" style="342" customWidth="1"/>
    <col min="10498" max="10498" width="13.7109375" style="342" customWidth="1"/>
    <col min="10499" max="10500" width="9.85546875" style="342" customWidth="1"/>
    <col min="10501" max="10501" width="11.85546875" style="342" customWidth="1"/>
    <col min="10502" max="10502" width="10.85546875" style="342" customWidth="1"/>
    <col min="10503" max="10503" width="10" style="342" customWidth="1"/>
    <col min="10504" max="10504" width="10.7109375" style="342" customWidth="1"/>
    <col min="10505" max="10505" width="8.5703125" style="342" customWidth="1"/>
    <col min="10506" max="10507" width="8.140625" style="342" customWidth="1"/>
    <col min="10508" max="10508" width="12" style="342" customWidth="1"/>
    <col min="10509" max="10509" width="7.42578125" style="342" bestFit="1" customWidth="1"/>
    <col min="10510" max="10510" width="11.5703125" style="342" customWidth="1"/>
    <col min="10511" max="10511" width="10.5703125" style="342" bestFit="1" customWidth="1"/>
    <col min="10512" max="10752" width="9.140625" style="342"/>
    <col min="10753" max="10753" width="12.7109375" style="342" customWidth="1"/>
    <col min="10754" max="10754" width="13.7109375" style="342" customWidth="1"/>
    <col min="10755" max="10756" width="9.85546875" style="342" customWidth="1"/>
    <col min="10757" max="10757" width="11.85546875" style="342" customWidth="1"/>
    <col min="10758" max="10758" width="10.85546875" style="342" customWidth="1"/>
    <col min="10759" max="10759" width="10" style="342" customWidth="1"/>
    <col min="10760" max="10760" width="10.7109375" style="342" customWidth="1"/>
    <col min="10761" max="10761" width="8.5703125" style="342" customWidth="1"/>
    <col min="10762" max="10763" width="8.140625" style="342" customWidth="1"/>
    <col min="10764" max="10764" width="12" style="342" customWidth="1"/>
    <col min="10765" max="10765" width="7.42578125" style="342" bestFit="1" customWidth="1"/>
    <col min="10766" max="10766" width="11.5703125" style="342" customWidth="1"/>
    <col min="10767" max="10767" width="10.5703125" style="342" bestFit="1" customWidth="1"/>
    <col min="10768" max="11008" width="9.140625" style="342"/>
    <col min="11009" max="11009" width="12.7109375" style="342" customWidth="1"/>
    <col min="11010" max="11010" width="13.7109375" style="342" customWidth="1"/>
    <col min="11011" max="11012" width="9.85546875" style="342" customWidth="1"/>
    <col min="11013" max="11013" width="11.85546875" style="342" customWidth="1"/>
    <col min="11014" max="11014" width="10.85546875" style="342" customWidth="1"/>
    <col min="11015" max="11015" width="10" style="342" customWidth="1"/>
    <col min="11016" max="11016" width="10.7109375" style="342" customWidth="1"/>
    <col min="11017" max="11017" width="8.5703125" style="342" customWidth="1"/>
    <col min="11018" max="11019" width="8.140625" style="342" customWidth="1"/>
    <col min="11020" max="11020" width="12" style="342" customWidth="1"/>
    <col min="11021" max="11021" width="7.42578125" style="342" bestFit="1" customWidth="1"/>
    <col min="11022" max="11022" width="11.5703125" style="342" customWidth="1"/>
    <col min="11023" max="11023" width="10.5703125" style="342" bestFit="1" customWidth="1"/>
    <col min="11024" max="11264" width="9.140625" style="342"/>
    <col min="11265" max="11265" width="12.7109375" style="342" customWidth="1"/>
    <col min="11266" max="11266" width="13.7109375" style="342" customWidth="1"/>
    <col min="11267" max="11268" width="9.85546875" style="342" customWidth="1"/>
    <col min="11269" max="11269" width="11.85546875" style="342" customWidth="1"/>
    <col min="11270" max="11270" width="10.85546875" style="342" customWidth="1"/>
    <col min="11271" max="11271" width="10" style="342" customWidth="1"/>
    <col min="11272" max="11272" width="10.7109375" style="342" customWidth="1"/>
    <col min="11273" max="11273" width="8.5703125" style="342" customWidth="1"/>
    <col min="11274" max="11275" width="8.140625" style="342" customWidth="1"/>
    <col min="11276" max="11276" width="12" style="342" customWidth="1"/>
    <col min="11277" max="11277" width="7.42578125" style="342" bestFit="1" customWidth="1"/>
    <col min="11278" max="11278" width="11.5703125" style="342" customWidth="1"/>
    <col min="11279" max="11279" width="10.5703125" style="342" bestFit="1" customWidth="1"/>
    <col min="11280" max="11520" width="9.140625" style="342"/>
    <col min="11521" max="11521" width="12.7109375" style="342" customWidth="1"/>
    <col min="11522" max="11522" width="13.7109375" style="342" customWidth="1"/>
    <col min="11523" max="11524" width="9.85546875" style="342" customWidth="1"/>
    <col min="11525" max="11525" width="11.85546875" style="342" customWidth="1"/>
    <col min="11526" max="11526" width="10.85546875" style="342" customWidth="1"/>
    <col min="11527" max="11527" width="10" style="342" customWidth="1"/>
    <col min="11528" max="11528" width="10.7109375" style="342" customWidth="1"/>
    <col min="11529" max="11529" width="8.5703125" style="342" customWidth="1"/>
    <col min="11530" max="11531" width="8.140625" style="342" customWidth="1"/>
    <col min="11532" max="11532" width="12" style="342" customWidth="1"/>
    <col min="11533" max="11533" width="7.42578125" style="342" bestFit="1" customWidth="1"/>
    <col min="11534" max="11534" width="11.5703125" style="342" customWidth="1"/>
    <col min="11535" max="11535" width="10.5703125" style="342" bestFit="1" customWidth="1"/>
    <col min="11536" max="11776" width="9.140625" style="342"/>
    <col min="11777" max="11777" width="12.7109375" style="342" customWidth="1"/>
    <col min="11778" max="11778" width="13.7109375" style="342" customWidth="1"/>
    <col min="11779" max="11780" width="9.85546875" style="342" customWidth="1"/>
    <col min="11781" max="11781" width="11.85546875" style="342" customWidth="1"/>
    <col min="11782" max="11782" width="10.85546875" style="342" customWidth="1"/>
    <col min="11783" max="11783" width="10" style="342" customWidth="1"/>
    <col min="11784" max="11784" width="10.7109375" style="342" customWidth="1"/>
    <col min="11785" max="11785" width="8.5703125" style="342" customWidth="1"/>
    <col min="11786" max="11787" width="8.140625" style="342" customWidth="1"/>
    <col min="11788" max="11788" width="12" style="342" customWidth="1"/>
    <col min="11789" max="11789" width="7.42578125" style="342" bestFit="1" customWidth="1"/>
    <col min="11790" max="11790" width="11.5703125" style="342" customWidth="1"/>
    <col min="11791" max="11791" width="10.5703125" style="342" bestFit="1" customWidth="1"/>
    <col min="11792" max="12032" width="9.140625" style="342"/>
    <col min="12033" max="12033" width="12.7109375" style="342" customWidth="1"/>
    <col min="12034" max="12034" width="13.7109375" style="342" customWidth="1"/>
    <col min="12035" max="12036" width="9.85546875" style="342" customWidth="1"/>
    <col min="12037" max="12037" width="11.85546875" style="342" customWidth="1"/>
    <col min="12038" max="12038" width="10.85546875" style="342" customWidth="1"/>
    <col min="12039" max="12039" width="10" style="342" customWidth="1"/>
    <col min="12040" max="12040" width="10.7109375" style="342" customWidth="1"/>
    <col min="12041" max="12041" width="8.5703125" style="342" customWidth="1"/>
    <col min="12042" max="12043" width="8.140625" style="342" customWidth="1"/>
    <col min="12044" max="12044" width="12" style="342" customWidth="1"/>
    <col min="12045" max="12045" width="7.42578125" style="342" bestFit="1" customWidth="1"/>
    <col min="12046" max="12046" width="11.5703125" style="342" customWidth="1"/>
    <col min="12047" max="12047" width="10.5703125" style="342" bestFit="1" customWidth="1"/>
    <col min="12048" max="12288" width="9.140625" style="342"/>
    <col min="12289" max="12289" width="12.7109375" style="342" customWidth="1"/>
    <col min="12290" max="12290" width="13.7109375" style="342" customWidth="1"/>
    <col min="12291" max="12292" width="9.85546875" style="342" customWidth="1"/>
    <col min="12293" max="12293" width="11.85546875" style="342" customWidth="1"/>
    <col min="12294" max="12294" width="10.85546875" style="342" customWidth="1"/>
    <col min="12295" max="12295" width="10" style="342" customWidth="1"/>
    <col min="12296" max="12296" width="10.7109375" style="342" customWidth="1"/>
    <col min="12297" max="12297" width="8.5703125" style="342" customWidth="1"/>
    <col min="12298" max="12299" width="8.140625" style="342" customWidth="1"/>
    <col min="12300" max="12300" width="12" style="342" customWidth="1"/>
    <col min="12301" max="12301" width="7.42578125" style="342" bestFit="1" customWidth="1"/>
    <col min="12302" max="12302" width="11.5703125" style="342" customWidth="1"/>
    <col min="12303" max="12303" width="10.5703125" style="342" bestFit="1" customWidth="1"/>
    <col min="12304" max="12544" width="9.140625" style="342"/>
    <col min="12545" max="12545" width="12.7109375" style="342" customWidth="1"/>
    <col min="12546" max="12546" width="13.7109375" style="342" customWidth="1"/>
    <col min="12547" max="12548" width="9.85546875" style="342" customWidth="1"/>
    <col min="12549" max="12549" width="11.85546875" style="342" customWidth="1"/>
    <col min="12550" max="12550" width="10.85546875" style="342" customWidth="1"/>
    <col min="12551" max="12551" width="10" style="342" customWidth="1"/>
    <col min="12552" max="12552" width="10.7109375" style="342" customWidth="1"/>
    <col min="12553" max="12553" width="8.5703125" style="342" customWidth="1"/>
    <col min="12554" max="12555" width="8.140625" style="342" customWidth="1"/>
    <col min="12556" max="12556" width="12" style="342" customWidth="1"/>
    <col min="12557" max="12557" width="7.42578125" style="342" bestFit="1" customWidth="1"/>
    <col min="12558" max="12558" width="11.5703125" style="342" customWidth="1"/>
    <col min="12559" max="12559" width="10.5703125" style="342" bestFit="1" customWidth="1"/>
    <col min="12560" max="12800" width="9.140625" style="342"/>
    <col min="12801" max="12801" width="12.7109375" style="342" customWidth="1"/>
    <col min="12802" max="12802" width="13.7109375" style="342" customWidth="1"/>
    <col min="12803" max="12804" width="9.85546875" style="342" customWidth="1"/>
    <col min="12805" max="12805" width="11.85546875" style="342" customWidth="1"/>
    <col min="12806" max="12806" width="10.85546875" style="342" customWidth="1"/>
    <col min="12807" max="12807" width="10" style="342" customWidth="1"/>
    <col min="12808" max="12808" width="10.7109375" style="342" customWidth="1"/>
    <col min="12809" max="12809" width="8.5703125" style="342" customWidth="1"/>
    <col min="12810" max="12811" width="8.140625" style="342" customWidth="1"/>
    <col min="12812" max="12812" width="12" style="342" customWidth="1"/>
    <col min="12813" max="12813" width="7.42578125" style="342" bestFit="1" customWidth="1"/>
    <col min="12814" max="12814" width="11.5703125" style="342" customWidth="1"/>
    <col min="12815" max="12815" width="10.5703125" style="342" bestFit="1" customWidth="1"/>
    <col min="12816" max="13056" width="9.140625" style="342"/>
    <col min="13057" max="13057" width="12.7109375" style="342" customWidth="1"/>
    <col min="13058" max="13058" width="13.7109375" style="342" customWidth="1"/>
    <col min="13059" max="13060" width="9.85546875" style="342" customWidth="1"/>
    <col min="13061" max="13061" width="11.85546875" style="342" customWidth="1"/>
    <col min="13062" max="13062" width="10.85546875" style="342" customWidth="1"/>
    <col min="13063" max="13063" width="10" style="342" customWidth="1"/>
    <col min="13064" max="13064" width="10.7109375" style="342" customWidth="1"/>
    <col min="13065" max="13065" width="8.5703125" style="342" customWidth="1"/>
    <col min="13066" max="13067" width="8.140625" style="342" customWidth="1"/>
    <col min="13068" max="13068" width="12" style="342" customWidth="1"/>
    <col min="13069" max="13069" width="7.42578125" style="342" bestFit="1" customWidth="1"/>
    <col min="13070" max="13070" width="11.5703125" style="342" customWidth="1"/>
    <col min="13071" max="13071" width="10.5703125" style="342" bestFit="1" customWidth="1"/>
    <col min="13072" max="13312" width="9.140625" style="342"/>
    <col min="13313" max="13313" width="12.7109375" style="342" customWidth="1"/>
    <col min="13314" max="13314" width="13.7109375" style="342" customWidth="1"/>
    <col min="13315" max="13316" width="9.85546875" style="342" customWidth="1"/>
    <col min="13317" max="13317" width="11.85546875" style="342" customWidth="1"/>
    <col min="13318" max="13318" width="10.85546875" style="342" customWidth="1"/>
    <col min="13319" max="13319" width="10" style="342" customWidth="1"/>
    <col min="13320" max="13320" width="10.7109375" style="342" customWidth="1"/>
    <col min="13321" max="13321" width="8.5703125" style="342" customWidth="1"/>
    <col min="13322" max="13323" width="8.140625" style="342" customWidth="1"/>
    <col min="13324" max="13324" width="12" style="342" customWidth="1"/>
    <col min="13325" max="13325" width="7.42578125" style="342" bestFit="1" customWidth="1"/>
    <col min="13326" max="13326" width="11.5703125" style="342" customWidth="1"/>
    <col min="13327" max="13327" width="10.5703125" style="342" bestFit="1" customWidth="1"/>
    <col min="13328" max="13568" width="9.140625" style="342"/>
    <col min="13569" max="13569" width="12.7109375" style="342" customWidth="1"/>
    <col min="13570" max="13570" width="13.7109375" style="342" customWidth="1"/>
    <col min="13571" max="13572" width="9.85546875" style="342" customWidth="1"/>
    <col min="13573" max="13573" width="11.85546875" style="342" customWidth="1"/>
    <col min="13574" max="13574" width="10.85546875" style="342" customWidth="1"/>
    <col min="13575" max="13575" width="10" style="342" customWidth="1"/>
    <col min="13576" max="13576" width="10.7109375" style="342" customWidth="1"/>
    <col min="13577" max="13577" width="8.5703125" style="342" customWidth="1"/>
    <col min="13578" max="13579" width="8.140625" style="342" customWidth="1"/>
    <col min="13580" max="13580" width="12" style="342" customWidth="1"/>
    <col min="13581" max="13581" width="7.42578125" style="342" bestFit="1" customWidth="1"/>
    <col min="13582" max="13582" width="11.5703125" style="342" customWidth="1"/>
    <col min="13583" max="13583" width="10.5703125" style="342" bestFit="1" customWidth="1"/>
    <col min="13584" max="13824" width="9.140625" style="342"/>
    <col min="13825" max="13825" width="12.7109375" style="342" customWidth="1"/>
    <col min="13826" max="13826" width="13.7109375" style="342" customWidth="1"/>
    <col min="13827" max="13828" width="9.85546875" style="342" customWidth="1"/>
    <col min="13829" max="13829" width="11.85546875" style="342" customWidth="1"/>
    <col min="13830" max="13830" width="10.85546875" style="342" customWidth="1"/>
    <col min="13831" max="13831" width="10" style="342" customWidth="1"/>
    <col min="13832" max="13832" width="10.7109375" style="342" customWidth="1"/>
    <col min="13833" max="13833" width="8.5703125" style="342" customWidth="1"/>
    <col min="13834" max="13835" width="8.140625" style="342" customWidth="1"/>
    <col min="13836" max="13836" width="12" style="342" customWidth="1"/>
    <col min="13837" max="13837" width="7.42578125" style="342" bestFit="1" customWidth="1"/>
    <col min="13838" max="13838" width="11.5703125" style="342" customWidth="1"/>
    <col min="13839" max="13839" width="10.5703125" style="342" bestFit="1" customWidth="1"/>
    <col min="13840" max="14080" width="9.140625" style="342"/>
    <col min="14081" max="14081" width="12.7109375" style="342" customWidth="1"/>
    <col min="14082" max="14082" width="13.7109375" style="342" customWidth="1"/>
    <col min="14083" max="14084" width="9.85546875" style="342" customWidth="1"/>
    <col min="14085" max="14085" width="11.85546875" style="342" customWidth="1"/>
    <col min="14086" max="14086" width="10.85546875" style="342" customWidth="1"/>
    <col min="14087" max="14087" width="10" style="342" customWidth="1"/>
    <col min="14088" max="14088" width="10.7109375" style="342" customWidth="1"/>
    <col min="14089" max="14089" width="8.5703125" style="342" customWidth="1"/>
    <col min="14090" max="14091" width="8.140625" style="342" customWidth="1"/>
    <col min="14092" max="14092" width="12" style="342" customWidth="1"/>
    <col min="14093" max="14093" width="7.42578125" style="342" bestFit="1" customWidth="1"/>
    <col min="14094" max="14094" width="11.5703125" style="342" customWidth="1"/>
    <col min="14095" max="14095" width="10.5703125" style="342" bestFit="1" customWidth="1"/>
    <col min="14096" max="14336" width="9.140625" style="342"/>
    <col min="14337" max="14337" width="12.7109375" style="342" customWidth="1"/>
    <col min="14338" max="14338" width="13.7109375" style="342" customWidth="1"/>
    <col min="14339" max="14340" width="9.85546875" style="342" customWidth="1"/>
    <col min="14341" max="14341" width="11.85546875" style="342" customWidth="1"/>
    <col min="14342" max="14342" width="10.85546875" style="342" customWidth="1"/>
    <col min="14343" max="14343" width="10" style="342" customWidth="1"/>
    <col min="14344" max="14344" width="10.7109375" style="342" customWidth="1"/>
    <col min="14345" max="14345" width="8.5703125" style="342" customWidth="1"/>
    <col min="14346" max="14347" width="8.140625" style="342" customWidth="1"/>
    <col min="14348" max="14348" width="12" style="342" customWidth="1"/>
    <col min="14349" max="14349" width="7.42578125" style="342" bestFit="1" customWidth="1"/>
    <col min="14350" max="14350" width="11.5703125" style="342" customWidth="1"/>
    <col min="14351" max="14351" width="10.5703125" style="342" bestFit="1" customWidth="1"/>
    <col min="14352" max="14592" width="9.140625" style="342"/>
    <col min="14593" max="14593" width="12.7109375" style="342" customWidth="1"/>
    <col min="14594" max="14594" width="13.7109375" style="342" customWidth="1"/>
    <col min="14595" max="14596" width="9.85546875" style="342" customWidth="1"/>
    <col min="14597" max="14597" width="11.85546875" style="342" customWidth="1"/>
    <col min="14598" max="14598" width="10.85546875" style="342" customWidth="1"/>
    <col min="14599" max="14599" width="10" style="342" customWidth="1"/>
    <col min="14600" max="14600" width="10.7109375" style="342" customWidth="1"/>
    <col min="14601" max="14601" width="8.5703125" style="342" customWidth="1"/>
    <col min="14602" max="14603" width="8.140625" style="342" customWidth="1"/>
    <col min="14604" max="14604" width="12" style="342" customWidth="1"/>
    <col min="14605" max="14605" width="7.42578125" style="342" bestFit="1" customWidth="1"/>
    <col min="14606" max="14606" width="11.5703125" style="342" customWidth="1"/>
    <col min="14607" max="14607" width="10.5703125" style="342" bestFit="1" customWidth="1"/>
    <col min="14608" max="14848" width="9.140625" style="342"/>
    <col min="14849" max="14849" width="12.7109375" style="342" customWidth="1"/>
    <col min="14850" max="14850" width="13.7109375" style="342" customWidth="1"/>
    <col min="14851" max="14852" width="9.85546875" style="342" customWidth="1"/>
    <col min="14853" max="14853" width="11.85546875" style="342" customWidth="1"/>
    <col min="14854" max="14854" width="10.85546875" style="342" customWidth="1"/>
    <col min="14855" max="14855" width="10" style="342" customWidth="1"/>
    <col min="14856" max="14856" width="10.7109375" style="342" customWidth="1"/>
    <col min="14857" max="14857" width="8.5703125" style="342" customWidth="1"/>
    <col min="14858" max="14859" width="8.140625" style="342" customWidth="1"/>
    <col min="14860" max="14860" width="12" style="342" customWidth="1"/>
    <col min="14861" max="14861" width="7.42578125" style="342" bestFit="1" customWidth="1"/>
    <col min="14862" max="14862" width="11.5703125" style="342" customWidth="1"/>
    <col min="14863" max="14863" width="10.5703125" style="342" bestFit="1" customWidth="1"/>
    <col min="14864" max="15104" width="9.140625" style="342"/>
    <col min="15105" max="15105" width="12.7109375" style="342" customWidth="1"/>
    <col min="15106" max="15106" width="13.7109375" style="342" customWidth="1"/>
    <col min="15107" max="15108" width="9.85546875" style="342" customWidth="1"/>
    <col min="15109" max="15109" width="11.85546875" style="342" customWidth="1"/>
    <col min="15110" max="15110" width="10.85546875" style="342" customWidth="1"/>
    <col min="15111" max="15111" width="10" style="342" customWidth="1"/>
    <col min="15112" max="15112" width="10.7109375" style="342" customWidth="1"/>
    <col min="15113" max="15113" width="8.5703125" style="342" customWidth="1"/>
    <col min="15114" max="15115" width="8.140625" style="342" customWidth="1"/>
    <col min="15116" max="15116" width="12" style="342" customWidth="1"/>
    <col min="15117" max="15117" width="7.42578125" style="342" bestFit="1" customWidth="1"/>
    <col min="15118" max="15118" width="11.5703125" style="342" customWidth="1"/>
    <col min="15119" max="15119" width="10.5703125" style="342" bestFit="1" customWidth="1"/>
    <col min="15120" max="15360" width="9.140625" style="342"/>
    <col min="15361" max="15361" width="12.7109375" style="342" customWidth="1"/>
    <col min="15362" max="15362" width="13.7109375" style="342" customWidth="1"/>
    <col min="15363" max="15364" width="9.85546875" style="342" customWidth="1"/>
    <col min="15365" max="15365" width="11.85546875" style="342" customWidth="1"/>
    <col min="15366" max="15366" width="10.85546875" style="342" customWidth="1"/>
    <col min="15367" max="15367" width="10" style="342" customWidth="1"/>
    <col min="15368" max="15368" width="10.7109375" style="342" customWidth="1"/>
    <col min="15369" max="15369" width="8.5703125" style="342" customWidth="1"/>
    <col min="15370" max="15371" width="8.140625" style="342" customWidth="1"/>
    <col min="15372" max="15372" width="12" style="342" customWidth="1"/>
    <col min="15373" max="15373" width="7.42578125" style="342" bestFit="1" customWidth="1"/>
    <col min="15374" max="15374" width="11.5703125" style="342" customWidth="1"/>
    <col min="15375" max="15375" width="10.5703125" style="342" bestFit="1" customWidth="1"/>
    <col min="15376" max="15616" width="9.140625" style="342"/>
    <col min="15617" max="15617" width="12.7109375" style="342" customWidth="1"/>
    <col min="15618" max="15618" width="13.7109375" style="342" customWidth="1"/>
    <col min="15619" max="15620" width="9.85546875" style="342" customWidth="1"/>
    <col min="15621" max="15621" width="11.85546875" style="342" customWidth="1"/>
    <col min="15622" max="15622" width="10.85546875" style="342" customWidth="1"/>
    <col min="15623" max="15623" width="10" style="342" customWidth="1"/>
    <col min="15624" max="15624" width="10.7109375" style="342" customWidth="1"/>
    <col min="15625" max="15625" width="8.5703125" style="342" customWidth="1"/>
    <col min="15626" max="15627" width="8.140625" style="342" customWidth="1"/>
    <col min="15628" max="15628" width="12" style="342" customWidth="1"/>
    <col min="15629" max="15629" width="7.42578125" style="342" bestFit="1" customWidth="1"/>
    <col min="15630" max="15630" width="11.5703125" style="342" customWidth="1"/>
    <col min="15631" max="15631" width="10.5703125" style="342" bestFit="1" customWidth="1"/>
    <col min="15632" max="15872" width="9.140625" style="342"/>
    <col min="15873" max="15873" width="12.7109375" style="342" customWidth="1"/>
    <col min="15874" max="15874" width="13.7109375" style="342" customWidth="1"/>
    <col min="15875" max="15876" width="9.85546875" style="342" customWidth="1"/>
    <col min="15877" max="15877" width="11.85546875" style="342" customWidth="1"/>
    <col min="15878" max="15878" width="10.85546875" style="342" customWidth="1"/>
    <col min="15879" max="15879" width="10" style="342" customWidth="1"/>
    <col min="15880" max="15880" width="10.7109375" style="342" customWidth="1"/>
    <col min="15881" max="15881" width="8.5703125" style="342" customWidth="1"/>
    <col min="15882" max="15883" width="8.140625" style="342" customWidth="1"/>
    <col min="15884" max="15884" width="12" style="342" customWidth="1"/>
    <col min="15885" max="15885" width="7.42578125" style="342" bestFit="1" customWidth="1"/>
    <col min="15886" max="15886" width="11.5703125" style="342" customWidth="1"/>
    <col min="15887" max="15887" width="10.5703125" style="342" bestFit="1" customWidth="1"/>
    <col min="15888" max="16128" width="9.140625" style="342"/>
    <col min="16129" max="16129" width="12.7109375" style="342" customWidth="1"/>
    <col min="16130" max="16130" width="13.7109375" style="342" customWidth="1"/>
    <col min="16131" max="16132" width="9.85546875" style="342" customWidth="1"/>
    <col min="16133" max="16133" width="11.85546875" style="342" customWidth="1"/>
    <col min="16134" max="16134" width="10.85546875" style="342" customWidth="1"/>
    <col min="16135" max="16135" width="10" style="342" customWidth="1"/>
    <col min="16136" max="16136" width="10.7109375" style="342" customWidth="1"/>
    <col min="16137" max="16137" width="8.5703125" style="342" customWidth="1"/>
    <col min="16138" max="16139" width="8.140625" style="342" customWidth="1"/>
    <col min="16140" max="16140" width="12" style="342" customWidth="1"/>
    <col min="16141" max="16141" width="7.42578125" style="342" bestFit="1" customWidth="1"/>
    <col min="16142" max="16142" width="11.5703125" style="342" customWidth="1"/>
    <col min="16143" max="16143" width="10.5703125" style="342" bestFit="1" customWidth="1"/>
    <col min="16144" max="16384" width="9.140625" style="342"/>
  </cols>
  <sheetData>
    <row r="1" spans="1:13" ht="15">
      <c r="A1" s="1119" t="s">
        <v>5367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</row>
    <row r="2" spans="1:13" ht="15">
      <c r="A2" s="1120"/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</row>
    <row r="3" spans="1:13">
      <c r="A3" s="1114" t="s">
        <v>1214</v>
      </c>
      <c r="B3" s="1115"/>
      <c r="C3" s="1113" t="s">
        <v>5504</v>
      </c>
      <c r="D3" s="1113"/>
      <c r="E3" s="1116" t="s">
        <v>5369</v>
      </c>
      <c r="F3" s="1115"/>
      <c r="G3" s="419">
        <v>906170102</v>
      </c>
      <c r="H3" s="1116" t="s">
        <v>5370</v>
      </c>
      <c r="I3" s="1115"/>
      <c r="J3" s="419">
        <v>289.12200000000001</v>
      </c>
      <c r="K3" s="1116" t="s">
        <v>5371</v>
      </c>
      <c r="L3" s="1115"/>
      <c r="M3" s="420">
        <v>80</v>
      </c>
    </row>
    <row r="4" spans="1:13" ht="15">
      <c r="A4" s="808" t="s">
        <v>4176</v>
      </c>
      <c r="B4" s="808"/>
      <c r="C4" s="808"/>
      <c r="D4" s="421"/>
      <c r="E4" s="421"/>
      <c r="F4" s="421"/>
      <c r="G4" s="421"/>
      <c r="H4" s="422"/>
      <c r="I4" s="422"/>
      <c r="J4" s="422"/>
      <c r="K4" s="422"/>
      <c r="L4" s="422"/>
    </row>
    <row r="5" spans="1:13">
      <c r="A5" s="1114" t="s">
        <v>832</v>
      </c>
      <c r="B5" s="1115"/>
      <c r="C5" s="1113" t="s">
        <v>5505</v>
      </c>
      <c r="D5" s="1113"/>
      <c r="E5" s="1116" t="s">
        <v>5373</v>
      </c>
      <c r="F5" s="1115"/>
      <c r="G5" s="1108" t="s">
        <v>5478</v>
      </c>
      <c r="H5" s="1108"/>
      <c r="I5" s="423"/>
      <c r="K5" s="423"/>
      <c r="L5" s="422"/>
    </row>
    <row r="6" spans="1:13">
      <c r="A6" s="421"/>
      <c r="B6" s="422"/>
      <c r="C6" s="421"/>
      <c r="D6" s="421"/>
      <c r="E6" s="421"/>
      <c r="F6" s="421"/>
      <c r="G6" s="421"/>
      <c r="H6" s="422"/>
      <c r="I6" s="422"/>
      <c r="J6" s="422"/>
      <c r="K6" s="422"/>
      <c r="L6" s="422"/>
    </row>
    <row r="7" spans="1:13">
      <c r="A7" s="1114" t="s">
        <v>618</v>
      </c>
      <c r="B7" s="1115"/>
      <c r="C7" s="1113" t="s">
        <v>5506</v>
      </c>
      <c r="D7" s="1113"/>
      <c r="E7" s="1117" t="s">
        <v>1206</v>
      </c>
      <c r="F7" s="1118"/>
      <c r="G7" s="1100" t="s">
        <v>5507</v>
      </c>
      <c r="H7" s="1100"/>
      <c r="I7" s="422"/>
      <c r="J7" s="422"/>
      <c r="K7" s="422"/>
      <c r="L7" s="422"/>
    </row>
    <row r="8" spans="1:13">
      <c r="A8" s="421"/>
      <c r="B8" s="422"/>
      <c r="C8" s="421"/>
      <c r="D8" s="421"/>
      <c r="E8" s="421"/>
      <c r="F8" s="421"/>
      <c r="G8" s="421"/>
      <c r="H8" s="422"/>
      <c r="I8" s="422"/>
      <c r="J8" s="422"/>
      <c r="K8" s="422"/>
      <c r="L8" s="422"/>
    </row>
    <row r="9" spans="1:13">
      <c r="A9" s="1108" t="s">
        <v>838</v>
      </c>
      <c r="B9" s="1108"/>
      <c r="C9" s="1108"/>
      <c r="D9" s="1113" t="s">
        <v>5508</v>
      </c>
      <c r="E9" s="1113"/>
      <c r="F9" s="1108"/>
      <c r="G9" s="1108"/>
      <c r="H9" s="1108"/>
      <c r="I9" s="1108"/>
      <c r="J9" s="1112"/>
      <c r="K9" s="1112"/>
      <c r="L9" s="420"/>
    </row>
    <row r="10" spans="1:13">
      <c r="A10" s="1108" t="s">
        <v>1203</v>
      </c>
      <c r="B10" s="1108"/>
      <c r="C10" s="1108"/>
      <c r="D10" s="1113" t="s">
        <v>5509</v>
      </c>
      <c r="E10" s="1113"/>
      <c r="F10" s="1108"/>
      <c r="G10" s="1108"/>
      <c r="H10" s="1108"/>
      <c r="I10" s="1108"/>
      <c r="J10" s="1112"/>
      <c r="K10" s="1112"/>
      <c r="L10" s="420"/>
    </row>
    <row r="11" spans="1:13">
      <c r="A11" s="1108" t="s">
        <v>1202</v>
      </c>
      <c r="B11" s="1108"/>
      <c r="C11" s="1108"/>
      <c r="D11" s="1109" t="s">
        <v>5510</v>
      </c>
      <c r="E11" s="1110"/>
      <c r="F11" s="1108" t="s">
        <v>5511</v>
      </c>
      <c r="G11" s="1108"/>
      <c r="H11" s="1111" t="s">
        <v>5509</v>
      </c>
      <c r="I11" s="1111"/>
      <c r="J11" s="1112" t="s">
        <v>5512</v>
      </c>
      <c r="K11" s="1112"/>
      <c r="L11" s="420" t="s">
        <v>5513</v>
      </c>
    </row>
    <row r="12" spans="1:13">
      <c r="A12" s="1108" t="s">
        <v>1196</v>
      </c>
      <c r="B12" s="1108"/>
      <c r="C12" s="1108"/>
      <c r="D12" s="1113" t="s">
        <v>5416</v>
      </c>
      <c r="E12" s="1113"/>
      <c r="F12" s="1108"/>
      <c r="G12" s="1108"/>
      <c r="H12" s="1108"/>
      <c r="I12" s="1108"/>
      <c r="J12" s="1112"/>
      <c r="K12" s="1112"/>
      <c r="L12" s="420"/>
    </row>
    <row r="13" spans="1:13">
      <c r="A13" s="421"/>
      <c r="B13" s="422"/>
      <c r="C13" s="421"/>
      <c r="D13" s="421"/>
      <c r="E13" s="421"/>
      <c r="F13" s="421"/>
      <c r="G13" s="421"/>
      <c r="H13" s="422"/>
      <c r="I13" s="422"/>
      <c r="J13" s="422"/>
      <c r="K13" s="422"/>
      <c r="L13" s="422"/>
    </row>
    <row r="14" spans="1:13">
      <c r="A14" s="1101" t="s">
        <v>1194</v>
      </c>
      <c r="B14" s="1102"/>
      <c r="C14" s="552">
        <v>1</v>
      </c>
      <c r="D14" s="1103" t="s">
        <v>1193</v>
      </c>
      <c r="E14" s="1101"/>
      <c r="F14" s="424" t="s">
        <v>5417</v>
      </c>
      <c r="G14" s="421" t="s">
        <v>643</v>
      </c>
      <c r="H14" s="424">
        <v>5</v>
      </c>
      <c r="I14" s="421" t="s">
        <v>644</v>
      </c>
      <c r="J14" s="420" t="s">
        <v>1269</v>
      </c>
      <c r="K14" s="422" t="s">
        <v>645</v>
      </c>
      <c r="L14" s="420">
        <v>9</v>
      </c>
    </row>
    <row r="15" spans="1:13">
      <c r="A15" s="421"/>
      <c r="B15" s="425"/>
      <c r="C15" s="421"/>
      <c r="D15" s="423"/>
      <c r="E15" s="421"/>
      <c r="F15" s="423"/>
      <c r="G15" s="421"/>
      <c r="H15" s="426"/>
      <c r="I15" s="422"/>
      <c r="J15" s="422"/>
      <c r="K15" s="422"/>
      <c r="L15" s="422"/>
    </row>
    <row r="16" spans="1:13" ht="22.5">
      <c r="A16" s="427" t="s">
        <v>1192</v>
      </c>
      <c r="B16" s="428" t="s">
        <v>204</v>
      </c>
      <c r="C16" s="552">
        <v>69</v>
      </c>
      <c r="D16" s="550" t="s">
        <v>205</v>
      </c>
      <c r="E16" s="552">
        <v>0</v>
      </c>
      <c r="F16" s="421" t="s">
        <v>206</v>
      </c>
      <c r="G16" s="552">
        <v>1</v>
      </c>
      <c r="H16" s="422" t="s">
        <v>230</v>
      </c>
      <c r="I16" s="552">
        <f>+C16+E16+G16</f>
        <v>70</v>
      </c>
      <c r="J16" s="422" t="s">
        <v>207</v>
      </c>
      <c r="K16" s="420">
        <v>7</v>
      </c>
      <c r="L16" s="427" t="s">
        <v>3023</v>
      </c>
      <c r="M16" s="343">
        <v>3</v>
      </c>
    </row>
    <row r="17" spans="1:15">
      <c r="A17" s="1104" t="s">
        <v>1191</v>
      </c>
      <c r="B17" s="428" t="s">
        <v>210</v>
      </c>
      <c r="C17" s="552">
        <v>195</v>
      </c>
      <c r="D17" s="550" t="s">
        <v>211</v>
      </c>
      <c r="E17" s="552">
        <v>0</v>
      </c>
      <c r="F17" s="421" t="s">
        <v>212</v>
      </c>
      <c r="G17" s="552">
        <v>7</v>
      </c>
      <c r="H17" s="422" t="s">
        <v>411</v>
      </c>
      <c r="I17" s="552">
        <f>+C17+E17+G17</f>
        <v>202</v>
      </c>
      <c r="J17" s="426"/>
      <c r="K17" s="426"/>
      <c r="L17" s="426"/>
      <c r="M17" s="429"/>
    </row>
    <row r="18" spans="1:15" ht="24">
      <c r="A18" s="1104"/>
      <c r="B18" s="428" t="s">
        <v>213</v>
      </c>
      <c r="C18" s="552">
        <v>241</v>
      </c>
      <c r="D18" s="550" t="s">
        <v>214</v>
      </c>
      <c r="E18" s="552">
        <v>0</v>
      </c>
      <c r="F18" s="421" t="s">
        <v>215</v>
      </c>
      <c r="G18" s="552">
        <v>3</v>
      </c>
      <c r="H18" s="422" t="s">
        <v>410</v>
      </c>
      <c r="I18" s="552">
        <f>+C18+E18+G18</f>
        <v>244</v>
      </c>
      <c r="J18" s="426"/>
      <c r="K18" s="426"/>
      <c r="L18" s="426"/>
      <c r="M18" s="429"/>
    </row>
    <row r="19" spans="1:15">
      <c r="A19" s="421"/>
      <c r="B19" s="422"/>
      <c r="C19" s="421"/>
      <c r="D19" s="421"/>
      <c r="E19" s="421"/>
      <c r="F19" s="421"/>
      <c r="G19" s="421"/>
      <c r="H19" s="422"/>
      <c r="I19" s="422"/>
      <c r="J19" s="422"/>
      <c r="K19" s="422"/>
      <c r="L19" s="422"/>
    </row>
    <row r="20" spans="1:15">
      <c r="A20" s="1105" t="s">
        <v>409</v>
      </c>
      <c r="B20" s="1105"/>
      <c r="C20" s="421"/>
      <c r="D20" s="421"/>
      <c r="E20" s="421"/>
      <c r="F20" s="421"/>
      <c r="G20" s="421"/>
      <c r="H20" s="422"/>
      <c r="I20" s="422"/>
      <c r="J20" s="422"/>
      <c r="K20" s="422"/>
      <c r="L20" s="422"/>
    </row>
    <row r="21" spans="1:15">
      <c r="A21" s="1100" t="s">
        <v>1190</v>
      </c>
      <c r="B21" s="1100"/>
      <c r="C21" s="1106" t="s">
        <v>1189</v>
      </c>
      <c r="D21" s="1095" t="s">
        <v>219</v>
      </c>
      <c r="E21" s="1095" t="s">
        <v>5384</v>
      </c>
      <c r="F21" s="1095" t="s">
        <v>5385</v>
      </c>
      <c r="G21" s="1097" t="s">
        <v>5386</v>
      </c>
      <c r="H21" s="1098"/>
      <c r="I21" s="1098"/>
      <c r="J21" s="1098"/>
      <c r="K21" s="1098"/>
      <c r="L21" s="1098"/>
      <c r="M21" s="1099"/>
    </row>
    <row r="22" spans="1:15" ht="24">
      <c r="A22" s="1100"/>
      <c r="B22" s="1100"/>
      <c r="C22" s="1107"/>
      <c r="D22" s="1096"/>
      <c r="E22" s="1096"/>
      <c r="F22" s="1096"/>
      <c r="G22" s="420" t="s">
        <v>227</v>
      </c>
      <c r="H22" s="424" t="s">
        <v>228</v>
      </c>
      <c r="I22" s="420" t="s">
        <v>229</v>
      </c>
      <c r="J22" s="342" t="s">
        <v>1499</v>
      </c>
      <c r="K22" s="420" t="s">
        <v>4831</v>
      </c>
      <c r="L22" s="420" t="s">
        <v>4832</v>
      </c>
      <c r="M22" s="420" t="s">
        <v>4833</v>
      </c>
      <c r="N22" s="430" t="s">
        <v>5387</v>
      </c>
      <c r="O22" s="431" t="s">
        <v>662</v>
      </c>
    </row>
    <row r="23" spans="1:15">
      <c r="A23" s="1100" t="s">
        <v>232</v>
      </c>
      <c r="B23" s="1100"/>
      <c r="C23" s="420">
        <v>8000</v>
      </c>
      <c r="D23" s="486" t="s">
        <v>873</v>
      </c>
      <c r="E23" s="433">
        <f>+C23*J3/100000</f>
        <v>23.129760000000001</v>
      </c>
      <c r="F23" s="434">
        <f>1330000/100000</f>
        <v>13.3</v>
      </c>
      <c r="G23" s="433">
        <v>0</v>
      </c>
      <c r="H23" s="433">
        <f>107040/100000</f>
        <v>1.0704</v>
      </c>
      <c r="I23" s="435">
        <f>612069/100000</f>
        <v>6.1206899999999997</v>
      </c>
      <c r="J23" s="435"/>
      <c r="K23" s="435"/>
      <c r="L23" s="435"/>
      <c r="M23" s="435"/>
      <c r="N23" s="436">
        <f>+G23+H23+I23+J23+K23+L23+M23</f>
        <v>7.19109</v>
      </c>
      <c r="O23" s="437">
        <f>N23*100/F23</f>
        <v>54.068345864661651</v>
      </c>
    </row>
    <row r="24" spans="1:15">
      <c r="A24" s="1100" t="s">
        <v>234</v>
      </c>
      <c r="B24" s="1100"/>
      <c r="C24" s="420">
        <v>7000</v>
      </c>
      <c r="D24" s="487" t="s">
        <v>873</v>
      </c>
      <c r="E24" s="433">
        <f>+C24*M3/100000</f>
        <v>5.6</v>
      </c>
      <c r="F24" s="433">
        <v>0</v>
      </c>
      <c r="G24" s="433">
        <v>0</v>
      </c>
      <c r="H24" s="433">
        <v>0</v>
      </c>
      <c r="I24" s="435">
        <v>0</v>
      </c>
      <c r="J24" s="435"/>
      <c r="K24" s="435"/>
      <c r="L24" s="435"/>
      <c r="M24" s="435"/>
      <c r="N24" s="437">
        <f t="shared" ref="N24:N31" si="0">+G24+H24+I24+J24+K24+L24+M24</f>
        <v>0</v>
      </c>
      <c r="O24" s="437">
        <v>0</v>
      </c>
    </row>
    <row r="25" spans="1:15">
      <c r="A25" s="1100" t="s">
        <v>235</v>
      </c>
      <c r="B25" s="1100"/>
      <c r="C25" s="420">
        <v>86</v>
      </c>
      <c r="D25" s="487" t="s">
        <v>5388</v>
      </c>
      <c r="E25" s="433">
        <v>0.43</v>
      </c>
      <c r="F25" s="434">
        <f>34000/100000</f>
        <v>0.34</v>
      </c>
      <c r="G25" s="433">
        <v>0</v>
      </c>
      <c r="H25" s="433">
        <f>3440/100000</f>
        <v>3.44E-2</v>
      </c>
      <c r="I25" s="435">
        <f>12380/100000</f>
        <v>0.12379999999999999</v>
      </c>
      <c r="J25" s="435"/>
      <c r="K25" s="435"/>
      <c r="L25" s="435"/>
      <c r="M25" s="435"/>
      <c r="N25" s="436">
        <f t="shared" si="0"/>
        <v>0.15820000000000001</v>
      </c>
      <c r="O25" s="437">
        <f t="shared" ref="O25:O31" si="1">N25*100/F25</f>
        <v>46.529411764705877</v>
      </c>
    </row>
    <row r="26" spans="1:15">
      <c r="A26" s="1100" t="s">
        <v>237</v>
      </c>
      <c r="B26" s="1100"/>
      <c r="C26" s="420">
        <v>68</v>
      </c>
      <c r="D26" s="487" t="s">
        <v>5388</v>
      </c>
      <c r="E26" s="433">
        <v>0.34</v>
      </c>
      <c r="F26" s="434">
        <f>16000/100000</f>
        <v>0.16</v>
      </c>
      <c r="G26" s="433">
        <v>0</v>
      </c>
      <c r="H26" s="433">
        <f>16000/100000</f>
        <v>0.16</v>
      </c>
      <c r="I26" s="435">
        <v>0</v>
      </c>
      <c r="J26" s="435"/>
      <c r="K26" s="435"/>
      <c r="L26" s="435"/>
      <c r="M26" s="435"/>
      <c r="N26" s="436">
        <f t="shared" si="0"/>
        <v>0.16</v>
      </c>
      <c r="O26" s="437">
        <f t="shared" si="1"/>
        <v>100</v>
      </c>
    </row>
    <row r="27" spans="1:15">
      <c r="A27" s="1100" t="s">
        <v>238</v>
      </c>
      <c r="B27" s="1100"/>
      <c r="C27" s="420">
        <v>1200</v>
      </c>
      <c r="D27" s="487" t="s">
        <v>873</v>
      </c>
      <c r="E27" s="433">
        <f>+C27*J3/100000</f>
        <v>3.4694640000000003</v>
      </c>
      <c r="F27" s="434">
        <f>200000/100000</f>
        <v>2</v>
      </c>
      <c r="G27" s="433">
        <v>0</v>
      </c>
      <c r="H27" s="433">
        <v>0</v>
      </c>
      <c r="I27" s="435">
        <f>50000/100000</f>
        <v>0.5</v>
      </c>
      <c r="J27" s="435"/>
      <c r="K27" s="435"/>
      <c r="L27" s="435"/>
      <c r="M27" s="435"/>
      <c r="N27" s="436">
        <f t="shared" si="0"/>
        <v>0.5</v>
      </c>
      <c r="O27" s="437">
        <f t="shared" si="1"/>
        <v>25</v>
      </c>
    </row>
    <row r="28" spans="1:15">
      <c r="A28" s="1100" t="s">
        <v>667</v>
      </c>
      <c r="B28" s="1100"/>
      <c r="C28" s="420">
        <v>565</v>
      </c>
      <c r="D28" s="487" t="s">
        <v>873</v>
      </c>
      <c r="E28" s="433">
        <f>+C28*J3/100000</f>
        <v>1.6335393000000002</v>
      </c>
      <c r="F28" s="434">
        <f>163342/100000</f>
        <v>1.6334200000000001</v>
      </c>
      <c r="G28" s="433">
        <v>0</v>
      </c>
      <c r="H28" s="433">
        <f>163342/100000</f>
        <v>1.6334200000000001</v>
      </c>
      <c r="I28" s="435">
        <v>0</v>
      </c>
      <c r="J28" s="435"/>
      <c r="K28" s="435"/>
      <c r="L28" s="435"/>
      <c r="M28" s="435"/>
      <c r="N28" s="436">
        <f t="shared" si="0"/>
        <v>1.6334200000000001</v>
      </c>
      <c r="O28" s="437">
        <f t="shared" si="1"/>
        <v>100</v>
      </c>
    </row>
    <row r="29" spans="1:15">
      <c r="A29" s="1100" t="s">
        <v>1176</v>
      </c>
      <c r="B29" s="1100"/>
      <c r="C29" s="420">
        <v>1000</v>
      </c>
      <c r="D29" s="487" t="s">
        <v>873</v>
      </c>
      <c r="E29" s="433">
        <f>+C29*J3/100000</f>
        <v>2.8912200000000001</v>
      </c>
      <c r="F29" s="433">
        <v>0</v>
      </c>
      <c r="G29" s="433">
        <v>0</v>
      </c>
      <c r="H29" s="433">
        <v>0</v>
      </c>
      <c r="I29" s="435">
        <v>0</v>
      </c>
      <c r="J29" s="435"/>
      <c r="K29" s="435"/>
      <c r="L29" s="435"/>
      <c r="M29" s="435"/>
      <c r="N29" s="437">
        <f t="shared" si="0"/>
        <v>0</v>
      </c>
      <c r="O29" s="437">
        <v>0</v>
      </c>
    </row>
    <row r="30" spans="1:15">
      <c r="A30" s="1100" t="s">
        <v>394</v>
      </c>
      <c r="B30" s="1100"/>
      <c r="C30" s="420">
        <v>2750</v>
      </c>
      <c r="D30" s="487" t="s">
        <v>5486</v>
      </c>
      <c r="E30" s="434">
        <f>66000/100000</f>
        <v>0.66</v>
      </c>
      <c r="F30" s="434">
        <f>66000/100000</f>
        <v>0.66</v>
      </c>
      <c r="G30" s="433">
        <v>0</v>
      </c>
      <c r="H30" s="433">
        <f>29681/100000</f>
        <v>0.29681000000000002</v>
      </c>
      <c r="I30" s="435">
        <f>25338/100000</f>
        <v>0.25337999999999999</v>
      </c>
      <c r="J30" s="435"/>
      <c r="K30" s="435"/>
      <c r="L30" s="435"/>
      <c r="M30" s="435"/>
      <c r="N30" s="436">
        <f t="shared" si="0"/>
        <v>0.55018999999999996</v>
      </c>
      <c r="O30" s="437">
        <f t="shared" si="1"/>
        <v>83.36212121212121</v>
      </c>
    </row>
    <row r="31" spans="1:15">
      <c r="A31" s="1100" t="s">
        <v>670</v>
      </c>
      <c r="B31" s="1100"/>
      <c r="C31" s="420">
        <v>2000</v>
      </c>
      <c r="D31" s="488" t="s">
        <v>5390</v>
      </c>
      <c r="E31" s="433">
        <f>10000/100000</f>
        <v>0.1</v>
      </c>
      <c r="F31" s="433">
        <f>10000/100000</f>
        <v>0.1</v>
      </c>
      <c r="G31" s="433">
        <v>0</v>
      </c>
      <c r="H31" s="433">
        <f>10000/100000</f>
        <v>0.1</v>
      </c>
      <c r="I31" s="435">
        <v>0</v>
      </c>
      <c r="J31" s="435"/>
      <c r="K31" s="435"/>
      <c r="L31" s="435"/>
      <c r="M31" s="435"/>
      <c r="N31" s="437">
        <f t="shared" si="0"/>
        <v>0.1</v>
      </c>
      <c r="O31" s="437">
        <f t="shared" si="1"/>
        <v>100</v>
      </c>
    </row>
    <row r="32" spans="1:15">
      <c r="A32" s="1093" t="s">
        <v>230</v>
      </c>
      <c r="B32" s="1094"/>
      <c r="C32" s="420"/>
      <c r="D32" s="424"/>
      <c r="E32" s="440">
        <f t="shared" ref="E32:M32" si="2">SUM(E23:E31)</f>
        <v>38.253983299999994</v>
      </c>
      <c r="F32" s="440">
        <f>SUM(F23:F31)</f>
        <v>18.193420000000003</v>
      </c>
      <c r="G32" s="440">
        <f t="shared" si="2"/>
        <v>0</v>
      </c>
      <c r="H32" s="440">
        <f t="shared" si="2"/>
        <v>3.2950300000000001</v>
      </c>
      <c r="I32" s="440">
        <f t="shared" si="2"/>
        <v>6.9978699999999998</v>
      </c>
      <c r="J32" s="440">
        <f t="shared" si="2"/>
        <v>0</v>
      </c>
      <c r="K32" s="440">
        <f t="shared" si="2"/>
        <v>0</v>
      </c>
      <c r="L32" s="440">
        <f t="shared" si="2"/>
        <v>0</v>
      </c>
      <c r="M32" s="440">
        <f t="shared" si="2"/>
        <v>0</v>
      </c>
      <c r="N32" s="489">
        <f>SUM(N23:N31)</f>
        <v>10.292900000000001</v>
      </c>
      <c r="O32" s="436">
        <f>N32*100/F32</f>
        <v>56.574849588477591</v>
      </c>
    </row>
  </sheetData>
  <mergeCells count="56">
    <mergeCell ref="A4:C4"/>
    <mergeCell ref="A1:M1"/>
    <mergeCell ref="A2:M2"/>
    <mergeCell ref="A3:B3"/>
    <mergeCell ref="C3:D3"/>
    <mergeCell ref="E3:F3"/>
    <mergeCell ref="H3:I3"/>
    <mergeCell ref="K3:L3"/>
    <mergeCell ref="A5:B5"/>
    <mergeCell ref="C5:D5"/>
    <mergeCell ref="E5:F5"/>
    <mergeCell ref="G5:H5"/>
    <mergeCell ref="A7:B7"/>
    <mergeCell ref="C7:D7"/>
    <mergeCell ref="E7:F7"/>
    <mergeCell ref="G7:H7"/>
    <mergeCell ref="A10:C10"/>
    <mergeCell ref="D10:E10"/>
    <mergeCell ref="F10:G10"/>
    <mergeCell ref="H10:I10"/>
    <mergeCell ref="J10:K10"/>
    <mergeCell ref="A9:C9"/>
    <mergeCell ref="D9:E9"/>
    <mergeCell ref="F9:G9"/>
    <mergeCell ref="H9:I9"/>
    <mergeCell ref="J9:K9"/>
    <mergeCell ref="A12:C12"/>
    <mergeCell ref="D12:E12"/>
    <mergeCell ref="F12:G12"/>
    <mergeCell ref="H12:I12"/>
    <mergeCell ref="J12:K12"/>
    <mergeCell ref="A11:C11"/>
    <mergeCell ref="D11:E11"/>
    <mergeCell ref="F11:G11"/>
    <mergeCell ref="H11:I11"/>
    <mergeCell ref="J11:K11"/>
    <mergeCell ref="A14:B14"/>
    <mergeCell ref="D14:E14"/>
    <mergeCell ref="A17:A18"/>
    <mergeCell ref="A20:B20"/>
    <mergeCell ref="A21:B22"/>
    <mergeCell ref="C21:C22"/>
    <mergeCell ref="D21:D22"/>
    <mergeCell ref="E21:E22"/>
    <mergeCell ref="A32:B32"/>
    <mergeCell ref="F21:F22"/>
    <mergeCell ref="G21:M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hyperlinks>
    <hyperlink ref="A4" location="'Fact Sheet of VDC'!A1" display="&lt;&lt;Back"/>
  </hyperlinks>
  <pageMargins left="0.25" right="0.23" top="0.49" bottom="0.35" header="0.27" footer="0.25"/>
  <pageSetup scale="85" orientation="landscape" horizontalDpi="180" verticalDpi="18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502</v>
      </c>
      <c r="H6" t="s">
        <v>437</v>
      </c>
      <c r="K6" t="s">
        <v>5715</v>
      </c>
      <c r="R6" t="s">
        <v>172</v>
      </c>
      <c r="T6">
        <v>457</v>
      </c>
      <c r="U6" t="s">
        <v>436</v>
      </c>
      <c r="W6">
        <v>80</v>
      </c>
    </row>
    <row r="9" spans="1:23">
      <c r="A9" t="s">
        <v>435</v>
      </c>
      <c r="D9" t="s">
        <v>501</v>
      </c>
      <c r="H9" t="s">
        <v>176</v>
      </c>
      <c r="K9" t="s">
        <v>500</v>
      </c>
    </row>
    <row r="12" spans="1:23">
      <c r="A12" t="s">
        <v>432</v>
      </c>
      <c r="D12" t="s">
        <v>499</v>
      </c>
      <c r="H12" t="s">
        <v>431</v>
      </c>
      <c r="K12" t="s">
        <v>498</v>
      </c>
    </row>
    <row r="13" spans="1:23">
      <c r="H13" t="s">
        <v>429</v>
      </c>
    </row>
    <row r="17" spans="1:24">
      <c r="A17" t="s">
        <v>428</v>
      </c>
      <c r="D17" t="s">
        <v>497</v>
      </c>
      <c r="G17" t="s">
        <v>496</v>
      </c>
      <c r="K17" t="s">
        <v>495</v>
      </c>
      <c r="O17" t="s">
        <v>494</v>
      </c>
      <c r="R17" t="s">
        <v>493</v>
      </c>
    </row>
    <row r="18" spans="1:24">
      <c r="A18" t="s">
        <v>425</v>
      </c>
      <c r="D18" t="s">
        <v>492</v>
      </c>
      <c r="G18" t="s">
        <v>491</v>
      </c>
      <c r="K18" t="s">
        <v>490</v>
      </c>
      <c r="O18" t="s">
        <v>489</v>
      </c>
      <c r="R18" t="s">
        <v>488</v>
      </c>
    </row>
    <row r="19" spans="1:24">
      <c r="A19" t="s">
        <v>192</v>
      </c>
      <c r="D19" t="s">
        <v>487</v>
      </c>
      <c r="G19" t="s">
        <v>486</v>
      </c>
      <c r="K19" t="s">
        <v>485</v>
      </c>
      <c r="O19" t="s">
        <v>484</v>
      </c>
      <c r="R19" t="s">
        <v>483</v>
      </c>
    </row>
    <row r="20" spans="1:24">
      <c r="A20" t="s">
        <v>420</v>
      </c>
      <c r="D20" t="s">
        <v>419</v>
      </c>
      <c r="G20" t="s">
        <v>419</v>
      </c>
      <c r="K20" t="s">
        <v>419</v>
      </c>
      <c r="O20" t="s">
        <v>419</v>
      </c>
      <c r="R20" t="s">
        <v>482</v>
      </c>
    </row>
    <row r="23" spans="1:24">
      <c r="A23" t="s">
        <v>198</v>
      </c>
      <c r="E23">
        <v>5</v>
      </c>
      <c r="G23" t="s">
        <v>418</v>
      </c>
      <c r="J23">
        <v>5</v>
      </c>
      <c r="L23" t="s">
        <v>200</v>
      </c>
      <c r="N23">
        <v>10</v>
      </c>
      <c r="S23" t="s">
        <v>417</v>
      </c>
      <c r="U23">
        <v>1</v>
      </c>
      <c r="W23" t="s">
        <v>202</v>
      </c>
      <c r="X23">
        <v>10</v>
      </c>
    </row>
    <row r="26" spans="1:24">
      <c r="A26" t="s">
        <v>416</v>
      </c>
      <c r="D26" t="s">
        <v>204</v>
      </c>
      <c r="E26">
        <v>74</v>
      </c>
      <c r="G26" t="s">
        <v>205</v>
      </c>
      <c r="H26">
        <v>23</v>
      </c>
      <c r="J26" t="s">
        <v>415</v>
      </c>
      <c r="K26">
        <v>19</v>
      </c>
      <c r="M26" t="s">
        <v>230</v>
      </c>
      <c r="N26">
        <f>E26+H26+K26</f>
        <v>116</v>
      </c>
      <c r="S26" t="s">
        <v>414</v>
      </c>
      <c r="T26">
        <v>62</v>
      </c>
      <c r="V26" t="s">
        <v>481</v>
      </c>
    </row>
    <row r="27" spans="1:24">
      <c r="A27" t="s">
        <v>412</v>
      </c>
      <c r="D27" t="s">
        <v>210</v>
      </c>
      <c r="E27">
        <v>177</v>
      </c>
      <c r="G27" t="s">
        <v>211</v>
      </c>
      <c r="H27">
        <v>53</v>
      </c>
      <c r="J27" t="s">
        <v>212</v>
      </c>
      <c r="K27">
        <v>39</v>
      </c>
      <c r="M27" t="s">
        <v>411</v>
      </c>
      <c r="N27">
        <f>E27+H27+K27</f>
        <v>269</v>
      </c>
    </row>
    <row r="28" spans="1:24">
      <c r="D28" t="s">
        <v>213</v>
      </c>
      <c r="E28">
        <v>199</v>
      </c>
      <c r="G28" t="s">
        <v>214</v>
      </c>
      <c r="H28">
        <v>54</v>
      </c>
      <c r="J28" t="s">
        <v>215</v>
      </c>
      <c r="K28">
        <v>35</v>
      </c>
      <c r="M28" t="s">
        <v>410</v>
      </c>
      <c r="N28">
        <f>E28+H28+K28</f>
        <v>288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36.56</v>
      </c>
      <c r="G37">
        <v>3656000</v>
      </c>
      <c r="J37">
        <v>410715</v>
      </c>
      <c r="L37">
        <v>1479020</v>
      </c>
      <c r="N37">
        <v>469177</v>
      </c>
      <c r="S37">
        <v>679226</v>
      </c>
      <c r="U37">
        <v>450969</v>
      </c>
      <c r="X37">
        <f t="shared" ref="X37:X45" si="0">J37+L37+N37+S37+U37+W37</f>
        <v>3489107</v>
      </c>
      <c r="Y37">
        <f t="shared" ref="Y37:Y44" si="1">X37*100/G37</f>
        <v>95.435092997811822</v>
      </c>
    </row>
    <row r="38" spans="1:25">
      <c r="A38" t="s">
        <v>234</v>
      </c>
      <c r="D38">
        <v>7000</v>
      </c>
      <c r="E38" t="str">
        <f>+E37</f>
        <v>Hectare</v>
      </c>
      <c r="F38">
        <v>5.6</v>
      </c>
      <c r="G38">
        <v>500000</v>
      </c>
      <c r="J38">
        <v>15650</v>
      </c>
      <c r="L38">
        <v>79198</v>
      </c>
      <c r="N38">
        <v>99644</v>
      </c>
      <c r="S38">
        <v>274570</v>
      </c>
      <c r="U38">
        <v>59331</v>
      </c>
      <c r="X38">
        <f t="shared" si="0"/>
        <v>528393</v>
      </c>
      <c r="Y38">
        <f t="shared" si="1"/>
        <v>105.6786</v>
      </c>
    </row>
    <row r="39" spans="1:25">
      <c r="A39" t="s">
        <v>397</v>
      </c>
      <c r="D39">
        <v>86</v>
      </c>
      <c r="E39" t="str">
        <f>+E38</f>
        <v>Hectare</v>
      </c>
      <c r="F39">
        <v>0.39</v>
      </c>
      <c r="G39">
        <v>43000</v>
      </c>
      <c r="J39">
        <v>7554</v>
      </c>
      <c r="L39">
        <v>1820</v>
      </c>
      <c r="N39">
        <v>35250</v>
      </c>
      <c r="S39">
        <v>6974</v>
      </c>
      <c r="U39">
        <v>2977</v>
      </c>
      <c r="X39">
        <f t="shared" si="0"/>
        <v>54575</v>
      </c>
      <c r="Y39">
        <f t="shared" si="1"/>
        <v>126.91860465116279</v>
      </c>
    </row>
    <row r="40" spans="1:25">
      <c r="A40" t="s">
        <v>396</v>
      </c>
      <c r="D40">
        <v>68</v>
      </c>
      <c r="E40" t="str">
        <f>+E39</f>
        <v>Hectare</v>
      </c>
      <c r="F40">
        <v>0.31</v>
      </c>
      <c r="G40">
        <v>34000</v>
      </c>
      <c r="J40">
        <v>4574</v>
      </c>
      <c r="L40">
        <v>16109</v>
      </c>
      <c r="N40">
        <v>2247</v>
      </c>
      <c r="S40">
        <v>14035</v>
      </c>
      <c r="U40">
        <v>0</v>
      </c>
      <c r="X40">
        <f t="shared" si="0"/>
        <v>36965</v>
      </c>
      <c r="Y40">
        <f t="shared" si="1"/>
        <v>108.72058823529412</v>
      </c>
    </row>
    <row r="41" spans="1:25">
      <c r="A41" t="s">
        <v>238</v>
      </c>
      <c r="D41">
        <v>1200</v>
      </c>
      <c r="E41" t="str">
        <f>+E38</f>
        <v>Hectare</v>
      </c>
      <c r="F41">
        <v>5.48</v>
      </c>
      <c r="G41">
        <v>430000</v>
      </c>
      <c r="J41">
        <v>0</v>
      </c>
      <c r="L41">
        <v>24400</v>
      </c>
      <c r="N41">
        <v>33464</v>
      </c>
      <c r="S41">
        <v>300782</v>
      </c>
      <c r="U41">
        <v>59008</v>
      </c>
      <c r="X41">
        <f t="shared" si="0"/>
        <v>417654</v>
      </c>
      <c r="Y41">
        <f t="shared" si="1"/>
        <v>97.128837209302333</v>
      </c>
    </row>
    <row r="42" spans="1:25">
      <c r="A42" t="s">
        <v>395</v>
      </c>
      <c r="D42">
        <v>565</v>
      </c>
      <c r="E42" t="str">
        <f>+E38</f>
        <v>Hectare</v>
      </c>
      <c r="F42">
        <v>2.54</v>
      </c>
      <c r="G42">
        <v>217500</v>
      </c>
      <c r="J42">
        <v>0</v>
      </c>
      <c r="L42">
        <v>0</v>
      </c>
      <c r="N42">
        <v>55000</v>
      </c>
      <c r="S42">
        <v>162500</v>
      </c>
      <c r="U42">
        <v>0</v>
      </c>
      <c r="X42">
        <f t="shared" si="0"/>
        <v>217500</v>
      </c>
      <c r="Y42">
        <f t="shared" si="1"/>
        <v>100</v>
      </c>
    </row>
    <row r="43" spans="1:25">
      <c r="A43" t="s">
        <v>240</v>
      </c>
      <c r="D43">
        <v>1000</v>
      </c>
      <c r="E43" t="str">
        <f>+E41</f>
        <v>Hectare</v>
      </c>
      <c r="F43">
        <v>4.57</v>
      </c>
      <c r="G43">
        <v>457000</v>
      </c>
      <c r="J43">
        <v>101227</v>
      </c>
      <c r="L43">
        <v>35268</v>
      </c>
      <c r="N43">
        <v>76326</v>
      </c>
      <c r="S43">
        <v>129316</v>
      </c>
      <c r="U43">
        <v>4510</v>
      </c>
      <c r="X43">
        <f t="shared" si="0"/>
        <v>346647</v>
      </c>
      <c r="Y43">
        <f t="shared" si="1"/>
        <v>75.852735229759304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132000</v>
      </c>
      <c r="J44">
        <v>35655</v>
      </c>
      <c r="L44">
        <v>27146</v>
      </c>
      <c r="N44">
        <v>21165</v>
      </c>
      <c r="S44">
        <v>28258</v>
      </c>
      <c r="U44">
        <v>9000</v>
      </c>
      <c r="X44">
        <f t="shared" si="0"/>
        <v>121224</v>
      </c>
      <c r="Y44">
        <f t="shared" si="1"/>
        <v>91.836363636363643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57.860000000000007</v>
      </c>
      <c r="G46">
        <f>SUM(G37:G45)</f>
        <v>5469500</v>
      </c>
      <c r="J46">
        <f>SUM(J37:J45)</f>
        <v>575375</v>
      </c>
      <c r="L46">
        <f>SUM(L37:L45)</f>
        <v>1662961</v>
      </c>
      <c r="N46">
        <f>SUM(N37:N45)</f>
        <v>792273</v>
      </c>
      <c r="S46">
        <f>SUM(S37:S45)</f>
        <v>1595661</v>
      </c>
      <c r="U46">
        <f>SUM(U37:U45)</f>
        <v>585795</v>
      </c>
      <c r="X46">
        <f>SUM(X37:X45)</f>
        <v>5212065</v>
      </c>
      <c r="Y46">
        <f>SUM(Y37:Y45)</f>
        <v>801.57082195969406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18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dimension ref="A1:O36"/>
  <sheetViews>
    <sheetView workbookViewId="0">
      <selection activeCell="A5" sqref="A5:C5"/>
    </sheetView>
  </sheetViews>
  <sheetFormatPr defaultRowHeight="15"/>
  <cols>
    <col min="1" max="1" width="30.42578125" customWidth="1"/>
    <col min="2" max="2" width="12.28515625" customWidth="1"/>
    <col min="4" max="4" width="10.140625" customWidth="1"/>
    <col min="5" max="7" width="11" customWidth="1"/>
    <col min="8" max="8" width="13" customWidth="1"/>
    <col min="9" max="9" width="8.7109375" customWidth="1"/>
    <col min="12" max="12" width="7.85546875" customWidth="1"/>
    <col min="14" max="14" width="9.140625" customWidth="1"/>
    <col min="257" max="257" width="30.42578125" customWidth="1"/>
    <col min="258" max="258" width="12.28515625" customWidth="1"/>
    <col min="260" max="260" width="10.140625" customWidth="1"/>
    <col min="261" max="263" width="11" customWidth="1"/>
    <col min="264" max="264" width="13" customWidth="1"/>
    <col min="265" max="265" width="8.7109375" customWidth="1"/>
    <col min="268" max="268" width="7.85546875" customWidth="1"/>
    <col min="270" max="270" width="9.140625" customWidth="1"/>
    <col min="513" max="513" width="30.42578125" customWidth="1"/>
    <col min="514" max="514" width="12.28515625" customWidth="1"/>
    <col min="516" max="516" width="10.140625" customWidth="1"/>
    <col min="517" max="519" width="11" customWidth="1"/>
    <col min="520" max="520" width="13" customWidth="1"/>
    <col min="521" max="521" width="8.7109375" customWidth="1"/>
    <col min="524" max="524" width="7.85546875" customWidth="1"/>
    <col min="526" max="526" width="9.140625" customWidth="1"/>
    <col min="769" max="769" width="30.42578125" customWidth="1"/>
    <col min="770" max="770" width="12.28515625" customWidth="1"/>
    <col min="772" max="772" width="10.140625" customWidth="1"/>
    <col min="773" max="775" width="11" customWidth="1"/>
    <col min="776" max="776" width="13" customWidth="1"/>
    <col min="777" max="777" width="8.7109375" customWidth="1"/>
    <col min="780" max="780" width="7.85546875" customWidth="1"/>
    <col min="782" max="782" width="9.140625" customWidth="1"/>
    <col min="1025" max="1025" width="30.42578125" customWidth="1"/>
    <col min="1026" max="1026" width="12.28515625" customWidth="1"/>
    <col min="1028" max="1028" width="10.140625" customWidth="1"/>
    <col min="1029" max="1031" width="11" customWidth="1"/>
    <col min="1032" max="1032" width="13" customWidth="1"/>
    <col min="1033" max="1033" width="8.7109375" customWidth="1"/>
    <col min="1036" max="1036" width="7.85546875" customWidth="1"/>
    <col min="1038" max="1038" width="9.140625" customWidth="1"/>
    <col min="1281" max="1281" width="30.42578125" customWidth="1"/>
    <col min="1282" max="1282" width="12.28515625" customWidth="1"/>
    <col min="1284" max="1284" width="10.140625" customWidth="1"/>
    <col min="1285" max="1287" width="11" customWidth="1"/>
    <col min="1288" max="1288" width="13" customWidth="1"/>
    <col min="1289" max="1289" width="8.7109375" customWidth="1"/>
    <col min="1292" max="1292" width="7.85546875" customWidth="1"/>
    <col min="1294" max="1294" width="9.140625" customWidth="1"/>
    <col min="1537" max="1537" width="30.42578125" customWidth="1"/>
    <col min="1538" max="1538" width="12.28515625" customWidth="1"/>
    <col min="1540" max="1540" width="10.140625" customWidth="1"/>
    <col min="1541" max="1543" width="11" customWidth="1"/>
    <col min="1544" max="1544" width="13" customWidth="1"/>
    <col min="1545" max="1545" width="8.7109375" customWidth="1"/>
    <col min="1548" max="1548" width="7.85546875" customWidth="1"/>
    <col min="1550" max="1550" width="9.140625" customWidth="1"/>
    <col min="1793" max="1793" width="30.42578125" customWidth="1"/>
    <col min="1794" max="1794" width="12.28515625" customWidth="1"/>
    <col min="1796" max="1796" width="10.140625" customWidth="1"/>
    <col min="1797" max="1799" width="11" customWidth="1"/>
    <col min="1800" max="1800" width="13" customWidth="1"/>
    <col min="1801" max="1801" width="8.7109375" customWidth="1"/>
    <col min="1804" max="1804" width="7.85546875" customWidth="1"/>
    <col min="1806" max="1806" width="9.140625" customWidth="1"/>
    <col min="2049" max="2049" width="30.42578125" customWidth="1"/>
    <col min="2050" max="2050" width="12.28515625" customWidth="1"/>
    <col min="2052" max="2052" width="10.140625" customWidth="1"/>
    <col min="2053" max="2055" width="11" customWidth="1"/>
    <col min="2056" max="2056" width="13" customWidth="1"/>
    <col min="2057" max="2057" width="8.7109375" customWidth="1"/>
    <col min="2060" max="2060" width="7.85546875" customWidth="1"/>
    <col min="2062" max="2062" width="9.140625" customWidth="1"/>
    <col min="2305" max="2305" width="30.42578125" customWidth="1"/>
    <col min="2306" max="2306" width="12.28515625" customWidth="1"/>
    <col min="2308" max="2308" width="10.140625" customWidth="1"/>
    <col min="2309" max="2311" width="11" customWidth="1"/>
    <col min="2312" max="2312" width="13" customWidth="1"/>
    <col min="2313" max="2313" width="8.7109375" customWidth="1"/>
    <col min="2316" max="2316" width="7.85546875" customWidth="1"/>
    <col min="2318" max="2318" width="9.140625" customWidth="1"/>
    <col min="2561" max="2561" width="30.42578125" customWidth="1"/>
    <col min="2562" max="2562" width="12.28515625" customWidth="1"/>
    <col min="2564" max="2564" width="10.140625" customWidth="1"/>
    <col min="2565" max="2567" width="11" customWidth="1"/>
    <col min="2568" max="2568" width="13" customWidth="1"/>
    <col min="2569" max="2569" width="8.7109375" customWidth="1"/>
    <col min="2572" max="2572" width="7.85546875" customWidth="1"/>
    <col min="2574" max="2574" width="9.140625" customWidth="1"/>
    <col min="2817" max="2817" width="30.42578125" customWidth="1"/>
    <col min="2818" max="2818" width="12.28515625" customWidth="1"/>
    <col min="2820" max="2820" width="10.140625" customWidth="1"/>
    <col min="2821" max="2823" width="11" customWidth="1"/>
    <col min="2824" max="2824" width="13" customWidth="1"/>
    <col min="2825" max="2825" width="8.7109375" customWidth="1"/>
    <col min="2828" max="2828" width="7.85546875" customWidth="1"/>
    <col min="2830" max="2830" width="9.140625" customWidth="1"/>
    <col min="3073" max="3073" width="30.42578125" customWidth="1"/>
    <col min="3074" max="3074" width="12.28515625" customWidth="1"/>
    <col min="3076" max="3076" width="10.140625" customWidth="1"/>
    <col min="3077" max="3079" width="11" customWidth="1"/>
    <col min="3080" max="3080" width="13" customWidth="1"/>
    <col min="3081" max="3081" width="8.7109375" customWidth="1"/>
    <col min="3084" max="3084" width="7.85546875" customWidth="1"/>
    <col min="3086" max="3086" width="9.140625" customWidth="1"/>
    <col min="3329" max="3329" width="30.42578125" customWidth="1"/>
    <col min="3330" max="3330" width="12.28515625" customWidth="1"/>
    <col min="3332" max="3332" width="10.140625" customWidth="1"/>
    <col min="3333" max="3335" width="11" customWidth="1"/>
    <col min="3336" max="3336" width="13" customWidth="1"/>
    <col min="3337" max="3337" width="8.7109375" customWidth="1"/>
    <col min="3340" max="3340" width="7.85546875" customWidth="1"/>
    <col min="3342" max="3342" width="9.140625" customWidth="1"/>
    <col min="3585" max="3585" width="30.42578125" customWidth="1"/>
    <col min="3586" max="3586" width="12.28515625" customWidth="1"/>
    <col min="3588" max="3588" width="10.140625" customWidth="1"/>
    <col min="3589" max="3591" width="11" customWidth="1"/>
    <col min="3592" max="3592" width="13" customWidth="1"/>
    <col min="3593" max="3593" width="8.7109375" customWidth="1"/>
    <col min="3596" max="3596" width="7.85546875" customWidth="1"/>
    <col min="3598" max="3598" width="9.140625" customWidth="1"/>
    <col min="3841" max="3841" width="30.42578125" customWidth="1"/>
    <col min="3842" max="3842" width="12.28515625" customWidth="1"/>
    <col min="3844" max="3844" width="10.140625" customWidth="1"/>
    <col min="3845" max="3847" width="11" customWidth="1"/>
    <col min="3848" max="3848" width="13" customWidth="1"/>
    <col min="3849" max="3849" width="8.7109375" customWidth="1"/>
    <col min="3852" max="3852" width="7.85546875" customWidth="1"/>
    <col min="3854" max="3854" width="9.140625" customWidth="1"/>
    <col min="4097" max="4097" width="30.42578125" customWidth="1"/>
    <col min="4098" max="4098" width="12.28515625" customWidth="1"/>
    <col min="4100" max="4100" width="10.140625" customWidth="1"/>
    <col min="4101" max="4103" width="11" customWidth="1"/>
    <col min="4104" max="4104" width="13" customWidth="1"/>
    <col min="4105" max="4105" width="8.7109375" customWidth="1"/>
    <col min="4108" max="4108" width="7.85546875" customWidth="1"/>
    <col min="4110" max="4110" width="9.140625" customWidth="1"/>
    <col min="4353" max="4353" width="30.42578125" customWidth="1"/>
    <col min="4354" max="4354" width="12.28515625" customWidth="1"/>
    <col min="4356" max="4356" width="10.140625" customWidth="1"/>
    <col min="4357" max="4359" width="11" customWidth="1"/>
    <col min="4360" max="4360" width="13" customWidth="1"/>
    <col min="4361" max="4361" width="8.7109375" customWidth="1"/>
    <col min="4364" max="4364" width="7.85546875" customWidth="1"/>
    <col min="4366" max="4366" width="9.140625" customWidth="1"/>
    <col min="4609" max="4609" width="30.42578125" customWidth="1"/>
    <col min="4610" max="4610" width="12.28515625" customWidth="1"/>
    <col min="4612" max="4612" width="10.140625" customWidth="1"/>
    <col min="4613" max="4615" width="11" customWidth="1"/>
    <col min="4616" max="4616" width="13" customWidth="1"/>
    <col min="4617" max="4617" width="8.7109375" customWidth="1"/>
    <col min="4620" max="4620" width="7.85546875" customWidth="1"/>
    <col min="4622" max="4622" width="9.140625" customWidth="1"/>
    <col min="4865" max="4865" width="30.42578125" customWidth="1"/>
    <col min="4866" max="4866" width="12.28515625" customWidth="1"/>
    <col min="4868" max="4868" width="10.140625" customWidth="1"/>
    <col min="4869" max="4871" width="11" customWidth="1"/>
    <col min="4872" max="4872" width="13" customWidth="1"/>
    <col min="4873" max="4873" width="8.7109375" customWidth="1"/>
    <col min="4876" max="4876" width="7.85546875" customWidth="1"/>
    <col min="4878" max="4878" width="9.140625" customWidth="1"/>
    <col min="5121" max="5121" width="30.42578125" customWidth="1"/>
    <col min="5122" max="5122" width="12.28515625" customWidth="1"/>
    <col min="5124" max="5124" width="10.140625" customWidth="1"/>
    <col min="5125" max="5127" width="11" customWidth="1"/>
    <col min="5128" max="5128" width="13" customWidth="1"/>
    <col min="5129" max="5129" width="8.7109375" customWidth="1"/>
    <col min="5132" max="5132" width="7.85546875" customWidth="1"/>
    <col min="5134" max="5134" width="9.140625" customWidth="1"/>
    <col min="5377" max="5377" width="30.42578125" customWidth="1"/>
    <col min="5378" max="5378" width="12.28515625" customWidth="1"/>
    <col min="5380" max="5380" width="10.140625" customWidth="1"/>
    <col min="5381" max="5383" width="11" customWidth="1"/>
    <col min="5384" max="5384" width="13" customWidth="1"/>
    <col min="5385" max="5385" width="8.7109375" customWidth="1"/>
    <col min="5388" max="5388" width="7.85546875" customWidth="1"/>
    <col min="5390" max="5390" width="9.140625" customWidth="1"/>
    <col min="5633" max="5633" width="30.42578125" customWidth="1"/>
    <col min="5634" max="5634" width="12.28515625" customWidth="1"/>
    <col min="5636" max="5636" width="10.140625" customWidth="1"/>
    <col min="5637" max="5639" width="11" customWidth="1"/>
    <col min="5640" max="5640" width="13" customWidth="1"/>
    <col min="5641" max="5641" width="8.7109375" customWidth="1"/>
    <col min="5644" max="5644" width="7.85546875" customWidth="1"/>
    <col min="5646" max="5646" width="9.140625" customWidth="1"/>
    <col min="5889" max="5889" width="30.42578125" customWidth="1"/>
    <col min="5890" max="5890" width="12.28515625" customWidth="1"/>
    <col min="5892" max="5892" width="10.140625" customWidth="1"/>
    <col min="5893" max="5895" width="11" customWidth="1"/>
    <col min="5896" max="5896" width="13" customWidth="1"/>
    <col min="5897" max="5897" width="8.7109375" customWidth="1"/>
    <col min="5900" max="5900" width="7.85546875" customWidth="1"/>
    <col min="5902" max="5902" width="9.140625" customWidth="1"/>
    <col min="6145" max="6145" width="30.42578125" customWidth="1"/>
    <col min="6146" max="6146" width="12.28515625" customWidth="1"/>
    <col min="6148" max="6148" width="10.140625" customWidth="1"/>
    <col min="6149" max="6151" width="11" customWidth="1"/>
    <col min="6152" max="6152" width="13" customWidth="1"/>
    <col min="6153" max="6153" width="8.7109375" customWidth="1"/>
    <col min="6156" max="6156" width="7.85546875" customWidth="1"/>
    <col min="6158" max="6158" width="9.140625" customWidth="1"/>
    <col min="6401" max="6401" width="30.42578125" customWidth="1"/>
    <col min="6402" max="6402" width="12.28515625" customWidth="1"/>
    <col min="6404" max="6404" width="10.140625" customWidth="1"/>
    <col min="6405" max="6407" width="11" customWidth="1"/>
    <col min="6408" max="6408" width="13" customWidth="1"/>
    <col min="6409" max="6409" width="8.7109375" customWidth="1"/>
    <col min="6412" max="6412" width="7.85546875" customWidth="1"/>
    <col min="6414" max="6414" width="9.140625" customWidth="1"/>
    <col min="6657" max="6657" width="30.42578125" customWidth="1"/>
    <col min="6658" max="6658" width="12.28515625" customWidth="1"/>
    <col min="6660" max="6660" width="10.140625" customWidth="1"/>
    <col min="6661" max="6663" width="11" customWidth="1"/>
    <col min="6664" max="6664" width="13" customWidth="1"/>
    <col min="6665" max="6665" width="8.7109375" customWidth="1"/>
    <col min="6668" max="6668" width="7.85546875" customWidth="1"/>
    <col min="6670" max="6670" width="9.140625" customWidth="1"/>
    <col min="6913" max="6913" width="30.42578125" customWidth="1"/>
    <col min="6914" max="6914" width="12.28515625" customWidth="1"/>
    <col min="6916" max="6916" width="10.140625" customWidth="1"/>
    <col min="6917" max="6919" width="11" customWidth="1"/>
    <col min="6920" max="6920" width="13" customWidth="1"/>
    <col min="6921" max="6921" width="8.7109375" customWidth="1"/>
    <col min="6924" max="6924" width="7.85546875" customWidth="1"/>
    <col min="6926" max="6926" width="9.140625" customWidth="1"/>
    <col min="7169" max="7169" width="30.42578125" customWidth="1"/>
    <col min="7170" max="7170" width="12.28515625" customWidth="1"/>
    <col min="7172" max="7172" width="10.140625" customWidth="1"/>
    <col min="7173" max="7175" width="11" customWidth="1"/>
    <col min="7176" max="7176" width="13" customWidth="1"/>
    <col min="7177" max="7177" width="8.7109375" customWidth="1"/>
    <col min="7180" max="7180" width="7.85546875" customWidth="1"/>
    <col min="7182" max="7182" width="9.140625" customWidth="1"/>
    <col min="7425" max="7425" width="30.42578125" customWidth="1"/>
    <col min="7426" max="7426" width="12.28515625" customWidth="1"/>
    <col min="7428" max="7428" width="10.140625" customWidth="1"/>
    <col min="7429" max="7431" width="11" customWidth="1"/>
    <col min="7432" max="7432" width="13" customWidth="1"/>
    <col min="7433" max="7433" width="8.7109375" customWidth="1"/>
    <col min="7436" max="7436" width="7.85546875" customWidth="1"/>
    <col min="7438" max="7438" width="9.140625" customWidth="1"/>
    <col min="7681" max="7681" width="30.42578125" customWidth="1"/>
    <col min="7682" max="7682" width="12.28515625" customWidth="1"/>
    <col min="7684" max="7684" width="10.140625" customWidth="1"/>
    <col min="7685" max="7687" width="11" customWidth="1"/>
    <col min="7688" max="7688" width="13" customWidth="1"/>
    <col min="7689" max="7689" width="8.7109375" customWidth="1"/>
    <col min="7692" max="7692" width="7.85546875" customWidth="1"/>
    <col min="7694" max="7694" width="9.140625" customWidth="1"/>
    <col min="7937" max="7937" width="30.42578125" customWidth="1"/>
    <col min="7938" max="7938" width="12.28515625" customWidth="1"/>
    <col min="7940" max="7940" width="10.140625" customWidth="1"/>
    <col min="7941" max="7943" width="11" customWidth="1"/>
    <col min="7944" max="7944" width="13" customWidth="1"/>
    <col min="7945" max="7945" width="8.7109375" customWidth="1"/>
    <col min="7948" max="7948" width="7.85546875" customWidth="1"/>
    <col min="7950" max="7950" width="9.140625" customWidth="1"/>
    <col min="8193" max="8193" width="30.42578125" customWidth="1"/>
    <col min="8194" max="8194" width="12.28515625" customWidth="1"/>
    <col min="8196" max="8196" width="10.140625" customWidth="1"/>
    <col min="8197" max="8199" width="11" customWidth="1"/>
    <col min="8200" max="8200" width="13" customWidth="1"/>
    <col min="8201" max="8201" width="8.7109375" customWidth="1"/>
    <col min="8204" max="8204" width="7.85546875" customWidth="1"/>
    <col min="8206" max="8206" width="9.140625" customWidth="1"/>
    <col min="8449" max="8449" width="30.42578125" customWidth="1"/>
    <col min="8450" max="8450" width="12.28515625" customWidth="1"/>
    <col min="8452" max="8452" width="10.140625" customWidth="1"/>
    <col min="8453" max="8455" width="11" customWidth="1"/>
    <col min="8456" max="8456" width="13" customWidth="1"/>
    <col min="8457" max="8457" width="8.7109375" customWidth="1"/>
    <col min="8460" max="8460" width="7.85546875" customWidth="1"/>
    <col min="8462" max="8462" width="9.140625" customWidth="1"/>
    <col min="8705" max="8705" width="30.42578125" customWidth="1"/>
    <col min="8706" max="8706" width="12.28515625" customWidth="1"/>
    <col min="8708" max="8708" width="10.140625" customWidth="1"/>
    <col min="8709" max="8711" width="11" customWidth="1"/>
    <col min="8712" max="8712" width="13" customWidth="1"/>
    <col min="8713" max="8713" width="8.7109375" customWidth="1"/>
    <col min="8716" max="8716" width="7.85546875" customWidth="1"/>
    <col min="8718" max="8718" width="9.140625" customWidth="1"/>
    <col min="8961" max="8961" width="30.42578125" customWidth="1"/>
    <col min="8962" max="8962" width="12.28515625" customWidth="1"/>
    <col min="8964" max="8964" width="10.140625" customWidth="1"/>
    <col min="8965" max="8967" width="11" customWidth="1"/>
    <col min="8968" max="8968" width="13" customWidth="1"/>
    <col min="8969" max="8969" width="8.7109375" customWidth="1"/>
    <col min="8972" max="8972" width="7.85546875" customWidth="1"/>
    <col min="8974" max="8974" width="9.140625" customWidth="1"/>
    <col min="9217" max="9217" width="30.42578125" customWidth="1"/>
    <col min="9218" max="9218" width="12.28515625" customWidth="1"/>
    <col min="9220" max="9220" width="10.140625" customWidth="1"/>
    <col min="9221" max="9223" width="11" customWidth="1"/>
    <col min="9224" max="9224" width="13" customWidth="1"/>
    <col min="9225" max="9225" width="8.7109375" customWidth="1"/>
    <col min="9228" max="9228" width="7.85546875" customWidth="1"/>
    <col min="9230" max="9230" width="9.140625" customWidth="1"/>
    <col min="9473" max="9473" width="30.42578125" customWidth="1"/>
    <col min="9474" max="9474" width="12.28515625" customWidth="1"/>
    <col min="9476" max="9476" width="10.140625" customWidth="1"/>
    <col min="9477" max="9479" width="11" customWidth="1"/>
    <col min="9480" max="9480" width="13" customWidth="1"/>
    <col min="9481" max="9481" width="8.7109375" customWidth="1"/>
    <col min="9484" max="9484" width="7.85546875" customWidth="1"/>
    <col min="9486" max="9486" width="9.140625" customWidth="1"/>
    <col min="9729" max="9729" width="30.42578125" customWidth="1"/>
    <col min="9730" max="9730" width="12.28515625" customWidth="1"/>
    <col min="9732" max="9732" width="10.140625" customWidth="1"/>
    <col min="9733" max="9735" width="11" customWidth="1"/>
    <col min="9736" max="9736" width="13" customWidth="1"/>
    <col min="9737" max="9737" width="8.7109375" customWidth="1"/>
    <col min="9740" max="9740" width="7.85546875" customWidth="1"/>
    <col min="9742" max="9742" width="9.140625" customWidth="1"/>
    <col min="9985" max="9985" width="30.42578125" customWidth="1"/>
    <col min="9986" max="9986" width="12.28515625" customWidth="1"/>
    <col min="9988" max="9988" width="10.140625" customWidth="1"/>
    <col min="9989" max="9991" width="11" customWidth="1"/>
    <col min="9992" max="9992" width="13" customWidth="1"/>
    <col min="9993" max="9993" width="8.7109375" customWidth="1"/>
    <col min="9996" max="9996" width="7.85546875" customWidth="1"/>
    <col min="9998" max="9998" width="9.140625" customWidth="1"/>
    <col min="10241" max="10241" width="30.42578125" customWidth="1"/>
    <col min="10242" max="10242" width="12.28515625" customWidth="1"/>
    <col min="10244" max="10244" width="10.140625" customWidth="1"/>
    <col min="10245" max="10247" width="11" customWidth="1"/>
    <col min="10248" max="10248" width="13" customWidth="1"/>
    <col min="10249" max="10249" width="8.7109375" customWidth="1"/>
    <col min="10252" max="10252" width="7.85546875" customWidth="1"/>
    <col min="10254" max="10254" width="9.140625" customWidth="1"/>
    <col min="10497" max="10497" width="30.42578125" customWidth="1"/>
    <col min="10498" max="10498" width="12.28515625" customWidth="1"/>
    <col min="10500" max="10500" width="10.140625" customWidth="1"/>
    <col min="10501" max="10503" width="11" customWidth="1"/>
    <col min="10504" max="10504" width="13" customWidth="1"/>
    <col min="10505" max="10505" width="8.7109375" customWidth="1"/>
    <col min="10508" max="10508" width="7.85546875" customWidth="1"/>
    <col min="10510" max="10510" width="9.140625" customWidth="1"/>
    <col min="10753" max="10753" width="30.42578125" customWidth="1"/>
    <col min="10754" max="10754" width="12.28515625" customWidth="1"/>
    <col min="10756" max="10756" width="10.140625" customWidth="1"/>
    <col min="10757" max="10759" width="11" customWidth="1"/>
    <col min="10760" max="10760" width="13" customWidth="1"/>
    <col min="10761" max="10761" width="8.7109375" customWidth="1"/>
    <col min="10764" max="10764" width="7.85546875" customWidth="1"/>
    <col min="10766" max="10766" width="9.140625" customWidth="1"/>
    <col min="11009" max="11009" width="30.42578125" customWidth="1"/>
    <col min="11010" max="11010" width="12.28515625" customWidth="1"/>
    <col min="11012" max="11012" width="10.140625" customWidth="1"/>
    <col min="11013" max="11015" width="11" customWidth="1"/>
    <col min="11016" max="11016" width="13" customWidth="1"/>
    <col min="11017" max="11017" width="8.7109375" customWidth="1"/>
    <col min="11020" max="11020" width="7.85546875" customWidth="1"/>
    <col min="11022" max="11022" width="9.140625" customWidth="1"/>
    <col min="11265" max="11265" width="30.42578125" customWidth="1"/>
    <col min="11266" max="11266" width="12.28515625" customWidth="1"/>
    <col min="11268" max="11268" width="10.140625" customWidth="1"/>
    <col min="11269" max="11271" width="11" customWidth="1"/>
    <col min="11272" max="11272" width="13" customWidth="1"/>
    <col min="11273" max="11273" width="8.7109375" customWidth="1"/>
    <col min="11276" max="11276" width="7.85546875" customWidth="1"/>
    <col min="11278" max="11278" width="9.140625" customWidth="1"/>
    <col min="11521" max="11521" width="30.42578125" customWidth="1"/>
    <col min="11522" max="11522" width="12.28515625" customWidth="1"/>
    <col min="11524" max="11524" width="10.140625" customWidth="1"/>
    <col min="11525" max="11527" width="11" customWidth="1"/>
    <col min="11528" max="11528" width="13" customWidth="1"/>
    <col min="11529" max="11529" width="8.7109375" customWidth="1"/>
    <col min="11532" max="11532" width="7.85546875" customWidth="1"/>
    <col min="11534" max="11534" width="9.140625" customWidth="1"/>
    <col min="11777" max="11777" width="30.42578125" customWidth="1"/>
    <col min="11778" max="11778" width="12.28515625" customWidth="1"/>
    <col min="11780" max="11780" width="10.140625" customWidth="1"/>
    <col min="11781" max="11783" width="11" customWidth="1"/>
    <col min="11784" max="11784" width="13" customWidth="1"/>
    <col min="11785" max="11785" width="8.7109375" customWidth="1"/>
    <col min="11788" max="11788" width="7.85546875" customWidth="1"/>
    <col min="11790" max="11790" width="9.140625" customWidth="1"/>
    <col min="12033" max="12033" width="30.42578125" customWidth="1"/>
    <col min="12034" max="12034" width="12.28515625" customWidth="1"/>
    <col min="12036" max="12036" width="10.140625" customWidth="1"/>
    <col min="12037" max="12039" width="11" customWidth="1"/>
    <col min="12040" max="12040" width="13" customWidth="1"/>
    <col min="12041" max="12041" width="8.7109375" customWidth="1"/>
    <col min="12044" max="12044" width="7.85546875" customWidth="1"/>
    <col min="12046" max="12046" width="9.140625" customWidth="1"/>
    <col min="12289" max="12289" width="30.42578125" customWidth="1"/>
    <col min="12290" max="12290" width="12.28515625" customWidth="1"/>
    <col min="12292" max="12292" width="10.140625" customWidth="1"/>
    <col min="12293" max="12295" width="11" customWidth="1"/>
    <col min="12296" max="12296" width="13" customWidth="1"/>
    <col min="12297" max="12297" width="8.7109375" customWidth="1"/>
    <col min="12300" max="12300" width="7.85546875" customWidth="1"/>
    <col min="12302" max="12302" width="9.140625" customWidth="1"/>
    <col min="12545" max="12545" width="30.42578125" customWidth="1"/>
    <col min="12546" max="12546" width="12.28515625" customWidth="1"/>
    <col min="12548" max="12548" width="10.140625" customWidth="1"/>
    <col min="12549" max="12551" width="11" customWidth="1"/>
    <col min="12552" max="12552" width="13" customWidth="1"/>
    <col min="12553" max="12553" width="8.7109375" customWidth="1"/>
    <col min="12556" max="12556" width="7.85546875" customWidth="1"/>
    <col min="12558" max="12558" width="9.140625" customWidth="1"/>
    <col min="12801" max="12801" width="30.42578125" customWidth="1"/>
    <col min="12802" max="12802" width="12.28515625" customWidth="1"/>
    <col min="12804" max="12804" width="10.140625" customWidth="1"/>
    <col min="12805" max="12807" width="11" customWidth="1"/>
    <col min="12808" max="12808" width="13" customWidth="1"/>
    <col min="12809" max="12809" width="8.7109375" customWidth="1"/>
    <col min="12812" max="12812" width="7.85546875" customWidth="1"/>
    <col min="12814" max="12814" width="9.140625" customWidth="1"/>
    <col min="13057" max="13057" width="30.42578125" customWidth="1"/>
    <col min="13058" max="13058" width="12.28515625" customWidth="1"/>
    <col min="13060" max="13060" width="10.140625" customWidth="1"/>
    <col min="13061" max="13063" width="11" customWidth="1"/>
    <col min="13064" max="13064" width="13" customWidth="1"/>
    <col min="13065" max="13065" width="8.7109375" customWidth="1"/>
    <col min="13068" max="13068" width="7.85546875" customWidth="1"/>
    <col min="13070" max="13070" width="9.140625" customWidth="1"/>
    <col min="13313" max="13313" width="30.42578125" customWidth="1"/>
    <col min="13314" max="13314" width="12.28515625" customWidth="1"/>
    <col min="13316" max="13316" width="10.140625" customWidth="1"/>
    <col min="13317" max="13319" width="11" customWidth="1"/>
    <col min="13320" max="13320" width="13" customWidth="1"/>
    <col min="13321" max="13321" width="8.7109375" customWidth="1"/>
    <col min="13324" max="13324" width="7.85546875" customWidth="1"/>
    <col min="13326" max="13326" width="9.140625" customWidth="1"/>
    <col min="13569" max="13569" width="30.42578125" customWidth="1"/>
    <col min="13570" max="13570" width="12.28515625" customWidth="1"/>
    <col min="13572" max="13572" width="10.140625" customWidth="1"/>
    <col min="13573" max="13575" width="11" customWidth="1"/>
    <col min="13576" max="13576" width="13" customWidth="1"/>
    <col min="13577" max="13577" width="8.7109375" customWidth="1"/>
    <col min="13580" max="13580" width="7.85546875" customWidth="1"/>
    <col min="13582" max="13582" width="9.140625" customWidth="1"/>
    <col min="13825" max="13825" width="30.42578125" customWidth="1"/>
    <col min="13826" max="13826" width="12.28515625" customWidth="1"/>
    <col min="13828" max="13828" width="10.140625" customWidth="1"/>
    <col min="13829" max="13831" width="11" customWidth="1"/>
    <col min="13832" max="13832" width="13" customWidth="1"/>
    <col min="13833" max="13833" width="8.7109375" customWidth="1"/>
    <col min="13836" max="13836" width="7.85546875" customWidth="1"/>
    <col min="13838" max="13838" width="9.140625" customWidth="1"/>
    <col min="14081" max="14081" width="30.42578125" customWidth="1"/>
    <col min="14082" max="14082" width="12.28515625" customWidth="1"/>
    <col min="14084" max="14084" width="10.140625" customWidth="1"/>
    <col min="14085" max="14087" width="11" customWidth="1"/>
    <col min="14088" max="14088" width="13" customWidth="1"/>
    <col min="14089" max="14089" width="8.7109375" customWidth="1"/>
    <col min="14092" max="14092" width="7.85546875" customWidth="1"/>
    <col min="14094" max="14094" width="9.140625" customWidth="1"/>
    <col min="14337" max="14337" width="30.42578125" customWidth="1"/>
    <col min="14338" max="14338" width="12.28515625" customWidth="1"/>
    <col min="14340" max="14340" width="10.140625" customWidth="1"/>
    <col min="14341" max="14343" width="11" customWidth="1"/>
    <col min="14344" max="14344" width="13" customWidth="1"/>
    <col min="14345" max="14345" width="8.7109375" customWidth="1"/>
    <col min="14348" max="14348" width="7.85546875" customWidth="1"/>
    <col min="14350" max="14350" width="9.140625" customWidth="1"/>
    <col min="14593" max="14593" width="30.42578125" customWidth="1"/>
    <col min="14594" max="14594" width="12.28515625" customWidth="1"/>
    <col min="14596" max="14596" width="10.140625" customWidth="1"/>
    <col min="14597" max="14599" width="11" customWidth="1"/>
    <col min="14600" max="14600" width="13" customWidth="1"/>
    <col min="14601" max="14601" width="8.7109375" customWidth="1"/>
    <col min="14604" max="14604" width="7.85546875" customWidth="1"/>
    <col min="14606" max="14606" width="9.140625" customWidth="1"/>
    <col min="14849" max="14849" width="30.42578125" customWidth="1"/>
    <col min="14850" max="14850" width="12.28515625" customWidth="1"/>
    <col min="14852" max="14852" width="10.140625" customWidth="1"/>
    <col min="14853" max="14855" width="11" customWidth="1"/>
    <col min="14856" max="14856" width="13" customWidth="1"/>
    <col min="14857" max="14857" width="8.7109375" customWidth="1"/>
    <col min="14860" max="14860" width="7.85546875" customWidth="1"/>
    <col min="14862" max="14862" width="9.140625" customWidth="1"/>
    <col min="15105" max="15105" width="30.42578125" customWidth="1"/>
    <col min="15106" max="15106" width="12.28515625" customWidth="1"/>
    <col min="15108" max="15108" width="10.140625" customWidth="1"/>
    <col min="15109" max="15111" width="11" customWidth="1"/>
    <col min="15112" max="15112" width="13" customWidth="1"/>
    <col min="15113" max="15113" width="8.7109375" customWidth="1"/>
    <col min="15116" max="15116" width="7.85546875" customWidth="1"/>
    <col min="15118" max="15118" width="9.140625" customWidth="1"/>
    <col min="15361" max="15361" width="30.42578125" customWidth="1"/>
    <col min="15362" max="15362" width="12.28515625" customWidth="1"/>
    <col min="15364" max="15364" width="10.140625" customWidth="1"/>
    <col min="15365" max="15367" width="11" customWidth="1"/>
    <col min="15368" max="15368" width="13" customWidth="1"/>
    <col min="15369" max="15369" width="8.7109375" customWidth="1"/>
    <col min="15372" max="15372" width="7.85546875" customWidth="1"/>
    <col min="15374" max="15374" width="9.140625" customWidth="1"/>
    <col min="15617" max="15617" width="30.42578125" customWidth="1"/>
    <col min="15618" max="15618" width="12.28515625" customWidth="1"/>
    <col min="15620" max="15620" width="10.140625" customWidth="1"/>
    <col min="15621" max="15623" width="11" customWidth="1"/>
    <col min="15624" max="15624" width="13" customWidth="1"/>
    <col min="15625" max="15625" width="8.7109375" customWidth="1"/>
    <col min="15628" max="15628" width="7.85546875" customWidth="1"/>
    <col min="15630" max="15630" width="9.140625" customWidth="1"/>
    <col min="15873" max="15873" width="30.42578125" customWidth="1"/>
    <col min="15874" max="15874" width="12.28515625" customWidth="1"/>
    <col min="15876" max="15876" width="10.140625" customWidth="1"/>
    <col min="15877" max="15879" width="11" customWidth="1"/>
    <col min="15880" max="15880" width="13" customWidth="1"/>
    <col min="15881" max="15881" width="8.7109375" customWidth="1"/>
    <col min="15884" max="15884" width="7.85546875" customWidth="1"/>
    <col min="15886" max="15886" width="9.140625" customWidth="1"/>
    <col min="16129" max="16129" width="30.42578125" customWidth="1"/>
    <col min="16130" max="16130" width="12.28515625" customWidth="1"/>
    <col min="16132" max="16132" width="10.140625" customWidth="1"/>
    <col min="16133" max="16135" width="11" customWidth="1"/>
    <col min="16136" max="16136" width="13" customWidth="1"/>
    <col min="16137" max="16137" width="8.7109375" customWidth="1"/>
    <col min="16140" max="16140" width="7.85546875" customWidth="1"/>
    <col min="16142" max="16142" width="9.140625" customWidth="1"/>
  </cols>
  <sheetData>
    <row r="1" spans="1:15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</row>
    <row r="2" spans="1:15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</row>
    <row r="4" spans="1:15">
      <c r="A4" s="46" t="s">
        <v>828</v>
      </c>
      <c r="B4" s="854" t="s">
        <v>5514</v>
      </c>
      <c r="C4" s="854"/>
      <c r="D4" s="854"/>
      <c r="E4" s="854" t="s">
        <v>830</v>
      </c>
      <c r="F4" s="854"/>
      <c r="G4" s="854"/>
      <c r="H4" s="854" t="s">
        <v>5515</v>
      </c>
      <c r="I4" s="854"/>
      <c r="J4" s="46" t="s">
        <v>5</v>
      </c>
      <c r="K4" s="46"/>
      <c r="L4" s="47">
        <v>516.29499999999996</v>
      </c>
      <c r="M4" s="46" t="s">
        <v>831</v>
      </c>
      <c r="N4" s="46"/>
      <c r="O4" s="47">
        <v>80</v>
      </c>
    </row>
    <row r="5" spans="1:15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>
      <c r="A6" s="46" t="s">
        <v>832</v>
      </c>
      <c r="B6" s="854" t="s">
        <v>5516</v>
      </c>
      <c r="C6" s="854"/>
      <c r="D6" s="854"/>
      <c r="E6" s="854" t="s">
        <v>176</v>
      </c>
      <c r="F6" s="854"/>
      <c r="G6" s="854"/>
      <c r="H6" s="854" t="s">
        <v>5517</v>
      </c>
      <c r="I6" s="854"/>
      <c r="J6" s="854"/>
      <c r="K6" s="46"/>
      <c r="L6" s="46"/>
      <c r="M6" s="46"/>
      <c r="N6" s="46"/>
      <c r="O6" s="46"/>
    </row>
    <row r="7" spans="1: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</row>
    <row r="8" spans="1:15" ht="23.25" customHeight="1">
      <c r="A8" s="46" t="s">
        <v>835</v>
      </c>
      <c r="B8" s="854" t="s">
        <v>5518</v>
      </c>
      <c r="C8" s="854"/>
      <c r="D8" s="854"/>
      <c r="E8" s="967" t="s">
        <v>5519</v>
      </c>
      <c r="F8" s="989"/>
      <c r="G8" s="940"/>
      <c r="H8" s="843" t="s">
        <v>5520</v>
      </c>
      <c r="I8" s="870"/>
      <c r="J8" s="870"/>
      <c r="K8" s="870"/>
      <c r="L8" s="844"/>
      <c r="M8" s="46"/>
      <c r="N8" s="46"/>
      <c r="O8" s="46"/>
    </row>
    <row r="9" spans="1:15">
      <c r="A9" s="46"/>
      <c r="B9" s="46"/>
      <c r="C9" s="46"/>
      <c r="D9" s="46"/>
      <c r="E9" s="46"/>
      <c r="F9" s="46"/>
      <c r="G9" s="46"/>
      <c r="H9" s="48"/>
      <c r="I9" s="48"/>
      <c r="J9" s="48"/>
      <c r="K9" s="48"/>
      <c r="L9" s="48"/>
      <c r="M9" s="46"/>
      <c r="N9" s="46"/>
      <c r="O9" s="46"/>
    </row>
    <row r="10" spans="1:1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15">
      <c r="A11" s="47" t="s">
        <v>838</v>
      </c>
      <c r="B11" s="854" t="s">
        <v>5521</v>
      </c>
      <c r="C11" s="854"/>
      <c r="D11" s="854" t="s">
        <v>5522</v>
      </c>
      <c r="E11" s="854"/>
      <c r="F11" s="854"/>
      <c r="G11" s="854"/>
      <c r="H11" s="854" t="s">
        <v>5523</v>
      </c>
      <c r="I11" s="854"/>
      <c r="J11" s="854"/>
      <c r="K11" s="854" t="s">
        <v>5524</v>
      </c>
      <c r="L11" s="854"/>
      <c r="M11" s="854"/>
      <c r="N11" s="854"/>
      <c r="O11" s="46"/>
    </row>
    <row r="12" spans="1:15">
      <c r="A12" s="47" t="s">
        <v>840</v>
      </c>
      <c r="B12" s="854" t="s">
        <v>5525</v>
      </c>
      <c r="C12" s="854"/>
      <c r="D12" s="854" t="s">
        <v>5526</v>
      </c>
      <c r="E12" s="854"/>
      <c r="F12" s="854"/>
      <c r="G12" s="854"/>
      <c r="H12" s="854" t="s">
        <v>5527</v>
      </c>
      <c r="I12" s="854"/>
      <c r="J12" s="854"/>
      <c r="K12" s="854" t="s">
        <v>5528</v>
      </c>
      <c r="L12" s="854"/>
      <c r="M12" s="854"/>
      <c r="N12" s="854"/>
      <c r="O12" s="46"/>
    </row>
    <row r="13" spans="1:15">
      <c r="A13" s="47" t="s">
        <v>844</v>
      </c>
      <c r="B13" s="843" t="s">
        <v>1231</v>
      </c>
      <c r="C13" s="870"/>
      <c r="D13" s="843" t="s">
        <v>5529</v>
      </c>
      <c r="E13" s="870"/>
      <c r="F13" s="870"/>
      <c r="G13" s="844"/>
      <c r="H13" s="854" t="s">
        <v>5530</v>
      </c>
      <c r="I13" s="854"/>
      <c r="J13" s="854"/>
      <c r="K13" s="854" t="s">
        <v>797</v>
      </c>
      <c r="L13" s="854"/>
      <c r="M13" s="854"/>
      <c r="N13" s="854"/>
      <c r="O13" s="46"/>
    </row>
    <row r="14" spans="1:15">
      <c r="A14" s="47"/>
      <c r="B14" s="843" t="s">
        <v>5531</v>
      </c>
      <c r="C14" s="870"/>
      <c r="D14" s="520"/>
      <c r="E14" s="525"/>
      <c r="F14" s="525"/>
      <c r="G14" s="521"/>
      <c r="H14" s="522"/>
      <c r="I14" s="522"/>
      <c r="J14" s="522"/>
      <c r="K14" s="522"/>
      <c r="L14" s="522"/>
      <c r="M14" s="522"/>
      <c r="N14" s="522"/>
      <c r="O14" s="46"/>
    </row>
    <row r="15" spans="1:15">
      <c r="A15" s="47" t="s">
        <v>850</v>
      </c>
      <c r="B15" s="854"/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4"/>
      <c r="N15" s="854"/>
      <c r="O15" s="46"/>
    </row>
    <row r="16" spans="1:1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</row>
    <row r="17" spans="1:15">
      <c r="A17" s="46" t="s">
        <v>852</v>
      </c>
      <c r="B17" s="47">
        <v>6</v>
      </c>
      <c r="C17" s="46" t="s">
        <v>853</v>
      </c>
      <c r="D17" s="46"/>
      <c r="E17" s="522">
        <v>6</v>
      </c>
      <c r="F17" s="540"/>
      <c r="H17" s="46" t="s">
        <v>643</v>
      </c>
      <c r="I17" s="522">
        <v>13</v>
      </c>
      <c r="J17" s="46" t="s">
        <v>644</v>
      </c>
      <c r="K17" s="47">
        <v>4</v>
      </c>
      <c r="L17" s="46" t="s">
        <v>645</v>
      </c>
      <c r="M17" s="47"/>
      <c r="N17" s="46"/>
      <c r="O17" s="46"/>
    </row>
    <row r="18" spans="1:1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</row>
    <row r="20" spans="1:15">
      <c r="A20" s="46" t="s">
        <v>854</v>
      </c>
      <c r="B20" s="46" t="s">
        <v>204</v>
      </c>
      <c r="C20" s="47">
        <v>194</v>
      </c>
      <c r="D20" s="46" t="s">
        <v>205</v>
      </c>
      <c r="E20" s="47"/>
      <c r="F20" s="84"/>
      <c r="G20" s="49" t="s">
        <v>206</v>
      </c>
      <c r="H20" s="47"/>
      <c r="I20" s="46" t="s">
        <v>230</v>
      </c>
      <c r="J20" s="47">
        <v>194</v>
      </c>
      <c r="K20" s="46" t="s">
        <v>207</v>
      </c>
      <c r="L20" s="47">
        <v>117</v>
      </c>
      <c r="M20" s="46" t="s">
        <v>855</v>
      </c>
      <c r="N20" s="46"/>
      <c r="O20" s="47"/>
    </row>
    <row r="21" spans="1:15">
      <c r="A21" s="46" t="s">
        <v>209</v>
      </c>
      <c r="B21" s="46" t="s">
        <v>210</v>
      </c>
      <c r="C21" s="47">
        <v>550</v>
      </c>
      <c r="D21" s="46" t="s">
        <v>211</v>
      </c>
      <c r="E21" s="47"/>
      <c r="F21" s="84"/>
      <c r="G21" s="49" t="s">
        <v>212</v>
      </c>
      <c r="H21" s="47"/>
      <c r="I21" s="46" t="s">
        <v>411</v>
      </c>
      <c r="J21" s="47">
        <v>550</v>
      </c>
      <c r="K21" s="46"/>
      <c r="L21" s="46"/>
      <c r="M21" s="46"/>
      <c r="N21" s="46"/>
      <c r="O21" s="46"/>
    </row>
    <row r="22" spans="1:15">
      <c r="A22" s="46"/>
      <c r="B22" s="46" t="s">
        <v>858</v>
      </c>
      <c r="C22" s="47">
        <v>536</v>
      </c>
      <c r="D22" s="46" t="s">
        <v>214</v>
      </c>
      <c r="E22" s="47"/>
      <c r="F22" s="84"/>
      <c r="G22" s="46" t="s">
        <v>215</v>
      </c>
      <c r="H22" s="47"/>
      <c r="I22" s="46" t="s">
        <v>410</v>
      </c>
      <c r="J22" s="47">
        <v>536</v>
      </c>
      <c r="K22" s="46"/>
      <c r="L22" s="46"/>
      <c r="M22" s="46"/>
      <c r="N22" s="46"/>
      <c r="O22" s="46"/>
    </row>
    <row r="23" spans="1:1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</row>
    <row r="24" spans="1:15">
      <c r="A24" s="50" t="s">
        <v>216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</row>
    <row r="25" spans="1:15" ht="30" customHeight="1">
      <c r="A25" s="1152" t="s">
        <v>861</v>
      </c>
      <c r="B25" s="1153" t="s">
        <v>5532</v>
      </c>
      <c r="C25" s="1153" t="s">
        <v>219</v>
      </c>
      <c r="D25" s="1153" t="s">
        <v>863</v>
      </c>
      <c r="E25" s="1153" t="s">
        <v>864</v>
      </c>
      <c r="F25" s="555"/>
      <c r="G25" s="1151" t="s">
        <v>865</v>
      </c>
      <c r="H25" s="1151"/>
      <c r="I25" s="1151"/>
      <c r="J25" s="1151"/>
      <c r="K25" s="1151"/>
      <c r="L25" s="1151"/>
      <c r="M25" s="1151"/>
      <c r="N25" s="1151"/>
      <c r="O25" s="1151"/>
    </row>
    <row r="26" spans="1:15" ht="19.5" customHeight="1">
      <c r="A26" s="1152"/>
      <c r="B26" s="1153"/>
      <c r="C26" s="1153"/>
      <c r="D26" s="1153"/>
      <c r="E26" s="1153"/>
      <c r="F26" s="490" t="s">
        <v>1180</v>
      </c>
      <c r="G26" s="490" t="s">
        <v>1179</v>
      </c>
      <c r="H26" s="490" t="s">
        <v>1178</v>
      </c>
      <c r="I26" s="490">
        <v>3</v>
      </c>
      <c r="J26" s="490">
        <v>4</v>
      </c>
      <c r="K26" s="490">
        <v>5</v>
      </c>
      <c r="L26" s="490">
        <v>6</v>
      </c>
      <c r="M26" s="490">
        <v>7</v>
      </c>
      <c r="N26" s="491" t="s">
        <v>230</v>
      </c>
      <c r="O26" s="491" t="s">
        <v>662</v>
      </c>
    </row>
    <row r="27" spans="1:15">
      <c r="A27" s="491" t="s">
        <v>232</v>
      </c>
      <c r="B27" s="491">
        <v>8000</v>
      </c>
      <c r="C27" s="492" t="s">
        <v>873</v>
      </c>
      <c r="D27" s="493">
        <f>+B27*L4/100000</f>
        <v>41.303599999999996</v>
      </c>
      <c r="E27" s="494">
        <f>1530000/100000</f>
        <v>15.3</v>
      </c>
      <c r="F27" s="494"/>
      <c r="G27" s="495">
        <f>300210/100000</f>
        <v>3.0021</v>
      </c>
      <c r="H27" s="495">
        <f>848010/100000</f>
        <v>8.4801000000000002</v>
      </c>
      <c r="I27" s="495"/>
      <c r="J27" s="495"/>
      <c r="K27" s="495"/>
      <c r="L27" s="495"/>
      <c r="M27" s="495"/>
      <c r="N27" s="494">
        <f>+G27+H27</f>
        <v>11.482200000000001</v>
      </c>
      <c r="O27" s="495">
        <f>+N27*100/E27</f>
        <v>75.047058823529412</v>
      </c>
    </row>
    <row r="28" spans="1:15">
      <c r="A28" s="491" t="s">
        <v>874</v>
      </c>
      <c r="B28" s="491">
        <v>7000</v>
      </c>
      <c r="C28" s="492" t="s">
        <v>873</v>
      </c>
      <c r="D28" s="495">
        <f>80*B28/100000</f>
        <v>5.6</v>
      </c>
      <c r="E28" s="495">
        <v>0</v>
      </c>
      <c r="F28" s="495"/>
      <c r="G28" s="495">
        <v>0</v>
      </c>
      <c r="H28" s="495">
        <v>0</v>
      </c>
      <c r="I28" s="495"/>
      <c r="J28" s="495"/>
      <c r="K28" s="495"/>
      <c r="L28" s="495"/>
      <c r="M28" s="495"/>
      <c r="N28" s="495">
        <f t="shared" ref="N28:N35" si="0">+G28+H28</f>
        <v>0</v>
      </c>
      <c r="O28" s="495">
        <v>0</v>
      </c>
    </row>
    <row r="29" spans="1:15">
      <c r="A29" s="491" t="s">
        <v>235</v>
      </c>
      <c r="B29" s="491">
        <v>43000</v>
      </c>
      <c r="C29" s="496" t="s">
        <v>236</v>
      </c>
      <c r="D29" s="495">
        <v>0.43</v>
      </c>
      <c r="E29" s="494">
        <f>35000/100000</f>
        <v>0.35</v>
      </c>
      <c r="F29" s="494"/>
      <c r="G29" s="495">
        <f>5440/100000</f>
        <v>5.4399999999999997E-2</v>
      </c>
      <c r="H29" s="495">
        <f>26460/100000</f>
        <v>0.2646</v>
      </c>
      <c r="I29" s="495"/>
      <c r="J29" s="495"/>
      <c r="K29" s="495"/>
      <c r="L29" s="495"/>
      <c r="M29" s="495"/>
      <c r="N29" s="494">
        <f t="shared" si="0"/>
        <v>0.31900000000000001</v>
      </c>
      <c r="O29" s="495">
        <f t="shared" ref="O29:O36" si="1">+N29*100/E29</f>
        <v>91.142857142857153</v>
      </c>
    </row>
    <row r="30" spans="1:15">
      <c r="A30" s="491" t="s">
        <v>875</v>
      </c>
      <c r="B30" s="491">
        <v>34000</v>
      </c>
      <c r="C30" s="496" t="s">
        <v>236</v>
      </c>
      <c r="D30" s="495">
        <v>0.34</v>
      </c>
      <c r="E30" s="494">
        <f>16000/100000</f>
        <v>0.16</v>
      </c>
      <c r="F30" s="494"/>
      <c r="G30" s="495">
        <f>16000/100000</f>
        <v>0.16</v>
      </c>
      <c r="H30" s="495">
        <v>0</v>
      </c>
      <c r="I30" s="495"/>
      <c r="J30" s="495"/>
      <c r="K30" s="495"/>
      <c r="L30" s="495"/>
      <c r="M30" s="495"/>
      <c r="N30" s="494">
        <f t="shared" si="0"/>
        <v>0.16</v>
      </c>
      <c r="O30" s="495">
        <f t="shared" si="1"/>
        <v>100</v>
      </c>
    </row>
    <row r="31" spans="1:15">
      <c r="A31" s="491" t="s">
        <v>238</v>
      </c>
      <c r="B31" s="491">
        <v>1200</v>
      </c>
      <c r="C31" s="492" t="s">
        <v>873</v>
      </c>
      <c r="D31" s="495">
        <f>+B31*L4/100000</f>
        <v>6.1955400000000003</v>
      </c>
      <c r="E31" s="494">
        <f>200000/100000</f>
        <v>2</v>
      </c>
      <c r="F31" s="494"/>
      <c r="G31" s="495">
        <v>0</v>
      </c>
      <c r="H31" s="495">
        <f>50000/100000</f>
        <v>0.5</v>
      </c>
      <c r="I31" s="495"/>
      <c r="J31" s="495"/>
      <c r="K31" s="495"/>
      <c r="L31" s="495"/>
      <c r="M31" s="495"/>
      <c r="N31" s="494">
        <f t="shared" si="0"/>
        <v>0.5</v>
      </c>
      <c r="O31" s="495">
        <f t="shared" si="1"/>
        <v>25</v>
      </c>
    </row>
    <row r="32" spans="1:15">
      <c r="A32" s="491" t="s">
        <v>667</v>
      </c>
      <c r="B32" s="491">
        <v>565</v>
      </c>
      <c r="C32" s="492" t="s">
        <v>873</v>
      </c>
      <c r="D32" s="495">
        <f>+B32*L4/100000</f>
        <v>2.91706675</v>
      </c>
      <c r="E32" s="497">
        <f>283856/100000</f>
        <v>2.8385600000000002</v>
      </c>
      <c r="F32" s="497"/>
      <c r="G32" s="495">
        <f>283856/100000</f>
        <v>2.8385600000000002</v>
      </c>
      <c r="H32" s="495">
        <v>0</v>
      </c>
      <c r="I32" s="495"/>
      <c r="J32" s="495"/>
      <c r="K32" s="495"/>
      <c r="L32" s="495"/>
      <c r="M32" s="495"/>
      <c r="N32" s="494">
        <f t="shared" si="0"/>
        <v>2.8385600000000002</v>
      </c>
      <c r="O32" s="495">
        <f t="shared" si="1"/>
        <v>99.999999999999986</v>
      </c>
    </row>
    <row r="33" spans="1:15">
      <c r="A33" s="491" t="s">
        <v>876</v>
      </c>
      <c r="B33" s="491">
        <v>1000</v>
      </c>
      <c r="C33" s="492" t="s">
        <v>873</v>
      </c>
      <c r="D33" s="495">
        <f>+B33*L4/100000</f>
        <v>5.1629499999999995</v>
      </c>
      <c r="E33" s="495">
        <v>0</v>
      </c>
      <c r="F33" s="495"/>
      <c r="G33" s="495">
        <v>0</v>
      </c>
      <c r="H33" s="495">
        <v>0</v>
      </c>
      <c r="I33" s="495"/>
      <c r="J33" s="495"/>
      <c r="K33" s="495"/>
      <c r="L33" s="495"/>
      <c r="M33" s="495"/>
      <c r="N33" s="495">
        <f t="shared" si="0"/>
        <v>0</v>
      </c>
      <c r="O33" s="495">
        <v>0</v>
      </c>
    </row>
    <row r="34" spans="1:15">
      <c r="A34" s="491" t="s">
        <v>394</v>
      </c>
      <c r="B34" s="491">
        <v>2750</v>
      </c>
      <c r="C34" s="496" t="s">
        <v>877</v>
      </c>
      <c r="D34" s="94">
        <f>66000/100000+1.687</f>
        <v>2.347</v>
      </c>
      <c r="E34" s="494">
        <f>66000/100000</f>
        <v>0.66</v>
      </c>
      <c r="F34" s="494"/>
      <c r="G34" s="495">
        <f>24500/100000</f>
        <v>0.245</v>
      </c>
      <c r="H34" s="495">
        <f>41500/100000</f>
        <v>0.41499999999999998</v>
      </c>
      <c r="I34" s="495"/>
      <c r="J34" s="495"/>
      <c r="K34" s="495"/>
      <c r="L34" s="495"/>
      <c r="M34" s="495"/>
      <c r="N34" s="494">
        <f t="shared" si="0"/>
        <v>0.65999999999999992</v>
      </c>
      <c r="O34" s="495">
        <f t="shared" si="1"/>
        <v>99.999999999999972</v>
      </c>
    </row>
    <row r="35" spans="1:15">
      <c r="A35" s="498" t="s">
        <v>670</v>
      </c>
      <c r="B35" s="499">
        <v>2000</v>
      </c>
      <c r="C35" s="500" t="s">
        <v>244</v>
      </c>
      <c r="D35" s="494">
        <v>0.1</v>
      </c>
      <c r="E35" s="501">
        <v>0.1</v>
      </c>
      <c r="F35" s="494"/>
      <c r="G35" s="495">
        <v>0</v>
      </c>
      <c r="H35" s="501">
        <v>0.1</v>
      </c>
      <c r="I35" s="495"/>
      <c r="J35" s="495"/>
      <c r="K35" s="495"/>
      <c r="L35" s="495"/>
      <c r="M35" s="495"/>
      <c r="N35" s="494">
        <f t="shared" si="0"/>
        <v>0.1</v>
      </c>
      <c r="O35" s="495">
        <f t="shared" si="1"/>
        <v>100</v>
      </c>
    </row>
    <row r="36" spans="1:15">
      <c r="A36" s="69" t="s">
        <v>230</v>
      </c>
      <c r="B36" s="70"/>
      <c r="C36" s="70"/>
      <c r="D36" s="88">
        <f>SUM(D27:D35)</f>
        <v>64.396156750000003</v>
      </c>
      <c r="E36" s="88">
        <f t="shared" ref="E36:N36" si="2">SUM(E27:E35)</f>
        <v>21.408560000000005</v>
      </c>
      <c r="F36" s="88">
        <f t="shared" si="2"/>
        <v>0</v>
      </c>
      <c r="G36" s="88">
        <f t="shared" si="2"/>
        <v>6.3000600000000002</v>
      </c>
      <c r="H36" s="88">
        <f t="shared" si="2"/>
        <v>9.7596999999999987</v>
      </c>
      <c r="I36" s="88">
        <f t="shared" si="2"/>
        <v>0</v>
      </c>
      <c r="J36" s="88">
        <f t="shared" si="2"/>
        <v>0</v>
      </c>
      <c r="K36" s="88">
        <f t="shared" si="2"/>
        <v>0</v>
      </c>
      <c r="L36" s="88">
        <f t="shared" si="2"/>
        <v>0</v>
      </c>
      <c r="M36" s="88">
        <f t="shared" si="2"/>
        <v>0</v>
      </c>
      <c r="N36" s="88">
        <f t="shared" si="2"/>
        <v>16.059760000000004</v>
      </c>
      <c r="O36" s="348">
        <f t="shared" si="1"/>
        <v>75.015601236141052</v>
      </c>
    </row>
  </sheetData>
  <mergeCells count="35">
    <mergeCell ref="B6:D6"/>
    <mergeCell ref="E6:G6"/>
    <mergeCell ref="H6:J6"/>
    <mergeCell ref="A1:O1"/>
    <mergeCell ref="A2:O2"/>
    <mergeCell ref="B4:D4"/>
    <mergeCell ref="E4:G4"/>
    <mergeCell ref="H4:I4"/>
    <mergeCell ref="A5:C5"/>
    <mergeCell ref="B8:D8"/>
    <mergeCell ref="E8:G8"/>
    <mergeCell ref="H8:L8"/>
    <mergeCell ref="B11:C11"/>
    <mergeCell ref="D11:G11"/>
    <mergeCell ref="H11:J11"/>
    <mergeCell ref="K11:N11"/>
    <mergeCell ref="B12:C12"/>
    <mergeCell ref="D12:G12"/>
    <mergeCell ref="H12:J12"/>
    <mergeCell ref="K12:N12"/>
    <mergeCell ref="B13:C13"/>
    <mergeCell ref="D13:G13"/>
    <mergeCell ref="H13:J13"/>
    <mergeCell ref="K13:N13"/>
    <mergeCell ref="A25:A26"/>
    <mergeCell ref="B25:B26"/>
    <mergeCell ref="C25:C26"/>
    <mergeCell ref="D25:D26"/>
    <mergeCell ref="E25:E26"/>
    <mergeCell ref="G25:O25"/>
    <mergeCell ref="B14:C14"/>
    <mergeCell ref="B15:C15"/>
    <mergeCell ref="D15:G15"/>
    <mergeCell ref="H15:J15"/>
    <mergeCell ref="K15:N15"/>
  </mergeCells>
  <hyperlinks>
    <hyperlink ref="A5" location="'Fact Sheet of VDC'!A1" display="&lt;&lt;Back"/>
  </hyperlinks>
  <pageMargins left="0.7" right="0.7" top="0.75" bottom="0.75" header="0.3" footer="0.3"/>
  <pageSetup paperSize="9" scale="70" orientation="landscape" r:id="rId1"/>
</worksheet>
</file>

<file path=xl/worksheets/sheet182.xml><?xml version="1.0" encoding="utf-8"?>
<worksheet xmlns="http://schemas.openxmlformats.org/spreadsheetml/2006/main" xmlns:r="http://schemas.openxmlformats.org/officeDocument/2006/relationships">
  <dimension ref="A1:O35"/>
  <sheetViews>
    <sheetView workbookViewId="0">
      <selection activeCell="A5" sqref="A5:C5"/>
    </sheetView>
  </sheetViews>
  <sheetFormatPr defaultRowHeight="15"/>
  <cols>
    <col min="1" max="1" width="30.42578125" customWidth="1"/>
    <col min="2" max="2" width="12.5703125" customWidth="1"/>
    <col min="3" max="3" width="11.42578125" customWidth="1"/>
    <col min="4" max="4" width="13.28515625" bestFit="1" customWidth="1"/>
    <col min="5" max="5" width="14" bestFit="1" customWidth="1"/>
    <col min="6" max="6" width="9.5703125" customWidth="1"/>
    <col min="7" max="7" width="11" customWidth="1"/>
    <col min="8" max="8" width="9.85546875" bestFit="1" customWidth="1"/>
    <col min="9" max="9" width="9.28515625" customWidth="1"/>
    <col min="12" max="12" width="7.85546875" customWidth="1"/>
    <col min="14" max="14" width="12.28515625" customWidth="1"/>
    <col min="15" max="15" width="11.42578125" customWidth="1"/>
    <col min="257" max="257" width="30.42578125" customWidth="1"/>
    <col min="258" max="258" width="12.5703125" customWidth="1"/>
    <col min="259" max="259" width="11.42578125" customWidth="1"/>
    <col min="260" max="260" width="13.28515625" bestFit="1" customWidth="1"/>
    <col min="261" max="261" width="14" bestFit="1" customWidth="1"/>
    <col min="262" max="262" width="9.5703125" customWidth="1"/>
    <col min="263" max="263" width="11" customWidth="1"/>
    <col min="264" max="264" width="9.85546875" bestFit="1" customWidth="1"/>
    <col min="265" max="265" width="9.28515625" customWidth="1"/>
    <col min="268" max="268" width="7.85546875" customWidth="1"/>
    <col min="270" max="270" width="12.28515625" customWidth="1"/>
    <col min="271" max="271" width="11.42578125" customWidth="1"/>
    <col min="513" max="513" width="30.42578125" customWidth="1"/>
    <col min="514" max="514" width="12.5703125" customWidth="1"/>
    <col min="515" max="515" width="11.42578125" customWidth="1"/>
    <col min="516" max="516" width="13.28515625" bestFit="1" customWidth="1"/>
    <col min="517" max="517" width="14" bestFit="1" customWidth="1"/>
    <col min="518" max="518" width="9.5703125" customWidth="1"/>
    <col min="519" max="519" width="11" customWidth="1"/>
    <col min="520" max="520" width="9.85546875" bestFit="1" customWidth="1"/>
    <col min="521" max="521" width="9.28515625" customWidth="1"/>
    <col min="524" max="524" width="7.85546875" customWidth="1"/>
    <col min="526" max="526" width="12.28515625" customWidth="1"/>
    <col min="527" max="527" width="11.42578125" customWidth="1"/>
    <col min="769" max="769" width="30.42578125" customWidth="1"/>
    <col min="770" max="770" width="12.5703125" customWidth="1"/>
    <col min="771" max="771" width="11.42578125" customWidth="1"/>
    <col min="772" max="772" width="13.28515625" bestFit="1" customWidth="1"/>
    <col min="773" max="773" width="14" bestFit="1" customWidth="1"/>
    <col min="774" max="774" width="9.5703125" customWidth="1"/>
    <col min="775" max="775" width="11" customWidth="1"/>
    <col min="776" max="776" width="9.85546875" bestFit="1" customWidth="1"/>
    <col min="777" max="777" width="9.28515625" customWidth="1"/>
    <col min="780" max="780" width="7.85546875" customWidth="1"/>
    <col min="782" max="782" width="12.28515625" customWidth="1"/>
    <col min="783" max="783" width="11.42578125" customWidth="1"/>
    <col min="1025" max="1025" width="30.42578125" customWidth="1"/>
    <col min="1026" max="1026" width="12.5703125" customWidth="1"/>
    <col min="1027" max="1027" width="11.42578125" customWidth="1"/>
    <col min="1028" max="1028" width="13.28515625" bestFit="1" customWidth="1"/>
    <col min="1029" max="1029" width="14" bestFit="1" customWidth="1"/>
    <col min="1030" max="1030" width="9.5703125" customWidth="1"/>
    <col min="1031" max="1031" width="11" customWidth="1"/>
    <col min="1032" max="1032" width="9.85546875" bestFit="1" customWidth="1"/>
    <col min="1033" max="1033" width="9.28515625" customWidth="1"/>
    <col min="1036" max="1036" width="7.85546875" customWidth="1"/>
    <col min="1038" max="1038" width="12.28515625" customWidth="1"/>
    <col min="1039" max="1039" width="11.42578125" customWidth="1"/>
    <col min="1281" max="1281" width="30.42578125" customWidth="1"/>
    <col min="1282" max="1282" width="12.5703125" customWidth="1"/>
    <col min="1283" max="1283" width="11.42578125" customWidth="1"/>
    <col min="1284" max="1284" width="13.28515625" bestFit="1" customWidth="1"/>
    <col min="1285" max="1285" width="14" bestFit="1" customWidth="1"/>
    <col min="1286" max="1286" width="9.5703125" customWidth="1"/>
    <col min="1287" max="1287" width="11" customWidth="1"/>
    <col min="1288" max="1288" width="9.85546875" bestFit="1" customWidth="1"/>
    <col min="1289" max="1289" width="9.28515625" customWidth="1"/>
    <col min="1292" max="1292" width="7.85546875" customWidth="1"/>
    <col min="1294" max="1294" width="12.28515625" customWidth="1"/>
    <col min="1295" max="1295" width="11.42578125" customWidth="1"/>
    <col min="1537" max="1537" width="30.42578125" customWidth="1"/>
    <col min="1538" max="1538" width="12.5703125" customWidth="1"/>
    <col min="1539" max="1539" width="11.42578125" customWidth="1"/>
    <col min="1540" max="1540" width="13.28515625" bestFit="1" customWidth="1"/>
    <col min="1541" max="1541" width="14" bestFit="1" customWidth="1"/>
    <col min="1542" max="1542" width="9.5703125" customWidth="1"/>
    <col min="1543" max="1543" width="11" customWidth="1"/>
    <col min="1544" max="1544" width="9.85546875" bestFit="1" customWidth="1"/>
    <col min="1545" max="1545" width="9.28515625" customWidth="1"/>
    <col min="1548" max="1548" width="7.85546875" customWidth="1"/>
    <col min="1550" max="1550" width="12.28515625" customWidth="1"/>
    <col min="1551" max="1551" width="11.42578125" customWidth="1"/>
    <col min="1793" max="1793" width="30.42578125" customWidth="1"/>
    <col min="1794" max="1794" width="12.5703125" customWidth="1"/>
    <col min="1795" max="1795" width="11.42578125" customWidth="1"/>
    <col min="1796" max="1796" width="13.28515625" bestFit="1" customWidth="1"/>
    <col min="1797" max="1797" width="14" bestFit="1" customWidth="1"/>
    <col min="1798" max="1798" width="9.5703125" customWidth="1"/>
    <col min="1799" max="1799" width="11" customWidth="1"/>
    <col min="1800" max="1800" width="9.85546875" bestFit="1" customWidth="1"/>
    <col min="1801" max="1801" width="9.28515625" customWidth="1"/>
    <col min="1804" max="1804" width="7.85546875" customWidth="1"/>
    <col min="1806" max="1806" width="12.28515625" customWidth="1"/>
    <col min="1807" max="1807" width="11.42578125" customWidth="1"/>
    <col min="2049" max="2049" width="30.42578125" customWidth="1"/>
    <col min="2050" max="2050" width="12.5703125" customWidth="1"/>
    <col min="2051" max="2051" width="11.42578125" customWidth="1"/>
    <col min="2052" max="2052" width="13.28515625" bestFit="1" customWidth="1"/>
    <col min="2053" max="2053" width="14" bestFit="1" customWidth="1"/>
    <col min="2054" max="2054" width="9.5703125" customWidth="1"/>
    <col min="2055" max="2055" width="11" customWidth="1"/>
    <col min="2056" max="2056" width="9.85546875" bestFit="1" customWidth="1"/>
    <col min="2057" max="2057" width="9.28515625" customWidth="1"/>
    <col min="2060" max="2060" width="7.85546875" customWidth="1"/>
    <col min="2062" max="2062" width="12.28515625" customWidth="1"/>
    <col min="2063" max="2063" width="11.42578125" customWidth="1"/>
    <col min="2305" max="2305" width="30.42578125" customWidth="1"/>
    <col min="2306" max="2306" width="12.5703125" customWidth="1"/>
    <col min="2307" max="2307" width="11.42578125" customWidth="1"/>
    <col min="2308" max="2308" width="13.28515625" bestFit="1" customWidth="1"/>
    <col min="2309" max="2309" width="14" bestFit="1" customWidth="1"/>
    <col min="2310" max="2310" width="9.5703125" customWidth="1"/>
    <col min="2311" max="2311" width="11" customWidth="1"/>
    <col min="2312" max="2312" width="9.85546875" bestFit="1" customWidth="1"/>
    <col min="2313" max="2313" width="9.28515625" customWidth="1"/>
    <col min="2316" max="2316" width="7.85546875" customWidth="1"/>
    <col min="2318" max="2318" width="12.28515625" customWidth="1"/>
    <col min="2319" max="2319" width="11.42578125" customWidth="1"/>
    <col min="2561" max="2561" width="30.42578125" customWidth="1"/>
    <col min="2562" max="2562" width="12.5703125" customWidth="1"/>
    <col min="2563" max="2563" width="11.42578125" customWidth="1"/>
    <col min="2564" max="2564" width="13.28515625" bestFit="1" customWidth="1"/>
    <col min="2565" max="2565" width="14" bestFit="1" customWidth="1"/>
    <col min="2566" max="2566" width="9.5703125" customWidth="1"/>
    <col min="2567" max="2567" width="11" customWidth="1"/>
    <col min="2568" max="2568" width="9.85546875" bestFit="1" customWidth="1"/>
    <col min="2569" max="2569" width="9.28515625" customWidth="1"/>
    <col min="2572" max="2572" width="7.85546875" customWidth="1"/>
    <col min="2574" max="2574" width="12.28515625" customWidth="1"/>
    <col min="2575" max="2575" width="11.42578125" customWidth="1"/>
    <col min="2817" max="2817" width="30.42578125" customWidth="1"/>
    <col min="2818" max="2818" width="12.5703125" customWidth="1"/>
    <col min="2819" max="2819" width="11.42578125" customWidth="1"/>
    <col min="2820" max="2820" width="13.28515625" bestFit="1" customWidth="1"/>
    <col min="2821" max="2821" width="14" bestFit="1" customWidth="1"/>
    <col min="2822" max="2822" width="9.5703125" customWidth="1"/>
    <col min="2823" max="2823" width="11" customWidth="1"/>
    <col min="2824" max="2824" width="9.85546875" bestFit="1" customWidth="1"/>
    <col min="2825" max="2825" width="9.28515625" customWidth="1"/>
    <col min="2828" max="2828" width="7.85546875" customWidth="1"/>
    <col min="2830" max="2830" width="12.28515625" customWidth="1"/>
    <col min="2831" max="2831" width="11.42578125" customWidth="1"/>
    <col min="3073" max="3073" width="30.42578125" customWidth="1"/>
    <col min="3074" max="3074" width="12.5703125" customWidth="1"/>
    <col min="3075" max="3075" width="11.42578125" customWidth="1"/>
    <col min="3076" max="3076" width="13.28515625" bestFit="1" customWidth="1"/>
    <col min="3077" max="3077" width="14" bestFit="1" customWidth="1"/>
    <col min="3078" max="3078" width="9.5703125" customWidth="1"/>
    <col min="3079" max="3079" width="11" customWidth="1"/>
    <col min="3080" max="3080" width="9.85546875" bestFit="1" customWidth="1"/>
    <col min="3081" max="3081" width="9.28515625" customWidth="1"/>
    <col min="3084" max="3084" width="7.85546875" customWidth="1"/>
    <col min="3086" max="3086" width="12.28515625" customWidth="1"/>
    <col min="3087" max="3087" width="11.42578125" customWidth="1"/>
    <col min="3329" max="3329" width="30.42578125" customWidth="1"/>
    <col min="3330" max="3330" width="12.5703125" customWidth="1"/>
    <col min="3331" max="3331" width="11.42578125" customWidth="1"/>
    <col min="3332" max="3332" width="13.28515625" bestFit="1" customWidth="1"/>
    <col min="3333" max="3333" width="14" bestFit="1" customWidth="1"/>
    <col min="3334" max="3334" width="9.5703125" customWidth="1"/>
    <col min="3335" max="3335" width="11" customWidth="1"/>
    <col min="3336" max="3336" width="9.85546875" bestFit="1" customWidth="1"/>
    <col min="3337" max="3337" width="9.28515625" customWidth="1"/>
    <col min="3340" max="3340" width="7.85546875" customWidth="1"/>
    <col min="3342" max="3342" width="12.28515625" customWidth="1"/>
    <col min="3343" max="3343" width="11.42578125" customWidth="1"/>
    <col min="3585" max="3585" width="30.42578125" customWidth="1"/>
    <col min="3586" max="3586" width="12.5703125" customWidth="1"/>
    <col min="3587" max="3587" width="11.42578125" customWidth="1"/>
    <col min="3588" max="3588" width="13.28515625" bestFit="1" customWidth="1"/>
    <col min="3589" max="3589" width="14" bestFit="1" customWidth="1"/>
    <col min="3590" max="3590" width="9.5703125" customWidth="1"/>
    <col min="3591" max="3591" width="11" customWidth="1"/>
    <col min="3592" max="3592" width="9.85546875" bestFit="1" customWidth="1"/>
    <col min="3593" max="3593" width="9.28515625" customWidth="1"/>
    <col min="3596" max="3596" width="7.85546875" customWidth="1"/>
    <col min="3598" max="3598" width="12.28515625" customWidth="1"/>
    <col min="3599" max="3599" width="11.42578125" customWidth="1"/>
    <col min="3841" max="3841" width="30.42578125" customWidth="1"/>
    <col min="3842" max="3842" width="12.5703125" customWidth="1"/>
    <col min="3843" max="3843" width="11.42578125" customWidth="1"/>
    <col min="3844" max="3844" width="13.28515625" bestFit="1" customWidth="1"/>
    <col min="3845" max="3845" width="14" bestFit="1" customWidth="1"/>
    <col min="3846" max="3846" width="9.5703125" customWidth="1"/>
    <col min="3847" max="3847" width="11" customWidth="1"/>
    <col min="3848" max="3848" width="9.85546875" bestFit="1" customWidth="1"/>
    <col min="3849" max="3849" width="9.28515625" customWidth="1"/>
    <col min="3852" max="3852" width="7.85546875" customWidth="1"/>
    <col min="3854" max="3854" width="12.28515625" customWidth="1"/>
    <col min="3855" max="3855" width="11.42578125" customWidth="1"/>
    <col min="4097" max="4097" width="30.42578125" customWidth="1"/>
    <col min="4098" max="4098" width="12.5703125" customWidth="1"/>
    <col min="4099" max="4099" width="11.42578125" customWidth="1"/>
    <col min="4100" max="4100" width="13.28515625" bestFit="1" customWidth="1"/>
    <col min="4101" max="4101" width="14" bestFit="1" customWidth="1"/>
    <col min="4102" max="4102" width="9.5703125" customWidth="1"/>
    <col min="4103" max="4103" width="11" customWidth="1"/>
    <col min="4104" max="4104" width="9.85546875" bestFit="1" customWidth="1"/>
    <col min="4105" max="4105" width="9.28515625" customWidth="1"/>
    <col min="4108" max="4108" width="7.85546875" customWidth="1"/>
    <col min="4110" max="4110" width="12.28515625" customWidth="1"/>
    <col min="4111" max="4111" width="11.42578125" customWidth="1"/>
    <col min="4353" max="4353" width="30.42578125" customWidth="1"/>
    <col min="4354" max="4354" width="12.5703125" customWidth="1"/>
    <col min="4355" max="4355" width="11.42578125" customWidth="1"/>
    <col min="4356" max="4356" width="13.28515625" bestFit="1" customWidth="1"/>
    <col min="4357" max="4357" width="14" bestFit="1" customWidth="1"/>
    <col min="4358" max="4358" width="9.5703125" customWidth="1"/>
    <col min="4359" max="4359" width="11" customWidth="1"/>
    <col min="4360" max="4360" width="9.85546875" bestFit="1" customWidth="1"/>
    <col min="4361" max="4361" width="9.28515625" customWidth="1"/>
    <col min="4364" max="4364" width="7.85546875" customWidth="1"/>
    <col min="4366" max="4366" width="12.28515625" customWidth="1"/>
    <col min="4367" max="4367" width="11.42578125" customWidth="1"/>
    <col min="4609" max="4609" width="30.42578125" customWidth="1"/>
    <col min="4610" max="4610" width="12.5703125" customWidth="1"/>
    <col min="4611" max="4611" width="11.42578125" customWidth="1"/>
    <col min="4612" max="4612" width="13.28515625" bestFit="1" customWidth="1"/>
    <col min="4613" max="4613" width="14" bestFit="1" customWidth="1"/>
    <col min="4614" max="4614" width="9.5703125" customWidth="1"/>
    <col min="4615" max="4615" width="11" customWidth="1"/>
    <col min="4616" max="4616" width="9.85546875" bestFit="1" customWidth="1"/>
    <col min="4617" max="4617" width="9.28515625" customWidth="1"/>
    <col min="4620" max="4620" width="7.85546875" customWidth="1"/>
    <col min="4622" max="4622" width="12.28515625" customWidth="1"/>
    <col min="4623" max="4623" width="11.42578125" customWidth="1"/>
    <col min="4865" max="4865" width="30.42578125" customWidth="1"/>
    <col min="4866" max="4866" width="12.5703125" customWidth="1"/>
    <col min="4867" max="4867" width="11.42578125" customWidth="1"/>
    <col min="4868" max="4868" width="13.28515625" bestFit="1" customWidth="1"/>
    <col min="4869" max="4869" width="14" bestFit="1" customWidth="1"/>
    <col min="4870" max="4870" width="9.5703125" customWidth="1"/>
    <col min="4871" max="4871" width="11" customWidth="1"/>
    <col min="4872" max="4872" width="9.85546875" bestFit="1" customWidth="1"/>
    <col min="4873" max="4873" width="9.28515625" customWidth="1"/>
    <col min="4876" max="4876" width="7.85546875" customWidth="1"/>
    <col min="4878" max="4878" width="12.28515625" customWidth="1"/>
    <col min="4879" max="4879" width="11.42578125" customWidth="1"/>
    <col min="5121" max="5121" width="30.42578125" customWidth="1"/>
    <col min="5122" max="5122" width="12.5703125" customWidth="1"/>
    <col min="5123" max="5123" width="11.42578125" customWidth="1"/>
    <col min="5124" max="5124" width="13.28515625" bestFit="1" customWidth="1"/>
    <col min="5125" max="5125" width="14" bestFit="1" customWidth="1"/>
    <col min="5126" max="5126" width="9.5703125" customWidth="1"/>
    <col min="5127" max="5127" width="11" customWidth="1"/>
    <col min="5128" max="5128" width="9.85546875" bestFit="1" customWidth="1"/>
    <col min="5129" max="5129" width="9.28515625" customWidth="1"/>
    <col min="5132" max="5132" width="7.85546875" customWidth="1"/>
    <col min="5134" max="5134" width="12.28515625" customWidth="1"/>
    <col min="5135" max="5135" width="11.42578125" customWidth="1"/>
    <col min="5377" max="5377" width="30.42578125" customWidth="1"/>
    <col min="5378" max="5378" width="12.5703125" customWidth="1"/>
    <col min="5379" max="5379" width="11.42578125" customWidth="1"/>
    <col min="5380" max="5380" width="13.28515625" bestFit="1" customWidth="1"/>
    <col min="5381" max="5381" width="14" bestFit="1" customWidth="1"/>
    <col min="5382" max="5382" width="9.5703125" customWidth="1"/>
    <col min="5383" max="5383" width="11" customWidth="1"/>
    <col min="5384" max="5384" width="9.85546875" bestFit="1" customWidth="1"/>
    <col min="5385" max="5385" width="9.28515625" customWidth="1"/>
    <col min="5388" max="5388" width="7.85546875" customWidth="1"/>
    <col min="5390" max="5390" width="12.28515625" customWidth="1"/>
    <col min="5391" max="5391" width="11.42578125" customWidth="1"/>
    <col min="5633" max="5633" width="30.42578125" customWidth="1"/>
    <col min="5634" max="5634" width="12.5703125" customWidth="1"/>
    <col min="5635" max="5635" width="11.42578125" customWidth="1"/>
    <col min="5636" max="5636" width="13.28515625" bestFit="1" customWidth="1"/>
    <col min="5637" max="5637" width="14" bestFit="1" customWidth="1"/>
    <col min="5638" max="5638" width="9.5703125" customWidth="1"/>
    <col min="5639" max="5639" width="11" customWidth="1"/>
    <col min="5640" max="5640" width="9.85546875" bestFit="1" customWidth="1"/>
    <col min="5641" max="5641" width="9.28515625" customWidth="1"/>
    <col min="5644" max="5644" width="7.85546875" customWidth="1"/>
    <col min="5646" max="5646" width="12.28515625" customWidth="1"/>
    <col min="5647" max="5647" width="11.42578125" customWidth="1"/>
    <col min="5889" max="5889" width="30.42578125" customWidth="1"/>
    <col min="5890" max="5890" width="12.5703125" customWidth="1"/>
    <col min="5891" max="5891" width="11.42578125" customWidth="1"/>
    <col min="5892" max="5892" width="13.28515625" bestFit="1" customWidth="1"/>
    <col min="5893" max="5893" width="14" bestFit="1" customWidth="1"/>
    <col min="5894" max="5894" width="9.5703125" customWidth="1"/>
    <col min="5895" max="5895" width="11" customWidth="1"/>
    <col min="5896" max="5896" width="9.85546875" bestFit="1" customWidth="1"/>
    <col min="5897" max="5897" width="9.28515625" customWidth="1"/>
    <col min="5900" max="5900" width="7.85546875" customWidth="1"/>
    <col min="5902" max="5902" width="12.28515625" customWidth="1"/>
    <col min="5903" max="5903" width="11.42578125" customWidth="1"/>
    <col min="6145" max="6145" width="30.42578125" customWidth="1"/>
    <col min="6146" max="6146" width="12.5703125" customWidth="1"/>
    <col min="6147" max="6147" width="11.42578125" customWidth="1"/>
    <col min="6148" max="6148" width="13.28515625" bestFit="1" customWidth="1"/>
    <col min="6149" max="6149" width="14" bestFit="1" customWidth="1"/>
    <col min="6150" max="6150" width="9.5703125" customWidth="1"/>
    <col min="6151" max="6151" width="11" customWidth="1"/>
    <col min="6152" max="6152" width="9.85546875" bestFit="1" customWidth="1"/>
    <col min="6153" max="6153" width="9.28515625" customWidth="1"/>
    <col min="6156" max="6156" width="7.85546875" customWidth="1"/>
    <col min="6158" max="6158" width="12.28515625" customWidth="1"/>
    <col min="6159" max="6159" width="11.42578125" customWidth="1"/>
    <col min="6401" max="6401" width="30.42578125" customWidth="1"/>
    <col min="6402" max="6402" width="12.5703125" customWidth="1"/>
    <col min="6403" max="6403" width="11.42578125" customWidth="1"/>
    <col min="6404" max="6404" width="13.28515625" bestFit="1" customWidth="1"/>
    <col min="6405" max="6405" width="14" bestFit="1" customWidth="1"/>
    <col min="6406" max="6406" width="9.5703125" customWidth="1"/>
    <col min="6407" max="6407" width="11" customWidth="1"/>
    <col min="6408" max="6408" width="9.85546875" bestFit="1" customWidth="1"/>
    <col min="6409" max="6409" width="9.28515625" customWidth="1"/>
    <col min="6412" max="6412" width="7.85546875" customWidth="1"/>
    <col min="6414" max="6414" width="12.28515625" customWidth="1"/>
    <col min="6415" max="6415" width="11.42578125" customWidth="1"/>
    <col min="6657" max="6657" width="30.42578125" customWidth="1"/>
    <col min="6658" max="6658" width="12.5703125" customWidth="1"/>
    <col min="6659" max="6659" width="11.42578125" customWidth="1"/>
    <col min="6660" max="6660" width="13.28515625" bestFit="1" customWidth="1"/>
    <col min="6661" max="6661" width="14" bestFit="1" customWidth="1"/>
    <col min="6662" max="6662" width="9.5703125" customWidth="1"/>
    <col min="6663" max="6663" width="11" customWidth="1"/>
    <col min="6664" max="6664" width="9.85546875" bestFit="1" customWidth="1"/>
    <col min="6665" max="6665" width="9.28515625" customWidth="1"/>
    <col min="6668" max="6668" width="7.85546875" customWidth="1"/>
    <col min="6670" max="6670" width="12.28515625" customWidth="1"/>
    <col min="6671" max="6671" width="11.42578125" customWidth="1"/>
    <col min="6913" max="6913" width="30.42578125" customWidth="1"/>
    <col min="6914" max="6914" width="12.5703125" customWidth="1"/>
    <col min="6915" max="6915" width="11.42578125" customWidth="1"/>
    <col min="6916" max="6916" width="13.28515625" bestFit="1" customWidth="1"/>
    <col min="6917" max="6917" width="14" bestFit="1" customWidth="1"/>
    <col min="6918" max="6918" width="9.5703125" customWidth="1"/>
    <col min="6919" max="6919" width="11" customWidth="1"/>
    <col min="6920" max="6920" width="9.85546875" bestFit="1" customWidth="1"/>
    <col min="6921" max="6921" width="9.28515625" customWidth="1"/>
    <col min="6924" max="6924" width="7.85546875" customWidth="1"/>
    <col min="6926" max="6926" width="12.28515625" customWidth="1"/>
    <col min="6927" max="6927" width="11.42578125" customWidth="1"/>
    <col min="7169" max="7169" width="30.42578125" customWidth="1"/>
    <col min="7170" max="7170" width="12.5703125" customWidth="1"/>
    <col min="7171" max="7171" width="11.42578125" customWidth="1"/>
    <col min="7172" max="7172" width="13.28515625" bestFit="1" customWidth="1"/>
    <col min="7173" max="7173" width="14" bestFit="1" customWidth="1"/>
    <col min="7174" max="7174" width="9.5703125" customWidth="1"/>
    <col min="7175" max="7175" width="11" customWidth="1"/>
    <col min="7176" max="7176" width="9.85546875" bestFit="1" customWidth="1"/>
    <col min="7177" max="7177" width="9.28515625" customWidth="1"/>
    <col min="7180" max="7180" width="7.85546875" customWidth="1"/>
    <col min="7182" max="7182" width="12.28515625" customWidth="1"/>
    <col min="7183" max="7183" width="11.42578125" customWidth="1"/>
    <col min="7425" max="7425" width="30.42578125" customWidth="1"/>
    <col min="7426" max="7426" width="12.5703125" customWidth="1"/>
    <col min="7427" max="7427" width="11.42578125" customWidth="1"/>
    <col min="7428" max="7428" width="13.28515625" bestFit="1" customWidth="1"/>
    <col min="7429" max="7429" width="14" bestFit="1" customWidth="1"/>
    <col min="7430" max="7430" width="9.5703125" customWidth="1"/>
    <col min="7431" max="7431" width="11" customWidth="1"/>
    <col min="7432" max="7432" width="9.85546875" bestFit="1" customWidth="1"/>
    <col min="7433" max="7433" width="9.28515625" customWidth="1"/>
    <col min="7436" max="7436" width="7.85546875" customWidth="1"/>
    <col min="7438" max="7438" width="12.28515625" customWidth="1"/>
    <col min="7439" max="7439" width="11.42578125" customWidth="1"/>
    <col min="7681" max="7681" width="30.42578125" customWidth="1"/>
    <col min="7682" max="7682" width="12.5703125" customWidth="1"/>
    <col min="7683" max="7683" width="11.42578125" customWidth="1"/>
    <col min="7684" max="7684" width="13.28515625" bestFit="1" customWidth="1"/>
    <col min="7685" max="7685" width="14" bestFit="1" customWidth="1"/>
    <col min="7686" max="7686" width="9.5703125" customWidth="1"/>
    <col min="7687" max="7687" width="11" customWidth="1"/>
    <col min="7688" max="7688" width="9.85546875" bestFit="1" customWidth="1"/>
    <col min="7689" max="7689" width="9.28515625" customWidth="1"/>
    <col min="7692" max="7692" width="7.85546875" customWidth="1"/>
    <col min="7694" max="7694" width="12.28515625" customWidth="1"/>
    <col min="7695" max="7695" width="11.42578125" customWidth="1"/>
    <col min="7937" max="7937" width="30.42578125" customWidth="1"/>
    <col min="7938" max="7938" width="12.5703125" customWidth="1"/>
    <col min="7939" max="7939" width="11.42578125" customWidth="1"/>
    <col min="7940" max="7940" width="13.28515625" bestFit="1" customWidth="1"/>
    <col min="7941" max="7941" width="14" bestFit="1" customWidth="1"/>
    <col min="7942" max="7942" width="9.5703125" customWidth="1"/>
    <col min="7943" max="7943" width="11" customWidth="1"/>
    <col min="7944" max="7944" width="9.85546875" bestFit="1" customWidth="1"/>
    <col min="7945" max="7945" width="9.28515625" customWidth="1"/>
    <col min="7948" max="7948" width="7.85546875" customWidth="1"/>
    <col min="7950" max="7950" width="12.28515625" customWidth="1"/>
    <col min="7951" max="7951" width="11.42578125" customWidth="1"/>
    <col min="8193" max="8193" width="30.42578125" customWidth="1"/>
    <col min="8194" max="8194" width="12.5703125" customWidth="1"/>
    <col min="8195" max="8195" width="11.42578125" customWidth="1"/>
    <col min="8196" max="8196" width="13.28515625" bestFit="1" customWidth="1"/>
    <col min="8197" max="8197" width="14" bestFit="1" customWidth="1"/>
    <col min="8198" max="8198" width="9.5703125" customWidth="1"/>
    <col min="8199" max="8199" width="11" customWidth="1"/>
    <col min="8200" max="8200" width="9.85546875" bestFit="1" customWidth="1"/>
    <col min="8201" max="8201" width="9.28515625" customWidth="1"/>
    <col min="8204" max="8204" width="7.85546875" customWidth="1"/>
    <col min="8206" max="8206" width="12.28515625" customWidth="1"/>
    <col min="8207" max="8207" width="11.42578125" customWidth="1"/>
    <col min="8449" max="8449" width="30.42578125" customWidth="1"/>
    <col min="8450" max="8450" width="12.5703125" customWidth="1"/>
    <col min="8451" max="8451" width="11.42578125" customWidth="1"/>
    <col min="8452" max="8452" width="13.28515625" bestFit="1" customWidth="1"/>
    <col min="8453" max="8453" width="14" bestFit="1" customWidth="1"/>
    <col min="8454" max="8454" width="9.5703125" customWidth="1"/>
    <col min="8455" max="8455" width="11" customWidth="1"/>
    <col min="8456" max="8456" width="9.85546875" bestFit="1" customWidth="1"/>
    <col min="8457" max="8457" width="9.28515625" customWidth="1"/>
    <col min="8460" max="8460" width="7.85546875" customWidth="1"/>
    <col min="8462" max="8462" width="12.28515625" customWidth="1"/>
    <col min="8463" max="8463" width="11.42578125" customWidth="1"/>
    <col min="8705" max="8705" width="30.42578125" customWidth="1"/>
    <col min="8706" max="8706" width="12.5703125" customWidth="1"/>
    <col min="8707" max="8707" width="11.42578125" customWidth="1"/>
    <col min="8708" max="8708" width="13.28515625" bestFit="1" customWidth="1"/>
    <col min="8709" max="8709" width="14" bestFit="1" customWidth="1"/>
    <col min="8710" max="8710" width="9.5703125" customWidth="1"/>
    <col min="8711" max="8711" width="11" customWidth="1"/>
    <col min="8712" max="8712" width="9.85546875" bestFit="1" customWidth="1"/>
    <col min="8713" max="8713" width="9.28515625" customWidth="1"/>
    <col min="8716" max="8716" width="7.85546875" customWidth="1"/>
    <col min="8718" max="8718" width="12.28515625" customWidth="1"/>
    <col min="8719" max="8719" width="11.42578125" customWidth="1"/>
    <col min="8961" max="8961" width="30.42578125" customWidth="1"/>
    <col min="8962" max="8962" width="12.5703125" customWidth="1"/>
    <col min="8963" max="8963" width="11.42578125" customWidth="1"/>
    <col min="8964" max="8964" width="13.28515625" bestFit="1" customWidth="1"/>
    <col min="8965" max="8965" width="14" bestFit="1" customWidth="1"/>
    <col min="8966" max="8966" width="9.5703125" customWidth="1"/>
    <col min="8967" max="8967" width="11" customWidth="1"/>
    <col min="8968" max="8968" width="9.85546875" bestFit="1" customWidth="1"/>
    <col min="8969" max="8969" width="9.28515625" customWidth="1"/>
    <col min="8972" max="8972" width="7.85546875" customWidth="1"/>
    <col min="8974" max="8974" width="12.28515625" customWidth="1"/>
    <col min="8975" max="8975" width="11.42578125" customWidth="1"/>
    <col min="9217" max="9217" width="30.42578125" customWidth="1"/>
    <col min="9218" max="9218" width="12.5703125" customWidth="1"/>
    <col min="9219" max="9219" width="11.42578125" customWidth="1"/>
    <col min="9220" max="9220" width="13.28515625" bestFit="1" customWidth="1"/>
    <col min="9221" max="9221" width="14" bestFit="1" customWidth="1"/>
    <col min="9222" max="9222" width="9.5703125" customWidth="1"/>
    <col min="9223" max="9223" width="11" customWidth="1"/>
    <col min="9224" max="9224" width="9.85546875" bestFit="1" customWidth="1"/>
    <col min="9225" max="9225" width="9.28515625" customWidth="1"/>
    <col min="9228" max="9228" width="7.85546875" customWidth="1"/>
    <col min="9230" max="9230" width="12.28515625" customWidth="1"/>
    <col min="9231" max="9231" width="11.42578125" customWidth="1"/>
    <col min="9473" max="9473" width="30.42578125" customWidth="1"/>
    <col min="9474" max="9474" width="12.5703125" customWidth="1"/>
    <col min="9475" max="9475" width="11.42578125" customWidth="1"/>
    <col min="9476" max="9476" width="13.28515625" bestFit="1" customWidth="1"/>
    <col min="9477" max="9477" width="14" bestFit="1" customWidth="1"/>
    <col min="9478" max="9478" width="9.5703125" customWidth="1"/>
    <col min="9479" max="9479" width="11" customWidth="1"/>
    <col min="9480" max="9480" width="9.85546875" bestFit="1" customWidth="1"/>
    <col min="9481" max="9481" width="9.28515625" customWidth="1"/>
    <col min="9484" max="9484" width="7.85546875" customWidth="1"/>
    <col min="9486" max="9486" width="12.28515625" customWidth="1"/>
    <col min="9487" max="9487" width="11.42578125" customWidth="1"/>
    <col min="9729" max="9729" width="30.42578125" customWidth="1"/>
    <col min="9730" max="9730" width="12.5703125" customWidth="1"/>
    <col min="9731" max="9731" width="11.42578125" customWidth="1"/>
    <col min="9732" max="9732" width="13.28515625" bestFit="1" customWidth="1"/>
    <col min="9733" max="9733" width="14" bestFit="1" customWidth="1"/>
    <col min="9734" max="9734" width="9.5703125" customWidth="1"/>
    <col min="9735" max="9735" width="11" customWidth="1"/>
    <col min="9736" max="9736" width="9.85546875" bestFit="1" customWidth="1"/>
    <col min="9737" max="9737" width="9.28515625" customWidth="1"/>
    <col min="9740" max="9740" width="7.85546875" customWidth="1"/>
    <col min="9742" max="9742" width="12.28515625" customWidth="1"/>
    <col min="9743" max="9743" width="11.42578125" customWidth="1"/>
    <col min="9985" max="9985" width="30.42578125" customWidth="1"/>
    <col min="9986" max="9986" width="12.5703125" customWidth="1"/>
    <col min="9987" max="9987" width="11.42578125" customWidth="1"/>
    <col min="9988" max="9988" width="13.28515625" bestFit="1" customWidth="1"/>
    <col min="9989" max="9989" width="14" bestFit="1" customWidth="1"/>
    <col min="9990" max="9990" width="9.5703125" customWidth="1"/>
    <col min="9991" max="9991" width="11" customWidth="1"/>
    <col min="9992" max="9992" width="9.85546875" bestFit="1" customWidth="1"/>
    <col min="9993" max="9993" width="9.28515625" customWidth="1"/>
    <col min="9996" max="9996" width="7.85546875" customWidth="1"/>
    <col min="9998" max="9998" width="12.28515625" customWidth="1"/>
    <col min="9999" max="9999" width="11.42578125" customWidth="1"/>
    <col min="10241" max="10241" width="30.42578125" customWidth="1"/>
    <col min="10242" max="10242" width="12.5703125" customWidth="1"/>
    <col min="10243" max="10243" width="11.42578125" customWidth="1"/>
    <col min="10244" max="10244" width="13.28515625" bestFit="1" customWidth="1"/>
    <col min="10245" max="10245" width="14" bestFit="1" customWidth="1"/>
    <col min="10246" max="10246" width="9.5703125" customWidth="1"/>
    <col min="10247" max="10247" width="11" customWidth="1"/>
    <col min="10248" max="10248" width="9.85546875" bestFit="1" customWidth="1"/>
    <col min="10249" max="10249" width="9.28515625" customWidth="1"/>
    <col min="10252" max="10252" width="7.85546875" customWidth="1"/>
    <col min="10254" max="10254" width="12.28515625" customWidth="1"/>
    <col min="10255" max="10255" width="11.42578125" customWidth="1"/>
    <col min="10497" max="10497" width="30.42578125" customWidth="1"/>
    <col min="10498" max="10498" width="12.5703125" customWidth="1"/>
    <col min="10499" max="10499" width="11.42578125" customWidth="1"/>
    <col min="10500" max="10500" width="13.28515625" bestFit="1" customWidth="1"/>
    <col min="10501" max="10501" width="14" bestFit="1" customWidth="1"/>
    <col min="10502" max="10502" width="9.5703125" customWidth="1"/>
    <col min="10503" max="10503" width="11" customWidth="1"/>
    <col min="10504" max="10504" width="9.85546875" bestFit="1" customWidth="1"/>
    <col min="10505" max="10505" width="9.28515625" customWidth="1"/>
    <col min="10508" max="10508" width="7.85546875" customWidth="1"/>
    <col min="10510" max="10510" width="12.28515625" customWidth="1"/>
    <col min="10511" max="10511" width="11.42578125" customWidth="1"/>
    <col min="10753" max="10753" width="30.42578125" customWidth="1"/>
    <col min="10754" max="10754" width="12.5703125" customWidth="1"/>
    <col min="10755" max="10755" width="11.42578125" customWidth="1"/>
    <col min="10756" max="10756" width="13.28515625" bestFit="1" customWidth="1"/>
    <col min="10757" max="10757" width="14" bestFit="1" customWidth="1"/>
    <col min="10758" max="10758" width="9.5703125" customWidth="1"/>
    <col min="10759" max="10759" width="11" customWidth="1"/>
    <col min="10760" max="10760" width="9.85546875" bestFit="1" customWidth="1"/>
    <col min="10761" max="10761" width="9.28515625" customWidth="1"/>
    <col min="10764" max="10764" width="7.85546875" customWidth="1"/>
    <col min="10766" max="10766" width="12.28515625" customWidth="1"/>
    <col min="10767" max="10767" width="11.42578125" customWidth="1"/>
    <col min="11009" max="11009" width="30.42578125" customWidth="1"/>
    <col min="11010" max="11010" width="12.5703125" customWidth="1"/>
    <col min="11011" max="11011" width="11.42578125" customWidth="1"/>
    <col min="11012" max="11012" width="13.28515625" bestFit="1" customWidth="1"/>
    <col min="11013" max="11013" width="14" bestFit="1" customWidth="1"/>
    <col min="11014" max="11014" width="9.5703125" customWidth="1"/>
    <col min="11015" max="11015" width="11" customWidth="1"/>
    <col min="11016" max="11016" width="9.85546875" bestFit="1" customWidth="1"/>
    <col min="11017" max="11017" width="9.28515625" customWidth="1"/>
    <col min="11020" max="11020" width="7.85546875" customWidth="1"/>
    <col min="11022" max="11022" width="12.28515625" customWidth="1"/>
    <col min="11023" max="11023" width="11.42578125" customWidth="1"/>
    <col min="11265" max="11265" width="30.42578125" customWidth="1"/>
    <col min="11266" max="11266" width="12.5703125" customWidth="1"/>
    <col min="11267" max="11267" width="11.42578125" customWidth="1"/>
    <col min="11268" max="11268" width="13.28515625" bestFit="1" customWidth="1"/>
    <col min="11269" max="11269" width="14" bestFit="1" customWidth="1"/>
    <col min="11270" max="11270" width="9.5703125" customWidth="1"/>
    <col min="11271" max="11271" width="11" customWidth="1"/>
    <col min="11272" max="11272" width="9.85546875" bestFit="1" customWidth="1"/>
    <col min="11273" max="11273" width="9.28515625" customWidth="1"/>
    <col min="11276" max="11276" width="7.85546875" customWidth="1"/>
    <col min="11278" max="11278" width="12.28515625" customWidth="1"/>
    <col min="11279" max="11279" width="11.42578125" customWidth="1"/>
    <col min="11521" max="11521" width="30.42578125" customWidth="1"/>
    <col min="11522" max="11522" width="12.5703125" customWidth="1"/>
    <col min="11523" max="11523" width="11.42578125" customWidth="1"/>
    <col min="11524" max="11524" width="13.28515625" bestFit="1" customWidth="1"/>
    <col min="11525" max="11525" width="14" bestFit="1" customWidth="1"/>
    <col min="11526" max="11526" width="9.5703125" customWidth="1"/>
    <col min="11527" max="11527" width="11" customWidth="1"/>
    <col min="11528" max="11528" width="9.85546875" bestFit="1" customWidth="1"/>
    <col min="11529" max="11529" width="9.28515625" customWidth="1"/>
    <col min="11532" max="11532" width="7.85546875" customWidth="1"/>
    <col min="11534" max="11534" width="12.28515625" customWidth="1"/>
    <col min="11535" max="11535" width="11.42578125" customWidth="1"/>
    <col min="11777" max="11777" width="30.42578125" customWidth="1"/>
    <col min="11778" max="11778" width="12.5703125" customWidth="1"/>
    <col min="11779" max="11779" width="11.42578125" customWidth="1"/>
    <col min="11780" max="11780" width="13.28515625" bestFit="1" customWidth="1"/>
    <col min="11781" max="11781" width="14" bestFit="1" customWidth="1"/>
    <col min="11782" max="11782" width="9.5703125" customWidth="1"/>
    <col min="11783" max="11783" width="11" customWidth="1"/>
    <col min="11784" max="11784" width="9.85546875" bestFit="1" customWidth="1"/>
    <col min="11785" max="11785" width="9.28515625" customWidth="1"/>
    <col min="11788" max="11788" width="7.85546875" customWidth="1"/>
    <col min="11790" max="11790" width="12.28515625" customWidth="1"/>
    <col min="11791" max="11791" width="11.42578125" customWidth="1"/>
    <col min="12033" max="12033" width="30.42578125" customWidth="1"/>
    <col min="12034" max="12034" width="12.5703125" customWidth="1"/>
    <col min="12035" max="12035" width="11.42578125" customWidth="1"/>
    <col min="12036" max="12036" width="13.28515625" bestFit="1" customWidth="1"/>
    <col min="12037" max="12037" width="14" bestFit="1" customWidth="1"/>
    <col min="12038" max="12038" width="9.5703125" customWidth="1"/>
    <col min="12039" max="12039" width="11" customWidth="1"/>
    <col min="12040" max="12040" width="9.85546875" bestFit="1" customWidth="1"/>
    <col min="12041" max="12041" width="9.28515625" customWidth="1"/>
    <col min="12044" max="12044" width="7.85546875" customWidth="1"/>
    <col min="12046" max="12046" width="12.28515625" customWidth="1"/>
    <col min="12047" max="12047" width="11.42578125" customWidth="1"/>
    <col min="12289" max="12289" width="30.42578125" customWidth="1"/>
    <col min="12290" max="12290" width="12.5703125" customWidth="1"/>
    <col min="12291" max="12291" width="11.42578125" customWidth="1"/>
    <col min="12292" max="12292" width="13.28515625" bestFit="1" customWidth="1"/>
    <col min="12293" max="12293" width="14" bestFit="1" customWidth="1"/>
    <col min="12294" max="12294" width="9.5703125" customWidth="1"/>
    <col min="12295" max="12295" width="11" customWidth="1"/>
    <col min="12296" max="12296" width="9.85546875" bestFit="1" customWidth="1"/>
    <col min="12297" max="12297" width="9.28515625" customWidth="1"/>
    <col min="12300" max="12300" width="7.85546875" customWidth="1"/>
    <col min="12302" max="12302" width="12.28515625" customWidth="1"/>
    <col min="12303" max="12303" width="11.42578125" customWidth="1"/>
    <col min="12545" max="12545" width="30.42578125" customWidth="1"/>
    <col min="12546" max="12546" width="12.5703125" customWidth="1"/>
    <col min="12547" max="12547" width="11.42578125" customWidth="1"/>
    <col min="12548" max="12548" width="13.28515625" bestFit="1" customWidth="1"/>
    <col min="12549" max="12549" width="14" bestFit="1" customWidth="1"/>
    <col min="12550" max="12550" width="9.5703125" customWidth="1"/>
    <col min="12551" max="12551" width="11" customWidth="1"/>
    <col min="12552" max="12552" width="9.85546875" bestFit="1" customWidth="1"/>
    <col min="12553" max="12553" width="9.28515625" customWidth="1"/>
    <col min="12556" max="12556" width="7.85546875" customWidth="1"/>
    <col min="12558" max="12558" width="12.28515625" customWidth="1"/>
    <col min="12559" max="12559" width="11.42578125" customWidth="1"/>
    <col min="12801" max="12801" width="30.42578125" customWidth="1"/>
    <col min="12802" max="12802" width="12.5703125" customWidth="1"/>
    <col min="12803" max="12803" width="11.42578125" customWidth="1"/>
    <col min="12804" max="12804" width="13.28515625" bestFit="1" customWidth="1"/>
    <col min="12805" max="12805" width="14" bestFit="1" customWidth="1"/>
    <col min="12806" max="12806" width="9.5703125" customWidth="1"/>
    <col min="12807" max="12807" width="11" customWidth="1"/>
    <col min="12808" max="12808" width="9.85546875" bestFit="1" customWidth="1"/>
    <col min="12809" max="12809" width="9.28515625" customWidth="1"/>
    <col min="12812" max="12812" width="7.85546875" customWidth="1"/>
    <col min="12814" max="12814" width="12.28515625" customWidth="1"/>
    <col min="12815" max="12815" width="11.42578125" customWidth="1"/>
    <col min="13057" max="13057" width="30.42578125" customWidth="1"/>
    <col min="13058" max="13058" width="12.5703125" customWidth="1"/>
    <col min="13059" max="13059" width="11.42578125" customWidth="1"/>
    <col min="13060" max="13060" width="13.28515625" bestFit="1" customWidth="1"/>
    <col min="13061" max="13061" width="14" bestFit="1" customWidth="1"/>
    <col min="13062" max="13062" width="9.5703125" customWidth="1"/>
    <col min="13063" max="13063" width="11" customWidth="1"/>
    <col min="13064" max="13064" width="9.85546875" bestFit="1" customWidth="1"/>
    <col min="13065" max="13065" width="9.28515625" customWidth="1"/>
    <col min="13068" max="13068" width="7.85546875" customWidth="1"/>
    <col min="13070" max="13070" width="12.28515625" customWidth="1"/>
    <col min="13071" max="13071" width="11.42578125" customWidth="1"/>
    <col min="13313" max="13313" width="30.42578125" customWidth="1"/>
    <col min="13314" max="13314" width="12.5703125" customWidth="1"/>
    <col min="13315" max="13315" width="11.42578125" customWidth="1"/>
    <col min="13316" max="13316" width="13.28515625" bestFit="1" customWidth="1"/>
    <col min="13317" max="13317" width="14" bestFit="1" customWidth="1"/>
    <col min="13318" max="13318" width="9.5703125" customWidth="1"/>
    <col min="13319" max="13319" width="11" customWidth="1"/>
    <col min="13320" max="13320" width="9.85546875" bestFit="1" customWidth="1"/>
    <col min="13321" max="13321" width="9.28515625" customWidth="1"/>
    <col min="13324" max="13324" width="7.85546875" customWidth="1"/>
    <col min="13326" max="13326" width="12.28515625" customWidth="1"/>
    <col min="13327" max="13327" width="11.42578125" customWidth="1"/>
    <col min="13569" max="13569" width="30.42578125" customWidth="1"/>
    <col min="13570" max="13570" width="12.5703125" customWidth="1"/>
    <col min="13571" max="13571" width="11.42578125" customWidth="1"/>
    <col min="13572" max="13572" width="13.28515625" bestFit="1" customWidth="1"/>
    <col min="13573" max="13573" width="14" bestFit="1" customWidth="1"/>
    <col min="13574" max="13574" width="9.5703125" customWidth="1"/>
    <col min="13575" max="13575" width="11" customWidth="1"/>
    <col min="13576" max="13576" width="9.85546875" bestFit="1" customWidth="1"/>
    <col min="13577" max="13577" width="9.28515625" customWidth="1"/>
    <col min="13580" max="13580" width="7.85546875" customWidth="1"/>
    <col min="13582" max="13582" width="12.28515625" customWidth="1"/>
    <col min="13583" max="13583" width="11.42578125" customWidth="1"/>
    <col min="13825" max="13825" width="30.42578125" customWidth="1"/>
    <col min="13826" max="13826" width="12.5703125" customWidth="1"/>
    <col min="13827" max="13827" width="11.42578125" customWidth="1"/>
    <col min="13828" max="13828" width="13.28515625" bestFit="1" customWidth="1"/>
    <col min="13829" max="13829" width="14" bestFit="1" customWidth="1"/>
    <col min="13830" max="13830" width="9.5703125" customWidth="1"/>
    <col min="13831" max="13831" width="11" customWidth="1"/>
    <col min="13832" max="13832" width="9.85546875" bestFit="1" customWidth="1"/>
    <col min="13833" max="13833" width="9.28515625" customWidth="1"/>
    <col min="13836" max="13836" width="7.85546875" customWidth="1"/>
    <col min="13838" max="13838" width="12.28515625" customWidth="1"/>
    <col min="13839" max="13839" width="11.42578125" customWidth="1"/>
    <col min="14081" max="14081" width="30.42578125" customWidth="1"/>
    <col min="14082" max="14082" width="12.5703125" customWidth="1"/>
    <col min="14083" max="14083" width="11.42578125" customWidth="1"/>
    <col min="14084" max="14084" width="13.28515625" bestFit="1" customWidth="1"/>
    <col min="14085" max="14085" width="14" bestFit="1" customWidth="1"/>
    <col min="14086" max="14086" width="9.5703125" customWidth="1"/>
    <col min="14087" max="14087" width="11" customWidth="1"/>
    <col min="14088" max="14088" width="9.85546875" bestFit="1" customWidth="1"/>
    <col min="14089" max="14089" width="9.28515625" customWidth="1"/>
    <col min="14092" max="14092" width="7.85546875" customWidth="1"/>
    <col min="14094" max="14094" width="12.28515625" customWidth="1"/>
    <col min="14095" max="14095" width="11.42578125" customWidth="1"/>
    <col min="14337" max="14337" width="30.42578125" customWidth="1"/>
    <col min="14338" max="14338" width="12.5703125" customWidth="1"/>
    <col min="14339" max="14339" width="11.42578125" customWidth="1"/>
    <col min="14340" max="14340" width="13.28515625" bestFit="1" customWidth="1"/>
    <col min="14341" max="14341" width="14" bestFit="1" customWidth="1"/>
    <col min="14342" max="14342" width="9.5703125" customWidth="1"/>
    <col min="14343" max="14343" width="11" customWidth="1"/>
    <col min="14344" max="14344" width="9.85546875" bestFit="1" customWidth="1"/>
    <col min="14345" max="14345" width="9.28515625" customWidth="1"/>
    <col min="14348" max="14348" width="7.85546875" customWidth="1"/>
    <col min="14350" max="14350" width="12.28515625" customWidth="1"/>
    <col min="14351" max="14351" width="11.42578125" customWidth="1"/>
    <col min="14593" max="14593" width="30.42578125" customWidth="1"/>
    <col min="14594" max="14594" width="12.5703125" customWidth="1"/>
    <col min="14595" max="14595" width="11.42578125" customWidth="1"/>
    <col min="14596" max="14596" width="13.28515625" bestFit="1" customWidth="1"/>
    <col min="14597" max="14597" width="14" bestFit="1" customWidth="1"/>
    <col min="14598" max="14598" width="9.5703125" customWidth="1"/>
    <col min="14599" max="14599" width="11" customWidth="1"/>
    <col min="14600" max="14600" width="9.85546875" bestFit="1" customWidth="1"/>
    <col min="14601" max="14601" width="9.28515625" customWidth="1"/>
    <col min="14604" max="14604" width="7.85546875" customWidth="1"/>
    <col min="14606" max="14606" width="12.28515625" customWidth="1"/>
    <col min="14607" max="14607" width="11.42578125" customWidth="1"/>
    <col min="14849" max="14849" width="30.42578125" customWidth="1"/>
    <col min="14850" max="14850" width="12.5703125" customWidth="1"/>
    <col min="14851" max="14851" width="11.42578125" customWidth="1"/>
    <col min="14852" max="14852" width="13.28515625" bestFit="1" customWidth="1"/>
    <col min="14853" max="14853" width="14" bestFit="1" customWidth="1"/>
    <col min="14854" max="14854" width="9.5703125" customWidth="1"/>
    <col min="14855" max="14855" width="11" customWidth="1"/>
    <col min="14856" max="14856" width="9.85546875" bestFit="1" customWidth="1"/>
    <col min="14857" max="14857" width="9.28515625" customWidth="1"/>
    <col min="14860" max="14860" width="7.85546875" customWidth="1"/>
    <col min="14862" max="14862" width="12.28515625" customWidth="1"/>
    <col min="14863" max="14863" width="11.42578125" customWidth="1"/>
    <col min="15105" max="15105" width="30.42578125" customWidth="1"/>
    <col min="15106" max="15106" width="12.5703125" customWidth="1"/>
    <col min="15107" max="15107" width="11.42578125" customWidth="1"/>
    <col min="15108" max="15108" width="13.28515625" bestFit="1" customWidth="1"/>
    <col min="15109" max="15109" width="14" bestFit="1" customWidth="1"/>
    <col min="15110" max="15110" width="9.5703125" customWidth="1"/>
    <col min="15111" max="15111" width="11" customWidth="1"/>
    <col min="15112" max="15112" width="9.85546875" bestFit="1" customWidth="1"/>
    <col min="15113" max="15113" width="9.28515625" customWidth="1"/>
    <col min="15116" max="15116" width="7.85546875" customWidth="1"/>
    <col min="15118" max="15118" width="12.28515625" customWidth="1"/>
    <col min="15119" max="15119" width="11.42578125" customWidth="1"/>
    <col min="15361" max="15361" width="30.42578125" customWidth="1"/>
    <col min="15362" max="15362" width="12.5703125" customWidth="1"/>
    <col min="15363" max="15363" width="11.42578125" customWidth="1"/>
    <col min="15364" max="15364" width="13.28515625" bestFit="1" customWidth="1"/>
    <col min="15365" max="15365" width="14" bestFit="1" customWidth="1"/>
    <col min="15366" max="15366" width="9.5703125" customWidth="1"/>
    <col min="15367" max="15367" width="11" customWidth="1"/>
    <col min="15368" max="15368" width="9.85546875" bestFit="1" customWidth="1"/>
    <col min="15369" max="15369" width="9.28515625" customWidth="1"/>
    <col min="15372" max="15372" width="7.85546875" customWidth="1"/>
    <col min="15374" max="15374" width="12.28515625" customWidth="1"/>
    <col min="15375" max="15375" width="11.42578125" customWidth="1"/>
    <col min="15617" max="15617" width="30.42578125" customWidth="1"/>
    <col min="15618" max="15618" width="12.5703125" customWidth="1"/>
    <col min="15619" max="15619" width="11.42578125" customWidth="1"/>
    <col min="15620" max="15620" width="13.28515625" bestFit="1" customWidth="1"/>
    <col min="15621" max="15621" width="14" bestFit="1" customWidth="1"/>
    <col min="15622" max="15622" width="9.5703125" customWidth="1"/>
    <col min="15623" max="15623" width="11" customWidth="1"/>
    <col min="15624" max="15624" width="9.85546875" bestFit="1" customWidth="1"/>
    <col min="15625" max="15625" width="9.28515625" customWidth="1"/>
    <col min="15628" max="15628" width="7.85546875" customWidth="1"/>
    <col min="15630" max="15630" width="12.28515625" customWidth="1"/>
    <col min="15631" max="15631" width="11.42578125" customWidth="1"/>
    <col min="15873" max="15873" width="30.42578125" customWidth="1"/>
    <col min="15874" max="15874" width="12.5703125" customWidth="1"/>
    <col min="15875" max="15875" width="11.42578125" customWidth="1"/>
    <col min="15876" max="15876" width="13.28515625" bestFit="1" customWidth="1"/>
    <col min="15877" max="15877" width="14" bestFit="1" customWidth="1"/>
    <col min="15878" max="15878" width="9.5703125" customWidth="1"/>
    <col min="15879" max="15879" width="11" customWidth="1"/>
    <col min="15880" max="15880" width="9.85546875" bestFit="1" customWidth="1"/>
    <col min="15881" max="15881" width="9.28515625" customWidth="1"/>
    <col min="15884" max="15884" width="7.85546875" customWidth="1"/>
    <col min="15886" max="15886" width="12.28515625" customWidth="1"/>
    <col min="15887" max="15887" width="11.42578125" customWidth="1"/>
    <col min="16129" max="16129" width="30.42578125" customWidth="1"/>
    <col min="16130" max="16130" width="12.5703125" customWidth="1"/>
    <col min="16131" max="16131" width="11.42578125" customWidth="1"/>
    <col min="16132" max="16132" width="13.28515625" bestFit="1" customWidth="1"/>
    <col min="16133" max="16133" width="14" bestFit="1" customWidth="1"/>
    <col min="16134" max="16134" width="9.5703125" customWidth="1"/>
    <col min="16135" max="16135" width="11" customWidth="1"/>
    <col min="16136" max="16136" width="9.85546875" bestFit="1" customWidth="1"/>
    <col min="16137" max="16137" width="9.28515625" customWidth="1"/>
    <col min="16140" max="16140" width="7.85546875" customWidth="1"/>
    <col min="16142" max="16142" width="12.28515625" customWidth="1"/>
    <col min="16143" max="16143" width="11.42578125" customWidth="1"/>
  </cols>
  <sheetData>
    <row r="1" spans="1:15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</row>
    <row r="2" spans="1:15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</row>
    <row r="4" spans="1:15">
      <c r="A4" s="46" t="s">
        <v>828</v>
      </c>
      <c r="B4" s="854" t="s">
        <v>5533</v>
      </c>
      <c r="C4" s="854"/>
      <c r="D4" s="854"/>
      <c r="E4" s="854" t="s">
        <v>830</v>
      </c>
      <c r="F4" s="854"/>
      <c r="G4" s="854"/>
      <c r="H4" s="854" t="s">
        <v>5534</v>
      </c>
      <c r="I4" s="854"/>
      <c r="J4" s="46" t="s">
        <v>5</v>
      </c>
      <c r="K4" s="46"/>
      <c r="L4" s="47">
        <v>533.46500000000003</v>
      </c>
      <c r="M4" s="46" t="s">
        <v>831</v>
      </c>
      <c r="N4" s="46"/>
      <c r="O4" s="47">
        <v>80</v>
      </c>
    </row>
    <row r="5" spans="1:15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>
      <c r="A6" s="46" t="s">
        <v>832</v>
      </c>
      <c r="B6" s="854" t="s">
        <v>5535</v>
      </c>
      <c r="C6" s="854"/>
      <c r="D6" s="854"/>
      <c r="E6" s="854" t="s">
        <v>176</v>
      </c>
      <c r="F6" s="854"/>
      <c r="G6" s="854"/>
      <c r="H6" s="854" t="s">
        <v>5536</v>
      </c>
      <c r="I6" s="854"/>
      <c r="J6" s="854"/>
      <c r="K6" s="46"/>
      <c r="L6" s="46"/>
      <c r="M6" s="46"/>
      <c r="N6" s="46"/>
      <c r="O6" s="46"/>
    </row>
    <row r="7" spans="1: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</row>
    <row r="8" spans="1:15" ht="23.25" customHeight="1">
      <c r="A8" s="46" t="s">
        <v>835</v>
      </c>
      <c r="B8" s="854" t="s">
        <v>5537</v>
      </c>
      <c r="C8" s="854"/>
      <c r="D8" s="854"/>
      <c r="E8" s="967" t="s">
        <v>5519</v>
      </c>
      <c r="F8" s="989"/>
      <c r="G8" s="940"/>
      <c r="H8" s="854" t="s">
        <v>5538</v>
      </c>
      <c r="I8" s="854"/>
      <c r="J8" s="854"/>
      <c r="K8" s="854"/>
      <c r="L8" s="854"/>
      <c r="M8" s="46"/>
      <c r="N8" s="46"/>
      <c r="O8" s="46"/>
    </row>
    <row r="9" spans="1:15">
      <c r="A9" s="46"/>
      <c r="B9" s="46"/>
      <c r="C9" s="46"/>
      <c r="D9" s="46"/>
      <c r="E9" s="46"/>
      <c r="F9" s="46"/>
      <c r="G9" s="46"/>
      <c r="H9" s="48"/>
      <c r="I9" s="48"/>
      <c r="J9" s="48"/>
      <c r="K9" s="48"/>
      <c r="L9" s="48"/>
      <c r="M9" s="46"/>
      <c r="N9" s="46"/>
      <c r="O9" s="46"/>
    </row>
    <row r="10" spans="1:1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15">
      <c r="A11" s="47" t="s">
        <v>838</v>
      </c>
      <c r="B11" s="854" t="s">
        <v>5539</v>
      </c>
      <c r="C11" s="854"/>
      <c r="D11" s="854" t="s">
        <v>5540</v>
      </c>
      <c r="E11" s="854"/>
      <c r="F11" s="854"/>
      <c r="G11" s="854"/>
      <c r="H11" s="854" t="s">
        <v>5541</v>
      </c>
      <c r="I11" s="854"/>
      <c r="J11" s="854"/>
      <c r="K11" s="854" t="s">
        <v>5542</v>
      </c>
      <c r="L11" s="854"/>
      <c r="M11" s="854"/>
      <c r="N11" s="854"/>
      <c r="O11" s="46"/>
    </row>
    <row r="12" spans="1:15">
      <c r="A12" s="47" t="s">
        <v>840</v>
      </c>
      <c r="B12" s="854" t="s">
        <v>5543</v>
      </c>
      <c r="C12" s="854"/>
      <c r="D12" s="854" t="s">
        <v>5544</v>
      </c>
      <c r="E12" s="854"/>
      <c r="F12" s="854"/>
      <c r="G12" s="854"/>
      <c r="H12" s="854" t="s">
        <v>5488</v>
      </c>
      <c r="I12" s="854"/>
      <c r="J12" s="854"/>
      <c r="K12" s="854" t="s">
        <v>5545</v>
      </c>
      <c r="L12" s="854"/>
      <c r="M12" s="854"/>
      <c r="N12" s="854"/>
      <c r="O12" s="46"/>
    </row>
    <row r="13" spans="1:15" ht="23.25" customHeight="1">
      <c r="A13" s="47" t="s">
        <v>844</v>
      </c>
      <c r="B13" s="1155" t="s">
        <v>5546</v>
      </c>
      <c r="C13" s="917"/>
      <c r="D13" s="843" t="s">
        <v>5547</v>
      </c>
      <c r="E13" s="870"/>
      <c r="F13" s="870"/>
      <c r="G13" s="844"/>
      <c r="H13" s="854" t="s">
        <v>5548</v>
      </c>
      <c r="I13" s="854"/>
      <c r="J13" s="854"/>
      <c r="K13" s="854" t="s">
        <v>5549</v>
      </c>
      <c r="L13" s="854"/>
      <c r="M13" s="854"/>
      <c r="N13" s="854"/>
      <c r="O13" s="46"/>
    </row>
    <row r="14" spans="1:15">
      <c r="A14" s="47" t="s">
        <v>850</v>
      </c>
      <c r="B14" s="854"/>
      <c r="C14" s="854"/>
      <c r="D14" s="854" t="s">
        <v>5537</v>
      </c>
      <c r="E14" s="854"/>
      <c r="F14" s="854"/>
      <c r="G14" s="854"/>
      <c r="H14" s="854"/>
      <c r="I14" s="854"/>
      <c r="J14" s="854"/>
      <c r="K14" s="854"/>
      <c r="L14" s="854"/>
      <c r="M14" s="854"/>
      <c r="N14" s="854"/>
      <c r="O14" s="46"/>
    </row>
    <row r="15" spans="1:1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</row>
    <row r="16" spans="1:15">
      <c r="A16" s="46" t="s">
        <v>852</v>
      </c>
      <c r="B16" s="47">
        <v>4</v>
      </c>
      <c r="C16" s="46" t="s">
        <v>853</v>
      </c>
      <c r="D16" s="46"/>
      <c r="E16" s="522">
        <v>4</v>
      </c>
      <c r="F16" s="540"/>
      <c r="H16" s="46" t="s">
        <v>643</v>
      </c>
      <c r="I16" s="522">
        <v>11</v>
      </c>
      <c r="J16" s="46" t="s">
        <v>644</v>
      </c>
      <c r="K16" s="47">
        <v>2</v>
      </c>
      <c r="L16" s="46" t="s">
        <v>645</v>
      </c>
      <c r="M16" s="47"/>
      <c r="N16" s="46"/>
      <c r="O16" s="46"/>
    </row>
    <row r="17" spans="1:1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1:1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>
      <c r="A19" s="46" t="s">
        <v>854</v>
      </c>
      <c r="B19" s="46" t="s">
        <v>204</v>
      </c>
      <c r="C19" s="47">
        <v>109</v>
      </c>
      <c r="D19" s="46" t="s">
        <v>205</v>
      </c>
      <c r="E19" s="47"/>
      <c r="F19" s="84"/>
      <c r="G19" s="49" t="s">
        <v>206</v>
      </c>
      <c r="H19" s="47"/>
      <c r="I19" s="46" t="s">
        <v>230</v>
      </c>
      <c r="J19" s="47">
        <v>109</v>
      </c>
      <c r="K19" s="46" t="s">
        <v>207</v>
      </c>
      <c r="L19" s="47">
        <v>75</v>
      </c>
      <c r="M19" s="46" t="s">
        <v>855</v>
      </c>
      <c r="N19" s="46"/>
      <c r="O19" s="47"/>
    </row>
    <row r="20" spans="1:15">
      <c r="A20" s="46" t="s">
        <v>209</v>
      </c>
      <c r="B20" s="46" t="s">
        <v>210</v>
      </c>
      <c r="C20" s="47">
        <v>295</v>
      </c>
      <c r="D20" s="46" t="s">
        <v>211</v>
      </c>
      <c r="E20" s="47"/>
      <c r="F20" s="84"/>
      <c r="G20" s="49" t="s">
        <v>212</v>
      </c>
      <c r="H20" s="47"/>
      <c r="I20" s="46" t="s">
        <v>411</v>
      </c>
      <c r="J20" s="47">
        <v>295</v>
      </c>
      <c r="K20" s="46"/>
      <c r="L20" s="46"/>
      <c r="M20" s="46"/>
      <c r="N20" s="46"/>
      <c r="O20" s="46"/>
    </row>
    <row r="21" spans="1:15">
      <c r="A21" s="46"/>
      <c r="B21" s="46" t="s">
        <v>858</v>
      </c>
      <c r="C21" s="47">
        <v>271</v>
      </c>
      <c r="D21" s="46" t="s">
        <v>214</v>
      </c>
      <c r="E21" s="47"/>
      <c r="F21" s="84"/>
      <c r="G21" s="46" t="s">
        <v>215</v>
      </c>
      <c r="H21" s="47"/>
      <c r="I21" s="46" t="s">
        <v>410</v>
      </c>
      <c r="J21" s="47">
        <v>271</v>
      </c>
      <c r="K21" s="46"/>
      <c r="L21" s="46"/>
      <c r="M21" s="46"/>
      <c r="N21" s="46"/>
      <c r="O21" s="46"/>
    </row>
    <row r="22" spans="1:1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</row>
    <row r="23" spans="1:15">
      <c r="A23" s="50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</row>
    <row r="24" spans="1:15" ht="30" customHeight="1">
      <c r="A24" s="1154" t="s">
        <v>861</v>
      </c>
      <c r="B24" s="988" t="s">
        <v>5532</v>
      </c>
      <c r="C24" s="988" t="s">
        <v>219</v>
      </c>
      <c r="D24" s="988" t="s">
        <v>863</v>
      </c>
      <c r="E24" s="988" t="s">
        <v>864</v>
      </c>
      <c r="F24" s="538"/>
      <c r="G24" s="854" t="s">
        <v>865</v>
      </c>
      <c r="H24" s="854"/>
      <c r="I24" s="854"/>
      <c r="J24" s="854"/>
      <c r="K24" s="854"/>
      <c r="L24" s="854"/>
      <c r="M24" s="854"/>
      <c r="N24" s="854"/>
      <c r="O24" s="854"/>
    </row>
    <row r="25" spans="1:15" ht="23.25" customHeight="1">
      <c r="A25" s="1154"/>
      <c r="B25" s="988"/>
      <c r="C25" s="988"/>
      <c r="D25" s="988"/>
      <c r="E25" s="988"/>
      <c r="F25" s="538" t="s">
        <v>1180</v>
      </c>
      <c r="G25" s="47" t="s">
        <v>1179</v>
      </c>
      <c r="H25" s="47" t="s">
        <v>1178</v>
      </c>
      <c r="I25" s="47">
        <v>3</v>
      </c>
      <c r="J25" s="47">
        <v>4</v>
      </c>
      <c r="K25" s="47">
        <v>5</v>
      </c>
      <c r="L25" s="47">
        <v>6</v>
      </c>
      <c r="M25" s="47">
        <v>7</v>
      </c>
      <c r="N25" s="47" t="s">
        <v>230</v>
      </c>
      <c r="O25" s="47" t="s">
        <v>662</v>
      </c>
    </row>
    <row r="26" spans="1:15">
      <c r="A26" s="491" t="s">
        <v>232</v>
      </c>
      <c r="B26" s="491">
        <v>8000</v>
      </c>
      <c r="C26" s="492" t="s">
        <v>873</v>
      </c>
      <c r="D26" s="502">
        <f>+B26*L4/100000</f>
        <v>42.677199999999999</v>
      </c>
      <c r="E26" s="494">
        <f>1380000/100000</f>
        <v>13.8</v>
      </c>
      <c r="F26" s="494"/>
      <c r="G26" s="495">
        <f>208016/100000</f>
        <v>2.0801599999999998</v>
      </c>
      <c r="H26" s="495">
        <f>999410/100000</f>
        <v>9.9940999999999995</v>
      </c>
      <c r="I26" s="495"/>
      <c r="J26" s="495"/>
      <c r="K26" s="495"/>
      <c r="L26" s="495"/>
      <c r="M26" s="495"/>
      <c r="N26" s="494">
        <f>+G26+H26</f>
        <v>12.074259999999999</v>
      </c>
      <c r="O26" s="495">
        <f>+N26*100/E26</f>
        <v>87.494637681159418</v>
      </c>
    </row>
    <row r="27" spans="1:15">
      <c r="A27" s="491" t="s">
        <v>874</v>
      </c>
      <c r="B27" s="491">
        <v>7000</v>
      </c>
      <c r="C27" s="492" t="s">
        <v>873</v>
      </c>
      <c r="D27" s="495">
        <f>560000/100000</f>
        <v>5.6</v>
      </c>
      <c r="E27" s="495">
        <v>0</v>
      </c>
      <c r="F27" s="495"/>
      <c r="G27" s="495">
        <v>0</v>
      </c>
      <c r="H27" s="495">
        <v>0</v>
      </c>
      <c r="I27" s="495"/>
      <c r="J27" s="495"/>
      <c r="K27" s="495"/>
      <c r="L27" s="495"/>
      <c r="M27" s="495"/>
      <c r="N27" s="495">
        <f t="shared" ref="N27:N33" si="0">+G27+H27</f>
        <v>0</v>
      </c>
      <c r="O27" s="495">
        <v>0</v>
      </c>
    </row>
    <row r="28" spans="1:15">
      <c r="A28" s="491" t="s">
        <v>235</v>
      </c>
      <c r="B28" s="491">
        <v>43000</v>
      </c>
      <c r="C28" s="496" t="s">
        <v>5388</v>
      </c>
      <c r="D28" s="494">
        <v>0.43</v>
      </c>
      <c r="E28" s="494">
        <f>35000/100000</f>
        <v>0.35</v>
      </c>
      <c r="F28" s="494"/>
      <c r="G28" s="495">
        <f>5440/100000</f>
        <v>5.4399999999999997E-2</v>
      </c>
      <c r="H28" s="495">
        <f>18110/100000</f>
        <v>0.18110000000000001</v>
      </c>
      <c r="I28" s="495"/>
      <c r="J28" s="495"/>
      <c r="K28" s="495"/>
      <c r="L28" s="495"/>
      <c r="M28" s="495"/>
      <c r="N28" s="494">
        <f t="shared" si="0"/>
        <v>0.23550000000000001</v>
      </c>
      <c r="O28" s="495">
        <f>+N28*100/E28</f>
        <v>67.285714285714292</v>
      </c>
    </row>
    <row r="29" spans="1:15">
      <c r="A29" s="491" t="s">
        <v>875</v>
      </c>
      <c r="B29" s="491">
        <v>37000</v>
      </c>
      <c r="C29" s="496" t="s">
        <v>5388</v>
      </c>
      <c r="D29" s="495">
        <v>0.34</v>
      </c>
      <c r="E29" s="494">
        <f>16000/100000</f>
        <v>0.16</v>
      </c>
      <c r="F29" s="494"/>
      <c r="G29" s="495">
        <f>16000/100000</f>
        <v>0.16</v>
      </c>
      <c r="H29" s="495">
        <v>0</v>
      </c>
      <c r="I29" s="495"/>
      <c r="J29" s="495"/>
      <c r="K29" s="495"/>
      <c r="L29" s="495"/>
      <c r="M29" s="495"/>
      <c r="N29" s="494">
        <f t="shared" si="0"/>
        <v>0.16</v>
      </c>
      <c r="O29" s="495">
        <f>+N29*100/E29</f>
        <v>100</v>
      </c>
    </row>
    <row r="30" spans="1:15">
      <c r="A30" s="491" t="s">
        <v>238</v>
      </c>
      <c r="B30" s="491">
        <v>1200</v>
      </c>
      <c r="C30" s="492" t="s">
        <v>873</v>
      </c>
      <c r="D30" s="495">
        <f>+B30*L4/100000</f>
        <v>6.40158</v>
      </c>
      <c r="E30" s="495">
        <f>200000/100000</f>
        <v>2</v>
      </c>
      <c r="F30" s="494"/>
      <c r="G30" s="495">
        <v>0</v>
      </c>
      <c r="H30" s="495">
        <f>50000/100000</f>
        <v>0.5</v>
      </c>
      <c r="I30" s="495"/>
      <c r="J30" s="495"/>
      <c r="K30" s="495"/>
      <c r="L30" s="495"/>
      <c r="M30" s="495"/>
      <c r="N30" s="494">
        <f t="shared" si="0"/>
        <v>0.5</v>
      </c>
      <c r="O30" s="495">
        <f>+N30*100/E30</f>
        <v>25</v>
      </c>
    </row>
    <row r="31" spans="1:15">
      <c r="A31" s="491" t="s">
        <v>667</v>
      </c>
      <c r="B31" s="491">
        <v>565</v>
      </c>
      <c r="C31" s="492" t="s">
        <v>873</v>
      </c>
      <c r="D31" s="495">
        <f>+B31*L4/100000</f>
        <v>3.0140772500000002</v>
      </c>
      <c r="E31" s="494">
        <f>301428/100000</f>
        <v>3.0142799999999998</v>
      </c>
      <c r="F31" s="494"/>
      <c r="G31" s="495">
        <f>301428/100000</f>
        <v>3.0142799999999998</v>
      </c>
      <c r="H31" s="495">
        <v>0</v>
      </c>
      <c r="I31" s="495"/>
      <c r="J31" s="495"/>
      <c r="K31" s="495"/>
      <c r="L31" s="495"/>
      <c r="M31" s="495"/>
      <c r="N31" s="494">
        <f>+G31+H31</f>
        <v>3.0142799999999998</v>
      </c>
      <c r="O31" s="495">
        <f>+N31*100/E31</f>
        <v>100</v>
      </c>
    </row>
    <row r="32" spans="1:15">
      <c r="A32" s="491" t="s">
        <v>876</v>
      </c>
      <c r="B32" s="491">
        <v>1000</v>
      </c>
      <c r="C32" s="492" t="s">
        <v>873</v>
      </c>
      <c r="D32" s="495">
        <f>+B32*L4/100000</f>
        <v>5.3346499999999999</v>
      </c>
      <c r="E32" s="495">
        <v>0</v>
      </c>
      <c r="F32" s="495"/>
      <c r="G32" s="495">
        <v>0</v>
      </c>
      <c r="H32" s="495">
        <v>0</v>
      </c>
      <c r="I32" s="495"/>
      <c r="J32" s="495"/>
      <c r="K32" s="495"/>
      <c r="L32" s="495"/>
      <c r="M32" s="495"/>
      <c r="N32" s="495">
        <f t="shared" si="0"/>
        <v>0</v>
      </c>
      <c r="O32" s="495">
        <v>0</v>
      </c>
    </row>
    <row r="33" spans="1:15">
      <c r="A33" s="491" t="s">
        <v>394</v>
      </c>
      <c r="B33" s="491">
        <v>2750</v>
      </c>
      <c r="C33" s="496" t="s">
        <v>5486</v>
      </c>
      <c r="D33" s="494">
        <v>0.76</v>
      </c>
      <c r="E33" s="494">
        <f>66000/100000</f>
        <v>0.66</v>
      </c>
      <c r="F33" s="494"/>
      <c r="G33" s="495">
        <f>29000/100000</f>
        <v>0.28999999999999998</v>
      </c>
      <c r="H33" s="495">
        <f>37500/100000</f>
        <v>0.375</v>
      </c>
      <c r="I33" s="495"/>
      <c r="J33" s="495"/>
      <c r="K33" s="495"/>
      <c r="L33" s="495"/>
      <c r="M33" s="495"/>
      <c r="N33" s="495">
        <f t="shared" si="0"/>
        <v>0.66500000000000004</v>
      </c>
      <c r="O33" s="495">
        <f>+N33*100/E33</f>
        <v>100.75757575757575</v>
      </c>
    </row>
    <row r="34" spans="1:15">
      <c r="A34" s="498" t="s">
        <v>670</v>
      </c>
      <c r="B34" s="499">
        <v>2000</v>
      </c>
      <c r="C34" s="496" t="s">
        <v>244</v>
      </c>
      <c r="D34" s="501">
        <v>0.1</v>
      </c>
      <c r="E34" s="501">
        <v>0.1</v>
      </c>
      <c r="F34" s="494"/>
      <c r="G34" s="495"/>
      <c r="H34" s="501">
        <v>0.1</v>
      </c>
      <c r="I34" s="495"/>
      <c r="J34" s="495"/>
      <c r="K34" s="495"/>
      <c r="L34" s="495"/>
      <c r="M34" s="495"/>
      <c r="N34" s="495"/>
      <c r="O34" s="495"/>
    </row>
    <row r="35" spans="1:15">
      <c r="A35" s="69" t="s">
        <v>5550</v>
      </c>
      <c r="B35" s="70"/>
      <c r="C35" s="70"/>
      <c r="D35" s="88">
        <f>SUM(D26:D33)</f>
        <v>64.557507250000015</v>
      </c>
      <c r="E35" s="88">
        <f t="shared" ref="E35:N35" si="1">SUM(E26:E33)</f>
        <v>19.984280000000002</v>
      </c>
      <c r="F35" s="88">
        <f t="shared" si="1"/>
        <v>0</v>
      </c>
      <c r="G35" s="88">
        <f t="shared" si="1"/>
        <v>5.59884</v>
      </c>
      <c r="H35" s="88">
        <f t="shared" si="1"/>
        <v>11.0502</v>
      </c>
      <c r="I35" s="88">
        <f t="shared" si="1"/>
        <v>0</v>
      </c>
      <c r="J35" s="88">
        <f t="shared" si="1"/>
        <v>0</v>
      </c>
      <c r="K35" s="88">
        <f t="shared" si="1"/>
        <v>0</v>
      </c>
      <c r="L35" s="88">
        <f t="shared" si="1"/>
        <v>0</v>
      </c>
      <c r="M35" s="88">
        <f t="shared" si="1"/>
        <v>0</v>
      </c>
      <c r="N35" s="88">
        <f t="shared" si="1"/>
        <v>16.649039999999999</v>
      </c>
      <c r="O35" s="348">
        <f>+N35*100/E35</f>
        <v>83.310682196206216</v>
      </c>
    </row>
  </sheetData>
  <mergeCells count="34">
    <mergeCell ref="B6:D6"/>
    <mergeCell ref="E6:G6"/>
    <mergeCell ref="H6:J6"/>
    <mergeCell ref="A1:O1"/>
    <mergeCell ref="A2:O2"/>
    <mergeCell ref="B4:D4"/>
    <mergeCell ref="E4:G4"/>
    <mergeCell ref="H4:I4"/>
    <mergeCell ref="A5:C5"/>
    <mergeCell ref="B8:D8"/>
    <mergeCell ref="E8:G8"/>
    <mergeCell ref="H8:L8"/>
    <mergeCell ref="B11:C11"/>
    <mergeCell ref="D11:G11"/>
    <mergeCell ref="H11:J11"/>
    <mergeCell ref="K11:N11"/>
    <mergeCell ref="B12:C12"/>
    <mergeCell ref="D12:G12"/>
    <mergeCell ref="H12:J12"/>
    <mergeCell ref="K12:N12"/>
    <mergeCell ref="B13:C13"/>
    <mergeCell ref="D13:G13"/>
    <mergeCell ref="H13:J13"/>
    <mergeCell ref="K13:N13"/>
    <mergeCell ref="B14:C14"/>
    <mergeCell ref="D14:G14"/>
    <mergeCell ref="H14:J14"/>
    <mergeCell ref="K14:N14"/>
    <mergeCell ref="A24:A25"/>
    <mergeCell ref="B24:B25"/>
    <mergeCell ref="C24:C25"/>
    <mergeCell ref="D24:D25"/>
    <mergeCell ref="E24:E25"/>
    <mergeCell ref="G24:O24"/>
  </mergeCells>
  <hyperlinks>
    <hyperlink ref="A5" location="'Fact Sheet of VDC'!A1" display="&lt;&lt;Back"/>
  </hyperlinks>
  <pageMargins left="0.7" right="0.7" top="0.75" bottom="0.75" header="0.3" footer="0.3"/>
  <pageSetup paperSize="9" scale="68" orientation="landscape" r:id="rId1"/>
</worksheet>
</file>

<file path=xl/worksheets/sheet183.xml><?xml version="1.0" encoding="utf-8"?>
<worksheet xmlns="http://schemas.openxmlformats.org/spreadsheetml/2006/main" xmlns:r="http://schemas.openxmlformats.org/officeDocument/2006/relationships">
  <dimension ref="A1:O35"/>
  <sheetViews>
    <sheetView workbookViewId="0">
      <selection activeCell="A5" sqref="A5:C5"/>
    </sheetView>
  </sheetViews>
  <sheetFormatPr defaultRowHeight="15"/>
  <cols>
    <col min="1" max="1" width="30.42578125" customWidth="1"/>
    <col min="2" max="2" width="13.85546875" customWidth="1"/>
    <col min="4" max="7" width="11" customWidth="1"/>
    <col min="8" max="8" width="10.5703125" bestFit="1" customWidth="1"/>
    <col min="9" max="9" width="9.28515625" customWidth="1"/>
    <col min="10" max="11" width="9.42578125" bestFit="1" customWidth="1"/>
    <col min="12" max="12" width="7.85546875" customWidth="1"/>
    <col min="13" max="13" width="9.42578125" bestFit="1" customWidth="1"/>
    <col min="14" max="14" width="11.42578125" customWidth="1"/>
    <col min="15" max="15" width="9.42578125" bestFit="1" customWidth="1"/>
    <col min="257" max="257" width="30.42578125" customWidth="1"/>
    <col min="258" max="258" width="13.85546875" customWidth="1"/>
    <col min="260" max="263" width="11" customWidth="1"/>
    <col min="264" max="264" width="10.5703125" bestFit="1" customWidth="1"/>
    <col min="265" max="265" width="9.28515625" customWidth="1"/>
    <col min="266" max="267" width="9.42578125" bestFit="1" customWidth="1"/>
    <col min="268" max="268" width="7.85546875" customWidth="1"/>
    <col min="269" max="269" width="9.42578125" bestFit="1" customWidth="1"/>
    <col min="270" max="270" width="11.42578125" customWidth="1"/>
    <col min="271" max="271" width="9.42578125" bestFit="1" customWidth="1"/>
    <col min="513" max="513" width="30.42578125" customWidth="1"/>
    <col min="514" max="514" width="13.85546875" customWidth="1"/>
    <col min="516" max="519" width="11" customWidth="1"/>
    <col min="520" max="520" width="10.5703125" bestFit="1" customWidth="1"/>
    <col min="521" max="521" width="9.28515625" customWidth="1"/>
    <col min="522" max="523" width="9.42578125" bestFit="1" customWidth="1"/>
    <col min="524" max="524" width="7.85546875" customWidth="1"/>
    <col min="525" max="525" width="9.42578125" bestFit="1" customWidth="1"/>
    <col min="526" max="526" width="11.42578125" customWidth="1"/>
    <col min="527" max="527" width="9.42578125" bestFit="1" customWidth="1"/>
    <col min="769" max="769" width="30.42578125" customWidth="1"/>
    <col min="770" max="770" width="13.85546875" customWidth="1"/>
    <col min="772" max="775" width="11" customWidth="1"/>
    <col min="776" max="776" width="10.5703125" bestFit="1" customWidth="1"/>
    <col min="777" max="777" width="9.28515625" customWidth="1"/>
    <col min="778" max="779" width="9.42578125" bestFit="1" customWidth="1"/>
    <col min="780" max="780" width="7.85546875" customWidth="1"/>
    <col min="781" max="781" width="9.42578125" bestFit="1" customWidth="1"/>
    <col min="782" max="782" width="11.42578125" customWidth="1"/>
    <col min="783" max="783" width="9.42578125" bestFit="1" customWidth="1"/>
    <col min="1025" max="1025" width="30.42578125" customWidth="1"/>
    <col min="1026" max="1026" width="13.85546875" customWidth="1"/>
    <col min="1028" max="1031" width="11" customWidth="1"/>
    <col min="1032" max="1032" width="10.5703125" bestFit="1" customWidth="1"/>
    <col min="1033" max="1033" width="9.28515625" customWidth="1"/>
    <col min="1034" max="1035" width="9.42578125" bestFit="1" customWidth="1"/>
    <col min="1036" max="1036" width="7.85546875" customWidth="1"/>
    <col min="1037" max="1037" width="9.42578125" bestFit="1" customWidth="1"/>
    <col min="1038" max="1038" width="11.42578125" customWidth="1"/>
    <col min="1039" max="1039" width="9.42578125" bestFit="1" customWidth="1"/>
    <col min="1281" max="1281" width="30.42578125" customWidth="1"/>
    <col min="1282" max="1282" width="13.85546875" customWidth="1"/>
    <col min="1284" max="1287" width="11" customWidth="1"/>
    <col min="1288" max="1288" width="10.5703125" bestFit="1" customWidth="1"/>
    <col min="1289" max="1289" width="9.28515625" customWidth="1"/>
    <col min="1290" max="1291" width="9.42578125" bestFit="1" customWidth="1"/>
    <col min="1292" max="1292" width="7.85546875" customWidth="1"/>
    <col min="1293" max="1293" width="9.42578125" bestFit="1" customWidth="1"/>
    <col min="1294" max="1294" width="11.42578125" customWidth="1"/>
    <col min="1295" max="1295" width="9.42578125" bestFit="1" customWidth="1"/>
    <col min="1537" max="1537" width="30.42578125" customWidth="1"/>
    <col min="1538" max="1538" width="13.85546875" customWidth="1"/>
    <col min="1540" max="1543" width="11" customWidth="1"/>
    <col min="1544" max="1544" width="10.5703125" bestFit="1" customWidth="1"/>
    <col min="1545" max="1545" width="9.28515625" customWidth="1"/>
    <col min="1546" max="1547" width="9.42578125" bestFit="1" customWidth="1"/>
    <col min="1548" max="1548" width="7.85546875" customWidth="1"/>
    <col min="1549" max="1549" width="9.42578125" bestFit="1" customWidth="1"/>
    <col min="1550" max="1550" width="11.42578125" customWidth="1"/>
    <col min="1551" max="1551" width="9.42578125" bestFit="1" customWidth="1"/>
    <col min="1793" max="1793" width="30.42578125" customWidth="1"/>
    <col min="1794" max="1794" width="13.85546875" customWidth="1"/>
    <col min="1796" max="1799" width="11" customWidth="1"/>
    <col min="1800" max="1800" width="10.5703125" bestFit="1" customWidth="1"/>
    <col min="1801" max="1801" width="9.28515625" customWidth="1"/>
    <col min="1802" max="1803" width="9.42578125" bestFit="1" customWidth="1"/>
    <col min="1804" max="1804" width="7.85546875" customWidth="1"/>
    <col min="1805" max="1805" width="9.42578125" bestFit="1" customWidth="1"/>
    <col min="1806" max="1806" width="11.42578125" customWidth="1"/>
    <col min="1807" max="1807" width="9.42578125" bestFit="1" customWidth="1"/>
    <col min="2049" max="2049" width="30.42578125" customWidth="1"/>
    <col min="2050" max="2050" width="13.85546875" customWidth="1"/>
    <col min="2052" max="2055" width="11" customWidth="1"/>
    <col min="2056" max="2056" width="10.5703125" bestFit="1" customWidth="1"/>
    <col min="2057" max="2057" width="9.28515625" customWidth="1"/>
    <col min="2058" max="2059" width="9.42578125" bestFit="1" customWidth="1"/>
    <col min="2060" max="2060" width="7.85546875" customWidth="1"/>
    <col min="2061" max="2061" width="9.42578125" bestFit="1" customWidth="1"/>
    <col min="2062" max="2062" width="11.42578125" customWidth="1"/>
    <col min="2063" max="2063" width="9.42578125" bestFit="1" customWidth="1"/>
    <col min="2305" max="2305" width="30.42578125" customWidth="1"/>
    <col min="2306" max="2306" width="13.85546875" customWidth="1"/>
    <col min="2308" max="2311" width="11" customWidth="1"/>
    <col min="2312" max="2312" width="10.5703125" bestFit="1" customWidth="1"/>
    <col min="2313" max="2313" width="9.28515625" customWidth="1"/>
    <col min="2314" max="2315" width="9.42578125" bestFit="1" customWidth="1"/>
    <col min="2316" max="2316" width="7.85546875" customWidth="1"/>
    <col min="2317" max="2317" width="9.42578125" bestFit="1" customWidth="1"/>
    <col min="2318" max="2318" width="11.42578125" customWidth="1"/>
    <col min="2319" max="2319" width="9.42578125" bestFit="1" customWidth="1"/>
    <col min="2561" max="2561" width="30.42578125" customWidth="1"/>
    <col min="2562" max="2562" width="13.85546875" customWidth="1"/>
    <col min="2564" max="2567" width="11" customWidth="1"/>
    <col min="2568" max="2568" width="10.5703125" bestFit="1" customWidth="1"/>
    <col min="2569" max="2569" width="9.28515625" customWidth="1"/>
    <col min="2570" max="2571" width="9.42578125" bestFit="1" customWidth="1"/>
    <col min="2572" max="2572" width="7.85546875" customWidth="1"/>
    <col min="2573" max="2573" width="9.42578125" bestFit="1" customWidth="1"/>
    <col min="2574" max="2574" width="11.42578125" customWidth="1"/>
    <col min="2575" max="2575" width="9.42578125" bestFit="1" customWidth="1"/>
    <col min="2817" max="2817" width="30.42578125" customWidth="1"/>
    <col min="2818" max="2818" width="13.85546875" customWidth="1"/>
    <col min="2820" max="2823" width="11" customWidth="1"/>
    <col min="2824" max="2824" width="10.5703125" bestFit="1" customWidth="1"/>
    <col min="2825" max="2825" width="9.28515625" customWidth="1"/>
    <col min="2826" max="2827" width="9.42578125" bestFit="1" customWidth="1"/>
    <col min="2828" max="2828" width="7.85546875" customWidth="1"/>
    <col min="2829" max="2829" width="9.42578125" bestFit="1" customWidth="1"/>
    <col min="2830" max="2830" width="11.42578125" customWidth="1"/>
    <col min="2831" max="2831" width="9.42578125" bestFit="1" customWidth="1"/>
    <col min="3073" max="3073" width="30.42578125" customWidth="1"/>
    <col min="3074" max="3074" width="13.85546875" customWidth="1"/>
    <col min="3076" max="3079" width="11" customWidth="1"/>
    <col min="3080" max="3080" width="10.5703125" bestFit="1" customWidth="1"/>
    <col min="3081" max="3081" width="9.28515625" customWidth="1"/>
    <col min="3082" max="3083" width="9.42578125" bestFit="1" customWidth="1"/>
    <col min="3084" max="3084" width="7.85546875" customWidth="1"/>
    <col min="3085" max="3085" width="9.42578125" bestFit="1" customWidth="1"/>
    <col min="3086" max="3086" width="11.42578125" customWidth="1"/>
    <col min="3087" max="3087" width="9.42578125" bestFit="1" customWidth="1"/>
    <col min="3329" max="3329" width="30.42578125" customWidth="1"/>
    <col min="3330" max="3330" width="13.85546875" customWidth="1"/>
    <col min="3332" max="3335" width="11" customWidth="1"/>
    <col min="3336" max="3336" width="10.5703125" bestFit="1" customWidth="1"/>
    <col min="3337" max="3337" width="9.28515625" customWidth="1"/>
    <col min="3338" max="3339" width="9.42578125" bestFit="1" customWidth="1"/>
    <col min="3340" max="3340" width="7.85546875" customWidth="1"/>
    <col min="3341" max="3341" width="9.42578125" bestFit="1" customWidth="1"/>
    <col min="3342" max="3342" width="11.42578125" customWidth="1"/>
    <col min="3343" max="3343" width="9.42578125" bestFit="1" customWidth="1"/>
    <col min="3585" max="3585" width="30.42578125" customWidth="1"/>
    <col min="3586" max="3586" width="13.85546875" customWidth="1"/>
    <col min="3588" max="3591" width="11" customWidth="1"/>
    <col min="3592" max="3592" width="10.5703125" bestFit="1" customWidth="1"/>
    <col min="3593" max="3593" width="9.28515625" customWidth="1"/>
    <col min="3594" max="3595" width="9.42578125" bestFit="1" customWidth="1"/>
    <col min="3596" max="3596" width="7.85546875" customWidth="1"/>
    <col min="3597" max="3597" width="9.42578125" bestFit="1" customWidth="1"/>
    <col min="3598" max="3598" width="11.42578125" customWidth="1"/>
    <col min="3599" max="3599" width="9.42578125" bestFit="1" customWidth="1"/>
    <col min="3841" max="3841" width="30.42578125" customWidth="1"/>
    <col min="3842" max="3842" width="13.85546875" customWidth="1"/>
    <col min="3844" max="3847" width="11" customWidth="1"/>
    <col min="3848" max="3848" width="10.5703125" bestFit="1" customWidth="1"/>
    <col min="3849" max="3849" width="9.28515625" customWidth="1"/>
    <col min="3850" max="3851" width="9.42578125" bestFit="1" customWidth="1"/>
    <col min="3852" max="3852" width="7.85546875" customWidth="1"/>
    <col min="3853" max="3853" width="9.42578125" bestFit="1" customWidth="1"/>
    <col min="3854" max="3854" width="11.42578125" customWidth="1"/>
    <col min="3855" max="3855" width="9.42578125" bestFit="1" customWidth="1"/>
    <col min="4097" max="4097" width="30.42578125" customWidth="1"/>
    <col min="4098" max="4098" width="13.85546875" customWidth="1"/>
    <col min="4100" max="4103" width="11" customWidth="1"/>
    <col min="4104" max="4104" width="10.5703125" bestFit="1" customWidth="1"/>
    <col min="4105" max="4105" width="9.28515625" customWidth="1"/>
    <col min="4106" max="4107" width="9.42578125" bestFit="1" customWidth="1"/>
    <col min="4108" max="4108" width="7.85546875" customWidth="1"/>
    <col min="4109" max="4109" width="9.42578125" bestFit="1" customWidth="1"/>
    <col min="4110" max="4110" width="11.42578125" customWidth="1"/>
    <col min="4111" max="4111" width="9.42578125" bestFit="1" customWidth="1"/>
    <col min="4353" max="4353" width="30.42578125" customWidth="1"/>
    <col min="4354" max="4354" width="13.85546875" customWidth="1"/>
    <col min="4356" max="4359" width="11" customWidth="1"/>
    <col min="4360" max="4360" width="10.5703125" bestFit="1" customWidth="1"/>
    <col min="4361" max="4361" width="9.28515625" customWidth="1"/>
    <col min="4362" max="4363" width="9.42578125" bestFit="1" customWidth="1"/>
    <col min="4364" max="4364" width="7.85546875" customWidth="1"/>
    <col min="4365" max="4365" width="9.42578125" bestFit="1" customWidth="1"/>
    <col min="4366" max="4366" width="11.42578125" customWidth="1"/>
    <col min="4367" max="4367" width="9.42578125" bestFit="1" customWidth="1"/>
    <col min="4609" max="4609" width="30.42578125" customWidth="1"/>
    <col min="4610" max="4610" width="13.85546875" customWidth="1"/>
    <col min="4612" max="4615" width="11" customWidth="1"/>
    <col min="4616" max="4616" width="10.5703125" bestFit="1" customWidth="1"/>
    <col min="4617" max="4617" width="9.28515625" customWidth="1"/>
    <col min="4618" max="4619" width="9.42578125" bestFit="1" customWidth="1"/>
    <col min="4620" max="4620" width="7.85546875" customWidth="1"/>
    <col min="4621" max="4621" width="9.42578125" bestFit="1" customWidth="1"/>
    <col min="4622" max="4622" width="11.42578125" customWidth="1"/>
    <col min="4623" max="4623" width="9.42578125" bestFit="1" customWidth="1"/>
    <col min="4865" max="4865" width="30.42578125" customWidth="1"/>
    <col min="4866" max="4866" width="13.85546875" customWidth="1"/>
    <col min="4868" max="4871" width="11" customWidth="1"/>
    <col min="4872" max="4872" width="10.5703125" bestFit="1" customWidth="1"/>
    <col min="4873" max="4873" width="9.28515625" customWidth="1"/>
    <col min="4874" max="4875" width="9.42578125" bestFit="1" customWidth="1"/>
    <col min="4876" max="4876" width="7.85546875" customWidth="1"/>
    <col min="4877" max="4877" width="9.42578125" bestFit="1" customWidth="1"/>
    <col min="4878" max="4878" width="11.42578125" customWidth="1"/>
    <col min="4879" max="4879" width="9.42578125" bestFit="1" customWidth="1"/>
    <col min="5121" max="5121" width="30.42578125" customWidth="1"/>
    <col min="5122" max="5122" width="13.85546875" customWidth="1"/>
    <col min="5124" max="5127" width="11" customWidth="1"/>
    <col min="5128" max="5128" width="10.5703125" bestFit="1" customWidth="1"/>
    <col min="5129" max="5129" width="9.28515625" customWidth="1"/>
    <col min="5130" max="5131" width="9.42578125" bestFit="1" customWidth="1"/>
    <col min="5132" max="5132" width="7.85546875" customWidth="1"/>
    <col min="5133" max="5133" width="9.42578125" bestFit="1" customWidth="1"/>
    <col min="5134" max="5134" width="11.42578125" customWidth="1"/>
    <col min="5135" max="5135" width="9.42578125" bestFit="1" customWidth="1"/>
    <col min="5377" max="5377" width="30.42578125" customWidth="1"/>
    <col min="5378" max="5378" width="13.85546875" customWidth="1"/>
    <col min="5380" max="5383" width="11" customWidth="1"/>
    <col min="5384" max="5384" width="10.5703125" bestFit="1" customWidth="1"/>
    <col min="5385" max="5385" width="9.28515625" customWidth="1"/>
    <col min="5386" max="5387" width="9.42578125" bestFit="1" customWidth="1"/>
    <col min="5388" max="5388" width="7.85546875" customWidth="1"/>
    <col min="5389" max="5389" width="9.42578125" bestFit="1" customWidth="1"/>
    <col min="5390" max="5390" width="11.42578125" customWidth="1"/>
    <col min="5391" max="5391" width="9.42578125" bestFit="1" customWidth="1"/>
    <col min="5633" max="5633" width="30.42578125" customWidth="1"/>
    <col min="5634" max="5634" width="13.85546875" customWidth="1"/>
    <col min="5636" max="5639" width="11" customWidth="1"/>
    <col min="5640" max="5640" width="10.5703125" bestFit="1" customWidth="1"/>
    <col min="5641" max="5641" width="9.28515625" customWidth="1"/>
    <col min="5642" max="5643" width="9.42578125" bestFit="1" customWidth="1"/>
    <col min="5644" max="5644" width="7.85546875" customWidth="1"/>
    <col min="5645" max="5645" width="9.42578125" bestFit="1" customWidth="1"/>
    <col min="5646" max="5646" width="11.42578125" customWidth="1"/>
    <col min="5647" max="5647" width="9.42578125" bestFit="1" customWidth="1"/>
    <col min="5889" max="5889" width="30.42578125" customWidth="1"/>
    <col min="5890" max="5890" width="13.85546875" customWidth="1"/>
    <col min="5892" max="5895" width="11" customWidth="1"/>
    <col min="5896" max="5896" width="10.5703125" bestFit="1" customWidth="1"/>
    <col min="5897" max="5897" width="9.28515625" customWidth="1"/>
    <col min="5898" max="5899" width="9.42578125" bestFit="1" customWidth="1"/>
    <col min="5900" max="5900" width="7.85546875" customWidth="1"/>
    <col min="5901" max="5901" width="9.42578125" bestFit="1" customWidth="1"/>
    <col min="5902" max="5902" width="11.42578125" customWidth="1"/>
    <col min="5903" max="5903" width="9.42578125" bestFit="1" customWidth="1"/>
    <col min="6145" max="6145" width="30.42578125" customWidth="1"/>
    <col min="6146" max="6146" width="13.85546875" customWidth="1"/>
    <col min="6148" max="6151" width="11" customWidth="1"/>
    <col min="6152" max="6152" width="10.5703125" bestFit="1" customWidth="1"/>
    <col min="6153" max="6153" width="9.28515625" customWidth="1"/>
    <col min="6154" max="6155" width="9.42578125" bestFit="1" customWidth="1"/>
    <col min="6156" max="6156" width="7.85546875" customWidth="1"/>
    <col min="6157" max="6157" width="9.42578125" bestFit="1" customWidth="1"/>
    <col min="6158" max="6158" width="11.42578125" customWidth="1"/>
    <col min="6159" max="6159" width="9.42578125" bestFit="1" customWidth="1"/>
    <col min="6401" max="6401" width="30.42578125" customWidth="1"/>
    <col min="6402" max="6402" width="13.85546875" customWidth="1"/>
    <col min="6404" max="6407" width="11" customWidth="1"/>
    <col min="6408" max="6408" width="10.5703125" bestFit="1" customWidth="1"/>
    <col min="6409" max="6409" width="9.28515625" customWidth="1"/>
    <col min="6410" max="6411" width="9.42578125" bestFit="1" customWidth="1"/>
    <col min="6412" max="6412" width="7.85546875" customWidth="1"/>
    <col min="6413" max="6413" width="9.42578125" bestFit="1" customWidth="1"/>
    <col min="6414" max="6414" width="11.42578125" customWidth="1"/>
    <col min="6415" max="6415" width="9.42578125" bestFit="1" customWidth="1"/>
    <col min="6657" max="6657" width="30.42578125" customWidth="1"/>
    <col min="6658" max="6658" width="13.85546875" customWidth="1"/>
    <col min="6660" max="6663" width="11" customWidth="1"/>
    <col min="6664" max="6664" width="10.5703125" bestFit="1" customWidth="1"/>
    <col min="6665" max="6665" width="9.28515625" customWidth="1"/>
    <col min="6666" max="6667" width="9.42578125" bestFit="1" customWidth="1"/>
    <col min="6668" max="6668" width="7.85546875" customWidth="1"/>
    <col min="6669" max="6669" width="9.42578125" bestFit="1" customWidth="1"/>
    <col min="6670" max="6670" width="11.42578125" customWidth="1"/>
    <col min="6671" max="6671" width="9.42578125" bestFit="1" customWidth="1"/>
    <col min="6913" max="6913" width="30.42578125" customWidth="1"/>
    <col min="6914" max="6914" width="13.85546875" customWidth="1"/>
    <col min="6916" max="6919" width="11" customWidth="1"/>
    <col min="6920" max="6920" width="10.5703125" bestFit="1" customWidth="1"/>
    <col min="6921" max="6921" width="9.28515625" customWidth="1"/>
    <col min="6922" max="6923" width="9.42578125" bestFit="1" customWidth="1"/>
    <col min="6924" max="6924" width="7.85546875" customWidth="1"/>
    <col min="6925" max="6925" width="9.42578125" bestFit="1" customWidth="1"/>
    <col min="6926" max="6926" width="11.42578125" customWidth="1"/>
    <col min="6927" max="6927" width="9.42578125" bestFit="1" customWidth="1"/>
    <col min="7169" max="7169" width="30.42578125" customWidth="1"/>
    <col min="7170" max="7170" width="13.85546875" customWidth="1"/>
    <col min="7172" max="7175" width="11" customWidth="1"/>
    <col min="7176" max="7176" width="10.5703125" bestFit="1" customWidth="1"/>
    <col min="7177" max="7177" width="9.28515625" customWidth="1"/>
    <col min="7178" max="7179" width="9.42578125" bestFit="1" customWidth="1"/>
    <col min="7180" max="7180" width="7.85546875" customWidth="1"/>
    <col min="7181" max="7181" width="9.42578125" bestFit="1" customWidth="1"/>
    <col min="7182" max="7182" width="11.42578125" customWidth="1"/>
    <col min="7183" max="7183" width="9.42578125" bestFit="1" customWidth="1"/>
    <col min="7425" max="7425" width="30.42578125" customWidth="1"/>
    <col min="7426" max="7426" width="13.85546875" customWidth="1"/>
    <col min="7428" max="7431" width="11" customWidth="1"/>
    <col min="7432" max="7432" width="10.5703125" bestFit="1" customWidth="1"/>
    <col min="7433" max="7433" width="9.28515625" customWidth="1"/>
    <col min="7434" max="7435" width="9.42578125" bestFit="1" customWidth="1"/>
    <col min="7436" max="7436" width="7.85546875" customWidth="1"/>
    <col min="7437" max="7437" width="9.42578125" bestFit="1" customWidth="1"/>
    <col min="7438" max="7438" width="11.42578125" customWidth="1"/>
    <col min="7439" max="7439" width="9.42578125" bestFit="1" customWidth="1"/>
    <col min="7681" max="7681" width="30.42578125" customWidth="1"/>
    <col min="7682" max="7682" width="13.85546875" customWidth="1"/>
    <col min="7684" max="7687" width="11" customWidth="1"/>
    <col min="7688" max="7688" width="10.5703125" bestFit="1" customWidth="1"/>
    <col min="7689" max="7689" width="9.28515625" customWidth="1"/>
    <col min="7690" max="7691" width="9.42578125" bestFit="1" customWidth="1"/>
    <col min="7692" max="7692" width="7.85546875" customWidth="1"/>
    <col min="7693" max="7693" width="9.42578125" bestFit="1" customWidth="1"/>
    <col min="7694" max="7694" width="11.42578125" customWidth="1"/>
    <col min="7695" max="7695" width="9.42578125" bestFit="1" customWidth="1"/>
    <col min="7937" max="7937" width="30.42578125" customWidth="1"/>
    <col min="7938" max="7938" width="13.85546875" customWidth="1"/>
    <col min="7940" max="7943" width="11" customWidth="1"/>
    <col min="7944" max="7944" width="10.5703125" bestFit="1" customWidth="1"/>
    <col min="7945" max="7945" width="9.28515625" customWidth="1"/>
    <col min="7946" max="7947" width="9.42578125" bestFit="1" customWidth="1"/>
    <col min="7948" max="7948" width="7.85546875" customWidth="1"/>
    <col min="7949" max="7949" width="9.42578125" bestFit="1" customWidth="1"/>
    <col min="7950" max="7950" width="11.42578125" customWidth="1"/>
    <col min="7951" max="7951" width="9.42578125" bestFit="1" customWidth="1"/>
    <col min="8193" max="8193" width="30.42578125" customWidth="1"/>
    <col min="8194" max="8194" width="13.85546875" customWidth="1"/>
    <col min="8196" max="8199" width="11" customWidth="1"/>
    <col min="8200" max="8200" width="10.5703125" bestFit="1" customWidth="1"/>
    <col min="8201" max="8201" width="9.28515625" customWidth="1"/>
    <col min="8202" max="8203" width="9.42578125" bestFit="1" customWidth="1"/>
    <col min="8204" max="8204" width="7.85546875" customWidth="1"/>
    <col min="8205" max="8205" width="9.42578125" bestFit="1" customWidth="1"/>
    <col min="8206" max="8206" width="11.42578125" customWidth="1"/>
    <col min="8207" max="8207" width="9.42578125" bestFit="1" customWidth="1"/>
    <col min="8449" max="8449" width="30.42578125" customWidth="1"/>
    <col min="8450" max="8450" width="13.85546875" customWidth="1"/>
    <col min="8452" max="8455" width="11" customWidth="1"/>
    <col min="8456" max="8456" width="10.5703125" bestFit="1" customWidth="1"/>
    <col min="8457" max="8457" width="9.28515625" customWidth="1"/>
    <col min="8458" max="8459" width="9.42578125" bestFit="1" customWidth="1"/>
    <col min="8460" max="8460" width="7.85546875" customWidth="1"/>
    <col min="8461" max="8461" width="9.42578125" bestFit="1" customWidth="1"/>
    <col min="8462" max="8462" width="11.42578125" customWidth="1"/>
    <col min="8463" max="8463" width="9.42578125" bestFit="1" customWidth="1"/>
    <col min="8705" max="8705" width="30.42578125" customWidth="1"/>
    <col min="8706" max="8706" width="13.85546875" customWidth="1"/>
    <col min="8708" max="8711" width="11" customWidth="1"/>
    <col min="8712" max="8712" width="10.5703125" bestFit="1" customWidth="1"/>
    <col min="8713" max="8713" width="9.28515625" customWidth="1"/>
    <col min="8714" max="8715" width="9.42578125" bestFit="1" customWidth="1"/>
    <col min="8716" max="8716" width="7.85546875" customWidth="1"/>
    <col min="8717" max="8717" width="9.42578125" bestFit="1" customWidth="1"/>
    <col min="8718" max="8718" width="11.42578125" customWidth="1"/>
    <col min="8719" max="8719" width="9.42578125" bestFit="1" customWidth="1"/>
    <col min="8961" max="8961" width="30.42578125" customWidth="1"/>
    <col min="8962" max="8962" width="13.85546875" customWidth="1"/>
    <col min="8964" max="8967" width="11" customWidth="1"/>
    <col min="8968" max="8968" width="10.5703125" bestFit="1" customWidth="1"/>
    <col min="8969" max="8969" width="9.28515625" customWidth="1"/>
    <col min="8970" max="8971" width="9.42578125" bestFit="1" customWidth="1"/>
    <col min="8972" max="8972" width="7.85546875" customWidth="1"/>
    <col min="8973" max="8973" width="9.42578125" bestFit="1" customWidth="1"/>
    <col min="8974" max="8974" width="11.42578125" customWidth="1"/>
    <col min="8975" max="8975" width="9.42578125" bestFit="1" customWidth="1"/>
    <col min="9217" max="9217" width="30.42578125" customWidth="1"/>
    <col min="9218" max="9218" width="13.85546875" customWidth="1"/>
    <col min="9220" max="9223" width="11" customWidth="1"/>
    <col min="9224" max="9224" width="10.5703125" bestFit="1" customWidth="1"/>
    <col min="9225" max="9225" width="9.28515625" customWidth="1"/>
    <col min="9226" max="9227" width="9.42578125" bestFit="1" customWidth="1"/>
    <col min="9228" max="9228" width="7.85546875" customWidth="1"/>
    <col min="9229" max="9229" width="9.42578125" bestFit="1" customWidth="1"/>
    <col min="9230" max="9230" width="11.42578125" customWidth="1"/>
    <col min="9231" max="9231" width="9.42578125" bestFit="1" customWidth="1"/>
    <col min="9473" max="9473" width="30.42578125" customWidth="1"/>
    <col min="9474" max="9474" width="13.85546875" customWidth="1"/>
    <col min="9476" max="9479" width="11" customWidth="1"/>
    <col min="9480" max="9480" width="10.5703125" bestFit="1" customWidth="1"/>
    <col min="9481" max="9481" width="9.28515625" customWidth="1"/>
    <col min="9482" max="9483" width="9.42578125" bestFit="1" customWidth="1"/>
    <col min="9484" max="9484" width="7.85546875" customWidth="1"/>
    <col min="9485" max="9485" width="9.42578125" bestFit="1" customWidth="1"/>
    <col min="9486" max="9486" width="11.42578125" customWidth="1"/>
    <col min="9487" max="9487" width="9.42578125" bestFit="1" customWidth="1"/>
    <col min="9729" max="9729" width="30.42578125" customWidth="1"/>
    <col min="9730" max="9730" width="13.85546875" customWidth="1"/>
    <col min="9732" max="9735" width="11" customWidth="1"/>
    <col min="9736" max="9736" width="10.5703125" bestFit="1" customWidth="1"/>
    <col min="9737" max="9737" width="9.28515625" customWidth="1"/>
    <col min="9738" max="9739" width="9.42578125" bestFit="1" customWidth="1"/>
    <col min="9740" max="9740" width="7.85546875" customWidth="1"/>
    <col min="9741" max="9741" width="9.42578125" bestFit="1" customWidth="1"/>
    <col min="9742" max="9742" width="11.42578125" customWidth="1"/>
    <col min="9743" max="9743" width="9.42578125" bestFit="1" customWidth="1"/>
    <col min="9985" max="9985" width="30.42578125" customWidth="1"/>
    <col min="9986" max="9986" width="13.85546875" customWidth="1"/>
    <col min="9988" max="9991" width="11" customWidth="1"/>
    <col min="9992" max="9992" width="10.5703125" bestFit="1" customWidth="1"/>
    <col min="9993" max="9993" width="9.28515625" customWidth="1"/>
    <col min="9994" max="9995" width="9.42578125" bestFit="1" customWidth="1"/>
    <col min="9996" max="9996" width="7.85546875" customWidth="1"/>
    <col min="9997" max="9997" width="9.42578125" bestFit="1" customWidth="1"/>
    <col min="9998" max="9998" width="11.42578125" customWidth="1"/>
    <col min="9999" max="9999" width="9.42578125" bestFit="1" customWidth="1"/>
    <col min="10241" max="10241" width="30.42578125" customWidth="1"/>
    <col min="10242" max="10242" width="13.85546875" customWidth="1"/>
    <col min="10244" max="10247" width="11" customWidth="1"/>
    <col min="10248" max="10248" width="10.5703125" bestFit="1" customWidth="1"/>
    <col min="10249" max="10249" width="9.28515625" customWidth="1"/>
    <col min="10250" max="10251" width="9.42578125" bestFit="1" customWidth="1"/>
    <col min="10252" max="10252" width="7.85546875" customWidth="1"/>
    <col min="10253" max="10253" width="9.42578125" bestFit="1" customWidth="1"/>
    <col min="10254" max="10254" width="11.42578125" customWidth="1"/>
    <col min="10255" max="10255" width="9.42578125" bestFit="1" customWidth="1"/>
    <col min="10497" max="10497" width="30.42578125" customWidth="1"/>
    <col min="10498" max="10498" width="13.85546875" customWidth="1"/>
    <col min="10500" max="10503" width="11" customWidth="1"/>
    <col min="10504" max="10504" width="10.5703125" bestFit="1" customWidth="1"/>
    <col min="10505" max="10505" width="9.28515625" customWidth="1"/>
    <col min="10506" max="10507" width="9.42578125" bestFit="1" customWidth="1"/>
    <col min="10508" max="10508" width="7.85546875" customWidth="1"/>
    <col min="10509" max="10509" width="9.42578125" bestFit="1" customWidth="1"/>
    <col min="10510" max="10510" width="11.42578125" customWidth="1"/>
    <col min="10511" max="10511" width="9.42578125" bestFit="1" customWidth="1"/>
    <col min="10753" max="10753" width="30.42578125" customWidth="1"/>
    <col min="10754" max="10754" width="13.85546875" customWidth="1"/>
    <col min="10756" max="10759" width="11" customWidth="1"/>
    <col min="10760" max="10760" width="10.5703125" bestFit="1" customWidth="1"/>
    <col min="10761" max="10761" width="9.28515625" customWidth="1"/>
    <col min="10762" max="10763" width="9.42578125" bestFit="1" customWidth="1"/>
    <col min="10764" max="10764" width="7.85546875" customWidth="1"/>
    <col min="10765" max="10765" width="9.42578125" bestFit="1" customWidth="1"/>
    <col min="10766" max="10766" width="11.42578125" customWidth="1"/>
    <col min="10767" max="10767" width="9.42578125" bestFit="1" customWidth="1"/>
    <col min="11009" max="11009" width="30.42578125" customWidth="1"/>
    <col min="11010" max="11010" width="13.85546875" customWidth="1"/>
    <col min="11012" max="11015" width="11" customWidth="1"/>
    <col min="11016" max="11016" width="10.5703125" bestFit="1" customWidth="1"/>
    <col min="11017" max="11017" width="9.28515625" customWidth="1"/>
    <col min="11018" max="11019" width="9.42578125" bestFit="1" customWidth="1"/>
    <col min="11020" max="11020" width="7.85546875" customWidth="1"/>
    <col min="11021" max="11021" width="9.42578125" bestFit="1" customWidth="1"/>
    <col min="11022" max="11022" width="11.42578125" customWidth="1"/>
    <col min="11023" max="11023" width="9.42578125" bestFit="1" customWidth="1"/>
    <col min="11265" max="11265" width="30.42578125" customWidth="1"/>
    <col min="11266" max="11266" width="13.85546875" customWidth="1"/>
    <col min="11268" max="11271" width="11" customWidth="1"/>
    <col min="11272" max="11272" width="10.5703125" bestFit="1" customWidth="1"/>
    <col min="11273" max="11273" width="9.28515625" customWidth="1"/>
    <col min="11274" max="11275" width="9.42578125" bestFit="1" customWidth="1"/>
    <col min="11276" max="11276" width="7.85546875" customWidth="1"/>
    <col min="11277" max="11277" width="9.42578125" bestFit="1" customWidth="1"/>
    <col min="11278" max="11278" width="11.42578125" customWidth="1"/>
    <col min="11279" max="11279" width="9.42578125" bestFit="1" customWidth="1"/>
    <col min="11521" max="11521" width="30.42578125" customWidth="1"/>
    <col min="11522" max="11522" width="13.85546875" customWidth="1"/>
    <col min="11524" max="11527" width="11" customWidth="1"/>
    <col min="11528" max="11528" width="10.5703125" bestFit="1" customWidth="1"/>
    <col min="11529" max="11529" width="9.28515625" customWidth="1"/>
    <col min="11530" max="11531" width="9.42578125" bestFit="1" customWidth="1"/>
    <col min="11532" max="11532" width="7.85546875" customWidth="1"/>
    <col min="11533" max="11533" width="9.42578125" bestFit="1" customWidth="1"/>
    <col min="11534" max="11534" width="11.42578125" customWidth="1"/>
    <col min="11535" max="11535" width="9.42578125" bestFit="1" customWidth="1"/>
    <col min="11777" max="11777" width="30.42578125" customWidth="1"/>
    <col min="11778" max="11778" width="13.85546875" customWidth="1"/>
    <col min="11780" max="11783" width="11" customWidth="1"/>
    <col min="11784" max="11784" width="10.5703125" bestFit="1" customWidth="1"/>
    <col min="11785" max="11785" width="9.28515625" customWidth="1"/>
    <col min="11786" max="11787" width="9.42578125" bestFit="1" customWidth="1"/>
    <col min="11788" max="11788" width="7.85546875" customWidth="1"/>
    <col min="11789" max="11789" width="9.42578125" bestFit="1" customWidth="1"/>
    <col min="11790" max="11790" width="11.42578125" customWidth="1"/>
    <col min="11791" max="11791" width="9.42578125" bestFit="1" customWidth="1"/>
    <col min="12033" max="12033" width="30.42578125" customWidth="1"/>
    <col min="12034" max="12034" width="13.85546875" customWidth="1"/>
    <col min="12036" max="12039" width="11" customWidth="1"/>
    <col min="12040" max="12040" width="10.5703125" bestFit="1" customWidth="1"/>
    <col min="12041" max="12041" width="9.28515625" customWidth="1"/>
    <col min="12042" max="12043" width="9.42578125" bestFit="1" customWidth="1"/>
    <col min="12044" max="12044" width="7.85546875" customWidth="1"/>
    <col min="12045" max="12045" width="9.42578125" bestFit="1" customWidth="1"/>
    <col min="12046" max="12046" width="11.42578125" customWidth="1"/>
    <col min="12047" max="12047" width="9.42578125" bestFit="1" customWidth="1"/>
    <col min="12289" max="12289" width="30.42578125" customWidth="1"/>
    <col min="12290" max="12290" width="13.85546875" customWidth="1"/>
    <col min="12292" max="12295" width="11" customWidth="1"/>
    <col min="12296" max="12296" width="10.5703125" bestFit="1" customWidth="1"/>
    <col min="12297" max="12297" width="9.28515625" customWidth="1"/>
    <col min="12298" max="12299" width="9.42578125" bestFit="1" customWidth="1"/>
    <col min="12300" max="12300" width="7.85546875" customWidth="1"/>
    <col min="12301" max="12301" width="9.42578125" bestFit="1" customWidth="1"/>
    <col min="12302" max="12302" width="11.42578125" customWidth="1"/>
    <col min="12303" max="12303" width="9.42578125" bestFit="1" customWidth="1"/>
    <col min="12545" max="12545" width="30.42578125" customWidth="1"/>
    <col min="12546" max="12546" width="13.85546875" customWidth="1"/>
    <col min="12548" max="12551" width="11" customWidth="1"/>
    <col min="12552" max="12552" width="10.5703125" bestFit="1" customWidth="1"/>
    <col min="12553" max="12553" width="9.28515625" customWidth="1"/>
    <col min="12554" max="12555" width="9.42578125" bestFit="1" customWidth="1"/>
    <col min="12556" max="12556" width="7.85546875" customWidth="1"/>
    <col min="12557" max="12557" width="9.42578125" bestFit="1" customWidth="1"/>
    <col min="12558" max="12558" width="11.42578125" customWidth="1"/>
    <col min="12559" max="12559" width="9.42578125" bestFit="1" customWidth="1"/>
    <col min="12801" max="12801" width="30.42578125" customWidth="1"/>
    <col min="12802" max="12802" width="13.85546875" customWidth="1"/>
    <col min="12804" max="12807" width="11" customWidth="1"/>
    <col min="12808" max="12808" width="10.5703125" bestFit="1" customWidth="1"/>
    <col min="12809" max="12809" width="9.28515625" customWidth="1"/>
    <col min="12810" max="12811" width="9.42578125" bestFit="1" customWidth="1"/>
    <col min="12812" max="12812" width="7.85546875" customWidth="1"/>
    <col min="12813" max="12813" width="9.42578125" bestFit="1" customWidth="1"/>
    <col min="12814" max="12814" width="11.42578125" customWidth="1"/>
    <col min="12815" max="12815" width="9.42578125" bestFit="1" customWidth="1"/>
    <col min="13057" max="13057" width="30.42578125" customWidth="1"/>
    <col min="13058" max="13058" width="13.85546875" customWidth="1"/>
    <col min="13060" max="13063" width="11" customWidth="1"/>
    <col min="13064" max="13064" width="10.5703125" bestFit="1" customWidth="1"/>
    <col min="13065" max="13065" width="9.28515625" customWidth="1"/>
    <col min="13066" max="13067" width="9.42578125" bestFit="1" customWidth="1"/>
    <col min="13068" max="13068" width="7.85546875" customWidth="1"/>
    <col min="13069" max="13069" width="9.42578125" bestFit="1" customWidth="1"/>
    <col min="13070" max="13070" width="11.42578125" customWidth="1"/>
    <col min="13071" max="13071" width="9.42578125" bestFit="1" customWidth="1"/>
    <col min="13313" max="13313" width="30.42578125" customWidth="1"/>
    <col min="13314" max="13314" width="13.85546875" customWidth="1"/>
    <col min="13316" max="13319" width="11" customWidth="1"/>
    <col min="13320" max="13320" width="10.5703125" bestFit="1" customWidth="1"/>
    <col min="13321" max="13321" width="9.28515625" customWidth="1"/>
    <col min="13322" max="13323" width="9.42578125" bestFit="1" customWidth="1"/>
    <col min="13324" max="13324" width="7.85546875" customWidth="1"/>
    <col min="13325" max="13325" width="9.42578125" bestFit="1" customWidth="1"/>
    <col min="13326" max="13326" width="11.42578125" customWidth="1"/>
    <col min="13327" max="13327" width="9.42578125" bestFit="1" customWidth="1"/>
    <col min="13569" max="13569" width="30.42578125" customWidth="1"/>
    <col min="13570" max="13570" width="13.85546875" customWidth="1"/>
    <col min="13572" max="13575" width="11" customWidth="1"/>
    <col min="13576" max="13576" width="10.5703125" bestFit="1" customWidth="1"/>
    <col min="13577" max="13577" width="9.28515625" customWidth="1"/>
    <col min="13578" max="13579" width="9.42578125" bestFit="1" customWidth="1"/>
    <col min="13580" max="13580" width="7.85546875" customWidth="1"/>
    <col min="13581" max="13581" width="9.42578125" bestFit="1" customWidth="1"/>
    <col min="13582" max="13582" width="11.42578125" customWidth="1"/>
    <col min="13583" max="13583" width="9.42578125" bestFit="1" customWidth="1"/>
    <col min="13825" max="13825" width="30.42578125" customWidth="1"/>
    <col min="13826" max="13826" width="13.85546875" customWidth="1"/>
    <col min="13828" max="13831" width="11" customWidth="1"/>
    <col min="13832" max="13832" width="10.5703125" bestFit="1" customWidth="1"/>
    <col min="13833" max="13833" width="9.28515625" customWidth="1"/>
    <col min="13834" max="13835" width="9.42578125" bestFit="1" customWidth="1"/>
    <col min="13836" max="13836" width="7.85546875" customWidth="1"/>
    <col min="13837" max="13837" width="9.42578125" bestFit="1" customWidth="1"/>
    <col min="13838" max="13838" width="11.42578125" customWidth="1"/>
    <col min="13839" max="13839" width="9.42578125" bestFit="1" customWidth="1"/>
    <col min="14081" max="14081" width="30.42578125" customWidth="1"/>
    <col min="14082" max="14082" width="13.85546875" customWidth="1"/>
    <col min="14084" max="14087" width="11" customWidth="1"/>
    <col min="14088" max="14088" width="10.5703125" bestFit="1" customWidth="1"/>
    <col min="14089" max="14089" width="9.28515625" customWidth="1"/>
    <col min="14090" max="14091" width="9.42578125" bestFit="1" customWidth="1"/>
    <col min="14092" max="14092" width="7.85546875" customWidth="1"/>
    <col min="14093" max="14093" width="9.42578125" bestFit="1" customWidth="1"/>
    <col min="14094" max="14094" width="11.42578125" customWidth="1"/>
    <col min="14095" max="14095" width="9.42578125" bestFit="1" customWidth="1"/>
    <col min="14337" max="14337" width="30.42578125" customWidth="1"/>
    <col min="14338" max="14338" width="13.85546875" customWidth="1"/>
    <col min="14340" max="14343" width="11" customWidth="1"/>
    <col min="14344" max="14344" width="10.5703125" bestFit="1" customWidth="1"/>
    <col min="14345" max="14345" width="9.28515625" customWidth="1"/>
    <col min="14346" max="14347" width="9.42578125" bestFit="1" customWidth="1"/>
    <col min="14348" max="14348" width="7.85546875" customWidth="1"/>
    <col min="14349" max="14349" width="9.42578125" bestFit="1" customWidth="1"/>
    <col min="14350" max="14350" width="11.42578125" customWidth="1"/>
    <col min="14351" max="14351" width="9.42578125" bestFit="1" customWidth="1"/>
    <col min="14593" max="14593" width="30.42578125" customWidth="1"/>
    <col min="14594" max="14594" width="13.85546875" customWidth="1"/>
    <col min="14596" max="14599" width="11" customWidth="1"/>
    <col min="14600" max="14600" width="10.5703125" bestFit="1" customWidth="1"/>
    <col min="14601" max="14601" width="9.28515625" customWidth="1"/>
    <col min="14602" max="14603" width="9.42578125" bestFit="1" customWidth="1"/>
    <col min="14604" max="14604" width="7.85546875" customWidth="1"/>
    <col min="14605" max="14605" width="9.42578125" bestFit="1" customWidth="1"/>
    <col min="14606" max="14606" width="11.42578125" customWidth="1"/>
    <col min="14607" max="14607" width="9.42578125" bestFit="1" customWidth="1"/>
    <col min="14849" max="14849" width="30.42578125" customWidth="1"/>
    <col min="14850" max="14850" width="13.85546875" customWidth="1"/>
    <col min="14852" max="14855" width="11" customWidth="1"/>
    <col min="14856" max="14856" width="10.5703125" bestFit="1" customWidth="1"/>
    <col min="14857" max="14857" width="9.28515625" customWidth="1"/>
    <col min="14858" max="14859" width="9.42578125" bestFit="1" customWidth="1"/>
    <col min="14860" max="14860" width="7.85546875" customWidth="1"/>
    <col min="14861" max="14861" width="9.42578125" bestFit="1" customWidth="1"/>
    <col min="14862" max="14862" width="11.42578125" customWidth="1"/>
    <col min="14863" max="14863" width="9.42578125" bestFit="1" customWidth="1"/>
    <col min="15105" max="15105" width="30.42578125" customWidth="1"/>
    <col min="15106" max="15106" width="13.85546875" customWidth="1"/>
    <col min="15108" max="15111" width="11" customWidth="1"/>
    <col min="15112" max="15112" width="10.5703125" bestFit="1" customWidth="1"/>
    <col min="15113" max="15113" width="9.28515625" customWidth="1"/>
    <col min="15114" max="15115" width="9.42578125" bestFit="1" customWidth="1"/>
    <col min="15116" max="15116" width="7.85546875" customWidth="1"/>
    <col min="15117" max="15117" width="9.42578125" bestFit="1" customWidth="1"/>
    <col min="15118" max="15118" width="11.42578125" customWidth="1"/>
    <col min="15119" max="15119" width="9.42578125" bestFit="1" customWidth="1"/>
    <col min="15361" max="15361" width="30.42578125" customWidth="1"/>
    <col min="15362" max="15362" width="13.85546875" customWidth="1"/>
    <col min="15364" max="15367" width="11" customWidth="1"/>
    <col min="15368" max="15368" width="10.5703125" bestFit="1" customWidth="1"/>
    <col min="15369" max="15369" width="9.28515625" customWidth="1"/>
    <col min="15370" max="15371" width="9.42578125" bestFit="1" customWidth="1"/>
    <col min="15372" max="15372" width="7.85546875" customWidth="1"/>
    <col min="15373" max="15373" width="9.42578125" bestFit="1" customWidth="1"/>
    <col min="15374" max="15374" width="11.42578125" customWidth="1"/>
    <col min="15375" max="15375" width="9.42578125" bestFit="1" customWidth="1"/>
    <col min="15617" max="15617" width="30.42578125" customWidth="1"/>
    <col min="15618" max="15618" width="13.85546875" customWidth="1"/>
    <col min="15620" max="15623" width="11" customWidth="1"/>
    <col min="15624" max="15624" width="10.5703125" bestFit="1" customWidth="1"/>
    <col min="15625" max="15625" width="9.28515625" customWidth="1"/>
    <col min="15626" max="15627" width="9.42578125" bestFit="1" customWidth="1"/>
    <col min="15628" max="15628" width="7.85546875" customWidth="1"/>
    <col min="15629" max="15629" width="9.42578125" bestFit="1" customWidth="1"/>
    <col min="15630" max="15630" width="11.42578125" customWidth="1"/>
    <col min="15631" max="15631" width="9.42578125" bestFit="1" customWidth="1"/>
    <col min="15873" max="15873" width="30.42578125" customWidth="1"/>
    <col min="15874" max="15874" width="13.85546875" customWidth="1"/>
    <col min="15876" max="15879" width="11" customWidth="1"/>
    <col min="15880" max="15880" width="10.5703125" bestFit="1" customWidth="1"/>
    <col min="15881" max="15881" width="9.28515625" customWidth="1"/>
    <col min="15882" max="15883" width="9.42578125" bestFit="1" customWidth="1"/>
    <col min="15884" max="15884" width="7.85546875" customWidth="1"/>
    <col min="15885" max="15885" width="9.42578125" bestFit="1" customWidth="1"/>
    <col min="15886" max="15886" width="11.42578125" customWidth="1"/>
    <col min="15887" max="15887" width="9.42578125" bestFit="1" customWidth="1"/>
    <col min="16129" max="16129" width="30.42578125" customWidth="1"/>
    <col min="16130" max="16130" width="13.85546875" customWidth="1"/>
    <col min="16132" max="16135" width="11" customWidth="1"/>
    <col min="16136" max="16136" width="10.5703125" bestFit="1" customWidth="1"/>
    <col min="16137" max="16137" width="9.28515625" customWidth="1"/>
    <col min="16138" max="16139" width="9.42578125" bestFit="1" customWidth="1"/>
    <col min="16140" max="16140" width="7.85546875" customWidth="1"/>
    <col min="16141" max="16141" width="9.42578125" bestFit="1" customWidth="1"/>
    <col min="16142" max="16142" width="11.42578125" customWidth="1"/>
    <col min="16143" max="16143" width="9.42578125" bestFit="1" customWidth="1"/>
  </cols>
  <sheetData>
    <row r="1" spans="1:15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</row>
    <row r="2" spans="1:15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</row>
    <row r="4" spans="1:15">
      <c r="A4" s="46" t="s">
        <v>828</v>
      </c>
      <c r="B4" s="854" t="s">
        <v>5551</v>
      </c>
      <c r="C4" s="854"/>
      <c r="D4" s="854"/>
      <c r="E4" s="854" t="s">
        <v>830</v>
      </c>
      <c r="F4" s="854"/>
      <c r="G4" s="854"/>
      <c r="H4" s="854" t="s">
        <v>5552</v>
      </c>
      <c r="I4" s="854"/>
      <c r="J4" s="46" t="s">
        <v>5</v>
      </c>
      <c r="K4" s="46"/>
      <c r="L4" s="47">
        <v>501.02199999999999</v>
      </c>
      <c r="M4" s="46" t="s">
        <v>831</v>
      </c>
      <c r="N4" s="46"/>
      <c r="O4" s="47">
        <v>80</v>
      </c>
    </row>
    <row r="5" spans="1:15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>
      <c r="A6" s="46" t="s">
        <v>832</v>
      </c>
      <c r="B6" s="854" t="s">
        <v>5553</v>
      </c>
      <c r="C6" s="854"/>
      <c r="D6" s="854"/>
      <c r="E6" s="854" t="s">
        <v>176</v>
      </c>
      <c r="F6" s="854"/>
      <c r="G6" s="854"/>
      <c r="H6" s="854" t="s">
        <v>5554</v>
      </c>
      <c r="I6" s="854"/>
      <c r="J6" s="854"/>
      <c r="K6" s="46"/>
      <c r="L6" s="46"/>
      <c r="M6" s="46"/>
      <c r="N6" s="46"/>
      <c r="O6" s="46"/>
    </row>
    <row r="7" spans="1: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</row>
    <row r="8" spans="1:15">
      <c r="A8" s="46" t="s">
        <v>835</v>
      </c>
      <c r="B8" s="854" t="s">
        <v>5555</v>
      </c>
      <c r="C8" s="854"/>
      <c r="D8" s="854"/>
      <c r="E8" s="967" t="s">
        <v>5519</v>
      </c>
      <c r="F8" s="989"/>
      <c r="G8" s="940"/>
      <c r="H8" s="854" t="s">
        <v>5556</v>
      </c>
      <c r="I8" s="854"/>
      <c r="J8" s="854"/>
      <c r="K8" s="854"/>
      <c r="L8" s="854"/>
      <c r="M8" s="46"/>
      <c r="N8" s="46"/>
      <c r="O8" s="46"/>
    </row>
    <row r="9" spans="1:15">
      <c r="A9" s="46"/>
      <c r="B9" s="46"/>
      <c r="C9" s="46"/>
      <c r="D9" s="46"/>
      <c r="E9" s="46"/>
      <c r="F9" s="46"/>
      <c r="G9" s="46"/>
      <c r="H9" s="48"/>
      <c r="I9" s="48"/>
      <c r="J9" s="48"/>
      <c r="K9" s="48"/>
      <c r="L9" s="48"/>
      <c r="M9" s="46"/>
      <c r="N9" s="46"/>
      <c r="O9" s="46"/>
    </row>
    <row r="10" spans="1:1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15">
      <c r="A11" s="47" t="s">
        <v>838</v>
      </c>
      <c r="B11" s="854" t="s">
        <v>5557</v>
      </c>
      <c r="C11" s="854"/>
      <c r="D11" s="854" t="s">
        <v>5558</v>
      </c>
      <c r="E11" s="854"/>
      <c r="F11" s="854"/>
      <c r="G11" s="854"/>
      <c r="H11" s="854" t="s">
        <v>5559</v>
      </c>
      <c r="I11" s="854"/>
      <c r="J11" s="854"/>
      <c r="K11" s="1155" t="s">
        <v>5560</v>
      </c>
      <c r="L11" s="1156"/>
      <c r="M11" s="1156"/>
      <c r="N11" s="917"/>
      <c r="O11" s="46"/>
    </row>
    <row r="12" spans="1:15">
      <c r="A12" s="47" t="s">
        <v>840</v>
      </c>
      <c r="B12" s="854" t="s">
        <v>5561</v>
      </c>
      <c r="C12" s="854"/>
      <c r="D12" s="854" t="s">
        <v>5562</v>
      </c>
      <c r="E12" s="854"/>
      <c r="F12" s="854"/>
      <c r="G12" s="854"/>
      <c r="H12" s="854" t="s">
        <v>5563</v>
      </c>
      <c r="I12" s="854"/>
      <c r="J12" s="854"/>
      <c r="O12" s="46"/>
    </row>
    <row r="13" spans="1:15">
      <c r="A13" s="47" t="s">
        <v>844</v>
      </c>
      <c r="B13" s="1155"/>
      <c r="C13" s="917"/>
      <c r="D13" s="1155" t="s">
        <v>5564</v>
      </c>
      <c r="E13" s="1156"/>
      <c r="F13" s="1156"/>
      <c r="G13" s="917"/>
      <c r="H13" s="854" t="s">
        <v>5565</v>
      </c>
      <c r="I13" s="854"/>
      <c r="J13" s="854"/>
      <c r="K13" s="854" t="s">
        <v>5566</v>
      </c>
      <c r="L13" s="854"/>
      <c r="M13" s="854"/>
      <c r="N13" s="854"/>
      <c r="O13" s="46"/>
    </row>
    <row r="14" spans="1:15">
      <c r="A14" s="47" t="s">
        <v>850</v>
      </c>
      <c r="B14" s="854"/>
      <c r="C14" s="854"/>
      <c r="D14" s="854"/>
      <c r="E14" s="854"/>
      <c r="F14" s="854"/>
      <c r="G14" s="854"/>
      <c r="H14" s="854"/>
      <c r="I14" s="854"/>
      <c r="J14" s="854"/>
      <c r="K14" s="854"/>
      <c r="L14" s="854"/>
      <c r="M14" s="854"/>
      <c r="N14" s="854"/>
      <c r="O14" s="46"/>
    </row>
    <row r="15" spans="1:1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</row>
    <row r="16" spans="1:15">
      <c r="A16" s="46" t="s">
        <v>852</v>
      </c>
      <c r="B16" s="47">
        <v>6</v>
      </c>
      <c r="C16" s="46" t="s">
        <v>853</v>
      </c>
      <c r="D16" s="46"/>
      <c r="E16" s="522">
        <v>3</v>
      </c>
      <c r="F16" s="540"/>
      <c r="H16" s="46" t="s">
        <v>643</v>
      </c>
      <c r="I16" s="522">
        <v>8</v>
      </c>
      <c r="J16" s="46" t="s">
        <v>644</v>
      </c>
      <c r="K16" s="47">
        <v>0</v>
      </c>
      <c r="L16" s="46" t="s">
        <v>645</v>
      </c>
      <c r="M16" s="47"/>
      <c r="N16" s="46"/>
      <c r="O16" s="46"/>
    </row>
    <row r="17" spans="1:1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1:1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>
      <c r="A19" s="46" t="s">
        <v>854</v>
      </c>
      <c r="B19" s="46" t="s">
        <v>204</v>
      </c>
      <c r="C19" s="47">
        <v>107</v>
      </c>
      <c r="D19" s="46" t="s">
        <v>205</v>
      </c>
      <c r="E19" s="47"/>
      <c r="F19" s="84"/>
      <c r="G19" s="49" t="s">
        <v>206</v>
      </c>
      <c r="H19" s="47"/>
      <c r="I19" s="46" t="s">
        <v>230</v>
      </c>
      <c r="J19" s="47">
        <v>107</v>
      </c>
      <c r="K19" s="46" t="s">
        <v>207</v>
      </c>
      <c r="L19" s="47">
        <v>57</v>
      </c>
      <c r="M19" s="46" t="s">
        <v>855</v>
      </c>
      <c r="N19" s="46"/>
      <c r="O19" s="47"/>
    </row>
    <row r="20" spans="1:15">
      <c r="A20" s="46" t="s">
        <v>209</v>
      </c>
      <c r="B20" s="46" t="s">
        <v>210</v>
      </c>
      <c r="C20" s="47">
        <v>300</v>
      </c>
      <c r="D20" s="46" t="s">
        <v>211</v>
      </c>
      <c r="E20" s="47"/>
      <c r="F20" s="84"/>
      <c r="G20" s="49" t="s">
        <v>212</v>
      </c>
      <c r="H20" s="47"/>
      <c r="I20" s="46" t="s">
        <v>411</v>
      </c>
      <c r="J20" s="47">
        <v>300</v>
      </c>
      <c r="K20" s="46"/>
      <c r="L20" s="46"/>
      <c r="M20" s="46"/>
      <c r="N20" s="46"/>
      <c r="O20" s="46"/>
    </row>
    <row r="21" spans="1:15">
      <c r="A21" s="46"/>
      <c r="B21" s="46" t="s">
        <v>858</v>
      </c>
      <c r="C21" s="47">
        <v>337</v>
      </c>
      <c r="D21" s="46" t="s">
        <v>214</v>
      </c>
      <c r="E21" s="47"/>
      <c r="F21" s="84"/>
      <c r="G21" s="46" t="s">
        <v>215</v>
      </c>
      <c r="H21" s="47"/>
      <c r="I21" s="46" t="s">
        <v>410</v>
      </c>
      <c r="J21" s="47">
        <v>337</v>
      </c>
      <c r="K21" s="46"/>
      <c r="L21" s="46"/>
      <c r="M21" s="46"/>
      <c r="N21" s="46"/>
      <c r="O21" s="46"/>
    </row>
    <row r="22" spans="1:1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</row>
    <row r="23" spans="1:15">
      <c r="A23" s="50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</row>
    <row r="24" spans="1:15" ht="25.5" customHeight="1">
      <c r="A24" s="1154" t="s">
        <v>861</v>
      </c>
      <c r="B24" s="988" t="s">
        <v>5532</v>
      </c>
      <c r="C24" s="988" t="s">
        <v>219</v>
      </c>
      <c r="D24" s="988" t="s">
        <v>863</v>
      </c>
      <c r="E24" s="988" t="s">
        <v>864</v>
      </c>
      <c r="F24" s="538"/>
      <c r="G24" s="854" t="s">
        <v>865</v>
      </c>
      <c r="H24" s="854"/>
      <c r="I24" s="854"/>
      <c r="J24" s="854"/>
      <c r="K24" s="854"/>
      <c r="L24" s="854"/>
      <c r="M24" s="854"/>
      <c r="N24" s="854"/>
      <c r="O24" s="854"/>
    </row>
    <row r="25" spans="1:15" ht="15.75" customHeight="1">
      <c r="A25" s="1154"/>
      <c r="B25" s="988"/>
      <c r="C25" s="988"/>
      <c r="D25" s="988"/>
      <c r="E25" s="988"/>
      <c r="F25" s="47" t="s">
        <v>1180</v>
      </c>
      <c r="G25" s="47" t="s">
        <v>1179</v>
      </c>
      <c r="H25" s="47" t="s">
        <v>1178</v>
      </c>
      <c r="I25" s="47">
        <v>3</v>
      </c>
      <c r="J25" s="47">
        <v>4</v>
      </c>
      <c r="K25" s="47">
        <v>5</v>
      </c>
      <c r="L25" s="47">
        <v>6</v>
      </c>
      <c r="M25" s="47">
        <v>7</v>
      </c>
      <c r="N25" s="47" t="s">
        <v>230</v>
      </c>
      <c r="O25" s="47" t="s">
        <v>662</v>
      </c>
    </row>
    <row r="26" spans="1:15">
      <c r="A26" s="491" t="s">
        <v>232</v>
      </c>
      <c r="B26" s="491">
        <v>8000</v>
      </c>
      <c r="C26" s="503" t="s">
        <v>873</v>
      </c>
      <c r="D26" s="493">
        <f>+B26*L4/100000</f>
        <v>40.081760000000003</v>
      </c>
      <c r="E26" s="494">
        <f>1580000/100000</f>
        <v>15.8</v>
      </c>
      <c r="F26" s="494"/>
      <c r="G26" s="495">
        <f>310650/100000</f>
        <v>3.1065</v>
      </c>
      <c r="H26" s="495">
        <f>1050480/100000</f>
        <v>10.504799999999999</v>
      </c>
      <c r="I26" s="495"/>
      <c r="J26" s="495"/>
      <c r="K26" s="495"/>
      <c r="L26" s="495"/>
      <c r="M26" s="495"/>
      <c r="N26" s="494">
        <f>+G26+H26</f>
        <v>13.6113</v>
      </c>
      <c r="O26" s="495">
        <f>+N26*100/E26</f>
        <v>86.147468354430387</v>
      </c>
    </row>
    <row r="27" spans="1:15">
      <c r="A27" s="491" t="s">
        <v>874</v>
      </c>
      <c r="B27" s="491">
        <v>7000</v>
      </c>
      <c r="C27" s="491" t="s">
        <v>873</v>
      </c>
      <c r="D27" s="495">
        <f>+B27*80/100000</f>
        <v>5.6</v>
      </c>
      <c r="E27" s="495">
        <v>0</v>
      </c>
      <c r="F27" s="495"/>
      <c r="G27" s="495">
        <v>0</v>
      </c>
      <c r="H27" s="495">
        <v>0</v>
      </c>
      <c r="I27" s="495"/>
      <c r="J27" s="495"/>
      <c r="K27" s="495"/>
      <c r="L27" s="495"/>
      <c r="M27" s="495"/>
      <c r="N27" s="495">
        <f t="shared" ref="N27:N34" si="0">+G27+H27</f>
        <v>0</v>
      </c>
      <c r="O27" s="495">
        <v>0</v>
      </c>
    </row>
    <row r="28" spans="1:15">
      <c r="A28" s="491" t="s">
        <v>235</v>
      </c>
      <c r="B28" s="491">
        <v>43000</v>
      </c>
      <c r="C28" s="491" t="s">
        <v>5388</v>
      </c>
      <c r="D28" s="495">
        <v>0.43</v>
      </c>
      <c r="E28" s="497">
        <f>35000/100000</f>
        <v>0.35</v>
      </c>
      <c r="F28" s="497"/>
      <c r="G28" s="495">
        <f>5440/100000</f>
        <v>5.4399999999999997E-2</v>
      </c>
      <c r="H28" s="495">
        <f>18660/100000</f>
        <v>0.18659999999999999</v>
      </c>
      <c r="I28" s="495"/>
      <c r="J28" s="495"/>
      <c r="K28" s="495"/>
      <c r="L28" s="495"/>
      <c r="M28" s="495"/>
      <c r="N28" s="494">
        <f t="shared" si="0"/>
        <v>0.24099999999999999</v>
      </c>
      <c r="O28" s="495">
        <f t="shared" ref="O28:O34" si="1">+N28*100/E28</f>
        <v>68.857142857142861</v>
      </c>
    </row>
    <row r="29" spans="1:15">
      <c r="A29" s="491" t="s">
        <v>875</v>
      </c>
      <c r="B29" s="491">
        <v>34000</v>
      </c>
      <c r="C29" s="491" t="s">
        <v>5388</v>
      </c>
      <c r="D29" s="495">
        <v>0.34</v>
      </c>
      <c r="E29" s="494">
        <f>16000/100000</f>
        <v>0.16</v>
      </c>
      <c r="F29" s="494"/>
      <c r="G29" s="495">
        <f>16000/100000</f>
        <v>0.16</v>
      </c>
      <c r="H29" s="495">
        <v>0</v>
      </c>
      <c r="I29" s="495"/>
      <c r="J29" s="495"/>
      <c r="K29" s="495"/>
      <c r="L29" s="495"/>
      <c r="M29" s="495"/>
      <c r="N29" s="494">
        <f t="shared" si="0"/>
        <v>0.16</v>
      </c>
      <c r="O29" s="495">
        <f t="shared" si="1"/>
        <v>100</v>
      </c>
    </row>
    <row r="30" spans="1:15">
      <c r="A30" s="491" t="s">
        <v>238</v>
      </c>
      <c r="B30" s="491">
        <v>1200</v>
      </c>
      <c r="C30" s="491" t="s">
        <v>873</v>
      </c>
      <c r="D30" s="495">
        <f>+B30*L4/100000</f>
        <v>6.0122640000000001</v>
      </c>
      <c r="E30" s="494">
        <f>200000/100000</f>
        <v>2</v>
      </c>
      <c r="F30" s="494"/>
      <c r="G30" s="495">
        <v>0</v>
      </c>
      <c r="H30" s="495">
        <f>50000/100000</f>
        <v>0.5</v>
      </c>
      <c r="I30" s="495"/>
      <c r="J30" s="495"/>
      <c r="K30" s="495"/>
      <c r="L30" s="495"/>
      <c r="M30" s="495"/>
      <c r="N30" s="494">
        <f t="shared" si="0"/>
        <v>0.5</v>
      </c>
      <c r="O30" s="495">
        <f t="shared" si="1"/>
        <v>25</v>
      </c>
    </row>
    <row r="31" spans="1:15">
      <c r="A31" s="491" t="s">
        <v>667</v>
      </c>
      <c r="B31" s="491">
        <v>565</v>
      </c>
      <c r="C31" s="491" t="s">
        <v>873</v>
      </c>
      <c r="D31" s="495">
        <f>+B31*L4/100000</f>
        <v>2.8307742999999999</v>
      </c>
      <c r="E31" s="494">
        <f>283065/100000</f>
        <v>2.8306499999999999</v>
      </c>
      <c r="F31" s="494"/>
      <c r="G31" s="495">
        <f>283065/100000</f>
        <v>2.8306499999999999</v>
      </c>
      <c r="H31" s="495">
        <v>0</v>
      </c>
      <c r="I31" s="495"/>
      <c r="J31" s="495"/>
      <c r="K31" s="495"/>
      <c r="L31" s="495"/>
      <c r="M31" s="495"/>
      <c r="N31" s="494">
        <f t="shared" si="0"/>
        <v>2.8306499999999999</v>
      </c>
      <c r="O31" s="495">
        <f t="shared" si="1"/>
        <v>100</v>
      </c>
    </row>
    <row r="32" spans="1:15">
      <c r="A32" s="491" t="s">
        <v>876</v>
      </c>
      <c r="B32" s="491">
        <v>1000</v>
      </c>
      <c r="C32" s="491" t="s">
        <v>873</v>
      </c>
      <c r="D32" s="495">
        <f>+B32*L4/100000</f>
        <v>5.0102200000000003</v>
      </c>
      <c r="E32" s="495">
        <v>0</v>
      </c>
      <c r="F32" s="495"/>
      <c r="G32" s="495">
        <v>0</v>
      </c>
      <c r="H32" s="495">
        <v>0</v>
      </c>
      <c r="I32" s="495"/>
      <c r="J32" s="495"/>
      <c r="K32" s="495"/>
      <c r="L32" s="495"/>
      <c r="M32" s="495"/>
      <c r="N32" s="495">
        <f t="shared" si="0"/>
        <v>0</v>
      </c>
      <c r="O32" s="495">
        <v>0</v>
      </c>
    </row>
    <row r="33" spans="1:15">
      <c r="A33" s="491" t="s">
        <v>394</v>
      </c>
      <c r="B33" s="491">
        <v>2750</v>
      </c>
      <c r="C33" s="491" t="s">
        <v>5486</v>
      </c>
      <c r="D33" s="94">
        <f>66000/100000+1.687</f>
        <v>2.347</v>
      </c>
      <c r="E33" s="494">
        <f>66000/100000</f>
        <v>0.66</v>
      </c>
      <c r="F33" s="494"/>
      <c r="G33" s="495">
        <f>24500/100000</f>
        <v>0.245</v>
      </c>
      <c r="H33" s="495">
        <f>41500/100000</f>
        <v>0.41499999999999998</v>
      </c>
      <c r="I33" s="495"/>
      <c r="J33" s="495"/>
      <c r="K33" s="495"/>
      <c r="L33" s="495"/>
      <c r="M33" s="495"/>
      <c r="N33" s="494">
        <f t="shared" si="0"/>
        <v>0.65999999999999992</v>
      </c>
      <c r="O33" s="495">
        <f t="shared" si="1"/>
        <v>99.999999999999972</v>
      </c>
    </row>
    <row r="34" spans="1:15">
      <c r="A34" s="498" t="s">
        <v>670</v>
      </c>
      <c r="B34" s="499">
        <v>2000</v>
      </c>
      <c r="C34" s="496" t="s">
        <v>244</v>
      </c>
      <c r="D34" s="494">
        <v>0.1</v>
      </c>
      <c r="E34" s="501">
        <v>0.1</v>
      </c>
      <c r="F34" s="494"/>
      <c r="G34" s="495"/>
      <c r="H34" s="501">
        <v>0.1</v>
      </c>
      <c r="I34" s="495"/>
      <c r="J34" s="495"/>
      <c r="K34" s="495"/>
      <c r="L34" s="495"/>
      <c r="M34" s="495"/>
      <c r="N34" s="494">
        <f t="shared" si="0"/>
        <v>0.1</v>
      </c>
      <c r="O34" s="495">
        <f t="shared" si="1"/>
        <v>100</v>
      </c>
    </row>
    <row r="35" spans="1:15">
      <c r="A35" s="69" t="s">
        <v>5550</v>
      </c>
      <c r="B35" s="504"/>
      <c r="C35" s="504"/>
      <c r="D35" s="88">
        <f>SUM(D26:D34)</f>
        <v>62.752018300000017</v>
      </c>
      <c r="E35" s="88">
        <f t="shared" ref="E35:M35" si="2">SUM(E26:E34)</f>
        <v>21.900650000000002</v>
      </c>
      <c r="F35" s="88">
        <f t="shared" si="2"/>
        <v>0</v>
      </c>
      <c r="G35" s="88">
        <f t="shared" si="2"/>
        <v>6.3965500000000004</v>
      </c>
      <c r="H35" s="88">
        <f t="shared" si="2"/>
        <v>11.706399999999999</v>
      </c>
      <c r="I35" s="88">
        <f t="shared" si="2"/>
        <v>0</v>
      </c>
      <c r="J35" s="88">
        <f t="shared" si="2"/>
        <v>0</v>
      </c>
      <c r="K35" s="88">
        <f t="shared" si="2"/>
        <v>0</v>
      </c>
      <c r="L35" s="88">
        <f t="shared" si="2"/>
        <v>0</v>
      </c>
      <c r="M35" s="88">
        <f t="shared" si="2"/>
        <v>0</v>
      </c>
      <c r="N35" s="88">
        <f>SUM(N26:N34)</f>
        <v>18.10295</v>
      </c>
      <c r="O35" s="348">
        <f>+N35*100/E35</f>
        <v>82.659418784373969</v>
      </c>
    </row>
  </sheetData>
  <mergeCells count="33">
    <mergeCell ref="B6:D6"/>
    <mergeCell ref="E6:G6"/>
    <mergeCell ref="H6:J6"/>
    <mergeCell ref="A1:O1"/>
    <mergeCell ref="A2:O2"/>
    <mergeCell ref="B4:D4"/>
    <mergeCell ref="E4:G4"/>
    <mergeCell ref="H4:I4"/>
    <mergeCell ref="A5:C5"/>
    <mergeCell ref="B8:D8"/>
    <mergeCell ref="E8:G8"/>
    <mergeCell ref="H8:L8"/>
    <mergeCell ref="B11:C11"/>
    <mergeCell ref="D11:G11"/>
    <mergeCell ref="H11:J11"/>
    <mergeCell ref="K11:N11"/>
    <mergeCell ref="B12:C12"/>
    <mergeCell ref="D12:G12"/>
    <mergeCell ref="H12:J12"/>
    <mergeCell ref="B13:C13"/>
    <mergeCell ref="D13:G13"/>
    <mergeCell ref="H13:J13"/>
    <mergeCell ref="A24:A25"/>
    <mergeCell ref="B24:B25"/>
    <mergeCell ref="C24:C25"/>
    <mergeCell ref="D24:D25"/>
    <mergeCell ref="E24:E25"/>
    <mergeCell ref="G24:O24"/>
    <mergeCell ref="K13:N13"/>
    <mergeCell ref="B14:C14"/>
    <mergeCell ref="D14:G14"/>
    <mergeCell ref="H14:J14"/>
    <mergeCell ref="K14:N14"/>
  </mergeCells>
  <hyperlinks>
    <hyperlink ref="A5" location="'Fact Sheet of VDC'!A1" display="&lt;&lt;Back"/>
  </hyperlinks>
  <pageMargins left="0.7" right="0.7" top="0.75" bottom="0.75" header="0.3" footer="0.3"/>
  <pageSetup paperSize="9" scale="75" orientation="landscape" r:id="rId1"/>
</worksheet>
</file>

<file path=xl/worksheets/sheet184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A5" sqref="A5:C5"/>
    </sheetView>
  </sheetViews>
  <sheetFormatPr defaultRowHeight="15"/>
  <cols>
    <col min="1" max="1" width="30.42578125" customWidth="1"/>
    <col min="2" max="2" width="13.85546875" customWidth="1"/>
    <col min="4" max="4" width="10.140625" customWidth="1"/>
    <col min="5" max="6" width="11" customWidth="1"/>
    <col min="8" max="8" width="9.28515625" customWidth="1"/>
    <col min="11" max="11" width="7.85546875" customWidth="1"/>
    <col min="13" max="13" width="10.140625" customWidth="1"/>
    <col min="14" max="14" width="11" customWidth="1"/>
    <col min="257" max="257" width="30.42578125" customWidth="1"/>
    <col min="258" max="258" width="13.85546875" customWidth="1"/>
    <col min="260" max="260" width="10.140625" customWidth="1"/>
    <col min="261" max="262" width="11" customWidth="1"/>
    <col min="264" max="264" width="9.28515625" customWidth="1"/>
    <col min="267" max="267" width="7.85546875" customWidth="1"/>
    <col min="269" max="269" width="10.140625" customWidth="1"/>
    <col min="270" max="270" width="11" customWidth="1"/>
    <col min="513" max="513" width="30.42578125" customWidth="1"/>
    <col min="514" max="514" width="13.85546875" customWidth="1"/>
    <col min="516" max="516" width="10.140625" customWidth="1"/>
    <col min="517" max="518" width="11" customWidth="1"/>
    <col min="520" max="520" width="9.28515625" customWidth="1"/>
    <col min="523" max="523" width="7.85546875" customWidth="1"/>
    <col min="525" max="525" width="10.140625" customWidth="1"/>
    <col min="526" max="526" width="11" customWidth="1"/>
    <col min="769" max="769" width="30.42578125" customWidth="1"/>
    <col min="770" max="770" width="13.85546875" customWidth="1"/>
    <col min="772" max="772" width="10.140625" customWidth="1"/>
    <col min="773" max="774" width="11" customWidth="1"/>
    <col min="776" max="776" width="9.28515625" customWidth="1"/>
    <col min="779" max="779" width="7.85546875" customWidth="1"/>
    <col min="781" max="781" width="10.140625" customWidth="1"/>
    <col min="782" max="782" width="11" customWidth="1"/>
    <col min="1025" max="1025" width="30.42578125" customWidth="1"/>
    <col min="1026" max="1026" width="13.85546875" customWidth="1"/>
    <col min="1028" max="1028" width="10.140625" customWidth="1"/>
    <col min="1029" max="1030" width="11" customWidth="1"/>
    <col min="1032" max="1032" width="9.28515625" customWidth="1"/>
    <col min="1035" max="1035" width="7.85546875" customWidth="1"/>
    <col min="1037" max="1037" width="10.140625" customWidth="1"/>
    <col min="1038" max="1038" width="11" customWidth="1"/>
    <col min="1281" max="1281" width="30.42578125" customWidth="1"/>
    <col min="1282" max="1282" width="13.85546875" customWidth="1"/>
    <col min="1284" max="1284" width="10.140625" customWidth="1"/>
    <col min="1285" max="1286" width="11" customWidth="1"/>
    <col min="1288" max="1288" width="9.28515625" customWidth="1"/>
    <col min="1291" max="1291" width="7.85546875" customWidth="1"/>
    <col min="1293" max="1293" width="10.140625" customWidth="1"/>
    <col min="1294" max="1294" width="11" customWidth="1"/>
    <col min="1537" max="1537" width="30.42578125" customWidth="1"/>
    <col min="1538" max="1538" width="13.85546875" customWidth="1"/>
    <col min="1540" max="1540" width="10.140625" customWidth="1"/>
    <col min="1541" max="1542" width="11" customWidth="1"/>
    <col min="1544" max="1544" width="9.28515625" customWidth="1"/>
    <col min="1547" max="1547" width="7.85546875" customWidth="1"/>
    <col min="1549" max="1549" width="10.140625" customWidth="1"/>
    <col min="1550" max="1550" width="11" customWidth="1"/>
    <col min="1793" max="1793" width="30.42578125" customWidth="1"/>
    <col min="1794" max="1794" width="13.85546875" customWidth="1"/>
    <col min="1796" max="1796" width="10.140625" customWidth="1"/>
    <col min="1797" max="1798" width="11" customWidth="1"/>
    <col min="1800" max="1800" width="9.28515625" customWidth="1"/>
    <col min="1803" max="1803" width="7.85546875" customWidth="1"/>
    <col min="1805" max="1805" width="10.140625" customWidth="1"/>
    <col min="1806" max="1806" width="11" customWidth="1"/>
    <col min="2049" max="2049" width="30.42578125" customWidth="1"/>
    <col min="2050" max="2050" width="13.85546875" customWidth="1"/>
    <col min="2052" max="2052" width="10.140625" customWidth="1"/>
    <col min="2053" max="2054" width="11" customWidth="1"/>
    <col min="2056" max="2056" width="9.28515625" customWidth="1"/>
    <col min="2059" max="2059" width="7.85546875" customWidth="1"/>
    <col min="2061" max="2061" width="10.140625" customWidth="1"/>
    <col min="2062" max="2062" width="11" customWidth="1"/>
    <col min="2305" max="2305" width="30.42578125" customWidth="1"/>
    <col min="2306" max="2306" width="13.85546875" customWidth="1"/>
    <col min="2308" max="2308" width="10.140625" customWidth="1"/>
    <col min="2309" max="2310" width="11" customWidth="1"/>
    <col min="2312" max="2312" width="9.28515625" customWidth="1"/>
    <col min="2315" max="2315" width="7.85546875" customWidth="1"/>
    <col min="2317" max="2317" width="10.140625" customWidth="1"/>
    <col min="2318" max="2318" width="11" customWidth="1"/>
    <col min="2561" max="2561" width="30.42578125" customWidth="1"/>
    <col min="2562" max="2562" width="13.85546875" customWidth="1"/>
    <col min="2564" max="2564" width="10.140625" customWidth="1"/>
    <col min="2565" max="2566" width="11" customWidth="1"/>
    <col min="2568" max="2568" width="9.28515625" customWidth="1"/>
    <col min="2571" max="2571" width="7.85546875" customWidth="1"/>
    <col min="2573" max="2573" width="10.140625" customWidth="1"/>
    <col min="2574" max="2574" width="11" customWidth="1"/>
    <col min="2817" max="2817" width="30.42578125" customWidth="1"/>
    <col min="2818" max="2818" width="13.85546875" customWidth="1"/>
    <col min="2820" max="2820" width="10.140625" customWidth="1"/>
    <col min="2821" max="2822" width="11" customWidth="1"/>
    <col min="2824" max="2824" width="9.28515625" customWidth="1"/>
    <col min="2827" max="2827" width="7.85546875" customWidth="1"/>
    <col min="2829" max="2829" width="10.140625" customWidth="1"/>
    <col min="2830" max="2830" width="11" customWidth="1"/>
    <col min="3073" max="3073" width="30.42578125" customWidth="1"/>
    <col min="3074" max="3074" width="13.85546875" customWidth="1"/>
    <col min="3076" max="3076" width="10.140625" customWidth="1"/>
    <col min="3077" max="3078" width="11" customWidth="1"/>
    <col min="3080" max="3080" width="9.28515625" customWidth="1"/>
    <col min="3083" max="3083" width="7.85546875" customWidth="1"/>
    <col min="3085" max="3085" width="10.140625" customWidth="1"/>
    <col min="3086" max="3086" width="11" customWidth="1"/>
    <col min="3329" max="3329" width="30.42578125" customWidth="1"/>
    <col min="3330" max="3330" width="13.85546875" customWidth="1"/>
    <col min="3332" max="3332" width="10.140625" customWidth="1"/>
    <col min="3333" max="3334" width="11" customWidth="1"/>
    <col min="3336" max="3336" width="9.28515625" customWidth="1"/>
    <col min="3339" max="3339" width="7.85546875" customWidth="1"/>
    <col min="3341" max="3341" width="10.140625" customWidth="1"/>
    <col min="3342" max="3342" width="11" customWidth="1"/>
    <col min="3585" max="3585" width="30.42578125" customWidth="1"/>
    <col min="3586" max="3586" width="13.85546875" customWidth="1"/>
    <col min="3588" max="3588" width="10.140625" customWidth="1"/>
    <col min="3589" max="3590" width="11" customWidth="1"/>
    <col min="3592" max="3592" width="9.28515625" customWidth="1"/>
    <col min="3595" max="3595" width="7.85546875" customWidth="1"/>
    <col min="3597" max="3597" width="10.140625" customWidth="1"/>
    <col min="3598" max="3598" width="11" customWidth="1"/>
    <col min="3841" max="3841" width="30.42578125" customWidth="1"/>
    <col min="3842" max="3842" width="13.85546875" customWidth="1"/>
    <col min="3844" max="3844" width="10.140625" customWidth="1"/>
    <col min="3845" max="3846" width="11" customWidth="1"/>
    <col min="3848" max="3848" width="9.28515625" customWidth="1"/>
    <col min="3851" max="3851" width="7.85546875" customWidth="1"/>
    <col min="3853" max="3853" width="10.140625" customWidth="1"/>
    <col min="3854" max="3854" width="11" customWidth="1"/>
    <col min="4097" max="4097" width="30.42578125" customWidth="1"/>
    <col min="4098" max="4098" width="13.85546875" customWidth="1"/>
    <col min="4100" max="4100" width="10.140625" customWidth="1"/>
    <col min="4101" max="4102" width="11" customWidth="1"/>
    <col min="4104" max="4104" width="9.28515625" customWidth="1"/>
    <col min="4107" max="4107" width="7.85546875" customWidth="1"/>
    <col min="4109" max="4109" width="10.140625" customWidth="1"/>
    <col min="4110" max="4110" width="11" customWidth="1"/>
    <col min="4353" max="4353" width="30.42578125" customWidth="1"/>
    <col min="4354" max="4354" width="13.85546875" customWidth="1"/>
    <col min="4356" max="4356" width="10.140625" customWidth="1"/>
    <col min="4357" max="4358" width="11" customWidth="1"/>
    <col min="4360" max="4360" width="9.28515625" customWidth="1"/>
    <col min="4363" max="4363" width="7.85546875" customWidth="1"/>
    <col min="4365" max="4365" width="10.140625" customWidth="1"/>
    <col min="4366" max="4366" width="11" customWidth="1"/>
    <col min="4609" max="4609" width="30.42578125" customWidth="1"/>
    <col min="4610" max="4610" width="13.85546875" customWidth="1"/>
    <col min="4612" max="4612" width="10.140625" customWidth="1"/>
    <col min="4613" max="4614" width="11" customWidth="1"/>
    <col min="4616" max="4616" width="9.28515625" customWidth="1"/>
    <col min="4619" max="4619" width="7.85546875" customWidth="1"/>
    <col min="4621" max="4621" width="10.140625" customWidth="1"/>
    <col min="4622" max="4622" width="11" customWidth="1"/>
    <col min="4865" max="4865" width="30.42578125" customWidth="1"/>
    <col min="4866" max="4866" width="13.85546875" customWidth="1"/>
    <col min="4868" max="4868" width="10.140625" customWidth="1"/>
    <col min="4869" max="4870" width="11" customWidth="1"/>
    <col min="4872" max="4872" width="9.28515625" customWidth="1"/>
    <col min="4875" max="4875" width="7.85546875" customWidth="1"/>
    <col min="4877" max="4877" width="10.140625" customWidth="1"/>
    <col min="4878" max="4878" width="11" customWidth="1"/>
    <col min="5121" max="5121" width="30.42578125" customWidth="1"/>
    <col min="5122" max="5122" width="13.85546875" customWidth="1"/>
    <col min="5124" max="5124" width="10.140625" customWidth="1"/>
    <col min="5125" max="5126" width="11" customWidth="1"/>
    <col min="5128" max="5128" width="9.28515625" customWidth="1"/>
    <col min="5131" max="5131" width="7.85546875" customWidth="1"/>
    <col min="5133" max="5133" width="10.140625" customWidth="1"/>
    <col min="5134" max="5134" width="11" customWidth="1"/>
    <col min="5377" max="5377" width="30.42578125" customWidth="1"/>
    <col min="5378" max="5378" width="13.85546875" customWidth="1"/>
    <col min="5380" max="5380" width="10.140625" customWidth="1"/>
    <col min="5381" max="5382" width="11" customWidth="1"/>
    <col min="5384" max="5384" width="9.28515625" customWidth="1"/>
    <col min="5387" max="5387" width="7.85546875" customWidth="1"/>
    <col min="5389" max="5389" width="10.140625" customWidth="1"/>
    <col min="5390" max="5390" width="11" customWidth="1"/>
    <col min="5633" max="5633" width="30.42578125" customWidth="1"/>
    <col min="5634" max="5634" width="13.85546875" customWidth="1"/>
    <col min="5636" max="5636" width="10.140625" customWidth="1"/>
    <col min="5637" max="5638" width="11" customWidth="1"/>
    <col min="5640" max="5640" width="9.28515625" customWidth="1"/>
    <col min="5643" max="5643" width="7.85546875" customWidth="1"/>
    <col min="5645" max="5645" width="10.140625" customWidth="1"/>
    <col min="5646" max="5646" width="11" customWidth="1"/>
    <col min="5889" max="5889" width="30.42578125" customWidth="1"/>
    <col min="5890" max="5890" width="13.85546875" customWidth="1"/>
    <col min="5892" max="5892" width="10.140625" customWidth="1"/>
    <col min="5893" max="5894" width="11" customWidth="1"/>
    <col min="5896" max="5896" width="9.28515625" customWidth="1"/>
    <col min="5899" max="5899" width="7.85546875" customWidth="1"/>
    <col min="5901" max="5901" width="10.140625" customWidth="1"/>
    <col min="5902" max="5902" width="11" customWidth="1"/>
    <col min="6145" max="6145" width="30.42578125" customWidth="1"/>
    <col min="6146" max="6146" width="13.85546875" customWidth="1"/>
    <col min="6148" max="6148" width="10.140625" customWidth="1"/>
    <col min="6149" max="6150" width="11" customWidth="1"/>
    <col min="6152" max="6152" width="9.28515625" customWidth="1"/>
    <col min="6155" max="6155" width="7.85546875" customWidth="1"/>
    <col min="6157" max="6157" width="10.140625" customWidth="1"/>
    <col min="6158" max="6158" width="11" customWidth="1"/>
    <col min="6401" max="6401" width="30.42578125" customWidth="1"/>
    <col min="6402" max="6402" width="13.85546875" customWidth="1"/>
    <col min="6404" max="6404" width="10.140625" customWidth="1"/>
    <col min="6405" max="6406" width="11" customWidth="1"/>
    <col min="6408" max="6408" width="9.28515625" customWidth="1"/>
    <col min="6411" max="6411" width="7.85546875" customWidth="1"/>
    <col min="6413" max="6413" width="10.140625" customWidth="1"/>
    <col min="6414" max="6414" width="11" customWidth="1"/>
    <col min="6657" max="6657" width="30.42578125" customWidth="1"/>
    <col min="6658" max="6658" width="13.85546875" customWidth="1"/>
    <col min="6660" max="6660" width="10.140625" customWidth="1"/>
    <col min="6661" max="6662" width="11" customWidth="1"/>
    <col min="6664" max="6664" width="9.28515625" customWidth="1"/>
    <col min="6667" max="6667" width="7.85546875" customWidth="1"/>
    <col min="6669" max="6669" width="10.140625" customWidth="1"/>
    <col min="6670" max="6670" width="11" customWidth="1"/>
    <col min="6913" max="6913" width="30.42578125" customWidth="1"/>
    <col min="6914" max="6914" width="13.85546875" customWidth="1"/>
    <col min="6916" max="6916" width="10.140625" customWidth="1"/>
    <col min="6917" max="6918" width="11" customWidth="1"/>
    <col min="6920" max="6920" width="9.28515625" customWidth="1"/>
    <col min="6923" max="6923" width="7.85546875" customWidth="1"/>
    <col min="6925" max="6925" width="10.140625" customWidth="1"/>
    <col min="6926" max="6926" width="11" customWidth="1"/>
    <col min="7169" max="7169" width="30.42578125" customWidth="1"/>
    <col min="7170" max="7170" width="13.85546875" customWidth="1"/>
    <col min="7172" max="7172" width="10.140625" customWidth="1"/>
    <col min="7173" max="7174" width="11" customWidth="1"/>
    <col min="7176" max="7176" width="9.28515625" customWidth="1"/>
    <col min="7179" max="7179" width="7.85546875" customWidth="1"/>
    <col min="7181" max="7181" width="10.140625" customWidth="1"/>
    <col min="7182" max="7182" width="11" customWidth="1"/>
    <col min="7425" max="7425" width="30.42578125" customWidth="1"/>
    <col min="7426" max="7426" width="13.85546875" customWidth="1"/>
    <col min="7428" max="7428" width="10.140625" customWidth="1"/>
    <col min="7429" max="7430" width="11" customWidth="1"/>
    <col min="7432" max="7432" width="9.28515625" customWidth="1"/>
    <col min="7435" max="7435" width="7.85546875" customWidth="1"/>
    <col min="7437" max="7437" width="10.140625" customWidth="1"/>
    <col min="7438" max="7438" width="11" customWidth="1"/>
    <col min="7681" max="7681" width="30.42578125" customWidth="1"/>
    <col min="7682" max="7682" width="13.85546875" customWidth="1"/>
    <col min="7684" max="7684" width="10.140625" customWidth="1"/>
    <col min="7685" max="7686" width="11" customWidth="1"/>
    <col min="7688" max="7688" width="9.28515625" customWidth="1"/>
    <col min="7691" max="7691" width="7.85546875" customWidth="1"/>
    <col min="7693" max="7693" width="10.140625" customWidth="1"/>
    <col min="7694" max="7694" width="11" customWidth="1"/>
    <col min="7937" max="7937" width="30.42578125" customWidth="1"/>
    <col min="7938" max="7938" width="13.85546875" customWidth="1"/>
    <col min="7940" max="7940" width="10.140625" customWidth="1"/>
    <col min="7941" max="7942" width="11" customWidth="1"/>
    <col min="7944" max="7944" width="9.28515625" customWidth="1"/>
    <col min="7947" max="7947" width="7.85546875" customWidth="1"/>
    <col min="7949" max="7949" width="10.140625" customWidth="1"/>
    <col min="7950" max="7950" width="11" customWidth="1"/>
    <col min="8193" max="8193" width="30.42578125" customWidth="1"/>
    <col min="8194" max="8194" width="13.85546875" customWidth="1"/>
    <col min="8196" max="8196" width="10.140625" customWidth="1"/>
    <col min="8197" max="8198" width="11" customWidth="1"/>
    <col min="8200" max="8200" width="9.28515625" customWidth="1"/>
    <col min="8203" max="8203" width="7.85546875" customWidth="1"/>
    <col min="8205" max="8205" width="10.140625" customWidth="1"/>
    <col min="8206" max="8206" width="11" customWidth="1"/>
    <col min="8449" max="8449" width="30.42578125" customWidth="1"/>
    <col min="8450" max="8450" width="13.85546875" customWidth="1"/>
    <col min="8452" max="8452" width="10.140625" customWidth="1"/>
    <col min="8453" max="8454" width="11" customWidth="1"/>
    <col min="8456" max="8456" width="9.28515625" customWidth="1"/>
    <col min="8459" max="8459" width="7.85546875" customWidth="1"/>
    <col min="8461" max="8461" width="10.140625" customWidth="1"/>
    <col min="8462" max="8462" width="11" customWidth="1"/>
    <col min="8705" max="8705" width="30.42578125" customWidth="1"/>
    <col min="8706" max="8706" width="13.85546875" customWidth="1"/>
    <col min="8708" max="8708" width="10.140625" customWidth="1"/>
    <col min="8709" max="8710" width="11" customWidth="1"/>
    <col min="8712" max="8712" width="9.28515625" customWidth="1"/>
    <col min="8715" max="8715" width="7.85546875" customWidth="1"/>
    <col min="8717" max="8717" width="10.140625" customWidth="1"/>
    <col min="8718" max="8718" width="11" customWidth="1"/>
    <col min="8961" max="8961" width="30.42578125" customWidth="1"/>
    <col min="8962" max="8962" width="13.85546875" customWidth="1"/>
    <col min="8964" max="8964" width="10.140625" customWidth="1"/>
    <col min="8965" max="8966" width="11" customWidth="1"/>
    <col min="8968" max="8968" width="9.28515625" customWidth="1"/>
    <col min="8971" max="8971" width="7.85546875" customWidth="1"/>
    <col min="8973" max="8973" width="10.140625" customWidth="1"/>
    <col min="8974" max="8974" width="11" customWidth="1"/>
    <col min="9217" max="9217" width="30.42578125" customWidth="1"/>
    <col min="9218" max="9218" width="13.85546875" customWidth="1"/>
    <col min="9220" max="9220" width="10.140625" customWidth="1"/>
    <col min="9221" max="9222" width="11" customWidth="1"/>
    <col min="9224" max="9224" width="9.28515625" customWidth="1"/>
    <col min="9227" max="9227" width="7.85546875" customWidth="1"/>
    <col min="9229" max="9229" width="10.140625" customWidth="1"/>
    <col min="9230" max="9230" width="11" customWidth="1"/>
    <col min="9473" max="9473" width="30.42578125" customWidth="1"/>
    <col min="9474" max="9474" width="13.85546875" customWidth="1"/>
    <col min="9476" max="9476" width="10.140625" customWidth="1"/>
    <col min="9477" max="9478" width="11" customWidth="1"/>
    <col min="9480" max="9480" width="9.28515625" customWidth="1"/>
    <col min="9483" max="9483" width="7.85546875" customWidth="1"/>
    <col min="9485" max="9485" width="10.140625" customWidth="1"/>
    <col min="9486" max="9486" width="11" customWidth="1"/>
    <col min="9729" max="9729" width="30.42578125" customWidth="1"/>
    <col min="9730" max="9730" width="13.85546875" customWidth="1"/>
    <col min="9732" max="9732" width="10.140625" customWidth="1"/>
    <col min="9733" max="9734" width="11" customWidth="1"/>
    <col min="9736" max="9736" width="9.28515625" customWidth="1"/>
    <col min="9739" max="9739" width="7.85546875" customWidth="1"/>
    <col min="9741" max="9741" width="10.140625" customWidth="1"/>
    <col min="9742" max="9742" width="11" customWidth="1"/>
    <col min="9985" max="9985" width="30.42578125" customWidth="1"/>
    <col min="9986" max="9986" width="13.85546875" customWidth="1"/>
    <col min="9988" max="9988" width="10.140625" customWidth="1"/>
    <col min="9989" max="9990" width="11" customWidth="1"/>
    <col min="9992" max="9992" width="9.28515625" customWidth="1"/>
    <col min="9995" max="9995" width="7.85546875" customWidth="1"/>
    <col min="9997" max="9997" width="10.140625" customWidth="1"/>
    <col min="9998" max="9998" width="11" customWidth="1"/>
    <col min="10241" max="10241" width="30.42578125" customWidth="1"/>
    <col min="10242" max="10242" width="13.85546875" customWidth="1"/>
    <col min="10244" max="10244" width="10.140625" customWidth="1"/>
    <col min="10245" max="10246" width="11" customWidth="1"/>
    <col min="10248" max="10248" width="9.28515625" customWidth="1"/>
    <col min="10251" max="10251" width="7.85546875" customWidth="1"/>
    <col min="10253" max="10253" width="10.140625" customWidth="1"/>
    <col min="10254" max="10254" width="11" customWidth="1"/>
    <col min="10497" max="10497" width="30.42578125" customWidth="1"/>
    <col min="10498" max="10498" width="13.85546875" customWidth="1"/>
    <col min="10500" max="10500" width="10.140625" customWidth="1"/>
    <col min="10501" max="10502" width="11" customWidth="1"/>
    <col min="10504" max="10504" width="9.28515625" customWidth="1"/>
    <col min="10507" max="10507" width="7.85546875" customWidth="1"/>
    <col min="10509" max="10509" width="10.140625" customWidth="1"/>
    <col min="10510" max="10510" width="11" customWidth="1"/>
    <col min="10753" max="10753" width="30.42578125" customWidth="1"/>
    <col min="10754" max="10754" width="13.85546875" customWidth="1"/>
    <col min="10756" max="10756" width="10.140625" customWidth="1"/>
    <col min="10757" max="10758" width="11" customWidth="1"/>
    <col min="10760" max="10760" width="9.28515625" customWidth="1"/>
    <col min="10763" max="10763" width="7.85546875" customWidth="1"/>
    <col min="10765" max="10765" width="10.140625" customWidth="1"/>
    <col min="10766" max="10766" width="11" customWidth="1"/>
    <col min="11009" max="11009" width="30.42578125" customWidth="1"/>
    <col min="11010" max="11010" width="13.85546875" customWidth="1"/>
    <col min="11012" max="11012" width="10.140625" customWidth="1"/>
    <col min="11013" max="11014" width="11" customWidth="1"/>
    <col min="11016" max="11016" width="9.28515625" customWidth="1"/>
    <col min="11019" max="11019" width="7.85546875" customWidth="1"/>
    <col min="11021" max="11021" width="10.140625" customWidth="1"/>
    <col min="11022" max="11022" width="11" customWidth="1"/>
    <col min="11265" max="11265" width="30.42578125" customWidth="1"/>
    <col min="11266" max="11266" width="13.85546875" customWidth="1"/>
    <col min="11268" max="11268" width="10.140625" customWidth="1"/>
    <col min="11269" max="11270" width="11" customWidth="1"/>
    <col min="11272" max="11272" width="9.28515625" customWidth="1"/>
    <col min="11275" max="11275" width="7.85546875" customWidth="1"/>
    <col min="11277" max="11277" width="10.140625" customWidth="1"/>
    <col min="11278" max="11278" width="11" customWidth="1"/>
    <col min="11521" max="11521" width="30.42578125" customWidth="1"/>
    <col min="11522" max="11522" width="13.85546875" customWidth="1"/>
    <col min="11524" max="11524" width="10.140625" customWidth="1"/>
    <col min="11525" max="11526" width="11" customWidth="1"/>
    <col min="11528" max="11528" width="9.28515625" customWidth="1"/>
    <col min="11531" max="11531" width="7.85546875" customWidth="1"/>
    <col min="11533" max="11533" width="10.140625" customWidth="1"/>
    <col min="11534" max="11534" width="11" customWidth="1"/>
    <col min="11777" max="11777" width="30.42578125" customWidth="1"/>
    <col min="11778" max="11778" width="13.85546875" customWidth="1"/>
    <col min="11780" max="11780" width="10.140625" customWidth="1"/>
    <col min="11781" max="11782" width="11" customWidth="1"/>
    <col min="11784" max="11784" width="9.28515625" customWidth="1"/>
    <col min="11787" max="11787" width="7.85546875" customWidth="1"/>
    <col min="11789" max="11789" width="10.140625" customWidth="1"/>
    <col min="11790" max="11790" width="11" customWidth="1"/>
    <col min="12033" max="12033" width="30.42578125" customWidth="1"/>
    <col min="12034" max="12034" width="13.85546875" customWidth="1"/>
    <col min="12036" max="12036" width="10.140625" customWidth="1"/>
    <col min="12037" max="12038" width="11" customWidth="1"/>
    <col min="12040" max="12040" width="9.28515625" customWidth="1"/>
    <col min="12043" max="12043" width="7.85546875" customWidth="1"/>
    <col min="12045" max="12045" width="10.140625" customWidth="1"/>
    <col min="12046" max="12046" width="11" customWidth="1"/>
    <col min="12289" max="12289" width="30.42578125" customWidth="1"/>
    <col min="12290" max="12290" width="13.85546875" customWidth="1"/>
    <col min="12292" max="12292" width="10.140625" customWidth="1"/>
    <col min="12293" max="12294" width="11" customWidth="1"/>
    <col min="12296" max="12296" width="9.28515625" customWidth="1"/>
    <col min="12299" max="12299" width="7.85546875" customWidth="1"/>
    <col min="12301" max="12301" width="10.140625" customWidth="1"/>
    <col min="12302" max="12302" width="11" customWidth="1"/>
    <col min="12545" max="12545" width="30.42578125" customWidth="1"/>
    <col min="12546" max="12546" width="13.85546875" customWidth="1"/>
    <col min="12548" max="12548" width="10.140625" customWidth="1"/>
    <col min="12549" max="12550" width="11" customWidth="1"/>
    <col min="12552" max="12552" width="9.28515625" customWidth="1"/>
    <col min="12555" max="12555" width="7.85546875" customWidth="1"/>
    <col min="12557" max="12557" width="10.140625" customWidth="1"/>
    <col min="12558" max="12558" width="11" customWidth="1"/>
    <col min="12801" max="12801" width="30.42578125" customWidth="1"/>
    <col min="12802" max="12802" width="13.85546875" customWidth="1"/>
    <col min="12804" max="12804" width="10.140625" customWidth="1"/>
    <col min="12805" max="12806" width="11" customWidth="1"/>
    <col min="12808" max="12808" width="9.28515625" customWidth="1"/>
    <col min="12811" max="12811" width="7.85546875" customWidth="1"/>
    <col min="12813" max="12813" width="10.140625" customWidth="1"/>
    <col min="12814" max="12814" width="11" customWidth="1"/>
    <col min="13057" max="13057" width="30.42578125" customWidth="1"/>
    <col min="13058" max="13058" width="13.85546875" customWidth="1"/>
    <col min="13060" max="13060" width="10.140625" customWidth="1"/>
    <col min="13061" max="13062" width="11" customWidth="1"/>
    <col min="13064" max="13064" width="9.28515625" customWidth="1"/>
    <col min="13067" max="13067" width="7.85546875" customWidth="1"/>
    <col min="13069" max="13069" width="10.140625" customWidth="1"/>
    <col min="13070" max="13070" width="11" customWidth="1"/>
    <col min="13313" max="13313" width="30.42578125" customWidth="1"/>
    <col min="13314" max="13314" width="13.85546875" customWidth="1"/>
    <col min="13316" max="13316" width="10.140625" customWidth="1"/>
    <col min="13317" max="13318" width="11" customWidth="1"/>
    <col min="13320" max="13320" width="9.28515625" customWidth="1"/>
    <col min="13323" max="13323" width="7.85546875" customWidth="1"/>
    <col min="13325" max="13325" width="10.140625" customWidth="1"/>
    <col min="13326" max="13326" width="11" customWidth="1"/>
    <col min="13569" max="13569" width="30.42578125" customWidth="1"/>
    <col min="13570" max="13570" width="13.85546875" customWidth="1"/>
    <col min="13572" max="13572" width="10.140625" customWidth="1"/>
    <col min="13573" max="13574" width="11" customWidth="1"/>
    <col min="13576" max="13576" width="9.28515625" customWidth="1"/>
    <col min="13579" max="13579" width="7.85546875" customWidth="1"/>
    <col min="13581" max="13581" width="10.140625" customWidth="1"/>
    <col min="13582" max="13582" width="11" customWidth="1"/>
    <col min="13825" max="13825" width="30.42578125" customWidth="1"/>
    <col min="13826" max="13826" width="13.85546875" customWidth="1"/>
    <col min="13828" max="13828" width="10.140625" customWidth="1"/>
    <col min="13829" max="13830" width="11" customWidth="1"/>
    <col min="13832" max="13832" width="9.28515625" customWidth="1"/>
    <col min="13835" max="13835" width="7.85546875" customWidth="1"/>
    <col min="13837" max="13837" width="10.140625" customWidth="1"/>
    <col min="13838" max="13838" width="11" customWidth="1"/>
    <col min="14081" max="14081" width="30.42578125" customWidth="1"/>
    <col min="14082" max="14082" width="13.85546875" customWidth="1"/>
    <col min="14084" max="14084" width="10.140625" customWidth="1"/>
    <col min="14085" max="14086" width="11" customWidth="1"/>
    <col min="14088" max="14088" width="9.28515625" customWidth="1"/>
    <col min="14091" max="14091" width="7.85546875" customWidth="1"/>
    <col min="14093" max="14093" width="10.140625" customWidth="1"/>
    <col min="14094" max="14094" width="11" customWidth="1"/>
    <col min="14337" max="14337" width="30.42578125" customWidth="1"/>
    <col min="14338" max="14338" width="13.85546875" customWidth="1"/>
    <col min="14340" max="14340" width="10.140625" customWidth="1"/>
    <col min="14341" max="14342" width="11" customWidth="1"/>
    <col min="14344" max="14344" width="9.28515625" customWidth="1"/>
    <col min="14347" max="14347" width="7.85546875" customWidth="1"/>
    <col min="14349" max="14349" width="10.140625" customWidth="1"/>
    <col min="14350" max="14350" width="11" customWidth="1"/>
    <col min="14593" max="14593" width="30.42578125" customWidth="1"/>
    <col min="14594" max="14594" width="13.85546875" customWidth="1"/>
    <col min="14596" max="14596" width="10.140625" customWidth="1"/>
    <col min="14597" max="14598" width="11" customWidth="1"/>
    <col min="14600" max="14600" width="9.28515625" customWidth="1"/>
    <col min="14603" max="14603" width="7.85546875" customWidth="1"/>
    <col min="14605" max="14605" width="10.140625" customWidth="1"/>
    <col min="14606" max="14606" width="11" customWidth="1"/>
    <col min="14849" max="14849" width="30.42578125" customWidth="1"/>
    <col min="14850" max="14850" width="13.85546875" customWidth="1"/>
    <col min="14852" max="14852" width="10.140625" customWidth="1"/>
    <col min="14853" max="14854" width="11" customWidth="1"/>
    <col min="14856" max="14856" width="9.28515625" customWidth="1"/>
    <col min="14859" max="14859" width="7.85546875" customWidth="1"/>
    <col min="14861" max="14861" width="10.140625" customWidth="1"/>
    <col min="14862" max="14862" width="11" customWidth="1"/>
    <col min="15105" max="15105" width="30.42578125" customWidth="1"/>
    <col min="15106" max="15106" width="13.85546875" customWidth="1"/>
    <col min="15108" max="15108" width="10.140625" customWidth="1"/>
    <col min="15109" max="15110" width="11" customWidth="1"/>
    <col min="15112" max="15112" width="9.28515625" customWidth="1"/>
    <col min="15115" max="15115" width="7.85546875" customWidth="1"/>
    <col min="15117" max="15117" width="10.140625" customWidth="1"/>
    <col min="15118" max="15118" width="11" customWidth="1"/>
    <col min="15361" max="15361" width="30.42578125" customWidth="1"/>
    <col min="15362" max="15362" width="13.85546875" customWidth="1"/>
    <col min="15364" max="15364" width="10.140625" customWidth="1"/>
    <col min="15365" max="15366" width="11" customWidth="1"/>
    <col min="15368" max="15368" width="9.28515625" customWidth="1"/>
    <col min="15371" max="15371" width="7.85546875" customWidth="1"/>
    <col min="15373" max="15373" width="10.140625" customWidth="1"/>
    <col min="15374" max="15374" width="11" customWidth="1"/>
    <col min="15617" max="15617" width="30.42578125" customWidth="1"/>
    <col min="15618" max="15618" width="13.85546875" customWidth="1"/>
    <col min="15620" max="15620" width="10.140625" customWidth="1"/>
    <col min="15621" max="15622" width="11" customWidth="1"/>
    <col min="15624" max="15624" width="9.28515625" customWidth="1"/>
    <col min="15627" max="15627" width="7.85546875" customWidth="1"/>
    <col min="15629" max="15629" width="10.140625" customWidth="1"/>
    <col min="15630" max="15630" width="11" customWidth="1"/>
    <col min="15873" max="15873" width="30.42578125" customWidth="1"/>
    <col min="15874" max="15874" width="13.85546875" customWidth="1"/>
    <col min="15876" max="15876" width="10.140625" customWidth="1"/>
    <col min="15877" max="15878" width="11" customWidth="1"/>
    <col min="15880" max="15880" width="9.28515625" customWidth="1"/>
    <col min="15883" max="15883" width="7.85546875" customWidth="1"/>
    <col min="15885" max="15885" width="10.140625" customWidth="1"/>
    <col min="15886" max="15886" width="11" customWidth="1"/>
    <col min="16129" max="16129" width="30.42578125" customWidth="1"/>
    <col min="16130" max="16130" width="13.85546875" customWidth="1"/>
    <col min="16132" max="16132" width="10.140625" customWidth="1"/>
    <col min="16133" max="16134" width="11" customWidth="1"/>
    <col min="16136" max="16136" width="9.28515625" customWidth="1"/>
    <col min="16139" max="16139" width="7.85546875" customWidth="1"/>
    <col min="16141" max="16141" width="10.140625" customWidth="1"/>
    <col min="16142" max="16142" width="11" customWidth="1"/>
  </cols>
  <sheetData>
    <row r="1" spans="1:14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</row>
    <row r="2" spans="1:14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</row>
    <row r="4" spans="1:14">
      <c r="A4" s="46" t="s">
        <v>828</v>
      </c>
      <c r="B4" s="854" t="s">
        <v>5567</v>
      </c>
      <c r="C4" s="854"/>
      <c r="D4" s="854"/>
      <c r="E4" s="854" t="s">
        <v>830</v>
      </c>
      <c r="F4" s="854"/>
      <c r="G4" s="854" t="s">
        <v>5568</v>
      </c>
      <c r="H4" s="854"/>
      <c r="I4" s="46" t="s">
        <v>5</v>
      </c>
      <c r="J4" s="46"/>
      <c r="K4" s="47">
        <v>534.74699999999996</v>
      </c>
      <c r="L4" s="46" t="s">
        <v>831</v>
      </c>
      <c r="M4" s="46"/>
      <c r="N4" s="47"/>
    </row>
    <row r="5" spans="1:14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54" t="s">
        <v>5569</v>
      </c>
      <c r="C6" s="854"/>
      <c r="D6" s="854"/>
      <c r="E6" s="854" t="s">
        <v>176</v>
      </c>
      <c r="F6" s="854"/>
      <c r="G6" s="854" t="s">
        <v>5570</v>
      </c>
      <c r="H6" s="854"/>
      <c r="I6" s="854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 ht="23.25" customHeight="1">
      <c r="A8" s="46" t="s">
        <v>835</v>
      </c>
      <c r="B8" s="854" t="s">
        <v>5537</v>
      </c>
      <c r="C8" s="854"/>
      <c r="D8" s="854"/>
      <c r="E8" s="967" t="s">
        <v>5519</v>
      </c>
      <c r="F8" s="940"/>
      <c r="G8" s="854" t="s">
        <v>5571</v>
      </c>
      <c r="H8" s="854"/>
      <c r="I8" s="854"/>
      <c r="J8" s="854"/>
      <c r="K8" s="854"/>
      <c r="L8" s="46"/>
      <c r="M8" s="46"/>
      <c r="N8" s="46"/>
    </row>
    <row r="9" spans="1:14">
      <c r="A9" s="46"/>
      <c r="B9" s="46"/>
      <c r="C9" s="46"/>
      <c r="D9" s="46"/>
      <c r="E9" s="46"/>
      <c r="F9" s="46"/>
      <c r="G9" s="48"/>
      <c r="H9" s="48"/>
      <c r="I9" s="48"/>
      <c r="J9" s="48"/>
      <c r="K9" s="48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47" t="s">
        <v>838</v>
      </c>
      <c r="B11" s="854" t="s">
        <v>5572</v>
      </c>
      <c r="C11" s="854"/>
      <c r="D11" s="854" t="s">
        <v>5573</v>
      </c>
      <c r="E11" s="854"/>
      <c r="F11" s="854"/>
      <c r="G11" s="854" t="s">
        <v>5574</v>
      </c>
      <c r="H11" s="854"/>
      <c r="I11" s="854"/>
      <c r="J11" s="854"/>
      <c r="K11" s="854"/>
      <c r="L11" s="854"/>
      <c r="M11" s="854"/>
      <c r="N11" s="46"/>
    </row>
    <row r="12" spans="1:14">
      <c r="A12" s="47" t="s">
        <v>840</v>
      </c>
      <c r="B12" s="854" t="s">
        <v>5575</v>
      </c>
      <c r="C12" s="854"/>
      <c r="D12" s="854" t="s">
        <v>5576</v>
      </c>
      <c r="E12" s="854"/>
      <c r="F12" s="854"/>
      <c r="G12" s="854" t="s">
        <v>5577</v>
      </c>
      <c r="H12" s="854"/>
      <c r="I12" s="854"/>
      <c r="J12" s="854"/>
      <c r="K12" s="854"/>
      <c r="L12" s="854"/>
      <c r="M12" s="854"/>
      <c r="N12" s="46"/>
    </row>
    <row r="13" spans="1:14" ht="21.75" customHeight="1">
      <c r="A13" s="47" t="s">
        <v>844</v>
      </c>
      <c r="B13" s="1155" t="s">
        <v>5578</v>
      </c>
      <c r="C13" s="917"/>
      <c r="D13" s="843" t="s">
        <v>5579</v>
      </c>
      <c r="E13" s="870"/>
      <c r="F13" s="844"/>
      <c r="G13" s="854" t="s">
        <v>5580</v>
      </c>
      <c r="H13" s="854"/>
      <c r="I13" s="854"/>
      <c r="J13" s="854"/>
      <c r="K13" s="854"/>
      <c r="L13" s="854"/>
      <c r="M13" s="854"/>
      <c r="N13" s="46"/>
    </row>
    <row r="14" spans="1:14">
      <c r="A14" s="47" t="s">
        <v>850</v>
      </c>
      <c r="B14" s="854"/>
      <c r="C14" s="854"/>
      <c r="D14" s="854" t="s">
        <v>5537</v>
      </c>
      <c r="E14" s="854"/>
      <c r="F14" s="854"/>
      <c r="G14" s="854"/>
      <c r="H14" s="854"/>
      <c r="I14" s="854"/>
      <c r="J14" s="854"/>
      <c r="K14" s="854"/>
      <c r="L14" s="854"/>
      <c r="M14" s="854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 t="s">
        <v>852</v>
      </c>
      <c r="B16" s="47">
        <v>3</v>
      </c>
      <c r="C16" s="46" t="s">
        <v>853</v>
      </c>
      <c r="D16" s="46"/>
      <c r="E16" s="522">
        <v>3</v>
      </c>
      <c r="G16" s="46" t="s">
        <v>643</v>
      </c>
      <c r="H16" s="522">
        <v>4</v>
      </c>
      <c r="I16" s="46" t="s">
        <v>644</v>
      </c>
      <c r="J16" s="47">
        <v>1</v>
      </c>
      <c r="K16" s="46" t="s">
        <v>645</v>
      </c>
      <c r="L16" s="47"/>
      <c r="M16" s="46"/>
      <c r="N16" s="46"/>
    </row>
    <row r="17" spans="1:14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 t="s">
        <v>854</v>
      </c>
      <c r="B19" s="46" t="s">
        <v>204</v>
      </c>
      <c r="C19" s="47">
        <v>68</v>
      </c>
      <c r="D19" s="46" t="s">
        <v>205</v>
      </c>
      <c r="E19" s="47"/>
      <c r="F19" s="49" t="s">
        <v>206</v>
      </c>
      <c r="G19" s="47"/>
      <c r="H19" s="46" t="s">
        <v>230</v>
      </c>
      <c r="I19" s="47">
        <v>68</v>
      </c>
      <c r="J19" s="46" t="s">
        <v>207</v>
      </c>
      <c r="K19" s="47">
        <v>41</v>
      </c>
      <c r="L19" s="46" t="s">
        <v>855</v>
      </c>
      <c r="M19" s="46"/>
      <c r="N19" s="47"/>
    </row>
    <row r="20" spans="1:14">
      <c r="A20" s="46" t="s">
        <v>209</v>
      </c>
      <c r="B20" s="46" t="s">
        <v>210</v>
      </c>
      <c r="C20" s="47">
        <v>208</v>
      </c>
      <c r="D20" s="46" t="s">
        <v>211</v>
      </c>
      <c r="E20" s="47"/>
      <c r="F20" s="49" t="s">
        <v>212</v>
      </c>
      <c r="G20" s="47"/>
      <c r="H20" s="46" t="s">
        <v>411</v>
      </c>
      <c r="I20" s="47">
        <v>208</v>
      </c>
      <c r="J20" s="46"/>
      <c r="K20" s="46"/>
      <c r="L20" s="46"/>
      <c r="M20" s="46"/>
      <c r="N20" s="46"/>
    </row>
    <row r="21" spans="1:14">
      <c r="A21" s="46"/>
      <c r="B21" s="46" t="s">
        <v>858</v>
      </c>
      <c r="C21" s="47">
        <v>207</v>
      </c>
      <c r="D21" s="46" t="s">
        <v>214</v>
      </c>
      <c r="E21" s="47"/>
      <c r="F21" s="46" t="s">
        <v>215</v>
      </c>
      <c r="G21" s="47"/>
      <c r="H21" s="46" t="s">
        <v>410</v>
      </c>
      <c r="I21" s="47">
        <v>207</v>
      </c>
      <c r="J21" s="46"/>
      <c r="K21" s="46"/>
      <c r="L21" s="46"/>
      <c r="M21" s="46"/>
      <c r="N21" s="46"/>
    </row>
    <row r="22" spans="1:14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4">
      <c r="A23" s="50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 ht="30" customHeight="1">
      <c r="A24" s="1152" t="s">
        <v>861</v>
      </c>
      <c r="B24" s="1153" t="s">
        <v>5532</v>
      </c>
      <c r="C24" s="1153" t="s">
        <v>219</v>
      </c>
      <c r="D24" s="1153" t="s">
        <v>863</v>
      </c>
      <c r="E24" s="1153" t="s">
        <v>864</v>
      </c>
      <c r="F24" s="1157" t="s">
        <v>865</v>
      </c>
      <c r="G24" s="1157"/>
      <c r="H24" s="1157"/>
      <c r="I24" s="1157"/>
      <c r="J24" s="1157"/>
      <c r="K24" s="1157"/>
      <c r="L24" s="1157"/>
      <c r="M24" s="1157"/>
      <c r="N24" s="1157"/>
    </row>
    <row r="25" spans="1:14" ht="16.5" customHeight="1">
      <c r="A25" s="1152"/>
      <c r="B25" s="1153"/>
      <c r="C25" s="1153"/>
      <c r="D25" s="1153"/>
      <c r="E25" s="1153"/>
      <c r="F25" s="491" t="s">
        <v>1179</v>
      </c>
      <c r="G25" s="491" t="s">
        <v>1178</v>
      </c>
      <c r="H25" s="491">
        <v>3</v>
      </c>
      <c r="I25" s="491">
        <v>4</v>
      </c>
      <c r="J25" s="491">
        <v>5</v>
      </c>
      <c r="K25" s="491">
        <v>6</v>
      </c>
      <c r="L25" s="491">
        <v>7</v>
      </c>
      <c r="M25" s="491" t="s">
        <v>230</v>
      </c>
      <c r="N25" s="491" t="s">
        <v>662</v>
      </c>
    </row>
    <row r="26" spans="1:14">
      <c r="A26" s="491" t="s">
        <v>232</v>
      </c>
      <c r="B26" s="491">
        <v>8000</v>
      </c>
      <c r="C26" s="492" t="s">
        <v>873</v>
      </c>
      <c r="D26" s="493">
        <f>+B26*K4/100000</f>
        <v>42.779760000000003</v>
      </c>
      <c r="E26" s="494">
        <f>1680000/100000</f>
        <v>16.8</v>
      </c>
      <c r="F26" s="495">
        <f>484800/100000</f>
        <v>4.8479999999999999</v>
      </c>
      <c r="G26" s="495">
        <f>842840/100000</f>
        <v>8.4283999999999999</v>
      </c>
      <c r="H26" s="495"/>
      <c r="I26" s="495"/>
      <c r="J26" s="495"/>
      <c r="K26" s="495"/>
      <c r="L26" s="495"/>
      <c r="M26" s="494">
        <f>+F26+G26</f>
        <v>13.276399999999999</v>
      </c>
      <c r="N26" s="495">
        <f>+M26*100/E26</f>
        <v>79.026190476190465</v>
      </c>
    </row>
    <row r="27" spans="1:14">
      <c r="A27" s="491" t="s">
        <v>874</v>
      </c>
      <c r="B27" s="491">
        <v>7000</v>
      </c>
      <c r="C27" s="492" t="s">
        <v>873</v>
      </c>
      <c r="D27" s="495">
        <f>+B27*80/100000</f>
        <v>5.6</v>
      </c>
      <c r="E27" s="495">
        <v>0</v>
      </c>
      <c r="F27" s="495">
        <v>0</v>
      </c>
      <c r="G27" s="495">
        <v>0</v>
      </c>
      <c r="H27" s="495"/>
      <c r="I27" s="495"/>
      <c r="J27" s="495"/>
      <c r="K27" s="495"/>
      <c r="L27" s="495"/>
      <c r="M27" s="495">
        <f t="shared" ref="M27:M34" si="0">+F27+G27</f>
        <v>0</v>
      </c>
      <c r="N27" s="495">
        <v>0</v>
      </c>
    </row>
    <row r="28" spans="1:14">
      <c r="A28" s="491" t="s">
        <v>235</v>
      </c>
      <c r="B28" s="491">
        <v>43000</v>
      </c>
      <c r="C28" s="496" t="s">
        <v>5388</v>
      </c>
      <c r="D28" s="495">
        <v>0.43</v>
      </c>
      <c r="E28" s="494">
        <f>35000/100000</f>
        <v>0.35</v>
      </c>
      <c r="F28" s="495">
        <f>5440/100000</f>
        <v>5.4399999999999997E-2</v>
      </c>
      <c r="G28" s="495">
        <f>12560/100000</f>
        <v>0.12559999999999999</v>
      </c>
      <c r="H28" s="495"/>
      <c r="I28" s="495"/>
      <c r="J28" s="495"/>
      <c r="K28" s="495"/>
      <c r="L28" s="495"/>
      <c r="M28" s="494">
        <f t="shared" si="0"/>
        <v>0.18</v>
      </c>
      <c r="N28" s="495">
        <f t="shared" ref="N28:N35" si="1">+M28*100/E28</f>
        <v>51.428571428571431</v>
      </c>
    </row>
    <row r="29" spans="1:14">
      <c r="A29" s="491" t="s">
        <v>875</v>
      </c>
      <c r="B29" s="491">
        <v>34000</v>
      </c>
      <c r="C29" s="496" t="s">
        <v>5388</v>
      </c>
      <c r="D29" s="495">
        <v>0.34</v>
      </c>
      <c r="E29" s="494">
        <f>16000/100000</f>
        <v>0.16</v>
      </c>
      <c r="F29" s="495">
        <f>16000/100000</f>
        <v>0.16</v>
      </c>
      <c r="G29" s="495">
        <v>0</v>
      </c>
      <c r="H29" s="495"/>
      <c r="I29" s="495"/>
      <c r="J29" s="495"/>
      <c r="K29" s="495"/>
      <c r="L29" s="495"/>
      <c r="M29" s="494">
        <f t="shared" si="0"/>
        <v>0.16</v>
      </c>
      <c r="N29" s="495">
        <f t="shared" si="1"/>
        <v>100</v>
      </c>
    </row>
    <row r="30" spans="1:14">
      <c r="A30" s="491" t="s">
        <v>238</v>
      </c>
      <c r="B30" s="491">
        <v>1200</v>
      </c>
      <c r="C30" s="492" t="s">
        <v>873</v>
      </c>
      <c r="D30" s="495">
        <f>+B30*K4/100000</f>
        <v>6.4169639999999992</v>
      </c>
      <c r="E30" s="494">
        <f>200000/100000</f>
        <v>2</v>
      </c>
      <c r="F30" s="495">
        <v>0</v>
      </c>
      <c r="G30" s="495">
        <v>0</v>
      </c>
      <c r="H30" s="495"/>
      <c r="I30" s="495"/>
      <c r="J30" s="495"/>
      <c r="K30" s="495"/>
      <c r="L30" s="495"/>
      <c r="M30" s="494">
        <f t="shared" si="0"/>
        <v>0</v>
      </c>
      <c r="N30" s="495">
        <f t="shared" si="1"/>
        <v>0</v>
      </c>
    </row>
    <row r="31" spans="1:14">
      <c r="A31" s="491" t="s">
        <v>667</v>
      </c>
      <c r="B31" s="491">
        <v>565</v>
      </c>
      <c r="C31" s="492" t="s">
        <v>873</v>
      </c>
      <c r="D31" s="495">
        <f>+B31*K4/100000</f>
        <v>3.02132055</v>
      </c>
      <c r="E31" s="494">
        <f>291709/100000</f>
        <v>2.91709</v>
      </c>
      <c r="F31" s="495">
        <f>291709/100000</f>
        <v>2.91709</v>
      </c>
      <c r="G31" s="495">
        <v>0</v>
      </c>
      <c r="H31" s="495"/>
      <c r="I31" s="495"/>
      <c r="J31" s="495"/>
      <c r="K31" s="495"/>
      <c r="L31" s="495"/>
      <c r="M31" s="494">
        <f t="shared" si="0"/>
        <v>2.91709</v>
      </c>
      <c r="N31" s="495">
        <f t="shared" si="1"/>
        <v>100</v>
      </c>
    </row>
    <row r="32" spans="1:14">
      <c r="A32" s="491" t="s">
        <v>876</v>
      </c>
      <c r="B32" s="491">
        <v>1000</v>
      </c>
      <c r="C32" s="492" t="s">
        <v>873</v>
      </c>
      <c r="D32" s="495">
        <f>+B32*K4/100000</f>
        <v>5.3474700000000004</v>
      </c>
      <c r="E32" s="495">
        <v>0</v>
      </c>
      <c r="F32" s="495">
        <v>0</v>
      </c>
      <c r="G32" s="495">
        <v>0</v>
      </c>
      <c r="H32" s="495"/>
      <c r="I32" s="495"/>
      <c r="J32" s="495"/>
      <c r="K32" s="495"/>
      <c r="L32" s="495"/>
      <c r="M32" s="495">
        <f t="shared" si="0"/>
        <v>0</v>
      </c>
      <c r="N32" s="495">
        <v>0</v>
      </c>
    </row>
    <row r="33" spans="1:14">
      <c r="A33" s="491" t="s">
        <v>394</v>
      </c>
      <c r="B33" s="491">
        <v>2750</v>
      </c>
      <c r="C33" s="496" t="s">
        <v>5486</v>
      </c>
      <c r="D33" s="94">
        <f>66000/100000+1.687</f>
        <v>2.347</v>
      </c>
      <c r="E33" s="494">
        <f>66000/100000</f>
        <v>0.66</v>
      </c>
      <c r="F33" s="495">
        <f>24500/100000</f>
        <v>0.245</v>
      </c>
      <c r="G33" s="495">
        <f>41500/100000</f>
        <v>0.41499999999999998</v>
      </c>
      <c r="H33" s="495"/>
      <c r="I33" s="495"/>
      <c r="J33" s="495"/>
      <c r="K33" s="495"/>
      <c r="L33" s="495"/>
      <c r="M33" s="494">
        <f t="shared" si="0"/>
        <v>0.65999999999999992</v>
      </c>
      <c r="N33" s="495">
        <f t="shared" si="1"/>
        <v>99.999999999999972</v>
      </c>
    </row>
    <row r="34" spans="1:14">
      <c r="A34" s="498" t="s">
        <v>670</v>
      </c>
      <c r="B34" s="499">
        <v>2000</v>
      </c>
      <c r="C34" s="500" t="s">
        <v>244</v>
      </c>
      <c r="D34" s="494">
        <v>0.1</v>
      </c>
      <c r="E34" s="501">
        <v>0.1</v>
      </c>
      <c r="F34" s="495">
        <v>0</v>
      </c>
      <c r="G34" s="501">
        <v>0.1</v>
      </c>
      <c r="H34" s="495"/>
      <c r="I34" s="495"/>
      <c r="J34" s="495"/>
      <c r="K34" s="495"/>
      <c r="L34" s="495"/>
      <c r="M34" s="494">
        <f t="shared" si="0"/>
        <v>0.1</v>
      </c>
      <c r="N34" s="495">
        <f t="shared" si="1"/>
        <v>100</v>
      </c>
    </row>
    <row r="35" spans="1:14">
      <c r="A35" s="69" t="s">
        <v>5550</v>
      </c>
      <c r="B35" s="70"/>
      <c r="C35" s="70"/>
      <c r="D35" s="88">
        <f>SUM(D26:D34)</f>
        <v>66.382514549999996</v>
      </c>
      <c r="E35" s="88">
        <f t="shared" ref="E35:L35" si="2">SUM(E26:E34)</f>
        <v>22.987090000000006</v>
      </c>
      <c r="F35" s="88">
        <f t="shared" si="2"/>
        <v>8.2244899999999994</v>
      </c>
      <c r="G35" s="88">
        <f t="shared" si="2"/>
        <v>9.0689999999999991</v>
      </c>
      <c r="H35" s="88">
        <f t="shared" si="2"/>
        <v>0</v>
      </c>
      <c r="I35" s="88">
        <f t="shared" si="2"/>
        <v>0</v>
      </c>
      <c r="J35" s="88">
        <f t="shared" si="2"/>
        <v>0</v>
      </c>
      <c r="K35" s="88">
        <f t="shared" si="2"/>
        <v>0</v>
      </c>
      <c r="L35" s="88">
        <f t="shared" si="2"/>
        <v>0</v>
      </c>
      <c r="M35" s="88">
        <f>SUM(M26:M34)</f>
        <v>17.293490000000002</v>
      </c>
      <c r="N35" s="494">
        <f t="shared" si="1"/>
        <v>75.231314620510886</v>
      </c>
    </row>
  </sheetData>
  <mergeCells count="34">
    <mergeCell ref="B6:D6"/>
    <mergeCell ref="E6:F6"/>
    <mergeCell ref="G6:I6"/>
    <mergeCell ref="A1:N1"/>
    <mergeCell ref="A2:N2"/>
    <mergeCell ref="B4:D4"/>
    <mergeCell ref="E4:F4"/>
    <mergeCell ref="G4:H4"/>
    <mergeCell ref="A5:C5"/>
    <mergeCell ref="B8:D8"/>
    <mergeCell ref="E8:F8"/>
    <mergeCell ref="G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B14:C14"/>
    <mergeCell ref="D14:F14"/>
    <mergeCell ref="G14:I14"/>
    <mergeCell ref="J14:M14"/>
    <mergeCell ref="A24:A25"/>
    <mergeCell ref="B24:B25"/>
    <mergeCell ref="C24:C25"/>
    <mergeCell ref="D24:D25"/>
    <mergeCell ref="E24:E25"/>
    <mergeCell ref="F24:N24"/>
  </mergeCells>
  <hyperlinks>
    <hyperlink ref="A5" location="'Fact Sheet of VDC'!A1" display="&lt;&lt;Back"/>
  </hyperlinks>
  <pageMargins left="0.7" right="0.7" top="0.75" bottom="0.75" header="0.3" footer="0.3"/>
  <pageSetup paperSize="9" scale="77" orientation="landscape" r:id="rId1"/>
</worksheet>
</file>

<file path=xl/worksheets/sheet185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A5" sqref="A5:C5"/>
    </sheetView>
  </sheetViews>
  <sheetFormatPr defaultRowHeight="15"/>
  <cols>
    <col min="1" max="1" width="30.42578125" customWidth="1"/>
    <col min="2" max="2" width="13.85546875" customWidth="1"/>
    <col min="4" max="4" width="10.140625" customWidth="1"/>
    <col min="5" max="6" width="11" customWidth="1"/>
    <col min="8" max="8" width="9.28515625" customWidth="1"/>
    <col min="11" max="11" width="7.85546875" customWidth="1"/>
    <col min="13" max="13" width="9" bestFit="1" customWidth="1"/>
    <col min="14" max="14" width="10.85546875" customWidth="1"/>
    <col min="257" max="257" width="30.42578125" customWidth="1"/>
    <col min="258" max="258" width="13.85546875" customWidth="1"/>
    <col min="260" max="260" width="10.140625" customWidth="1"/>
    <col min="261" max="262" width="11" customWidth="1"/>
    <col min="264" max="264" width="9.28515625" customWidth="1"/>
    <col min="267" max="267" width="7.85546875" customWidth="1"/>
    <col min="269" max="269" width="9" bestFit="1" customWidth="1"/>
    <col min="270" max="270" width="10.85546875" customWidth="1"/>
    <col min="513" max="513" width="30.42578125" customWidth="1"/>
    <col min="514" max="514" width="13.85546875" customWidth="1"/>
    <col min="516" max="516" width="10.140625" customWidth="1"/>
    <col min="517" max="518" width="11" customWidth="1"/>
    <col min="520" max="520" width="9.28515625" customWidth="1"/>
    <col min="523" max="523" width="7.85546875" customWidth="1"/>
    <col min="525" max="525" width="9" bestFit="1" customWidth="1"/>
    <col min="526" max="526" width="10.85546875" customWidth="1"/>
    <col min="769" max="769" width="30.42578125" customWidth="1"/>
    <col min="770" max="770" width="13.85546875" customWidth="1"/>
    <col min="772" max="772" width="10.140625" customWidth="1"/>
    <col min="773" max="774" width="11" customWidth="1"/>
    <col min="776" max="776" width="9.28515625" customWidth="1"/>
    <col min="779" max="779" width="7.85546875" customWidth="1"/>
    <col min="781" max="781" width="9" bestFit="1" customWidth="1"/>
    <col min="782" max="782" width="10.85546875" customWidth="1"/>
    <col min="1025" max="1025" width="30.42578125" customWidth="1"/>
    <col min="1026" max="1026" width="13.85546875" customWidth="1"/>
    <col min="1028" max="1028" width="10.140625" customWidth="1"/>
    <col min="1029" max="1030" width="11" customWidth="1"/>
    <col min="1032" max="1032" width="9.28515625" customWidth="1"/>
    <col min="1035" max="1035" width="7.85546875" customWidth="1"/>
    <col min="1037" max="1037" width="9" bestFit="1" customWidth="1"/>
    <col min="1038" max="1038" width="10.85546875" customWidth="1"/>
    <col min="1281" max="1281" width="30.42578125" customWidth="1"/>
    <col min="1282" max="1282" width="13.85546875" customWidth="1"/>
    <col min="1284" max="1284" width="10.140625" customWidth="1"/>
    <col min="1285" max="1286" width="11" customWidth="1"/>
    <col min="1288" max="1288" width="9.28515625" customWidth="1"/>
    <col min="1291" max="1291" width="7.85546875" customWidth="1"/>
    <col min="1293" max="1293" width="9" bestFit="1" customWidth="1"/>
    <col min="1294" max="1294" width="10.85546875" customWidth="1"/>
    <col min="1537" max="1537" width="30.42578125" customWidth="1"/>
    <col min="1538" max="1538" width="13.85546875" customWidth="1"/>
    <col min="1540" max="1540" width="10.140625" customWidth="1"/>
    <col min="1541" max="1542" width="11" customWidth="1"/>
    <col min="1544" max="1544" width="9.28515625" customWidth="1"/>
    <col min="1547" max="1547" width="7.85546875" customWidth="1"/>
    <col min="1549" max="1549" width="9" bestFit="1" customWidth="1"/>
    <col min="1550" max="1550" width="10.85546875" customWidth="1"/>
    <col min="1793" max="1793" width="30.42578125" customWidth="1"/>
    <col min="1794" max="1794" width="13.85546875" customWidth="1"/>
    <col min="1796" max="1796" width="10.140625" customWidth="1"/>
    <col min="1797" max="1798" width="11" customWidth="1"/>
    <col min="1800" max="1800" width="9.28515625" customWidth="1"/>
    <col min="1803" max="1803" width="7.85546875" customWidth="1"/>
    <col min="1805" max="1805" width="9" bestFit="1" customWidth="1"/>
    <col min="1806" max="1806" width="10.85546875" customWidth="1"/>
    <col min="2049" max="2049" width="30.42578125" customWidth="1"/>
    <col min="2050" max="2050" width="13.85546875" customWidth="1"/>
    <col min="2052" max="2052" width="10.140625" customWidth="1"/>
    <col min="2053" max="2054" width="11" customWidth="1"/>
    <col min="2056" max="2056" width="9.28515625" customWidth="1"/>
    <col min="2059" max="2059" width="7.85546875" customWidth="1"/>
    <col min="2061" max="2061" width="9" bestFit="1" customWidth="1"/>
    <col min="2062" max="2062" width="10.85546875" customWidth="1"/>
    <col min="2305" max="2305" width="30.42578125" customWidth="1"/>
    <col min="2306" max="2306" width="13.85546875" customWidth="1"/>
    <col min="2308" max="2308" width="10.140625" customWidth="1"/>
    <col min="2309" max="2310" width="11" customWidth="1"/>
    <col min="2312" max="2312" width="9.28515625" customWidth="1"/>
    <col min="2315" max="2315" width="7.85546875" customWidth="1"/>
    <col min="2317" max="2317" width="9" bestFit="1" customWidth="1"/>
    <col min="2318" max="2318" width="10.85546875" customWidth="1"/>
    <col min="2561" max="2561" width="30.42578125" customWidth="1"/>
    <col min="2562" max="2562" width="13.85546875" customWidth="1"/>
    <col min="2564" max="2564" width="10.140625" customWidth="1"/>
    <col min="2565" max="2566" width="11" customWidth="1"/>
    <col min="2568" max="2568" width="9.28515625" customWidth="1"/>
    <col min="2571" max="2571" width="7.85546875" customWidth="1"/>
    <col min="2573" max="2573" width="9" bestFit="1" customWidth="1"/>
    <col min="2574" max="2574" width="10.85546875" customWidth="1"/>
    <col min="2817" max="2817" width="30.42578125" customWidth="1"/>
    <col min="2818" max="2818" width="13.85546875" customWidth="1"/>
    <col min="2820" max="2820" width="10.140625" customWidth="1"/>
    <col min="2821" max="2822" width="11" customWidth="1"/>
    <col min="2824" max="2824" width="9.28515625" customWidth="1"/>
    <col min="2827" max="2827" width="7.85546875" customWidth="1"/>
    <col min="2829" max="2829" width="9" bestFit="1" customWidth="1"/>
    <col min="2830" max="2830" width="10.85546875" customWidth="1"/>
    <col min="3073" max="3073" width="30.42578125" customWidth="1"/>
    <col min="3074" max="3074" width="13.85546875" customWidth="1"/>
    <col min="3076" max="3076" width="10.140625" customWidth="1"/>
    <col min="3077" max="3078" width="11" customWidth="1"/>
    <col min="3080" max="3080" width="9.28515625" customWidth="1"/>
    <col min="3083" max="3083" width="7.85546875" customWidth="1"/>
    <col min="3085" max="3085" width="9" bestFit="1" customWidth="1"/>
    <col min="3086" max="3086" width="10.85546875" customWidth="1"/>
    <col min="3329" max="3329" width="30.42578125" customWidth="1"/>
    <col min="3330" max="3330" width="13.85546875" customWidth="1"/>
    <col min="3332" max="3332" width="10.140625" customWidth="1"/>
    <col min="3333" max="3334" width="11" customWidth="1"/>
    <col min="3336" max="3336" width="9.28515625" customWidth="1"/>
    <col min="3339" max="3339" width="7.85546875" customWidth="1"/>
    <col min="3341" max="3341" width="9" bestFit="1" customWidth="1"/>
    <col min="3342" max="3342" width="10.85546875" customWidth="1"/>
    <col min="3585" max="3585" width="30.42578125" customWidth="1"/>
    <col min="3586" max="3586" width="13.85546875" customWidth="1"/>
    <col min="3588" max="3588" width="10.140625" customWidth="1"/>
    <col min="3589" max="3590" width="11" customWidth="1"/>
    <col min="3592" max="3592" width="9.28515625" customWidth="1"/>
    <col min="3595" max="3595" width="7.85546875" customWidth="1"/>
    <col min="3597" max="3597" width="9" bestFit="1" customWidth="1"/>
    <col min="3598" max="3598" width="10.85546875" customWidth="1"/>
    <col min="3841" max="3841" width="30.42578125" customWidth="1"/>
    <col min="3842" max="3842" width="13.85546875" customWidth="1"/>
    <col min="3844" max="3844" width="10.140625" customWidth="1"/>
    <col min="3845" max="3846" width="11" customWidth="1"/>
    <col min="3848" max="3848" width="9.28515625" customWidth="1"/>
    <col min="3851" max="3851" width="7.85546875" customWidth="1"/>
    <col min="3853" max="3853" width="9" bestFit="1" customWidth="1"/>
    <col min="3854" max="3854" width="10.85546875" customWidth="1"/>
    <col min="4097" max="4097" width="30.42578125" customWidth="1"/>
    <col min="4098" max="4098" width="13.85546875" customWidth="1"/>
    <col min="4100" max="4100" width="10.140625" customWidth="1"/>
    <col min="4101" max="4102" width="11" customWidth="1"/>
    <col min="4104" max="4104" width="9.28515625" customWidth="1"/>
    <col min="4107" max="4107" width="7.85546875" customWidth="1"/>
    <col min="4109" max="4109" width="9" bestFit="1" customWidth="1"/>
    <col min="4110" max="4110" width="10.85546875" customWidth="1"/>
    <col min="4353" max="4353" width="30.42578125" customWidth="1"/>
    <col min="4354" max="4354" width="13.85546875" customWidth="1"/>
    <col min="4356" max="4356" width="10.140625" customWidth="1"/>
    <col min="4357" max="4358" width="11" customWidth="1"/>
    <col min="4360" max="4360" width="9.28515625" customWidth="1"/>
    <col min="4363" max="4363" width="7.85546875" customWidth="1"/>
    <col min="4365" max="4365" width="9" bestFit="1" customWidth="1"/>
    <col min="4366" max="4366" width="10.85546875" customWidth="1"/>
    <col min="4609" max="4609" width="30.42578125" customWidth="1"/>
    <col min="4610" max="4610" width="13.85546875" customWidth="1"/>
    <col min="4612" max="4612" width="10.140625" customWidth="1"/>
    <col min="4613" max="4614" width="11" customWidth="1"/>
    <col min="4616" max="4616" width="9.28515625" customWidth="1"/>
    <col min="4619" max="4619" width="7.85546875" customWidth="1"/>
    <col min="4621" max="4621" width="9" bestFit="1" customWidth="1"/>
    <col min="4622" max="4622" width="10.85546875" customWidth="1"/>
    <col min="4865" max="4865" width="30.42578125" customWidth="1"/>
    <col min="4866" max="4866" width="13.85546875" customWidth="1"/>
    <col min="4868" max="4868" width="10.140625" customWidth="1"/>
    <col min="4869" max="4870" width="11" customWidth="1"/>
    <col min="4872" max="4872" width="9.28515625" customWidth="1"/>
    <col min="4875" max="4875" width="7.85546875" customWidth="1"/>
    <col min="4877" max="4877" width="9" bestFit="1" customWidth="1"/>
    <col min="4878" max="4878" width="10.85546875" customWidth="1"/>
    <col min="5121" max="5121" width="30.42578125" customWidth="1"/>
    <col min="5122" max="5122" width="13.85546875" customWidth="1"/>
    <col min="5124" max="5124" width="10.140625" customWidth="1"/>
    <col min="5125" max="5126" width="11" customWidth="1"/>
    <col min="5128" max="5128" width="9.28515625" customWidth="1"/>
    <col min="5131" max="5131" width="7.85546875" customWidth="1"/>
    <col min="5133" max="5133" width="9" bestFit="1" customWidth="1"/>
    <col min="5134" max="5134" width="10.85546875" customWidth="1"/>
    <col min="5377" max="5377" width="30.42578125" customWidth="1"/>
    <col min="5378" max="5378" width="13.85546875" customWidth="1"/>
    <col min="5380" max="5380" width="10.140625" customWidth="1"/>
    <col min="5381" max="5382" width="11" customWidth="1"/>
    <col min="5384" max="5384" width="9.28515625" customWidth="1"/>
    <col min="5387" max="5387" width="7.85546875" customWidth="1"/>
    <col min="5389" max="5389" width="9" bestFit="1" customWidth="1"/>
    <col min="5390" max="5390" width="10.85546875" customWidth="1"/>
    <col min="5633" max="5633" width="30.42578125" customWidth="1"/>
    <col min="5634" max="5634" width="13.85546875" customWidth="1"/>
    <col min="5636" max="5636" width="10.140625" customWidth="1"/>
    <col min="5637" max="5638" width="11" customWidth="1"/>
    <col min="5640" max="5640" width="9.28515625" customWidth="1"/>
    <col min="5643" max="5643" width="7.85546875" customWidth="1"/>
    <col min="5645" max="5645" width="9" bestFit="1" customWidth="1"/>
    <col min="5646" max="5646" width="10.85546875" customWidth="1"/>
    <col min="5889" max="5889" width="30.42578125" customWidth="1"/>
    <col min="5890" max="5890" width="13.85546875" customWidth="1"/>
    <col min="5892" max="5892" width="10.140625" customWidth="1"/>
    <col min="5893" max="5894" width="11" customWidth="1"/>
    <col min="5896" max="5896" width="9.28515625" customWidth="1"/>
    <col min="5899" max="5899" width="7.85546875" customWidth="1"/>
    <col min="5901" max="5901" width="9" bestFit="1" customWidth="1"/>
    <col min="5902" max="5902" width="10.85546875" customWidth="1"/>
    <col min="6145" max="6145" width="30.42578125" customWidth="1"/>
    <col min="6146" max="6146" width="13.85546875" customWidth="1"/>
    <col min="6148" max="6148" width="10.140625" customWidth="1"/>
    <col min="6149" max="6150" width="11" customWidth="1"/>
    <col min="6152" max="6152" width="9.28515625" customWidth="1"/>
    <col min="6155" max="6155" width="7.85546875" customWidth="1"/>
    <col min="6157" max="6157" width="9" bestFit="1" customWidth="1"/>
    <col min="6158" max="6158" width="10.85546875" customWidth="1"/>
    <col min="6401" max="6401" width="30.42578125" customWidth="1"/>
    <col min="6402" max="6402" width="13.85546875" customWidth="1"/>
    <col min="6404" max="6404" width="10.140625" customWidth="1"/>
    <col min="6405" max="6406" width="11" customWidth="1"/>
    <col min="6408" max="6408" width="9.28515625" customWidth="1"/>
    <col min="6411" max="6411" width="7.85546875" customWidth="1"/>
    <col min="6413" max="6413" width="9" bestFit="1" customWidth="1"/>
    <col min="6414" max="6414" width="10.85546875" customWidth="1"/>
    <col min="6657" max="6657" width="30.42578125" customWidth="1"/>
    <col min="6658" max="6658" width="13.85546875" customWidth="1"/>
    <col min="6660" max="6660" width="10.140625" customWidth="1"/>
    <col min="6661" max="6662" width="11" customWidth="1"/>
    <col min="6664" max="6664" width="9.28515625" customWidth="1"/>
    <col min="6667" max="6667" width="7.85546875" customWidth="1"/>
    <col min="6669" max="6669" width="9" bestFit="1" customWidth="1"/>
    <col min="6670" max="6670" width="10.85546875" customWidth="1"/>
    <col min="6913" max="6913" width="30.42578125" customWidth="1"/>
    <col min="6914" max="6914" width="13.85546875" customWidth="1"/>
    <col min="6916" max="6916" width="10.140625" customWidth="1"/>
    <col min="6917" max="6918" width="11" customWidth="1"/>
    <col min="6920" max="6920" width="9.28515625" customWidth="1"/>
    <col min="6923" max="6923" width="7.85546875" customWidth="1"/>
    <col min="6925" max="6925" width="9" bestFit="1" customWidth="1"/>
    <col min="6926" max="6926" width="10.85546875" customWidth="1"/>
    <col min="7169" max="7169" width="30.42578125" customWidth="1"/>
    <col min="7170" max="7170" width="13.85546875" customWidth="1"/>
    <col min="7172" max="7172" width="10.140625" customWidth="1"/>
    <col min="7173" max="7174" width="11" customWidth="1"/>
    <col min="7176" max="7176" width="9.28515625" customWidth="1"/>
    <col min="7179" max="7179" width="7.85546875" customWidth="1"/>
    <col min="7181" max="7181" width="9" bestFit="1" customWidth="1"/>
    <col min="7182" max="7182" width="10.85546875" customWidth="1"/>
    <col min="7425" max="7425" width="30.42578125" customWidth="1"/>
    <col min="7426" max="7426" width="13.85546875" customWidth="1"/>
    <col min="7428" max="7428" width="10.140625" customWidth="1"/>
    <col min="7429" max="7430" width="11" customWidth="1"/>
    <col min="7432" max="7432" width="9.28515625" customWidth="1"/>
    <col min="7435" max="7435" width="7.85546875" customWidth="1"/>
    <col min="7437" max="7437" width="9" bestFit="1" customWidth="1"/>
    <col min="7438" max="7438" width="10.85546875" customWidth="1"/>
    <col min="7681" max="7681" width="30.42578125" customWidth="1"/>
    <col min="7682" max="7682" width="13.85546875" customWidth="1"/>
    <col min="7684" max="7684" width="10.140625" customWidth="1"/>
    <col min="7685" max="7686" width="11" customWidth="1"/>
    <col min="7688" max="7688" width="9.28515625" customWidth="1"/>
    <col min="7691" max="7691" width="7.85546875" customWidth="1"/>
    <col min="7693" max="7693" width="9" bestFit="1" customWidth="1"/>
    <col min="7694" max="7694" width="10.85546875" customWidth="1"/>
    <col min="7937" max="7937" width="30.42578125" customWidth="1"/>
    <col min="7938" max="7938" width="13.85546875" customWidth="1"/>
    <col min="7940" max="7940" width="10.140625" customWidth="1"/>
    <col min="7941" max="7942" width="11" customWidth="1"/>
    <col min="7944" max="7944" width="9.28515625" customWidth="1"/>
    <col min="7947" max="7947" width="7.85546875" customWidth="1"/>
    <col min="7949" max="7949" width="9" bestFit="1" customWidth="1"/>
    <col min="7950" max="7950" width="10.85546875" customWidth="1"/>
    <col min="8193" max="8193" width="30.42578125" customWidth="1"/>
    <col min="8194" max="8194" width="13.85546875" customWidth="1"/>
    <col min="8196" max="8196" width="10.140625" customWidth="1"/>
    <col min="8197" max="8198" width="11" customWidth="1"/>
    <col min="8200" max="8200" width="9.28515625" customWidth="1"/>
    <col min="8203" max="8203" width="7.85546875" customWidth="1"/>
    <col min="8205" max="8205" width="9" bestFit="1" customWidth="1"/>
    <col min="8206" max="8206" width="10.85546875" customWidth="1"/>
    <col min="8449" max="8449" width="30.42578125" customWidth="1"/>
    <col min="8450" max="8450" width="13.85546875" customWidth="1"/>
    <col min="8452" max="8452" width="10.140625" customWidth="1"/>
    <col min="8453" max="8454" width="11" customWidth="1"/>
    <col min="8456" max="8456" width="9.28515625" customWidth="1"/>
    <col min="8459" max="8459" width="7.85546875" customWidth="1"/>
    <col min="8461" max="8461" width="9" bestFit="1" customWidth="1"/>
    <col min="8462" max="8462" width="10.85546875" customWidth="1"/>
    <col min="8705" max="8705" width="30.42578125" customWidth="1"/>
    <col min="8706" max="8706" width="13.85546875" customWidth="1"/>
    <col min="8708" max="8708" width="10.140625" customWidth="1"/>
    <col min="8709" max="8710" width="11" customWidth="1"/>
    <col min="8712" max="8712" width="9.28515625" customWidth="1"/>
    <col min="8715" max="8715" width="7.85546875" customWidth="1"/>
    <col min="8717" max="8717" width="9" bestFit="1" customWidth="1"/>
    <col min="8718" max="8718" width="10.85546875" customWidth="1"/>
    <col min="8961" max="8961" width="30.42578125" customWidth="1"/>
    <col min="8962" max="8962" width="13.85546875" customWidth="1"/>
    <col min="8964" max="8964" width="10.140625" customWidth="1"/>
    <col min="8965" max="8966" width="11" customWidth="1"/>
    <col min="8968" max="8968" width="9.28515625" customWidth="1"/>
    <col min="8971" max="8971" width="7.85546875" customWidth="1"/>
    <col min="8973" max="8973" width="9" bestFit="1" customWidth="1"/>
    <col min="8974" max="8974" width="10.85546875" customWidth="1"/>
    <col min="9217" max="9217" width="30.42578125" customWidth="1"/>
    <col min="9218" max="9218" width="13.85546875" customWidth="1"/>
    <col min="9220" max="9220" width="10.140625" customWidth="1"/>
    <col min="9221" max="9222" width="11" customWidth="1"/>
    <col min="9224" max="9224" width="9.28515625" customWidth="1"/>
    <col min="9227" max="9227" width="7.85546875" customWidth="1"/>
    <col min="9229" max="9229" width="9" bestFit="1" customWidth="1"/>
    <col min="9230" max="9230" width="10.85546875" customWidth="1"/>
    <col min="9473" max="9473" width="30.42578125" customWidth="1"/>
    <col min="9474" max="9474" width="13.85546875" customWidth="1"/>
    <col min="9476" max="9476" width="10.140625" customWidth="1"/>
    <col min="9477" max="9478" width="11" customWidth="1"/>
    <col min="9480" max="9480" width="9.28515625" customWidth="1"/>
    <col min="9483" max="9483" width="7.85546875" customWidth="1"/>
    <col min="9485" max="9485" width="9" bestFit="1" customWidth="1"/>
    <col min="9486" max="9486" width="10.85546875" customWidth="1"/>
    <col min="9729" max="9729" width="30.42578125" customWidth="1"/>
    <col min="9730" max="9730" width="13.85546875" customWidth="1"/>
    <col min="9732" max="9732" width="10.140625" customWidth="1"/>
    <col min="9733" max="9734" width="11" customWidth="1"/>
    <col min="9736" max="9736" width="9.28515625" customWidth="1"/>
    <col min="9739" max="9739" width="7.85546875" customWidth="1"/>
    <col min="9741" max="9741" width="9" bestFit="1" customWidth="1"/>
    <col min="9742" max="9742" width="10.85546875" customWidth="1"/>
    <col min="9985" max="9985" width="30.42578125" customWidth="1"/>
    <col min="9986" max="9986" width="13.85546875" customWidth="1"/>
    <col min="9988" max="9988" width="10.140625" customWidth="1"/>
    <col min="9989" max="9990" width="11" customWidth="1"/>
    <col min="9992" max="9992" width="9.28515625" customWidth="1"/>
    <col min="9995" max="9995" width="7.85546875" customWidth="1"/>
    <col min="9997" max="9997" width="9" bestFit="1" customWidth="1"/>
    <col min="9998" max="9998" width="10.85546875" customWidth="1"/>
    <col min="10241" max="10241" width="30.42578125" customWidth="1"/>
    <col min="10242" max="10242" width="13.85546875" customWidth="1"/>
    <col min="10244" max="10244" width="10.140625" customWidth="1"/>
    <col min="10245" max="10246" width="11" customWidth="1"/>
    <col min="10248" max="10248" width="9.28515625" customWidth="1"/>
    <col min="10251" max="10251" width="7.85546875" customWidth="1"/>
    <col min="10253" max="10253" width="9" bestFit="1" customWidth="1"/>
    <col min="10254" max="10254" width="10.85546875" customWidth="1"/>
    <col min="10497" max="10497" width="30.42578125" customWidth="1"/>
    <col min="10498" max="10498" width="13.85546875" customWidth="1"/>
    <col min="10500" max="10500" width="10.140625" customWidth="1"/>
    <col min="10501" max="10502" width="11" customWidth="1"/>
    <col min="10504" max="10504" width="9.28515625" customWidth="1"/>
    <col min="10507" max="10507" width="7.85546875" customWidth="1"/>
    <col min="10509" max="10509" width="9" bestFit="1" customWidth="1"/>
    <col min="10510" max="10510" width="10.85546875" customWidth="1"/>
    <col min="10753" max="10753" width="30.42578125" customWidth="1"/>
    <col min="10754" max="10754" width="13.85546875" customWidth="1"/>
    <col min="10756" max="10756" width="10.140625" customWidth="1"/>
    <col min="10757" max="10758" width="11" customWidth="1"/>
    <col min="10760" max="10760" width="9.28515625" customWidth="1"/>
    <col min="10763" max="10763" width="7.85546875" customWidth="1"/>
    <col min="10765" max="10765" width="9" bestFit="1" customWidth="1"/>
    <col min="10766" max="10766" width="10.85546875" customWidth="1"/>
    <col min="11009" max="11009" width="30.42578125" customWidth="1"/>
    <col min="11010" max="11010" width="13.85546875" customWidth="1"/>
    <col min="11012" max="11012" width="10.140625" customWidth="1"/>
    <col min="11013" max="11014" width="11" customWidth="1"/>
    <col min="11016" max="11016" width="9.28515625" customWidth="1"/>
    <col min="11019" max="11019" width="7.85546875" customWidth="1"/>
    <col min="11021" max="11021" width="9" bestFit="1" customWidth="1"/>
    <col min="11022" max="11022" width="10.85546875" customWidth="1"/>
    <col min="11265" max="11265" width="30.42578125" customWidth="1"/>
    <col min="11266" max="11266" width="13.85546875" customWidth="1"/>
    <col min="11268" max="11268" width="10.140625" customWidth="1"/>
    <col min="11269" max="11270" width="11" customWidth="1"/>
    <col min="11272" max="11272" width="9.28515625" customWidth="1"/>
    <col min="11275" max="11275" width="7.85546875" customWidth="1"/>
    <col min="11277" max="11277" width="9" bestFit="1" customWidth="1"/>
    <col min="11278" max="11278" width="10.85546875" customWidth="1"/>
    <col min="11521" max="11521" width="30.42578125" customWidth="1"/>
    <col min="11522" max="11522" width="13.85546875" customWidth="1"/>
    <col min="11524" max="11524" width="10.140625" customWidth="1"/>
    <col min="11525" max="11526" width="11" customWidth="1"/>
    <col min="11528" max="11528" width="9.28515625" customWidth="1"/>
    <col min="11531" max="11531" width="7.85546875" customWidth="1"/>
    <col min="11533" max="11533" width="9" bestFit="1" customWidth="1"/>
    <col min="11534" max="11534" width="10.85546875" customWidth="1"/>
    <col min="11777" max="11777" width="30.42578125" customWidth="1"/>
    <col min="11778" max="11778" width="13.85546875" customWidth="1"/>
    <col min="11780" max="11780" width="10.140625" customWidth="1"/>
    <col min="11781" max="11782" width="11" customWidth="1"/>
    <col min="11784" max="11784" width="9.28515625" customWidth="1"/>
    <col min="11787" max="11787" width="7.85546875" customWidth="1"/>
    <col min="11789" max="11789" width="9" bestFit="1" customWidth="1"/>
    <col min="11790" max="11790" width="10.85546875" customWidth="1"/>
    <col min="12033" max="12033" width="30.42578125" customWidth="1"/>
    <col min="12034" max="12034" width="13.85546875" customWidth="1"/>
    <col min="12036" max="12036" width="10.140625" customWidth="1"/>
    <col min="12037" max="12038" width="11" customWidth="1"/>
    <col min="12040" max="12040" width="9.28515625" customWidth="1"/>
    <col min="12043" max="12043" width="7.85546875" customWidth="1"/>
    <col min="12045" max="12045" width="9" bestFit="1" customWidth="1"/>
    <col min="12046" max="12046" width="10.85546875" customWidth="1"/>
    <col min="12289" max="12289" width="30.42578125" customWidth="1"/>
    <col min="12290" max="12290" width="13.85546875" customWidth="1"/>
    <col min="12292" max="12292" width="10.140625" customWidth="1"/>
    <col min="12293" max="12294" width="11" customWidth="1"/>
    <col min="12296" max="12296" width="9.28515625" customWidth="1"/>
    <col min="12299" max="12299" width="7.85546875" customWidth="1"/>
    <col min="12301" max="12301" width="9" bestFit="1" customWidth="1"/>
    <col min="12302" max="12302" width="10.85546875" customWidth="1"/>
    <col min="12545" max="12545" width="30.42578125" customWidth="1"/>
    <col min="12546" max="12546" width="13.85546875" customWidth="1"/>
    <col min="12548" max="12548" width="10.140625" customWidth="1"/>
    <col min="12549" max="12550" width="11" customWidth="1"/>
    <col min="12552" max="12552" width="9.28515625" customWidth="1"/>
    <col min="12555" max="12555" width="7.85546875" customWidth="1"/>
    <col min="12557" max="12557" width="9" bestFit="1" customWidth="1"/>
    <col min="12558" max="12558" width="10.85546875" customWidth="1"/>
    <col min="12801" max="12801" width="30.42578125" customWidth="1"/>
    <col min="12802" max="12802" width="13.85546875" customWidth="1"/>
    <col min="12804" max="12804" width="10.140625" customWidth="1"/>
    <col min="12805" max="12806" width="11" customWidth="1"/>
    <col min="12808" max="12808" width="9.28515625" customWidth="1"/>
    <col min="12811" max="12811" width="7.85546875" customWidth="1"/>
    <col min="12813" max="12813" width="9" bestFit="1" customWidth="1"/>
    <col min="12814" max="12814" width="10.85546875" customWidth="1"/>
    <col min="13057" max="13057" width="30.42578125" customWidth="1"/>
    <col min="13058" max="13058" width="13.85546875" customWidth="1"/>
    <col min="13060" max="13060" width="10.140625" customWidth="1"/>
    <col min="13061" max="13062" width="11" customWidth="1"/>
    <col min="13064" max="13064" width="9.28515625" customWidth="1"/>
    <col min="13067" max="13067" width="7.85546875" customWidth="1"/>
    <col min="13069" max="13069" width="9" bestFit="1" customWidth="1"/>
    <col min="13070" max="13070" width="10.85546875" customWidth="1"/>
    <col min="13313" max="13313" width="30.42578125" customWidth="1"/>
    <col min="13314" max="13314" width="13.85546875" customWidth="1"/>
    <col min="13316" max="13316" width="10.140625" customWidth="1"/>
    <col min="13317" max="13318" width="11" customWidth="1"/>
    <col min="13320" max="13320" width="9.28515625" customWidth="1"/>
    <col min="13323" max="13323" width="7.85546875" customWidth="1"/>
    <col min="13325" max="13325" width="9" bestFit="1" customWidth="1"/>
    <col min="13326" max="13326" width="10.85546875" customWidth="1"/>
    <col min="13569" max="13569" width="30.42578125" customWidth="1"/>
    <col min="13570" max="13570" width="13.85546875" customWidth="1"/>
    <col min="13572" max="13572" width="10.140625" customWidth="1"/>
    <col min="13573" max="13574" width="11" customWidth="1"/>
    <col min="13576" max="13576" width="9.28515625" customWidth="1"/>
    <col min="13579" max="13579" width="7.85546875" customWidth="1"/>
    <col min="13581" max="13581" width="9" bestFit="1" customWidth="1"/>
    <col min="13582" max="13582" width="10.85546875" customWidth="1"/>
    <col min="13825" max="13825" width="30.42578125" customWidth="1"/>
    <col min="13826" max="13826" width="13.85546875" customWidth="1"/>
    <col min="13828" max="13828" width="10.140625" customWidth="1"/>
    <col min="13829" max="13830" width="11" customWidth="1"/>
    <col min="13832" max="13832" width="9.28515625" customWidth="1"/>
    <col min="13835" max="13835" width="7.85546875" customWidth="1"/>
    <col min="13837" max="13837" width="9" bestFit="1" customWidth="1"/>
    <col min="13838" max="13838" width="10.85546875" customWidth="1"/>
    <col min="14081" max="14081" width="30.42578125" customWidth="1"/>
    <col min="14082" max="14082" width="13.85546875" customWidth="1"/>
    <col min="14084" max="14084" width="10.140625" customWidth="1"/>
    <col min="14085" max="14086" width="11" customWidth="1"/>
    <col min="14088" max="14088" width="9.28515625" customWidth="1"/>
    <col min="14091" max="14091" width="7.85546875" customWidth="1"/>
    <col min="14093" max="14093" width="9" bestFit="1" customWidth="1"/>
    <col min="14094" max="14094" width="10.85546875" customWidth="1"/>
    <col min="14337" max="14337" width="30.42578125" customWidth="1"/>
    <col min="14338" max="14338" width="13.85546875" customWidth="1"/>
    <col min="14340" max="14340" width="10.140625" customWidth="1"/>
    <col min="14341" max="14342" width="11" customWidth="1"/>
    <col min="14344" max="14344" width="9.28515625" customWidth="1"/>
    <col min="14347" max="14347" width="7.85546875" customWidth="1"/>
    <col min="14349" max="14349" width="9" bestFit="1" customWidth="1"/>
    <col min="14350" max="14350" width="10.85546875" customWidth="1"/>
    <col min="14593" max="14593" width="30.42578125" customWidth="1"/>
    <col min="14594" max="14594" width="13.85546875" customWidth="1"/>
    <col min="14596" max="14596" width="10.140625" customWidth="1"/>
    <col min="14597" max="14598" width="11" customWidth="1"/>
    <col min="14600" max="14600" width="9.28515625" customWidth="1"/>
    <col min="14603" max="14603" width="7.85546875" customWidth="1"/>
    <col min="14605" max="14605" width="9" bestFit="1" customWidth="1"/>
    <col min="14606" max="14606" width="10.85546875" customWidth="1"/>
    <col min="14849" max="14849" width="30.42578125" customWidth="1"/>
    <col min="14850" max="14850" width="13.85546875" customWidth="1"/>
    <col min="14852" max="14852" width="10.140625" customWidth="1"/>
    <col min="14853" max="14854" width="11" customWidth="1"/>
    <col min="14856" max="14856" width="9.28515625" customWidth="1"/>
    <col min="14859" max="14859" width="7.85546875" customWidth="1"/>
    <col min="14861" max="14861" width="9" bestFit="1" customWidth="1"/>
    <col min="14862" max="14862" width="10.85546875" customWidth="1"/>
    <col min="15105" max="15105" width="30.42578125" customWidth="1"/>
    <col min="15106" max="15106" width="13.85546875" customWidth="1"/>
    <col min="15108" max="15108" width="10.140625" customWidth="1"/>
    <col min="15109" max="15110" width="11" customWidth="1"/>
    <col min="15112" max="15112" width="9.28515625" customWidth="1"/>
    <col min="15115" max="15115" width="7.85546875" customWidth="1"/>
    <col min="15117" max="15117" width="9" bestFit="1" customWidth="1"/>
    <col min="15118" max="15118" width="10.85546875" customWidth="1"/>
    <col min="15361" max="15361" width="30.42578125" customWidth="1"/>
    <col min="15362" max="15362" width="13.85546875" customWidth="1"/>
    <col min="15364" max="15364" width="10.140625" customWidth="1"/>
    <col min="15365" max="15366" width="11" customWidth="1"/>
    <col min="15368" max="15368" width="9.28515625" customWidth="1"/>
    <col min="15371" max="15371" width="7.85546875" customWidth="1"/>
    <col min="15373" max="15373" width="9" bestFit="1" customWidth="1"/>
    <col min="15374" max="15374" width="10.85546875" customWidth="1"/>
    <col min="15617" max="15617" width="30.42578125" customWidth="1"/>
    <col min="15618" max="15618" width="13.85546875" customWidth="1"/>
    <col min="15620" max="15620" width="10.140625" customWidth="1"/>
    <col min="15621" max="15622" width="11" customWidth="1"/>
    <col min="15624" max="15624" width="9.28515625" customWidth="1"/>
    <col min="15627" max="15627" width="7.85546875" customWidth="1"/>
    <col min="15629" max="15629" width="9" bestFit="1" customWidth="1"/>
    <col min="15630" max="15630" width="10.85546875" customWidth="1"/>
    <col min="15873" max="15873" width="30.42578125" customWidth="1"/>
    <col min="15874" max="15874" width="13.85546875" customWidth="1"/>
    <col min="15876" max="15876" width="10.140625" customWidth="1"/>
    <col min="15877" max="15878" width="11" customWidth="1"/>
    <col min="15880" max="15880" width="9.28515625" customWidth="1"/>
    <col min="15883" max="15883" width="7.85546875" customWidth="1"/>
    <col min="15885" max="15885" width="9" bestFit="1" customWidth="1"/>
    <col min="15886" max="15886" width="10.85546875" customWidth="1"/>
    <col min="16129" max="16129" width="30.42578125" customWidth="1"/>
    <col min="16130" max="16130" width="13.85546875" customWidth="1"/>
    <col min="16132" max="16132" width="10.140625" customWidth="1"/>
    <col min="16133" max="16134" width="11" customWidth="1"/>
    <col min="16136" max="16136" width="9.28515625" customWidth="1"/>
    <col min="16139" max="16139" width="7.85546875" customWidth="1"/>
    <col min="16141" max="16141" width="9" bestFit="1" customWidth="1"/>
    <col min="16142" max="16142" width="10.85546875" customWidth="1"/>
  </cols>
  <sheetData>
    <row r="1" spans="1:14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</row>
    <row r="2" spans="1:14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</row>
    <row r="4" spans="1:14">
      <c r="A4" s="46" t="s">
        <v>828</v>
      </c>
      <c r="B4" s="854" t="s">
        <v>5581</v>
      </c>
      <c r="C4" s="854"/>
      <c r="D4" s="854"/>
      <c r="E4" s="854" t="s">
        <v>830</v>
      </c>
      <c r="F4" s="854"/>
      <c r="G4" s="854" t="s">
        <v>5582</v>
      </c>
      <c r="H4" s="854"/>
      <c r="I4" s="46" t="s">
        <v>5</v>
      </c>
      <c r="J4" s="46"/>
      <c r="K4" s="47">
        <v>498.53500000000003</v>
      </c>
      <c r="L4" s="46" t="s">
        <v>831</v>
      </c>
      <c r="M4" s="46"/>
      <c r="N4" s="47">
        <v>80</v>
      </c>
    </row>
    <row r="5" spans="1:14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54" t="s">
        <v>5583</v>
      </c>
      <c r="C6" s="854"/>
      <c r="D6" s="854"/>
      <c r="E6" s="854" t="s">
        <v>176</v>
      </c>
      <c r="F6" s="854"/>
      <c r="G6" s="854" t="s">
        <v>5584</v>
      </c>
      <c r="H6" s="854"/>
      <c r="I6" s="854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46" t="s">
        <v>835</v>
      </c>
      <c r="B8" s="854" t="s">
        <v>5585</v>
      </c>
      <c r="C8" s="854"/>
      <c r="D8" s="854"/>
      <c r="E8" s="967" t="s">
        <v>5519</v>
      </c>
      <c r="F8" s="940"/>
      <c r="G8" s="854" t="s">
        <v>5586</v>
      </c>
      <c r="H8" s="854"/>
      <c r="I8" s="854"/>
      <c r="J8" s="854"/>
      <c r="K8" s="854"/>
      <c r="L8" s="46"/>
      <c r="M8" s="46"/>
      <c r="N8" s="46"/>
    </row>
    <row r="9" spans="1:14">
      <c r="A9" s="46"/>
      <c r="B9" s="46"/>
      <c r="C9" s="46"/>
      <c r="D9" s="46"/>
      <c r="E9" s="46"/>
      <c r="F9" s="46"/>
      <c r="G9" s="48"/>
      <c r="H9" s="48"/>
      <c r="I9" s="48"/>
      <c r="J9" s="48"/>
      <c r="K9" s="48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47" t="s">
        <v>838</v>
      </c>
      <c r="B11" s="854" t="s">
        <v>5587</v>
      </c>
      <c r="C11" s="854"/>
      <c r="D11" s="854" t="s">
        <v>5588</v>
      </c>
      <c r="E11" s="854"/>
      <c r="F11" s="854"/>
      <c r="G11" s="854" t="s">
        <v>5589</v>
      </c>
      <c r="H11" s="854"/>
      <c r="I11" s="854"/>
      <c r="J11" s="854"/>
      <c r="K11" s="854"/>
      <c r="L11" s="854"/>
      <c r="M11" s="854"/>
      <c r="N11" s="46"/>
    </row>
    <row r="12" spans="1:14">
      <c r="A12" s="47" t="s">
        <v>840</v>
      </c>
      <c r="B12" s="854" t="s">
        <v>5590</v>
      </c>
      <c r="C12" s="854"/>
      <c r="D12" s="854" t="s">
        <v>5591</v>
      </c>
      <c r="E12" s="854"/>
      <c r="F12" s="854"/>
      <c r="G12" s="854" t="s">
        <v>5592</v>
      </c>
      <c r="H12" s="854"/>
      <c r="I12" s="854"/>
      <c r="J12" s="854"/>
      <c r="K12" s="854"/>
      <c r="L12" s="854"/>
      <c r="M12" s="854"/>
      <c r="N12" s="46"/>
    </row>
    <row r="13" spans="1:14">
      <c r="A13" s="47" t="s">
        <v>844</v>
      </c>
      <c r="B13" s="1155" t="s">
        <v>5593</v>
      </c>
      <c r="C13" s="917"/>
      <c r="D13" s="1155" t="s">
        <v>5594</v>
      </c>
      <c r="E13" s="1156"/>
      <c r="F13" s="917"/>
      <c r="G13" s="854" t="s">
        <v>5595</v>
      </c>
      <c r="H13" s="854"/>
      <c r="I13" s="854"/>
      <c r="J13" s="854"/>
      <c r="K13" s="854"/>
      <c r="L13" s="854"/>
      <c r="M13" s="854"/>
      <c r="N13" s="46"/>
    </row>
    <row r="14" spans="1:14">
      <c r="A14" s="47" t="s">
        <v>850</v>
      </c>
      <c r="B14" s="854"/>
      <c r="C14" s="854"/>
      <c r="D14" s="854"/>
      <c r="E14" s="854"/>
      <c r="F14" s="854"/>
      <c r="G14" s="854"/>
      <c r="H14" s="854"/>
      <c r="I14" s="854"/>
      <c r="J14" s="854"/>
      <c r="K14" s="854"/>
      <c r="L14" s="854"/>
      <c r="M14" s="854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 t="s">
        <v>852</v>
      </c>
      <c r="B16" s="47">
        <v>3</v>
      </c>
      <c r="C16" s="46" t="s">
        <v>853</v>
      </c>
      <c r="D16" s="46"/>
      <c r="E16" s="522">
        <v>3</v>
      </c>
      <c r="G16" s="46" t="s">
        <v>643</v>
      </c>
      <c r="H16" s="522">
        <v>3</v>
      </c>
      <c r="I16" s="46" t="s">
        <v>644</v>
      </c>
      <c r="J16" s="47">
        <v>0</v>
      </c>
      <c r="K16" s="46" t="s">
        <v>645</v>
      </c>
      <c r="L16" s="47"/>
      <c r="M16" s="46"/>
      <c r="N16" s="46"/>
    </row>
    <row r="17" spans="1:14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 t="s">
        <v>854</v>
      </c>
      <c r="B19" s="46" t="s">
        <v>204</v>
      </c>
      <c r="C19" s="47">
        <v>36</v>
      </c>
      <c r="D19" s="46" t="s">
        <v>205</v>
      </c>
      <c r="E19" s="47"/>
      <c r="F19" s="49" t="s">
        <v>206</v>
      </c>
      <c r="G19" s="47"/>
      <c r="H19" s="46" t="s">
        <v>230</v>
      </c>
      <c r="I19" s="47">
        <v>36</v>
      </c>
      <c r="J19" s="46" t="s">
        <v>207</v>
      </c>
      <c r="K19" s="47">
        <v>10</v>
      </c>
      <c r="L19" s="46" t="s">
        <v>855</v>
      </c>
      <c r="M19" s="46"/>
      <c r="N19" s="47"/>
    </row>
    <row r="20" spans="1:14">
      <c r="A20" s="46" t="s">
        <v>209</v>
      </c>
      <c r="B20" s="46" t="s">
        <v>210</v>
      </c>
      <c r="C20" s="47">
        <v>109</v>
      </c>
      <c r="D20" s="46" t="s">
        <v>211</v>
      </c>
      <c r="E20" s="47"/>
      <c r="F20" s="49" t="s">
        <v>212</v>
      </c>
      <c r="G20" s="47"/>
      <c r="H20" s="46" t="s">
        <v>411</v>
      </c>
      <c r="I20" s="47">
        <v>109</v>
      </c>
      <c r="J20" s="46"/>
      <c r="K20" s="46"/>
      <c r="L20" s="46"/>
      <c r="M20" s="46"/>
      <c r="N20" s="46"/>
    </row>
    <row r="21" spans="1:14">
      <c r="A21" s="46"/>
      <c r="B21" s="46" t="s">
        <v>858</v>
      </c>
      <c r="C21" s="47">
        <v>89</v>
      </c>
      <c r="D21" s="46" t="s">
        <v>214</v>
      </c>
      <c r="E21" s="47"/>
      <c r="F21" s="46" t="s">
        <v>215</v>
      </c>
      <c r="G21" s="47"/>
      <c r="H21" s="46" t="s">
        <v>410</v>
      </c>
      <c r="I21" s="47">
        <v>89</v>
      </c>
      <c r="J21" s="46"/>
      <c r="K21" s="46"/>
      <c r="L21" s="46"/>
      <c r="M21" s="46"/>
      <c r="N21" s="46"/>
    </row>
    <row r="22" spans="1:14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4">
      <c r="A23" s="50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 ht="30" customHeight="1">
      <c r="A24" s="1152" t="s">
        <v>861</v>
      </c>
      <c r="B24" s="1153" t="s">
        <v>5532</v>
      </c>
      <c r="C24" s="1153" t="s">
        <v>219</v>
      </c>
      <c r="D24" s="1153" t="s">
        <v>863</v>
      </c>
      <c r="E24" s="1153" t="s">
        <v>864</v>
      </c>
      <c r="F24" s="1157" t="s">
        <v>865</v>
      </c>
      <c r="G24" s="1157"/>
      <c r="H24" s="1157"/>
      <c r="I24" s="1157"/>
      <c r="J24" s="1157"/>
      <c r="K24" s="1157"/>
      <c r="L24" s="1157"/>
      <c r="M24" s="1157"/>
      <c r="N24" s="1157"/>
    </row>
    <row r="25" spans="1:14" ht="21" customHeight="1">
      <c r="A25" s="1152"/>
      <c r="B25" s="1153"/>
      <c r="C25" s="1153"/>
      <c r="D25" s="1153"/>
      <c r="E25" s="1153"/>
      <c r="F25" s="491" t="s">
        <v>1179</v>
      </c>
      <c r="G25" s="491" t="s">
        <v>1178</v>
      </c>
      <c r="H25" s="491">
        <v>3</v>
      </c>
      <c r="I25" s="491">
        <v>4</v>
      </c>
      <c r="J25" s="491">
        <v>5</v>
      </c>
      <c r="K25" s="491">
        <v>6</v>
      </c>
      <c r="L25" s="491">
        <v>7</v>
      </c>
      <c r="M25" s="491" t="s">
        <v>230</v>
      </c>
      <c r="N25" s="491" t="s">
        <v>662</v>
      </c>
    </row>
    <row r="26" spans="1:14">
      <c r="A26" s="491" t="s">
        <v>232</v>
      </c>
      <c r="B26" s="491">
        <v>8000</v>
      </c>
      <c r="C26" s="503" t="s">
        <v>873</v>
      </c>
      <c r="D26" s="493">
        <f>+B26*K4/100000</f>
        <v>39.882800000000003</v>
      </c>
      <c r="E26" s="494">
        <f>1530000/100000</f>
        <v>15.3</v>
      </c>
      <c r="F26" s="495">
        <f>394150/100000</f>
        <v>3.9415</v>
      </c>
      <c r="G26" s="495">
        <f>856300/100000</f>
        <v>8.5630000000000006</v>
      </c>
      <c r="H26" s="495"/>
      <c r="I26" s="495"/>
      <c r="J26" s="495"/>
      <c r="K26" s="495"/>
      <c r="L26" s="495"/>
      <c r="M26" s="494">
        <f>+F26+G26</f>
        <v>12.5045</v>
      </c>
      <c r="N26" s="495">
        <f>+M26*100/E26</f>
        <v>81.728758169934636</v>
      </c>
    </row>
    <row r="27" spans="1:14">
      <c r="A27" s="491" t="s">
        <v>874</v>
      </c>
      <c r="B27" s="491">
        <v>7000</v>
      </c>
      <c r="C27" s="500" t="s">
        <v>873</v>
      </c>
      <c r="D27" s="495">
        <f>+B27*80/100000</f>
        <v>5.6</v>
      </c>
      <c r="E27" s="495">
        <v>0</v>
      </c>
      <c r="F27" s="495">
        <v>0</v>
      </c>
      <c r="G27" s="495">
        <v>0</v>
      </c>
      <c r="H27" s="495"/>
      <c r="I27" s="495"/>
      <c r="J27" s="495"/>
      <c r="K27" s="495"/>
      <c r="L27" s="495"/>
      <c r="M27" s="495">
        <f t="shared" ref="M27:M34" si="0">+F27+G27</f>
        <v>0</v>
      </c>
      <c r="N27" s="495">
        <v>0</v>
      </c>
    </row>
    <row r="28" spans="1:14">
      <c r="A28" s="491" t="s">
        <v>235</v>
      </c>
      <c r="B28" s="491">
        <v>43000</v>
      </c>
      <c r="C28" s="500" t="s">
        <v>5388</v>
      </c>
      <c r="D28" s="495">
        <v>0.43</v>
      </c>
      <c r="E28" s="494">
        <f>35000/100000</f>
        <v>0.35</v>
      </c>
      <c r="F28" s="495">
        <f>5440/100000</f>
        <v>5.4399999999999997E-2</v>
      </c>
      <c r="G28" s="495">
        <f>12560/100000</f>
        <v>0.12559999999999999</v>
      </c>
      <c r="H28" s="495"/>
      <c r="I28" s="495"/>
      <c r="J28" s="495"/>
      <c r="K28" s="495"/>
      <c r="L28" s="495"/>
      <c r="M28" s="494">
        <f t="shared" si="0"/>
        <v>0.18</v>
      </c>
      <c r="N28" s="495">
        <f t="shared" ref="N28:N35" si="1">+M28*100/E28</f>
        <v>51.428571428571431</v>
      </c>
    </row>
    <row r="29" spans="1:14">
      <c r="A29" s="491" t="s">
        <v>875</v>
      </c>
      <c r="B29" s="491">
        <v>37000</v>
      </c>
      <c r="C29" s="500" t="s">
        <v>5388</v>
      </c>
      <c r="D29" s="495">
        <v>0.34</v>
      </c>
      <c r="E29" s="494">
        <f>16000/100000</f>
        <v>0.16</v>
      </c>
      <c r="F29" s="495">
        <f>16000/100000</f>
        <v>0.16</v>
      </c>
      <c r="G29" s="495">
        <v>0</v>
      </c>
      <c r="H29" s="495"/>
      <c r="I29" s="495"/>
      <c r="J29" s="495"/>
      <c r="K29" s="495"/>
      <c r="L29" s="495"/>
      <c r="M29" s="494">
        <f t="shared" si="0"/>
        <v>0.16</v>
      </c>
      <c r="N29" s="495">
        <f t="shared" si="1"/>
        <v>100</v>
      </c>
    </row>
    <row r="30" spans="1:14">
      <c r="A30" s="491" t="s">
        <v>238</v>
      </c>
      <c r="B30" s="491">
        <v>1200</v>
      </c>
      <c r="C30" s="500" t="s">
        <v>873</v>
      </c>
      <c r="D30" s="495">
        <f>+B30*K4/100000</f>
        <v>5.9824200000000003</v>
      </c>
      <c r="E30" s="494">
        <f>200000/100000</f>
        <v>2</v>
      </c>
      <c r="F30" s="495">
        <v>0</v>
      </c>
      <c r="G30" s="495">
        <f>50000/100000</f>
        <v>0.5</v>
      </c>
      <c r="H30" s="495"/>
      <c r="I30" s="495"/>
      <c r="J30" s="495"/>
      <c r="K30" s="495"/>
      <c r="L30" s="495"/>
      <c r="M30" s="494">
        <f t="shared" si="0"/>
        <v>0.5</v>
      </c>
      <c r="N30" s="495">
        <f t="shared" si="1"/>
        <v>25</v>
      </c>
    </row>
    <row r="31" spans="1:14">
      <c r="A31" s="491" t="s">
        <v>667</v>
      </c>
      <c r="B31" s="491">
        <v>565</v>
      </c>
      <c r="C31" s="500" t="s">
        <v>873</v>
      </c>
      <c r="D31" s="495">
        <f>+B31*K4/100000</f>
        <v>2.8167227500000003</v>
      </c>
      <c r="E31" s="494">
        <f>281652/100000</f>
        <v>2.8165200000000001</v>
      </c>
      <c r="F31" s="495">
        <f>281652/100000</f>
        <v>2.8165200000000001</v>
      </c>
      <c r="G31" s="495">
        <v>0</v>
      </c>
      <c r="H31" s="495"/>
      <c r="I31" s="495"/>
      <c r="J31" s="495"/>
      <c r="K31" s="495"/>
      <c r="L31" s="495"/>
      <c r="M31" s="494">
        <f t="shared" si="0"/>
        <v>2.8165200000000001</v>
      </c>
      <c r="N31" s="495">
        <f t="shared" si="1"/>
        <v>99.999999999999986</v>
      </c>
    </row>
    <row r="32" spans="1:14">
      <c r="A32" s="491" t="s">
        <v>876</v>
      </c>
      <c r="B32" s="491">
        <v>1000</v>
      </c>
      <c r="C32" s="500" t="s">
        <v>873</v>
      </c>
      <c r="D32" s="495">
        <f>+B32*K4/100000</f>
        <v>4.9853500000000004</v>
      </c>
      <c r="E32" s="495">
        <v>0</v>
      </c>
      <c r="F32" s="495">
        <v>0</v>
      </c>
      <c r="G32" s="495">
        <v>0</v>
      </c>
      <c r="H32" s="495"/>
      <c r="I32" s="495"/>
      <c r="J32" s="495"/>
      <c r="K32" s="495"/>
      <c r="L32" s="495"/>
      <c r="M32" s="495">
        <f t="shared" si="0"/>
        <v>0</v>
      </c>
      <c r="N32" s="495">
        <v>0</v>
      </c>
    </row>
    <row r="33" spans="1:14">
      <c r="A33" s="491" t="s">
        <v>394</v>
      </c>
      <c r="B33" s="491">
        <v>2750</v>
      </c>
      <c r="C33" s="500" t="s">
        <v>5389</v>
      </c>
      <c r="D33" s="94">
        <f>66000/100000+1.687</f>
        <v>2.347</v>
      </c>
      <c r="E33" s="494">
        <f>66000/100000</f>
        <v>0.66</v>
      </c>
      <c r="F33" s="495">
        <f>24500/100000</f>
        <v>0.245</v>
      </c>
      <c r="G33" s="495">
        <f>41500/100000</f>
        <v>0.41499999999999998</v>
      </c>
      <c r="H33" s="495"/>
      <c r="I33" s="495"/>
      <c r="J33" s="495"/>
      <c r="K33" s="495"/>
      <c r="L33" s="495"/>
      <c r="M33" s="494">
        <f t="shared" si="0"/>
        <v>0.65999999999999992</v>
      </c>
      <c r="N33" s="495">
        <f t="shared" si="1"/>
        <v>99.999999999999972</v>
      </c>
    </row>
    <row r="34" spans="1:14">
      <c r="A34" s="498" t="s">
        <v>670</v>
      </c>
      <c r="B34" s="499">
        <v>2000</v>
      </c>
      <c r="C34" s="500" t="s">
        <v>244</v>
      </c>
      <c r="D34" s="494">
        <v>0.1</v>
      </c>
      <c r="E34" s="501">
        <v>0.1</v>
      </c>
      <c r="F34" s="495">
        <v>0</v>
      </c>
      <c r="G34" s="501">
        <v>0.1</v>
      </c>
      <c r="H34" s="495"/>
      <c r="I34" s="495"/>
      <c r="J34" s="495"/>
      <c r="K34" s="495"/>
      <c r="L34" s="495"/>
      <c r="M34" s="494">
        <f t="shared" si="0"/>
        <v>0.1</v>
      </c>
      <c r="N34" s="495">
        <f t="shared" si="1"/>
        <v>100</v>
      </c>
    </row>
    <row r="35" spans="1:14">
      <c r="A35" s="69" t="s">
        <v>230</v>
      </c>
      <c r="B35" s="70">
        <f>SUM(B26:B33)</f>
        <v>100515</v>
      </c>
      <c r="C35" s="70"/>
      <c r="D35" s="88">
        <f>SUM(D26:D34)</f>
        <v>62.484292750000009</v>
      </c>
      <c r="E35" s="88">
        <f t="shared" ref="E35:L35" si="2">SUM(E26:E34)</f>
        <v>21.386520000000004</v>
      </c>
      <c r="F35" s="88">
        <f t="shared" si="2"/>
        <v>7.2174199999999997</v>
      </c>
      <c r="G35" s="88">
        <f t="shared" si="2"/>
        <v>9.7035999999999998</v>
      </c>
      <c r="H35" s="88">
        <f t="shared" si="2"/>
        <v>0</v>
      </c>
      <c r="I35" s="88">
        <f t="shared" si="2"/>
        <v>0</v>
      </c>
      <c r="J35" s="88">
        <f t="shared" si="2"/>
        <v>0</v>
      </c>
      <c r="K35" s="88">
        <f t="shared" si="2"/>
        <v>0</v>
      </c>
      <c r="L35" s="88">
        <f t="shared" si="2"/>
        <v>0</v>
      </c>
      <c r="M35" s="88">
        <f>SUM(M26:M34)</f>
        <v>16.921020000000002</v>
      </c>
      <c r="N35" s="348">
        <f t="shared" si="1"/>
        <v>79.120025137329492</v>
      </c>
    </row>
  </sheetData>
  <mergeCells count="34">
    <mergeCell ref="B6:D6"/>
    <mergeCell ref="E6:F6"/>
    <mergeCell ref="G6:I6"/>
    <mergeCell ref="A1:N1"/>
    <mergeCell ref="A2:N2"/>
    <mergeCell ref="B4:D4"/>
    <mergeCell ref="E4:F4"/>
    <mergeCell ref="G4:H4"/>
    <mergeCell ref="A5:C5"/>
    <mergeCell ref="B8:D8"/>
    <mergeCell ref="E8:F8"/>
    <mergeCell ref="G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B14:C14"/>
    <mergeCell ref="D14:F14"/>
    <mergeCell ref="G14:I14"/>
    <mergeCell ref="J14:M14"/>
    <mergeCell ref="A24:A25"/>
    <mergeCell ref="B24:B25"/>
    <mergeCell ref="C24:C25"/>
    <mergeCell ref="D24:D25"/>
    <mergeCell ref="E24:E25"/>
    <mergeCell ref="F24:N24"/>
  </mergeCells>
  <hyperlinks>
    <hyperlink ref="A5" location="'Fact Sheet of VDC'!A1" display="&lt;&lt;Back"/>
  </hyperlinks>
  <pageMargins left="0.7" right="0.7" top="0.75" bottom="0.75" header="0.3" footer="0.3"/>
  <pageSetup paperSize="9" scale="75" orientation="landscape" r:id="rId1"/>
</worksheet>
</file>

<file path=xl/worksheets/sheet186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A5" sqref="A5:C5"/>
    </sheetView>
  </sheetViews>
  <sheetFormatPr defaultRowHeight="15"/>
  <cols>
    <col min="1" max="1" width="30.28515625" customWidth="1"/>
    <col min="2" max="3" width="9.28515625" bestFit="1" customWidth="1"/>
    <col min="4" max="4" width="9.85546875" bestFit="1" customWidth="1"/>
    <col min="5" max="5" width="9.7109375" bestFit="1" customWidth="1"/>
    <col min="6" max="12" width="9.42578125" bestFit="1" customWidth="1"/>
    <col min="13" max="13" width="11.42578125" customWidth="1"/>
    <col min="14" max="14" width="9.42578125" bestFit="1" customWidth="1"/>
    <col min="257" max="257" width="30.28515625" customWidth="1"/>
    <col min="258" max="259" width="9.28515625" bestFit="1" customWidth="1"/>
    <col min="260" max="260" width="9.85546875" bestFit="1" customWidth="1"/>
    <col min="261" max="261" width="9.7109375" bestFit="1" customWidth="1"/>
    <col min="262" max="268" width="9.42578125" bestFit="1" customWidth="1"/>
    <col min="269" max="269" width="11.42578125" customWidth="1"/>
    <col min="270" max="270" width="9.42578125" bestFit="1" customWidth="1"/>
    <col min="513" max="513" width="30.28515625" customWidth="1"/>
    <col min="514" max="515" width="9.28515625" bestFit="1" customWidth="1"/>
    <col min="516" max="516" width="9.85546875" bestFit="1" customWidth="1"/>
    <col min="517" max="517" width="9.7109375" bestFit="1" customWidth="1"/>
    <col min="518" max="524" width="9.42578125" bestFit="1" customWidth="1"/>
    <col min="525" max="525" width="11.42578125" customWidth="1"/>
    <col min="526" max="526" width="9.42578125" bestFit="1" customWidth="1"/>
    <col min="769" max="769" width="30.28515625" customWidth="1"/>
    <col min="770" max="771" width="9.28515625" bestFit="1" customWidth="1"/>
    <col min="772" max="772" width="9.85546875" bestFit="1" customWidth="1"/>
    <col min="773" max="773" width="9.7109375" bestFit="1" customWidth="1"/>
    <col min="774" max="780" width="9.42578125" bestFit="1" customWidth="1"/>
    <col min="781" max="781" width="11.42578125" customWidth="1"/>
    <col min="782" max="782" width="9.42578125" bestFit="1" customWidth="1"/>
    <col min="1025" max="1025" width="30.28515625" customWidth="1"/>
    <col min="1026" max="1027" width="9.28515625" bestFit="1" customWidth="1"/>
    <col min="1028" max="1028" width="9.85546875" bestFit="1" customWidth="1"/>
    <col min="1029" max="1029" width="9.7109375" bestFit="1" customWidth="1"/>
    <col min="1030" max="1036" width="9.42578125" bestFit="1" customWidth="1"/>
    <col min="1037" max="1037" width="11.42578125" customWidth="1"/>
    <col min="1038" max="1038" width="9.42578125" bestFit="1" customWidth="1"/>
    <col min="1281" max="1281" width="30.28515625" customWidth="1"/>
    <col min="1282" max="1283" width="9.28515625" bestFit="1" customWidth="1"/>
    <col min="1284" max="1284" width="9.85546875" bestFit="1" customWidth="1"/>
    <col min="1285" max="1285" width="9.7109375" bestFit="1" customWidth="1"/>
    <col min="1286" max="1292" width="9.42578125" bestFit="1" customWidth="1"/>
    <col min="1293" max="1293" width="11.42578125" customWidth="1"/>
    <col min="1294" max="1294" width="9.42578125" bestFit="1" customWidth="1"/>
    <col min="1537" max="1537" width="30.28515625" customWidth="1"/>
    <col min="1538" max="1539" width="9.28515625" bestFit="1" customWidth="1"/>
    <col min="1540" max="1540" width="9.85546875" bestFit="1" customWidth="1"/>
    <col min="1541" max="1541" width="9.7109375" bestFit="1" customWidth="1"/>
    <col min="1542" max="1548" width="9.42578125" bestFit="1" customWidth="1"/>
    <col min="1549" max="1549" width="11.42578125" customWidth="1"/>
    <col min="1550" max="1550" width="9.42578125" bestFit="1" customWidth="1"/>
    <col min="1793" max="1793" width="30.28515625" customWidth="1"/>
    <col min="1794" max="1795" width="9.28515625" bestFit="1" customWidth="1"/>
    <col min="1796" max="1796" width="9.85546875" bestFit="1" customWidth="1"/>
    <col min="1797" max="1797" width="9.7109375" bestFit="1" customWidth="1"/>
    <col min="1798" max="1804" width="9.42578125" bestFit="1" customWidth="1"/>
    <col min="1805" max="1805" width="11.42578125" customWidth="1"/>
    <col min="1806" max="1806" width="9.42578125" bestFit="1" customWidth="1"/>
    <col min="2049" max="2049" width="30.28515625" customWidth="1"/>
    <col min="2050" max="2051" width="9.28515625" bestFit="1" customWidth="1"/>
    <col min="2052" max="2052" width="9.85546875" bestFit="1" customWidth="1"/>
    <col min="2053" max="2053" width="9.7109375" bestFit="1" customWidth="1"/>
    <col min="2054" max="2060" width="9.42578125" bestFit="1" customWidth="1"/>
    <col min="2061" max="2061" width="11.42578125" customWidth="1"/>
    <col min="2062" max="2062" width="9.42578125" bestFit="1" customWidth="1"/>
    <col min="2305" max="2305" width="30.28515625" customWidth="1"/>
    <col min="2306" max="2307" width="9.28515625" bestFit="1" customWidth="1"/>
    <col min="2308" max="2308" width="9.85546875" bestFit="1" customWidth="1"/>
    <col min="2309" max="2309" width="9.7109375" bestFit="1" customWidth="1"/>
    <col min="2310" max="2316" width="9.42578125" bestFit="1" customWidth="1"/>
    <col min="2317" max="2317" width="11.42578125" customWidth="1"/>
    <col min="2318" max="2318" width="9.42578125" bestFit="1" customWidth="1"/>
    <col min="2561" max="2561" width="30.28515625" customWidth="1"/>
    <col min="2562" max="2563" width="9.28515625" bestFit="1" customWidth="1"/>
    <col min="2564" max="2564" width="9.85546875" bestFit="1" customWidth="1"/>
    <col min="2565" max="2565" width="9.7109375" bestFit="1" customWidth="1"/>
    <col min="2566" max="2572" width="9.42578125" bestFit="1" customWidth="1"/>
    <col min="2573" max="2573" width="11.42578125" customWidth="1"/>
    <col min="2574" max="2574" width="9.42578125" bestFit="1" customWidth="1"/>
    <col min="2817" max="2817" width="30.28515625" customWidth="1"/>
    <col min="2818" max="2819" width="9.28515625" bestFit="1" customWidth="1"/>
    <col min="2820" max="2820" width="9.85546875" bestFit="1" customWidth="1"/>
    <col min="2821" max="2821" width="9.7109375" bestFit="1" customWidth="1"/>
    <col min="2822" max="2828" width="9.42578125" bestFit="1" customWidth="1"/>
    <col min="2829" max="2829" width="11.42578125" customWidth="1"/>
    <col min="2830" max="2830" width="9.42578125" bestFit="1" customWidth="1"/>
    <col min="3073" max="3073" width="30.28515625" customWidth="1"/>
    <col min="3074" max="3075" width="9.28515625" bestFit="1" customWidth="1"/>
    <col min="3076" max="3076" width="9.85546875" bestFit="1" customWidth="1"/>
    <col min="3077" max="3077" width="9.7109375" bestFit="1" customWidth="1"/>
    <col min="3078" max="3084" width="9.42578125" bestFit="1" customWidth="1"/>
    <col min="3085" max="3085" width="11.42578125" customWidth="1"/>
    <col min="3086" max="3086" width="9.42578125" bestFit="1" customWidth="1"/>
    <col min="3329" max="3329" width="30.28515625" customWidth="1"/>
    <col min="3330" max="3331" width="9.28515625" bestFit="1" customWidth="1"/>
    <col min="3332" max="3332" width="9.85546875" bestFit="1" customWidth="1"/>
    <col min="3333" max="3333" width="9.7109375" bestFit="1" customWidth="1"/>
    <col min="3334" max="3340" width="9.42578125" bestFit="1" customWidth="1"/>
    <col min="3341" max="3341" width="11.42578125" customWidth="1"/>
    <col min="3342" max="3342" width="9.42578125" bestFit="1" customWidth="1"/>
    <col min="3585" max="3585" width="30.28515625" customWidth="1"/>
    <col min="3586" max="3587" width="9.28515625" bestFit="1" customWidth="1"/>
    <col min="3588" max="3588" width="9.85546875" bestFit="1" customWidth="1"/>
    <col min="3589" max="3589" width="9.7109375" bestFit="1" customWidth="1"/>
    <col min="3590" max="3596" width="9.42578125" bestFit="1" customWidth="1"/>
    <col min="3597" max="3597" width="11.42578125" customWidth="1"/>
    <col min="3598" max="3598" width="9.42578125" bestFit="1" customWidth="1"/>
    <col min="3841" max="3841" width="30.28515625" customWidth="1"/>
    <col min="3842" max="3843" width="9.28515625" bestFit="1" customWidth="1"/>
    <col min="3844" max="3844" width="9.85546875" bestFit="1" customWidth="1"/>
    <col min="3845" max="3845" width="9.7109375" bestFit="1" customWidth="1"/>
    <col min="3846" max="3852" width="9.42578125" bestFit="1" customWidth="1"/>
    <col min="3853" max="3853" width="11.42578125" customWidth="1"/>
    <col min="3854" max="3854" width="9.42578125" bestFit="1" customWidth="1"/>
    <col min="4097" max="4097" width="30.28515625" customWidth="1"/>
    <col min="4098" max="4099" width="9.28515625" bestFit="1" customWidth="1"/>
    <col min="4100" max="4100" width="9.85546875" bestFit="1" customWidth="1"/>
    <col min="4101" max="4101" width="9.7109375" bestFit="1" customWidth="1"/>
    <col min="4102" max="4108" width="9.42578125" bestFit="1" customWidth="1"/>
    <col min="4109" max="4109" width="11.42578125" customWidth="1"/>
    <col min="4110" max="4110" width="9.42578125" bestFit="1" customWidth="1"/>
    <col min="4353" max="4353" width="30.28515625" customWidth="1"/>
    <col min="4354" max="4355" width="9.28515625" bestFit="1" customWidth="1"/>
    <col min="4356" max="4356" width="9.85546875" bestFit="1" customWidth="1"/>
    <col min="4357" max="4357" width="9.7109375" bestFit="1" customWidth="1"/>
    <col min="4358" max="4364" width="9.42578125" bestFit="1" customWidth="1"/>
    <col min="4365" max="4365" width="11.42578125" customWidth="1"/>
    <col min="4366" max="4366" width="9.42578125" bestFit="1" customWidth="1"/>
    <col min="4609" max="4609" width="30.28515625" customWidth="1"/>
    <col min="4610" max="4611" width="9.28515625" bestFit="1" customWidth="1"/>
    <col min="4612" max="4612" width="9.85546875" bestFit="1" customWidth="1"/>
    <col min="4613" max="4613" width="9.7109375" bestFit="1" customWidth="1"/>
    <col min="4614" max="4620" width="9.42578125" bestFit="1" customWidth="1"/>
    <col min="4621" max="4621" width="11.42578125" customWidth="1"/>
    <col min="4622" max="4622" width="9.42578125" bestFit="1" customWidth="1"/>
    <col min="4865" max="4865" width="30.28515625" customWidth="1"/>
    <col min="4866" max="4867" width="9.28515625" bestFit="1" customWidth="1"/>
    <col min="4868" max="4868" width="9.85546875" bestFit="1" customWidth="1"/>
    <col min="4869" max="4869" width="9.7109375" bestFit="1" customWidth="1"/>
    <col min="4870" max="4876" width="9.42578125" bestFit="1" customWidth="1"/>
    <col min="4877" max="4877" width="11.42578125" customWidth="1"/>
    <col min="4878" max="4878" width="9.42578125" bestFit="1" customWidth="1"/>
    <col min="5121" max="5121" width="30.28515625" customWidth="1"/>
    <col min="5122" max="5123" width="9.28515625" bestFit="1" customWidth="1"/>
    <col min="5124" max="5124" width="9.85546875" bestFit="1" customWidth="1"/>
    <col min="5125" max="5125" width="9.7109375" bestFit="1" customWidth="1"/>
    <col min="5126" max="5132" width="9.42578125" bestFit="1" customWidth="1"/>
    <col min="5133" max="5133" width="11.42578125" customWidth="1"/>
    <col min="5134" max="5134" width="9.42578125" bestFit="1" customWidth="1"/>
    <col min="5377" max="5377" width="30.28515625" customWidth="1"/>
    <col min="5378" max="5379" width="9.28515625" bestFit="1" customWidth="1"/>
    <col min="5380" max="5380" width="9.85546875" bestFit="1" customWidth="1"/>
    <col min="5381" max="5381" width="9.7109375" bestFit="1" customWidth="1"/>
    <col min="5382" max="5388" width="9.42578125" bestFit="1" customWidth="1"/>
    <col min="5389" max="5389" width="11.42578125" customWidth="1"/>
    <col min="5390" max="5390" width="9.42578125" bestFit="1" customWidth="1"/>
    <col min="5633" max="5633" width="30.28515625" customWidth="1"/>
    <col min="5634" max="5635" width="9.28515625" bestFit="1" customWidth="1"/>
    <col min="5636" max="5636" width="9.85546875" bestFit="1" customWidth="1"/>
    <col min="5637" max="5637" width="9.7109375" bestFit="1" customWidth="1"/>
    <col min="5638" max="5644" width="9.42578125" bestFit="1" customWidth="1"/>
    <col min="5645" max="5645" width="11.42578125" customWidth="1"/>
    <col min="5646" max="5646" width="9.42578125" bestFit="1" customWidth="1"/>
    <col min="5889" max="5889" width="30.28515625" customWidth="1"/>
    <col min="5890" max="5891" width="9.28515625" bestFit="1" customWidth="1"/>
    <col min="5892" max="5892" width="9.85546875" bestFit="1" customWidth="1"/>
    <col min="5893" max="5893" width="9.7109375" bestFit="1" customWidth="1"/>
    <col min="5894" max="5900" width="9.42578125" bestFit="1" customWidth="1"/>
    <col min="5901" max="5901" width="11.42578125" customWidth="1"/>
    <col min="5902" max="5902" width="9.42578125" bestFit="1" customWidth="1"/>
    <col min="6145" max="6145" width="30.28515625" customWidth="1"/>
    <col min="6146" max="6147" width="9.28515625" bestFit="1" customWidth="1"/>
    <col min="6148" max="6148" width="9.85546875" bestFit="1" customWidth="1"/>
    <col min="6149" max="6149" width="9.7109375" bestFit="1" customWidth="1"/>
    <col min="6150" max="6156" width="9.42578125" bestFit="1" customWidth="1"/>
    <col min="6157" max="6157" width="11.42578125" customWidth="1"/>
    <col min="6158" max="6158" width="9.42578125" bestFit="1" customWidth="1"/>
    <col min="6401" max="6401" width="30.28515625" customWidth="1"/>
    <col min="6402" max="6403" width="9.28515625" bestFit="1" customWidth="1"/>
    <col min="6404" max="6404" width="9.85546875" bestFit="1" customWidth="1"/>
    <col min="6405" max="6405" width="9.7109375" bestFit="1" customWidth="1"/>
    <col min="6406" max="6412" width="9.42578125" bestFit="1" customWidth="1"/>
    <col min="6413" max="6413" width="11.42578125" customWidth="1"/>
    <col min="6414" max="6414" width="9.42578125" bestFit="1" customWidth="1"/>
    <col min="6657" max="6657" width="30.28515625" customWidth="1"/>
    <col min="6658" max="6659" width="9.28515625" bestFit="1" customWidth="1"/>
    <col min="6660" max="6660" width="9.85546875" bestFit="1" customWidth="1"/>
    <col min="6661" max="6661" width="9.7109375" bestFit="1" customWidth="1"/>
    <col min="6662" max="6668" width="9.42578125" bestFit="1" customWidth="1"/>
    <col min="6669" max="6669" width="11.42578125" customWidth="1"/>
    <col min="6670" max="6670" width="9.42578125" bestFit="1" customWidth="1"/>
    <col min="6913" max="6913" width="30.28515625" customWidth="1"/>
    <col min="6914" max="6915" width="9.28515625" bestFit="1" customWidth="1"/>
    <col min="6916" max="6916" width="9.85546875" bestFit="1" customWidth="1"/>
    <col min="6917" max="6917" width="9.7109375" bestFit="1" customWidth="1"/>
    <col min="6918" max="6924" width="9.42578125" bestFit="1" customWidth="1"/>
    <col min="6925" max="6925" width="11.42578125" customWidth="1"/>
    <col min="6926" max="6926" width="9.42578125" bestFit="1" customWidth="1"/>
    <col min="7169" max="7169" width="30.28515625" customWidth="1"/>
    <col min="7170" max="7171" width="9.28515625" bestFit="1" customWidth="1"/>
    <col min="7172" max="7172" width="9.85546875" bestFit="1" customWidth="1"/>
    <col min="7173" max="7173" width="9.7109375" bestFit="1" customWidth="1"/>
    <col min="7174" max="7180" width="9.42578125" bestFit="1" customWidth="1"/>
    <col min="7181" max="7181" width="11.42578125" customWidth="1"/>
    <col min="7182" max="7182" width="9.42578125" bestFit="1" customWidth="1"/>
    <col min="7425" max="7425" width="30.28515625" customWidth="1"/>
    <col min="7426" max="7427" width="9.28515625" bestFit="1" customWidth="1"/>
    <col min="7428" max="7428" width="9.85546875" bestFit="1" customWidth="1"/>
    <col min="7429" max="7429" width="9.7109375" bestFit="1" customWidth="1"/>
    <col min="7430" max="7436" width="9.42578125" bestFit="1" customWidth="1"/>
    <col min="7437" max="7437" width="11.42578125" customWidth="1"/>
    <col min="7438" max="7438" width="9.42578125" bestFit="1" customWidth="1"/>
    <col min="7681" max="7681" width="30.28515625" customWidth="1"/>
    <col min="7682" max="7683" width="9.28515625" bestFit="1" customWidth="1"/>
    <col min="7684" max="7684" width="9.85546875" bestFit="1" customWidth="1"/>
    <col min="7685" max="7685" width="9.7109375" bestFit="1" customWidth="1"/>
    <col min="7686" max="7692" width="9.42578125" bestFit="1" customWidth="1"/>
    <col min="7693" max="7693" width="11.42578125" customWidth="1"/>
    <col min="7694" max="7694" width="9.42578125" bestFit="1" customWidth="1"/>
    <col min="7937" max="7937" width="30.28515625" customWidth="1"/>
    <col min="7938" max="7939" width="9.28515625" bestFit="1" customWidth="1"/>
    <col min="7940" max="7940" width="9.85546875" bestFit="1" customWidth="1"/>
    <col min="7941" max="7941" width="9.7109375" bestFit="1" customWidth="1"/>
    <col min="7942" max="7948" width="9.42578125" bestFit="1" customWidth="1"/>
    <col min="7949" max="7949" width="11.42578125" customWidth="1"/>
    <col min="7950" max="7950" width="9.42578125" bestFit="1" customWidth="1"/>
    <col min="8193" max="8193" width="30.28515625" customWidth="1"/>
    <col min="8194" max="8195" width="9.28515625" bestFit="1" customWidth="1"/>
    <col min="8196" max="8196" width="9.85546875" bestFit="1" customWidth="1"/>
    <col min="8197" max="8197" width="9.7109375" bestFit="1" customWidth="1"/>
    <col min="8198" max="8204" width="9.42578125" bestFit="1" customWidth="1"/>
    <col min="8205" max="8205" width="11.42578125" customWidth="1"/>
    <col min="8206" max="8206" width="9.42578125" bestFit="1" customWidth="1"/>
    <col min="8449" max="8449" width="30.28515625" customWidth="1"/>
    <col min="8450" max="8451" width="9.28515625" bestFit="1" customWidth="1"/>
    <col min="8452" max="8452" width="9.85546875" bestFit="1" customWidth="1"/>
    <col min="8453" max="8453" width="9.7109375" bestFit="1" customWidth="1"/>
    <col min="8454" max="8460" width="9.42578125" bestFit="1" customWidth="1"/>
    <col min="8461" max="8461" width="11.42578125" customWidth="1"/>
    <col min="8462" max="8462" width="9.42578125" bestFit="1" customWidth="1"/>
    <col min="8705" max="8705" width="30.28515625" customWidth="1"/>
    <col min="8706" max="8707" width="9.28515625" bestFit="1" customWidth="1"/>
    <col min="8708" max="8708" width="9.85546875" bestFit="1" customWidth="1"/>
    <col min="8709" max="8709" width="9.7109375" bestFit="1" customWidth="1"/>
    <col min="8710" max="8716" width="9.42578125" bestFit="1" customWidth="1"/>
    <col min="8717" max="8717" width="11.42578125" customWidth="1"/>
    <col min="8718" max="8718" width="9.42578125" bestFit="1" customWidth="1"/>
    <col min="8961" max="8961" width="30.28515625" customWidth="1"/>
    <col min="8962" max="8963" width="9.28515625" bestFit="1" customWidth="1"/>
    <col min="8964" max="8964" width="9.85546875" bestFit="1" customWidth="1"/>
    <col min="8965" max="8965" width="9.7109375" bestFit="1" customWidth="1"/>
    <col min="8966" max="8972" width="9.42578125" bestFit="1" customWidth="1"/>
    <col min="8973" max="8973" width="11.42578125" customWidth="1"/>
    <col min="8974" max="8974" width="9.42578125" bestFit="1" customWidth="1"/>
    <col min="9217" max="9217" width="30.28515625" customWidth="1"/>
    <col min="9218" max="9219" width="9.28515625" bestFit="1" customWidth="1"/>
    <col min="9220" max="9220" width="9.85546875" bestFit="1" customWidth="1"/>
    <col min="9221" max="9221" width="9.7109375" bestFit="1" customWidth="1"/>
    <col min="9222" max="9228" width="9.42578125" bestFit="1" customWidth="1"/>
    <col min="9229" max="9229" width="11.42578125" customWidth="1"/>
    <col min="9230" max="9230" width="9.42578125" bestFit="1" customWidth="1"/>
    <col min="9473" max="9473" width="30.28515625" customWidth="1"/>
    <col min="9474" max="9475" width="9.28515625" bestFit="1" customWidth="1"/>
    <col min="9476" max="9476" width="9.85546875" bestFit="1" customWidth="1"/>
    <col min="9477" max="9477" width="9.7109375" bestFit="1" customWidth="1"/>
    <col min="9478" max="9484" width="9.42578125" bestFit="1" customWidth="1"/>
    <col min="9485" max="9485" width="11.42578125" customWidth="1"/>
    <col min="9486" max="9486" width="9.42578125" bestFit="1" customWidth="1"/>
    <col min="9729" max="9729" width="30.28515625" customWidth="1"/>
    <col min="9730" max="9731" width="9.28515625" bestFit="1" customWidth="1"/>
    <col min="9732" max="9732" width="9.85546875" bestFit="1" customWidth="1"/>
    <col min="9733" max="9733" width="9.7109375" bestFit="1" customWidth="1"/>
    <col min="9734" max="9740" width="9.42578125" bestFit="1" customWidth="1"/>
    <col min="9741" max="9741" width="11.42578125" customWidth="1"/>
    <col min="9742" max="9742" width="9.42578125" bestFit="1" customWidth="1"/>
    <col min="9985" max="9985" width="30.28515625" customWidth="1"/>
    <col min="9986" max="9987" width="9.28515625" bestFit="1" customWidth="1"/>
    <col min="9988" max="9988" width="9.85546875" bestFit="1" customWidth="1"/>
    <col min="9989" max="9989" width="9.7109375" bestFit="1" customWidth="1"/>
    <col min="9990" max="9996" width="9.42578125" bestFit="1" customWidth="1"/>
    <col min="9997" max="9997" width="11.42578125" customWidth="1"/>
    <col min="9998" max="9998" width="9.42578125" bestFit="1" customWidth="1"/>
    <col min="10241" max="10241" width="30.28515625" customWidth="1"/>
    <col min="10242" max="10243" width="9.28515625" bestFit="1" customWidth="1"/>
    <col min="10244" max="10244" width="9.85546875" bestFit="1" customWidth="1"/>
    <col min="10245" max="10245" width="9.7109375" bestFit="1" customWidth="1"/>
    <col min="10246" max="10252" width="9.42578125" bestFit="1" customWidth="1"/>
    <col min="10253" max="10253" width="11.42578125" customWidth="1"/>
    <col min="10254" max="10254" width="9.42578125" bestFit="1" customWidth="1"/>
    <col min="10497" max="10497" width="30.28515625" customWidth="1"/>
    <col min="10498" max="10499" width="9.28515625" bestFit="1" customWidth="1"/>
    <col min="10500" max="10500" width="9.85546875" bestFit="1" customWidth="1"/>
    <col min="10501" max="10501" width="9.7109375" bestFit="1" customWidth="1"/>
    <col min="10502" max="10508" width="9.42578125" bestFit="1" customWidth="1"/>
    <col min="10509" max="10509" width="11.42578125" customWidth="1"/>
    <col min="10510" max="10510" width="9.42578125" bestFit="1" customWidth="1"/>
    <col min="10753" max="10753" width="30.28515625" customWidth="1"/>
    <col min="10754" max="10755" width="9.28515625" bestFit="1" customWidth="1"/>
    <col min="10756" max="10756" width="9.85546875" bestFit="1" customWidth="1"/>
    <col min="10757" max="10757" width="9.7109375" bestFit="1" customWidth="1"/>
    <col min="10758" max="10764" width="9.42578125" bestFit="1" customWidth="1"/>
    <col min="10765" max="10765" width="11.42578125" customWidth="1"/>
    <col min="10766" max="10766" width="9.42578125" bestFit="1" customWidth="1"/>
    <col min="11009" max="11009" width="30.28515625" customWidth="1"/>
    <col min="11010" max="11011" width="9.28515625" bestFit="1" customWidth="1"/>
    <col min="11012" max="11012" width="9.85546875" bestFit="1" customWidth="1"/>
    <col min="11013" max="11013" width="9.7109375" bestFit="1" customWidth="1"/>
    <col min="11014" max="11020" width="9.42578125" bestFit="1" customWidth="1"/>
    <col min="11021" max="11021" width="11.42578125" customWidth="1"/>
    <col min="11022" max="11022" width="9.42578125" bestFit="1" customWidth="1"/>
    <col min="11265" max="11265" width="30.28515625" customWidth="1"/>
    <col min="11266" max="11267" width="9.28515625" bestFit="1" customWidth="1"/>
    <col min="11268" max="11268" width="9.85546875" bestFit="1" customWidth="1"/>
    <col min="11269" max="11269" width="9.7109375" bestFit="1" customWidth="1"/>
    <col min="11270" max="11276" width="9.42578125" bestFit="1" customWidth="1"/>
    <col min="11277" max="11277" width="11.42578125" customWidth="1"/>
    <col min="11278" max="11278" width="9.42578125" bestFit="1" customWidth="1"/>
    <col min="11521" max="11521" width="30.28515625" customWidth="1"/>
    <col min="11522" max="11523" width="9.28515625" bestFit="1" customWidth="1"/>
    <col min="11524" max="11524" width="9.85546875" bestFit="1" customWidth="1"/>
    <col min="11525" max="11525" width="9.7109375" bestFit="1" customWidth="1"/>
    <col min="11526" max="11532" width="9.42578125" bestFit="1" customWidth="1"/>
    <col min="11533" max="11533" width="11.42578125" customWidth="1"/>
    <col min="11534" max="11534" width="9.42578125" bestFit="1" customWidth="1"/>
    <col min="11777" max="11777" width="30.28515625" customWidth="1"/>
    <col min="11778" max="11779" width="9.28515625" bestFit="1" customWidth="1"/>
    <col min="11780" max="11780" width="9.85546875" bestFit="1" customWidth="1"/>
    <col min="11781" max="11781" width="9.7109375" bestFit="1" customWidth="1"/>
    <col min="11782" max="11788" width="9.42578125" bestFit="1" customWidth="1"/>
    <col min="11789" max="11789" width="11.42578125" customWidth="1"/>
    <col min="11790" max="11790" width="9.42578125" bestFit="1" customWidth="1"/>
    <col min="12033" max="12033" width="30.28515625" customWidth="1"/>
    <col min="12034" max="12035" width="9.28515625" bestFit="1" customWidth="1"/>
    <col min="12036" max="12036" width="9.85546875" bestFit="1" customWidth="1"/>
    <col min="12037" max="12037" width="9.7109375" bestFit="1" customWidth="1"/>
    <col min="12038" max="12044" width="9.42578125" bestFit="1" customWidth="1"/>
    <col min="12045" max="12045" width="11.42578125" customWidth="1"/>
    <col min="12046" max="12046" width="9.42578125" bestFit="1" customWidth="1"/>
    <col min="12289" max="12289" width="30.28515625" customWidth="1"/>
    <col min="12290" max="12291" width="9.28515625" bestFit="1" customWidth="1"/>
    <col min="12292" max="12292" width="9.85546875" bestFit="1" customWidth="1"/>
    <col min="12293" max="12293" width="9.7109375" bestFit="1" customWidth="1"/>
    <col min="12294" max="12300" width="9.42578125" bestFit="1" customWidth="1"/>
    <col min="12301" max="12301" width="11.42578125" customWidth="1"/>
    <col min="12302" max="12302" width="9.42578125" bestFit="1" customWidth="1"/>
    <col min="12545" max="12545" width="30.28515625" customWidth="1"/>
    <col min="12546" max="12547" width="9.28515625" bestFit="1" customWidth="1"/>
    <col min="12548" max="12548" width="9.85546875" bestFit="1" customWidth="1"/>
    <col min="12549" max="12549" width="9.7109375" bestFit="1" customWidth="1"/>
    <col min="12550" max="12556" width="9.42578125" bestFit="1" customWidth="1"/>
    <col min="12557" max="12557" width="11.42578125" customWidth="1"/>
    <col min="12558" max="12558" width="9.42578125" bestFit="1" customWidth="1"/>
    <col min="12801" max="12801" width="30.28515625" customWidth="1"/>
    <col min="12802" max="12803" width="9.28515625" bestFit="1" customWidth="1"/>
    <col min="12804" max="12804" width="9.85546875" bestFit="1" customWidth="1"/>
    <col min="12805" max="12805" width="9.7109375" bestFit="1" customWidth="1"/>
    <col min="12806" max="12812" width="9.42578125" bestFit="1" customWidth="1"/>
    <col min="12813" max="12813" width="11.42578125" customWidth="1"/>
    <col min="12814" max="12814" width="9.42578125" bestFit="1" customWidth="1"/>
    <col min="13057" max="13057" width="30.28515625" customWidth="1"/>
    <col min="13058" max="13059" width="9.28515625" bestFit="1" customWidth="1"/>
    <col min="13060" max="13060" width="9.85546875" bestFit="1" customWidth="1"/>
    <col min="13061" max="13061" width="9.7109375" bestFit="1" customWidth="1"/>
    <col min="13062" max="13068" width="9.42578125" bestFit="1" customWidth="1"/>
    <col min="13069" max="13069" width="11.42578125" customWidth="1"/>
    <col min="13070" max="13070" width="9.42578125" bestFit="1" customWidth="1"/>
    <col min="13313" max="13313" width="30.28515625" customWidth="1"/>
    <col min="13314" max="13315" width="9.28515625" bestFit="1" customWidth="1"/>
    <col min="13316" max="13316" width="9.85546875" bestFit="1" customWidth="1"/>
    <col min="13317" max="13317" width="9.7109375" bestFit="1" customWidth="1"/>
    <col min="13318" max="13324" width="9.42578125" bestFit="1" customWidth="1"/>
    <col min="13325" max="13325" width="11.42578125" customWidth="1"/>
    <col min="13326" max="13326" width="9.42578125" bestFit="1" customWidth="1"/>
    <col min="13569" max="13569" width="30.28515625" customWidth="1"/>
    <col min="13570" max="13571" width="9.28515625" bestFit="1" customWidth="1"/>
    <col min="13572" max="13572" width="9.85546875" bestFit="1" customWidth="1"/>
    <col min="13573" max="13573" width="9.7109375" bestFit="1" customWidth="1"/>
    <col min="13574" max="13580" width="9.42578125" bestFit="1" customWidth="1"/>
    <col min="13581" max="13581" width="11.42578125" customWidth="1"/>
    <col min="13582" max="13582" width="9.42578125" bestFit="1" customWidth="1"/>
    <col min="13825" max="13825" width="30.28515625" customWidth="1"/>
    <col min="13826" max="13827" width="9.28515625" bestFit="1" customWidth="1"/>
    <col min="13828" max="13828" width="9.85546875" bestFit="1" customWidth="1"/>
    <col min="13829" max="13829" width="9.7109375" bestFit="1" customWidth="1"/>
    <col min="13830" max="13836" width="9.42578125" bestFit="1" customWidth="1"/>
    <col min="13837" max="13837" width="11.42578125" customWidth="1"/>
    <col min="13838" max="13838" width="9.42578125" bestFit="1" customWidth="1"/>
    <col min="14081" max="14081" width="30.28515625" customWidth="1"/>
    <col min="14082" max="14083" width="9.28515625" bestFit="1" customWidth="1"/>
    <col min="14084" max="14084" width="9.85546875" bestFit="1" customWidth="1"/>
    <col min="14085" max="14085" width="9.7109375" bestFit="1" customWidth="1"/>
    <col min="14086" max="14092" width="9.42578125" bestFit="1" customWidth="1"/>
    <col min="14093" max="14093" width="11.42578125" customWidth="1"/>
    <col min="14094" max="14094" width="9.42578125" bestFit="1" customWidth="1"/>
    <col min="14337" max="14337" width="30.28515625" customWidth="1"/>
    <col min="14338" max="14339" width="9.28515625" bestFit="1" customWidth="1"/>
    <col min="14340" max="14340" width="9.85546875" bestFit="1" customWidth="1"/>
    <col min="14341" max="14341" width="9.7109375" bestFit="1" customWidth="1"/>
    <col min="14342" max="14348" width="9.42578125" bestFit="1" customWidth="1"/>
    <col min="14349" max="14349" width="11.42578125" customWidth="1"/>
    <col min="14350" max="14350" width="9.42578125" bestFit="1" customWidth="1"/>
    <col min="14593" max="14593" width="30.28515625" customWidth="1"/>
    <col min="14594" max="14595" width="9.28515625" bestFit="1" customWidth="1"/>
    <col min="14596" max="14596" width="9.85546875" bestFit="1" customWidth="1"/>
    <col min="14597" max="14597" width="9.7109375" bestFit="1" customWidth="1"/>
    <col min="14598" max="14604" width="9.42578125" bestFit="1" customWidth="1"/>
    <col min="14605" max="14605" width="11.42578125" customWidth="1"/>
    <col min="14606" max="14606" width="9.42578125" bestFit="1" customWidth="1"/>
    <col min="14849" max="14849" width="30.28515625" customWidth="1"/>
    <col min="14850" max="14851" width="9.28515625" bestFit="1" customWidth="1"/>
    <col min="14852" max="14852" width="9.85546875" bestFit="1" customWidth="1"/>
    <col min="14853" max="14853" width="9.7109375" bestFit="1" customWidth="1"/>
    <col min="14854" max="14860" width="9.42578125" bestFit="1" customWidth="1"/>
    <col min="14861" max="14861" width="11.42578125" customWidth="1"/>
    <col min="14862" max="14862" width="9.42578125" bestFit="1" customWidth="1"/>
    <col min="15105" max="15105" width="30.28515625" customWidth="1"/>
    <col min="15106" max="15107" width="9.28515625" bestFit="1" customWidth="1"/>
    <col min="15108" max="15108" width="9.85546875" bestFit="1" customWidth="1"/>
    <col min="15109" max="15109" width="9.7109375" bestFit="1" customWidth="1"/>
    <col min="15110" max="15116" width="9.42578125" bestFit="1" customWidth="1"/>
    <col min="15117" max="15117" width="11.42578125" customWidth="1"/>
    <col min="15118" max="15118" width="9.42578125" bestFit="1" customWidth="1"/>
    <col min="15361" max="15361" width="30.28515625" customWidth="1"/>
    <col min="15362" max="15363" width="9.28515625" bestFit="1" customWidth="1"/>
    <col min="15364" max="15364" width="9.85546875" bestFit="1" customWidth="1"/>
    <col min="15365" max="15365" width="9.7109375" bestFit="1" customWidth="1"/>
    <col min="15366" max="15372" width="9.42578125" bestFit="1" customWidth="1"/>
    <col min="15373" max="15373" width="11.42578125" customWidth="1"/>
    <col min="15374" max="15374" width="9.42578125" bestFit="1" customWidth="1"/>
    <col min="15617" max="15617" width="30.28515625" customWidth="1"/>
    <col min="15618" max="15619" width="9.28515625" bestFit="1" customWidth="1"/>
    <col min="15620" max="15620" width="9.85546875" bestFit="1" customWidth="1"/>
    <col min="15621" max="15621" width="9.7109375" bestFit="1" customWidth="1"/>
    <col min="15622" max="15628" width="9.42578125" bestFit="1" customWidth="1"/>
    <col min="15629" max="15629" width="11.42578125" customWidth="1"/>
    <col min="15630" max="15630" width="9.42578125" bestFit="1" customWidth="1"/>
    <col min="15873" max="15873" width="30.28515625" customWidth="1"/>
    <col min="15874" max="15875" width="9.28515625" bestFit="1" customWidth="1"/>
    <col min="15876" max="15876" width="9.85546875" bestFit="1" customWidth="1"/>
    <col min="15877" max="15877" width="9.7109375" bestFit="1" customWidth="1"/>
    <col min="15878" max="15884" width="9.42578125" bestFit="1" customWidth="1"/>
    <col min="15885" max="15885" width="11.42578125" customWidth="1"/>
    <col min="15886" max="15886" width="9.42578125" bestFit="1" customWidth="1"/>
    <col min="16129" max="16129" width="30.28515625" customWidth="1"/>
    <col min="16130" max="16131" width="9.28515625" bestFit="1" customWidth="1"/>
    <col min="16132" max="16132" width="9.85546875" bestFit="1" customWidth="1"/>
    <col min="16133" max="16133" width="9.7109375" bestFit="1" customWidth="1"/>
    <col min="16134" max="16140" width="9.42578125" bestFit="1" customWidth="1"/>
    <col min="16141" max="16141" width="11.42578125" customWidth="1"/>
    <col min="16142" max="16142" width="9.42578125" bestFit="1" customWidth="1"/>
  </cols>
  <sheetData>
    <row r="1" spans="1:14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</row>
    <row r="2" spans="1:14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</row>
    <row r="4" spans="1:14">
      <c r="A4" s="46" t="s">
        <v>828</v>
      </c>
      <c r="B4" s="854" t="s">
        <v>5596</v>
      </c>
      <c r="C4" s="854"/>
      <c r="D4" s="854"/>
      <c r="E4" s="854" t="s">
        <v>830</v>
      </c>
      <c r="F4" s="854"/>
      <c r="G4" s="854" t="s">
        <v>5675</v>
      </c>
      <c r="H4" s="854"/>
      <c r="I4" s="46" t="s">
        <v>5</v>
      </c>
      <c r="J4" s="46"/>
      <c r="K4" s="47">
        <v>503.60700000000003</v>
      </c>
      <c r="L4" s="46" t="s">
        <v>831</v>
      </c>
      <c r="M4" s="46"/>
      <c r="N4" s="47">
        <v>80</v>
      </c>
    </row>
    <row r="5" spans="1:14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54" t="s">
        <v>5597</v>
      </c>
      <c r="C6" s="854"/>
      <c r="D6" s="854"/>
      <c r="E6" s="854" t="s">
        <v>176</v>
      </c>
      <c r="F6" s="854"/>
      <c r="G6" s="854" t="s">
        <v>5598</v>
      </c>
      <c r="H6" s="854"/>
      <c r="I6" s="854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46" t="s">
        <v>835</v>
      </c>
      <c r="B8" s="854" t="s">
        <v>5585</v>
      </c>
      <c r="C8" s="854"/>
      <c r="D8" s="854"/>
      <c r="E8" s="967" t="s">
        <v>5519</v>
      </c>
      <c r="F8" s="940"/>
      <c r="G8" s="854" t="s">
        <v>5599</v>
      </c>
      <c r="H8" s="854"/>
      <c r="I8" s="854"/>
      <c r="J8" s="854"/>
      <c r="K8" s="854"/>
      <c r="L8" s="46"/>
      <c r="M8" s="46"/>
      <c r="N8" s="46"/>
    </row>
    <row r="9" spans="1:14">
      <c r="A9" s="46"/>
      <c r="B9" s="46"/>
      <c r="C9" s="46"/>
      <c r="D9" s="46"/>
      <c r="E9" s="46"/>
      <c r="F9" s="46"/>
      <c r="G9" s="48"/>
      <c r="H9" s="48"/>
      <c r="I9" s="48"/>
      <c r="J9" s="48"/>
      <c r="K9" s="48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47" t="s">
        <v>838</v>
      </c>
      <c r="B11" s="854" t="s">
        <v>5600</v>
      </c>
      <c r="C11" s="854"/>
      <c r="D11" s="854" t="s">
        <v>5601</v>
      </c>
      <c r="E11" s="854"/>
      <c r="F11" s="854"/>
      <c r="G11" s="854"/>
      <c r="H11" s="854"/>
      <c r="I11" s="854"/>
      <c r="J11" s="854"/>
      <c r="K11" s="854"/>
      <c r="L11" s="854"/>
      <c r="M11" s="854"/>
      <c r="N11" s="46"/>
    </row>
    <row r="12" spans="1:14">
      <c r="A12" s="47" t="s">
        <v>840</v>
      </c>
      <c r="B12" s="854" t="s">
        <v>5602</v>
      </c>
      <c r="C12" s="854"/>
      <c r="D12" s="854" t="s">
        <v>5603</v>
      </c>
      <c r="E12" s="854"/>
      <c r="F12" s="854"/>
      <c r="G12" s="854"/>
      <c r="H12" s="854"/>
      <c r="I12" s="854"/>
      <c r="J12" s="854"/>
      <c r="K12" s="854"/>
      <c r="L12" s="854"/>
      <c r="M12" s="854"/>
      <c r="N12" s="46"/>
    </row>
    <row r="13" spans="1:14">
      <c r="A13" s="47" t="s">
        <v>844</v>
      </c>
      <c r="B13" s="1155" t="s">
        <v>5604</v>
      </c>
      <c r="C13" s="917"/>
      <c r="D13" s="1155" t="s">
        <v>5605</v>
      </c>
      <c r="E13" s="1156"/>
      <c r="F13" s="917"/>
      <c r="G13" s="854"/>
      <c r="H13" s="854"/>
      <c r="I13" s="854"/>
      <c r="J13" s="854"/>
      <c r="K13" s="854"/>
      <c r="L13" s="854"/>
      <c r="M13" s="854"/>
      <c r="N13" s="46"/>
    </row>
    <row r="14" spans="1:14">
      <c r="A14" s="47" t="s">
        <v>850</v>
      </c>
      <c r="B14" s="854"/>
      <c r="C14" s="854"/>
      <c r="D14" s="854"/>
      <c r="E14" s="854"/>
      <c r="F14" s="854"/>
      <c r="G14" s="854"/>
      <c r="H14" s="854"/>
      <c r="I14" s="854"/>
      <c r="J14" s="854"/>
      <c r="K14" s="854"/>
      <c r="L14" s="854"/>
      <c r="M14" s="854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 t="s">
        <v>852</v>
      </c>
      <c r="B16" s="47">
        <v>2</v>
      </c>
      <c r="C16" s="46" t="s">
        <v>853</v>
      </c>
      <c r="D16" s="46"/>
      <c r="E16" s="522">
        <v>2</v>
      </c>
      <c r="G16" s="46" t="s">
        <v>643</v>
      </c>
      <c r="H16" s="522">
        <v>3</v>
      </c>
      <c r="I16" s="46" t="s">
        <v>644</v>
      </c>
      <c r="J16" s="47">
        <v>0</v>
      </c>
      <c r="K16" s="46" t="s">
        <v>645</v>
      </c>
      <c r="L16" s="47"/>
      <c r="M16" s="46"/>
      <c r="N16" s="46"/>
    </row>
    <row r="17" spans="1:14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 t="s">
        <v>854</v>
      </c>
      <c r="B19" s="46" t="s">
        <v>204</v>
      </c>
      <c r="C19" s="47">
        <v>60</v>
      </c>
      <c r="D19" s="46" t="s">
        <v>205</v>
      </c>
      <c r="E19" s="47"/>
      <c r="F19" s="49" t="s">
        <v>206</v>
      </c>
      <c r="G19" s="47"/>
      <c r="H19" s="46" t="s">
        <v>230</v>
      </c>
      <c r="I19" s="47">
        <v>60</v>
      </c>
      <c r="J19" s="46" t="s">
        <v>207</v>
      </c>
      <c r="K19" s="47">
        <v>43</v>
      </c>
      <c r="L19" s="46" t="s">
        <v>855</v>
      </c>
      <c r="M19" s="46"/>
      <c r="N19" s="47"/>
    </row>
    <row r="20" spans="1:14">
      <c r="A20" s="46" t="s">
        <v>209</v>
      </c>
      <c r="B20" s="46" t="s">
        <v>210</v>
      </c>
      <c r="C20" s="47">
        <v>100</v>
      </c>
      <c r="D20" s="46" t="s">
        <v>211</v>
      </c>
      <c r="E20" s="47"/>
      <c r="F20" s="49" t="s">
        <v>212</v>
      </c>
      <c r="G20" s="47"/>
      <c r="H20" s="46" t="s">
        <v>411</v>
      </c>
      <c r="I20" s="47">
        <v>100</v>
      </c>
      <c r="J20" s="46"/>
      <c r="K20" s="46"/>
      <c r="L20" s="46"/>
      <c r="M20" s="46"/>
      <c r="N20" s="46"/>
    </row>
    <row r="21" spans="1:14">
      <c r="A21" s="46"/>
      <c r="B21" s="46" t="s">
        <v>858</v>
      </c>
      <c r="C21" s="47">
        <v>99</v>
      </c>
      <c r="D21" s="46" t="s">
        <v>214</v>
      </c>
      <c r="E21" s="47"/>
      <c r="F21" s="46" t="s">
        <v>215</v>
      </c>
      <c r="G21" s="47"/>
      <c r="H21" s="46" t="s">
        <v>410</v>
      </c>
      <c r="I21" s="47">
        <v>99</v>
      </c>
      <c r="J21" s="46"/>
      <c r="K21" s="46"/>
      <c r="L21" s="46"/>
      <c r="M21" s="46"/>
      <c r="N21" s="46"/>
    </row>
    <row r="22" spans="1:14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4">
      <c r="A23" s="50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>
      <c r="A24" s="1152" t="s">
        <v>861</v>
      </c>
      <c r="B24" s="1153" t="s">
        <v>5532</v>
      </c>
      <c r="C24" s="1153" t="s">
        <v>219</v>
      </c>
      <c r="D24" s="1153" t="s">
        <v>863</v>
      </c>
      <c r="E24" s="1153" t="s">
        <v>864</v>
      </c>
      <c r="F24" s="1157" t="s">
        <v>865</v>
      </c>
      <c r="G24" s="1157"/>
      <c r="H24" s="1157"/>
      <c r="I24" s="1157"/>
      <c r="J24" s="1157"/>
      <c r="K24" s="1157"/>
      <c r="L24" s="1157"/>
      <c r="M24" s="1157"/>
      <c r="N24" s="1157"/>
    </row>
    <row r="25" spans="1:14">
      <c r="A25" s="1152"/>
      <c r="B25" s="1153"/>
      <c r="C25" s="1153"/>
      <c r="D25" s="1153"/>
      <c r="E25" s="1153"/>
      <c r="F25" s="491" t="s">
        <v>1179</v>
      </c>
      <c r="G25" s="491" t="s">
        <v>1178</v>
      </c>
      <c r="H25" s="491">
        <v>3</v>
      </c>
      <c r="I25" s="491">
        <v>4</v>
      </c>
      <c r="J25" s="491">
        <v>5</v>
      </c>
      <c r="K25" s="491">
        <v>6</v>
      </c>
      <c r="L25" s="491">
        <v>7</v>
      </c>
      <c r="M25" s="491" t="s">
        <v>230</v>
      </c>
      <c r="N25" s="491" t="s">
        <v>662</v>
      </c>
    </row>
    <row r="26" spans="1:14">
      <c r="A26" s="491" t="s">
        <v>232</v>
      </c>
      <c r="B26" s="491">
        <v>8000</v>
      </c>
      <c r="C26" s="503" t="s">
        <v>873</v>
      </c>
      <c r="D26" s="493">
        <f>+B26*K4/100000</f>
        <v>40.288559999999997</v>
      </c>
      <c r="E26" s="494">
        <f>1330000/100000</f>
        <v>13.3</v>
      </c>
      <c r="F26" s="495">
        <f>123613/100000</f>
        <v>1.23613</v>
      </c>
      <c r="G26" s="495">
        <f>829790/100000</f>
        <v>8.2979000000000003</v>
      </c>
      <c r="H26" s="495"/>
      <c r="I26" s="495"/>
      <c r="J26" s="495"/>
      <c r="K26" s="495"/>
      <c r="L26" s="495"/>
      <c r="M26" s="494">
        <f>+F26+G26</f>
        <v>9.5340299999999996</v>
      </c>
      <c r="N26" s="495">
        <f>+M26*100/E26</f>
        <v>71.684436090225546</v>
      </c>
    </row>
    <row r="27" spans="1:14">
      <c r="A27" s="491" t="s">
        <v>874</v>
      </c>
      <c r="B27" s="491">
        <v>7000</v>
      </c>
      <c r="C27" s="491" t="s">
        <v>873</v>
      </c>
      <c r="D27" s="495">
        <f>+B27*80/100000</f>
        <v>5.6</v>
      </c>
      <c r="E27" s="495">
        <v>0</v>
      </c>
      <c r="F27" s="495">
        <v>0</v>
      </c>
      <c r="G27" s="495">
        <v>0</v>
      </c>
      <c r="H27" s="495"/>
      <c r="I27" s="495"/>
      <c r="J27" s="495"/>
      <c r="K27" s="495"/>
      <c r="L27" s="495"/>
      <c r="M27" s="495">
        <f t="shared" ref="M27:M34" si="0">+F27+G27</f>
        <v>0</v>
      </c>
      <c r="N27" s="495">
        <v>0</v>
      </c>
    </row>
    <row r="28" spans="1:14">
      <c r="A28" s="491" t="s">
        <v>235</v>
      </c>
      <c r="B28" s="491">
        <v>43000</v>
      </c>
      <c r="C28" s="491" t="s">
        <v>5388</v>
      </c>
      <c r="D28" s="495">
        <v>0.43</v>
      </c>
      <c r="E28" s="494">
        <f>35000/100000</f>
        <v>0.35</v>
      </c>
      <c r="F28" s="495">
        <f>5440/100000</f>
        <v>5.4399999999999997E-2</v>
      </c>
      <c r="G28" s="495">
        <f>26760/100000</f>
        <v>0.2676</v>
      </c>
      <c r="H28" s="495"/>
      <c r="I28" s="495"/>
      <c r="J28" s="495"/>
      <c r="K28" s="495"/>
      <c r="L28" s="495"/>
      <c r="M28" s="494">
        <f t="shared" si="0"/>
        <v>0.32200000000000001</v>
      </c>
      <c r="N28" s="495">
        <f t="shared" ref="N28:N35" si="1">+M28*100/E28</f>
        <v>92.000000000000014</v>
      </c>
    </row>
    <row r="29" spans="1:14">
      <c r="A29" s="491" t="s">
        <v>875</v>
      </c>
      <c r="B29" s="491">
        <v>37000</v>
      </c>
      <c r="C29" s="491" t="s">
        <v>5388</v>
      </c>
      <c r="D29" s="495">
        <v>0.34</v>
      </c>
      <c r="E29" s="494">
        <f>16000/100000</f>
        <v>0.16</v>
      </c>
      <c r="F29" s="495">
        <f>16000/100000</f>
        <v>0.16</v>
      </c>
      <c r="G29" s="495">
        <v>0</v>
      </c>
      <c r="H29" s="495"/>
      <c r="I29" s="495"/>
      <c r="J29" s="495"/>
      <c r="K29" s="495"/>
      <c r="L29" s="495"/>
      <c r="M29" s="494">
        <f t="shared" si="0"/>
        <v>0.16</v>
      </c>
      <c r="N29" s="495">
        <f t="shared" si="1"/>
        <v>100</v>
      </c>
    </row>
    <row r="30" spans="1:14">
      <c r="A30" s="491" t="s">
        <v>238</v>
      </c>
      <c r="B30" s="491">
        <v>1200</v>
      </c>
      <c r="C30" s="491" t="s">
        <v>873</v>
      </c>
      <c r="D30" s="495">
        <f>+B30*K4/100000</f>
        <v>6.0432839999999999</v>
      </c>
      <c r="E30" s="494">
        <f>200000/100000</f>
        <v>2</v>
      </c>
      <c r="F30" s="495">
        <v>0</v>
      </c>
      <c r="G30" s="495">
        <f>50000/100000</f>
        <v>0.5</v>
      </c>
      <c r="H30" s="495"/>
      <c r="I30" s="495"/>
      <c r="J30" s="495"/>
      <c r="K30" s="495"/>
      <c r="L30" s="495"/>
      <c r="M30" s="494">
        <f t="shared" si="0"/>
        <v>0.5</v>
      </c>
      <c r="N30" s="495">
        <f t="shared" si="1"/>
        <v>25</v>
      </c>
    </row>
    <row r="31" spans="1:14">
      <c r="A31" s="491" t="s">
        <v>667</v>
      </c>
      <c r="B31" s="491">
        <v>565</v>
      </c>
      <c r="C31" s="491" t="s">
        <v>873</v>
      </c>
      <c r="D31" s="495">
        <f>+B31*K4/100000</f>
        <v>2.8453795500000001</v>
      </c>
      <c r="E31" s="494">
        <f>284534/100000</f>
        <v>2.8453400000000002</v>
      </c>
      <c r="F31" s="495">
        <f>284534/100000</f>
        <v>2.8453400000000002</v>
      </c>
      <c r="G31" s="495">
        <v>0</v>
      </c>
      <c r="H31" s="495"/>
      <c r="I31" s="495"/>
      <c r="J31" s="495"/>
      <c r="K31" s="495"/>
      <c r="L31" s="495"/>
      <c r="M31" s="494">
        <f t="shared" si="0"/>
        <v>2.8453400000000002</v>
      </c>
      <c r="N31" s="495">
        <f t="shared" si="1"/>
        <v>99.999999999999986</v>
      </c>
    </row>
    <row r="32" spans="1:14">
      <c r="A32" s="491" t="s">
        <v>876</v>
      </c>
      <c r="B32" s="491">
        <v>1000</v>
      </c>
      <c r="C32" s="491" t="s">
        <v>873</v>
      </c>
      <c r="D32" s="495">
        <f>+B32*K4/100000</f>
        <v>5.0360699999999996</v>
      </c>
      <c r="E32" s="495">
        <v>0</v>
      </c>
      <c r="F32" s="495">
        <v>0</v>
      </c>
      <c r="G32" s="495">
        <v>0</v>
      </c>
      <c r="H32" s="495"/>
      <c r="I32" s="495"/>
      <c r="J32" s="495"/>
      <c r="K32" s="495"/>
      <c r="L32" s="495"/>
      <c r="M32" s="495">
        <f t="shared" si="0"/>
        <v>0</v>
      </c>
      <c r="N32" s="495">
        <v>0</v>
      </c>
    </row>
    <row r="33" spans="1:14">
      <c r="A33" s="491" t="s">
        <v>394</v>
      </c>
      <c r="B33" s="491">
        <v>2750</v>
      </c>
      <c r="C33" s="491" t="s">
        <v>5486</v>
      </c>
      <c r="D33" s="94">
        <f>66000/100000+1.687</f>
        <v>2.347</v>
      </c>
      <c r="E33" s="494">
        <f>66000/100000</f>
        <v>0.66</v>
      </c>
      <c r="F33" s="495">
        <f>24500/100000</f>
        <v>0.245</v>
      </c>
      <c r="G33" s="495">
        <f>41500/100000</f>
        <v>0.41499999999999998</v>
      </c>
      <c r="H33" s="495"/>
      <c r="I33" s="495"/>
      <c r="J33" s="495"/>
      <c r="K33" s="495"/>
      <c r="L33" s="495"/>
      <c r="M33" s="494">
        <f t="shared" si="0"/>
        <v>0.65999999999999992</v>
      </c>
      <c r="N33" s="495">
        <f t="shared" si="1"/>
        <v>99.999999999999972</v>
      </c>
    </row>
    <row r="34" spans="1:14">
      <c r="A34" s="498" t="s">
        <v>670</v>
      </c>
      <c r="B34" s="499">
        <v>2000</v>
      </c>
      <c r="C34" s="500" t="s">
        <v>244</v>
      </c>
      <c r="D34" s="494">
        <v>0.1</v>
      </c>
      <c r="E34" s="501">
        <v>0.1</v>
      </c>
      <c r="F34" s="495"/>
      <c r="G34" s="501">
        <v>0.1</v>
      </c>
      <c r="H34" s="495"/>
      <c r="I34" s="495"/>
      <c r="J34" s="495"/>
      <c r="K34" s="495"/>
      <c r="L34" s="495"/>
      <c r="M34" s="494">
        <f t="shared" si="0"/>
        <v>0.1</v>
      </c>
      <c r="N34" s="495">
        <f t="shared" si="1"/>
        <v>100</v>
      </c>
    </row>
    <row r="35" spans="1:14">
      <c r="A35" s="69" t="s">
        <v>5550</v>
      </c>
      <c r="B35" s="70"/>
      <c r="C35" s="70"/>
      <c r="D35" s="88">
        <f>SUM(D26:D34)</f>
        <v>63.030293550000003</v>
      </c>
      <c r="E35" s="88">
        <f t="shared" ref="E35:L35" si="2">SUM(E26:E34)</f>
        <v>19.415340000000004</v>
      </c>
      <c r="F35" s="88">
        <f t="shared" si="2"/>
        <v>4.54087</v>
      </c>
      <c r="G35" s="88">
        <f t="shared" si="2"/>
        <v>9.5804999999999989</v>
      </c>
      <c r="H35" s="88">
        <f t="shared" si="2"/>
        <v>0</v>
      </c>
      <c r="I35" s="88">
        <f t="shared" si="2"/>
        <v>0</v>
      </c>
      <c r="J35" s="88">
        <f t="shared" si="2"/>
        <v>0</v>
      </c>
      <c r="K35" s="88">
        <f t="shared" si="2"/>
        <v>0</v>
      </c>
      <c r="L35" s="88">
        <f t="shared" si="2"/>
        <v>0</v>
      </c>
      <c r="M35" s="88">
        <f>SUM(M26:M34)</f>
        <v>14.121369999999999</v>
      </c>
      <c r="N35" s="348">
        <f t="shared" si="1"/>
        <v>72.733055408764386</v>
      </c>
    </row>
  </sheetData>
  <mergeCells count="34">
    <mergeCell ref="B6:D6"/>
    <mergeCell ref="E6:F6"/>
    <mergeCell ref="G6:I6"/>
    <mergeCell ref="A1:N1"/>
    <mergeCell ref="A2:N2"/>
    <mergeCell ref="B4:D4"/>
    <mergeCell ref="E4:F4"/>
    <mergeCell ref="G4:H4"/>
    <mergeCell ref="A5:C5"/>
    <mergeCell ref="B8:D8"/>
    <mergeCell ref="E8:F8"/>
    <mergeCell ref="G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B14:C14"/>
    <mergeCell ref="D14:F14"/>
    <mergeCell ref="G14:I14"/>
    <mergeCell ref="J14:M14"/>
    <mergeCell ref="A24:A25"/>
    <mergeCell ref="B24:B25"/>
    <mergeCell ref="C24:C25"/>
    <mergeCell ref="D24:D25"/>
    <mergeCell ref="E24:E25"/>
    <mergeCell ref="F24:N24"/>
  </mergeCells>
  <hyperlinks>
    <hyperlink ref="A5" location="'Fact Sheet of VDC'!A1" display="&lt;&lt;Back"/>
  </hyperlinks>
  <pageMargins left="0.7" right="0.7" top="0.75" bottom="0.75" header="0.3" footer="0.3"/>
  <pageSetup paperSize="9" scale="79" orientation="landscape" r:id="rId1"/>
</worksheet>
</file>

<file path=xl/worksheets/sheet187.xml><?xml version="1.0" encoding="utf-8"?>
<worksheet xmlns="http://schemas.openxmlformats.org/spreadsheetml/2006/main" xmlns:r="http://schemas.openxmlformats.org/officeDocument/2006/relationships">
  <dimension ref="A1:P35"/>
  <sheetViews>
    <sheetView workbookViewId="0">
      <selection activeCell="A5" sqref="A5:C5"/>
    </sheetView>
  </sheetViews>
  <sheetFormatPr defaultRowHeight="15"/>
  <cols>
    <col min="1" max="1" width="30.42578125" customWidth="1"/>
    <col min="2" max="2" width="13.85546875" customWidth="1"/>
    <col min="4" max="4" width="10.140625" customWidth="1"/>
    <col min="5" max="7" width="11" customWidth="1"/>
    <col min="8" max="8" width="9.5703125" bestFit="1" customWidth="1"/>
    <col min="9" max="9" width="9.28515625" customWidth="1"/>
    <col min="10" max="11" width="9.28515625" bestFit="1" customWidth="1"/>
    <col min="12" max="12" width="7.85546875" customWidth="1"/>
    <col min="13" max="13" width="9.28515625" bestFit="1" customWidth="1"/>
    <col min="14" max="14" width="10.42578125" customWidth="1"/>
    <col min="15" max="15" width="9.28515625" bestFit="1" customWidth="1"/>
    <col min="257" max="257" width="30.42578125" customWidth="1"/>
    <col min="258" max="258" width="13.85546875" customWidth="1"/>
    <col min="260" max="260" width="10.140625" customWidth="1"/>
    <col min="261" max="263" width="11" customWidth="1"/>
    <col min="264" max="264" width="9.5703125" bestFit="1" customWidth="1"/>
    <col min="265" max="265" width="9.28515625" customWidth="1"/>
    <col min="266" max="267" width="9.28515625" bestFit="1" customWidth="1"/>
    <col min="268" max="268" width="7.85546875" customWidth="1"/>
    <col min="269" max="269" width="9.28515625" bestFit="1" customWidth="1"/>
    <col min="270" max="270" width="10.42578125" customWidth="1"/>
    <col min="271" max="271" width="9.28515625" bestFit="1" customWidth="1"/>
    <col min="513" max="513" width="30.42578125" customWidth="1"/>
    <col min="514" max="514" width="13.85546875" customWidth="1"/>
    <col min="516" max="516" width="10.140625" customWidth="1"/>
    <col min="517" max="519" width="11" customWidth="1"/>
    <col min="520" max="520" width="9.5703125" bestFit="1" customWidth="1"/>
    <col min="521" max="521" width="9.28515625" customWidth="1"/>
    <col min="522" max="523" width="9.28515625" bestFit="1" customWidth="1"/>
    <col min="524" max="524" width="7.85546875" customWidth="1"/>
    <col min="525" max="525" width="9.28515625" bestFit="1" customWidth="1"/>
    <col min="526" max="526" width="10.42578125" customWidth="1"/>
    <col min="527" max="527" width="9.28515625" bestFit="1" customWidth="1"/>
    <col min="769" max="769" width="30.42578125" customWidth="1"/>
    <col min="770" max="770" width="13.85546875" customWidth="1"/>
    <col min="772" max="772" width="10.140625" customWidth="1"/>
    <col min="773" max="775" width="11" customWidth="1"/>
    <col min="776" max="776" width="9.5703125" bestFit="1" customWidth="1"/>
    <col min="777" max="777" width="9.28515625" customWidth="1"/>
    <col min="778" max="779" width="9.28515625" bestFit="1" customWidth="1"/>
    <col min="780" max="780" width="7.85546875" customWidth="1"/>
    <col min="781" max="781" width="9.28515625" bestFit="1" customWidth="1"/>
    <col min="782" max="782" width="10.42578125" customWidth="1"/>
    <col min="783" max="783" width="9.28515625" bestFit="1" customWidth="1"/>
    <col min="1025" max="1025" width="30.42578125" customWidth="1"/>
    <col min="1026" max="1026" width="13.85546875" customWidth="1"/>
    <col min="1028" max="1028" width="10.140625" customWidth="1"/>
    <col min="1029" max="1031" width="11" customWidth="1"/>
    <col min="1032" max="1032" width="9.5703125" bestFit="1" customWidth="1"/>
    <col min="1033" max="1033" width="9.28515625" customWidth="1"/>
    <col min="1034" max="1035" width="9.28515625" bestFit="1" customWidth="1"/>
    <col min="1036" max="1036" width="7.85546875" customWidth="1"/>
    <col min="1037" max="1037" width="9.28515625" bestFit="1" customWidth="1"/>
    <col min="1038" max="1038" width="10.42578125" customWidth="1"/>
    <col min="1039" max="1039" width="9.28515625" bestFit="1" customWidth="1"/>
    <col min="1281" max="1281" width="30.42578125" customWidth="1"/>
    <col min="1282" max="1282" width="13.85546875" customWidth="1"/>
    <col min="1284" max="1284" width="10.140625" customWidth="1"/>
    <col min="1285" max="1287" width="11" customWidth="1"/>
    <col min="1288" max="1288" width="9.5703125" bestFit="1" customWidth="1"/>
    <col min="1289" max="1289" width="9.28515625" customWidth="1"/>
    <col min="1290" max="1291" width="9.28515625" bestFit="1" customWidth="1"/>
    <col min="1292" max="1292" width="7.85546875" customWidth="1"/>
    <col min="1293" max="1293" width="9.28515625" bestFit="1" customWidth="1"/>
    <col min="1294" max="1294" width="10.42578125" customWidth="1"/>
    <col min="1295" max="1295" width="9.28515625" bestFit="1" customWidth="1"/>
    <col min="1537" max="1537" width="30.42578125" customWidth="1"/>
    <col min="1538" max="1538" width="13.85546875" customWidth="1"/>
    <col min="1540" max="1540" width="10.140625" customWidth="1"/>
    <col min="1541" max="1543" width="11" customWidth="1"/>
    <col min="1544" max="1544" width="9.5703125" bestFit="1" customWidth="1"/>
    <col min="1545" max="1545" width="9.28515625" customWidth="1"/>
    <col min="1546" max="1547" width="9.28515625" bestFit="1" customWidth="1"/>
    <col min="1548" max="1548" width="7.85546875" customWidth="1"/>
    <col min="1549" max="1549" width="9.28515625" bestFit="1" customWidth="1"/>
    <col min="1550" max="1550" width="10.42578125" customWidth="1"/>
    <col min="1551" max="1551" width="9.28515625" bestFit="1" customWidth="1"/>
    <col min="1793" max="1793" width="30.42578125" customWidth="1"/>
    <col min="1794" max="1794" width="13.85546875" customWidth="1"/>
    <col min="1796" max="1796" width="10.140625" customWidth="1"/>
    <col min="1797" max="1799" width="11" customWidth="1"/>
    <col min="1800" max="1800" width="9.5703125" bestFit="1" customWidth="1"/>
    <col min="1801" max="1801" width="9.28515625" customWidth="1"/>
    <col min="1802" max="1803" width="9.28515625" bestFit="1" customWidth="1"/>
    <col min="1804" max="1804" width="7.85546875" customWidth="1"/>
    <col min="1805" max="1805" width="9.28515625" bestFit="1" customWidth="1"/>
    <col min="1806" max="1806" width="10.42578125" customWidth="1"/>
    <col min="1807" max="1807" width="9.28515625" bestFit="1" customWidth="1"/>
    <col min="2049" max="2049" width="30.42578125" customWidth="1"/>
    <col min="2050" max="2050" width="13.85546875" customWidth="1"/>
    <col min="2052" max="2052" width="10.140625" customWidth="1"/>
    <col min="2053" max="2055" width="11" customWidth="1"/>
    <col min="2056" max="2056" width="9.5703125" bestFit="1" customWidth="1"/>
    <col min="2057" max="2057" width="9.28515625" customWidth="1"/>
    <col min="2058" max="2059" width="9.28515625" bestFit="1" customWidth="1"/>
    <col min="2060" max="2060" width="7.85546875" customWidth="1"/>
    <col min="2061" max="2061" width="9.28515625" bestFit="1" customWidth="1"/>
    <col min="2062" max="2062" width="10.42578125" customWidth="1"/>
    <col min="2063" max="2063" width="9.28515625" bestFit="1" customWidth="1"/>
    <col min="2305" max="2305" width="30.42578125" customWidth="1"/>
    <col min="2306" max="2306" width="13.85546875" customWidth="1"/>
    <col min="2308" max="2308" width="10.140625" customWidth="1"/>
    <col min="2309" max="2311" width="11" customWidth="1"/>
    <col min="2312" max="2312" width="9.5703125" bestFit="1" customWidth="1"/>
    <col min="2313" max="2313" width="9.28515625" customWidth="1"/>
    <col min="2314" max="2315" width="9.28515625" bestFit="1" customWidth="1"/>
    <col min="2316" max="2316" width="7.85546875" customWidth="1"/>
    <col min="2317" max="2317" width="9.28515625" bestFit="1" customWidth="1"/>
    <col min="2318" max="2318" width="10.42578125" customWidth="1"/>
    <col min="2319" max="2319" width="9.28515625" bestFit="1" customWidth="1"/>
    <col min="2561" max="2561" width="30.42578125" customWidth="1"/>
    <col min="2562" max="2562" width="13.85546875" customWidth="1"/>
    <col min="2564" max="2564" width="10.140625" customWidth="1"/>
    <col min="2565" max="2567" width="11" customWidth="1"/>
    <col min="2568" max="2568" width="9.5703125" bestFit="1" customWidth="1"/>
    <col min="2569" max="2569" width="9.28515625" customWidth="1"/>
    <col min="2570" max="2571" width="9.28515625" bestFit="1" customWidth="1"/>
    <col min="2572" max="2572" width="7.85546875" customWidth="1"/>
    <col min="2573" max="2573" width="9.28515625" bestFit="1" customWidth="1"/>
    <col min="2574" max="2574" width="10.42578125" customWidth="1"/>
    <col min="2575" max="2575" width="9.28515625" bestFit="1" customWidth="1"/>
    <col min="2817" max="2817" width="30.42578125" customWidth="1"/>
    <col min="2818" max="2818" width="13.85546875" customWidth="1"/>
    <col min="2820" max="2820" width="10.140625" customWidth="1"/>
    <col min="2821" max="2823" width="11" customWidth="1"/>
    <col min="2824" max="2824" width="9.5703125" bestFit="1" customWidth="1"/>
    <col min="2825" max="2825" width="9.28515625" customWidth="1"/>
    <col min="2826" max="2827" width="9.28515625" bestFit="1" customWidth="1"/>
    <col min="2828" max="2828" width="7.85546875" customWidth="1"/>
    <col min="2829" max="2829" width="9.28515625" bestFit="1" customWidth="1"/>
    <col min="2830" max="2830" width="10.42578125" customWidth="1"/>
    <col min="2831" max="2831" width="9.28515625" bestFit="1" customWidth="1"/>
    <col min="3073" max="3073" width="30.42578125" customWidth="1"/>
    <col min="3074" max="3074" width="13.85546875" customWidth="1"/>
    <col min="3076" max="3076" width="10.140625" customWidth="1"/>
    <col min="3077" max="3079" width="11" customWidth="1"/>
    <col min="3080" max="3080" width="9.5703125" bestFit="1" customWidth="1"/>
    <col min="3081" max="3081" width="9.28515625" customWidth="1"/>
    <col min="3082" max="3083" width="9.28515625" bestFit="1" customWidth="1"/>
    <col min="3084" max="3084" width="7.85546875" customWidth="1"/>
    <col min="3085" max="3085" width="9.28515625" bestFit="1" customWidth="1"/>
    <col min="3086" max="3086" width="10.42578125" customWidth="1"/>
    <col min="3087" max="3087" width="9.28515625" bestFit="1" customWidth="1"/>
    <col min="3329" max="3329" width="30.42578125" customWidth="1"/>
    <col min="3330" max="3330" width="13.85546875" customWidth="1"/>
    <col min="3332" max="3332" width="10.140625" customWidth="1"/>
    <col min="3333" max="3335" width="11" customWidth="1"/>
    <col min="3336" max="3336" width="9.5703125" bestFit="1" customWidth="1"/>
    <col min="3337" max="3337" width="9.28515625" customWidth="1"/>
    <col min="3338" max="3339" width="9.28515625" bestFit="1" customWidth="1"/>
    <col min="3340" max="3340" width="7.85546875" customWidth="1"/>
    <col min="3341" max="3341" width="9.28515625" bestFit="1" customWidth="1"/>
    <col min="3342" max="3342" width="10.42578125" customWidth="1"/>
    <col min="3343" max="3343" width="9.28515625" bestFit="1" customWidth="1"/>
    <col min="3585" max="3585" width="30.42578125" customWidth="1"/>
    <col min="3586" max="3586" width="13.85546875" customWidth="1"/>
    <col min="3588" max="3588" width="10.140625" customWidth="1"/>
    <col min="3589" max="3591" width="11" customWidth="1"/>
    <col min="3592" max="3592" width="9.5703125" bestFit="1" customWidth="1"/>
    <col min="3593" max="3593" width="9.28515625" customWidth="1"/>
    <col min="3594" max="3595" width="9.28515625" bestFit="1" customWidth="1"/>
    <col min="3596" max="3596" width="7.85546875" customWidth="1"/>
    <col min="3597" max="3597" width="9.28515625" bestFit="1" customWidth="1"/>
    <col min="3598" max="3598" width="10.42578125" customWidth="1"/>
    <col min="3599" max="3599" width="9.28515625" bestFit="1" customWidth="1"/>
    <col min="3841" max="3841" width="30.42578125" customWidth="1"/>
    <col min="3842" max="3842" width="13.85546875" customWidth="1"/>
    <col min="3844" max="3844" width="10.140625" customWidth="1"/>
    <col min="3845" max="3847" width="11" customWidth="1"/>
    <col min="3848" max="3848" width="9.5703125" bestFit="1" customWidth="1"/>
    <col min="3849" max="3849" width="9.28515625" customWidth="1"/>
    <col min="3850" max="3851" width="9.28515625" bestFit="1" customWidth="1"/>
    <col min="3852" max="3852" width="7.85546875" customWidth="1"/>
    <col min="3853" max="3853" width="9.28515625" bestFit="1" customWidth="1"/>
    <col min="3854" max="3854" width="10.42578125" customWidth="1"/>
    <col min="3855" max="3855" width="9.28515625" bestFit="1" customWidth="1"/>
    <col min="4097" max="4097" width="30.42578125" customWidth="1"/>
    <col min="4098" max="4098" width="13.85546875" customWidth="1"/>
    <col min="4100" max="4100" width="10.140625" customWidth="1"/>
    <col min="4101" max="4103" width="11" customWidth="1"/>
    <col min="4104" max="4104" width="9.5703125" bestFit="1" customWidth="1"/>
    <col min="4105" max="4105" width="9.28515625" customWidth="1"/>
    <col min="4106" max="4107" width="9.28515625" bestFit="1" customWidth="1"/>
    <col min="4108" max="4108" width="7.85546875" customWidth="1"/>
    <col min="4109" max="4109" width="9.28515625" bestFit="1" customWidth="1"/>
    <col min="4110" max="4110" width="10.42578125" customWidth="1"/>
    <col min="4111" max="4111" width="9.28515625" bestFit="1" customWidth="1"/>
    <col min="4353" max="4353" width="30.42578125" customWidth="1"/>
    <col min="4354" max="4354" width="13.85546875" customWidth="1"/>
    <col min="4356" max="4356" width="10.140625" customWidth="1"/>
    <col min="4357" max="4359" width="11" customWidth="1"/>
    <col min="4360" max="4360" width="9.5703125" bestFit="1" customWidth="1"/>
    <col min="4361" max="4361" width="9.28515625" customWidth="1"/>
    <col min="4362" max="4363" width="9.28515625" bestFit="1" customWidth="1"/>
    <col min="4364" max="4364" width="7.85546875" customWidth="1"/>
    <col min="4365" max="4365" width="9.28515625" bestFit="1" customWidth="1"/>
    <col min="4366" max="4366" width="10.42578125" customWidth="1"/>
    <col min="4367" max="4367" width="9.28515625" bestFit="1" customWidth="1"/>
    <col min="4609" max="4609" width="30.42578125" customWidth="1"/>
    <col min="4610" max="4610" width="13.85546875" customWidth="1"/>
    <col min="4612" max="4612" width="10.140625" customWidth="1"/>
    <col min="4613" max="4615" width="11" customWidth="1"/>
    <col min="4616" max="4616" width="9.5703125" bestFit="1" customWidth="1"/>
    <col min="4617" max="4617" width="9.28515625" customWidth="1"/>
    <col min="4618" max="4619" width="9.28515625" bestFit="1" customWidth="1"/>
    <col min="4620" max="4620" width="7.85546875" customWidth="1"/>
    <col min="4621" max="4621" width="9.28515625" bestFit="1" customWidth="1"/>
    <col min="4622" max="4622" width="10.42578125" customWidth="1"/>
    <col min="4623" max="4623" width="9.28515625" bestFit="1" customWidth="1"/>
    <col min="4865" max="4865" width="30.42578125" customWidth="1"/>
    <col min="4866" max="4866" width="13.85546875" customWidth="1"/>
    <col min="4868" max="4868" width="10.140625" customWidth="1"/>
    <col min="4869" max="4871" width="11" customWidth="1"/>
    <col min="4872" max="4872" width="9.5703125" bestFit="1" customWidth="1"/>
    <col min="4873" max="4873" width="9.28515625" customWidth="1"/>
    <col min="4874" max="4875" width="9.28515625" bestFit="1" customWidth="1"/>
    <col min="4876" max="4876" width="7.85546875" customWidth="1"/>
    <col min="4877" max="4877" width="9.28515625" bestFit="1" customWidth="1"/>
    <col min="4878" max="4878" width="10.42578125" customWidth="1"/>
    <col min="4879" max="4879" width="9.28515625" bestFit="1" customWidth="1"/>
    <col min="5121" max="5121" width="30.42578125" customWidth="1"/>
    <col min="5122" max="5122" width="13.85546875" customWidth="1"/>
    <col min="5124" max="5124" width="10.140625" customWidth="1"/>
    <col min="5125" max="5127" width="11" customWidth="1"/>
    <col min="5128" max="5128" width="9.5703125" bestFit="1" customWidth="1"/>
    <col min="5129" max="5129" width="9.28515625" customWidth="1"/>
    <col min="5130" max="5131" width="9.28515625" bestFit="1" customWidth="1"/>
    <col min="5132" max="5132" width="7.85546875" customWidth="1"/>
    <col min="5133" max="5133" width="9.28515625" bestFit="1" customWidth="1"/>
    <col min="5134" max="5134" width="10.42578125" customWidth="1"/>
    <col min="5135" max="5135" width="9.28515625" bestFit="1" customWidth="1"/>
    <col min="5377" max="5377" width="30.42578125" customWidth="1"/>
    <col min="5378" max="5378" width="13.85546875" customWidth="1"/>
    <col min="5380" max="5380" width="10.140625" customWidth="1"/>
    <col min="5381" max="5383" width="11" customWidth="1"/>
    <col min="5384" max="5384" width="9.5703125" bestFit="1" customWidth="1"/>
    <col min="5385" max="5385" width="9.28515625" customWidth="1"/>
    <col min="5386" max="5387" width="9.28515625" bestFit="1" customWidth="1"/>
    <col min="5388" max="5388" width="7.85546875" customWidth="1"/>
    <col min="5389" max="5389" width="9.28515625" bestFit="1" customWidth="1"/>
    <col min="5390" max="5390" width="10.42578125" customWidth="1"/>
    <col min="5391" max="5391" width="9.28515625" bestFit="1" customWidth="1"/>
    <col min="5633" max="5633" width="30.42578125" customWidth="1"/>
    <col min="5634" max="5634" width="13.85546875" customWidth="1"/>
    <col min="5636" max="5636" width="10.140625" customWidth="1"/>
    <col min="5637" max="5639" width="11" customWidth="1"/>
    <col min="5640" max="5640" width="9.5703125" bestFit="1" customWidth="1"/>
    <col min="5641" max="5641" width="9.28515625" customWidth="1"/>
    <col min="5642" max="5643" width="9.28515625" bestFit="1" customWidth="1"/>
    <col min="5644" max="5644" width="7.85546875" customWidth="1"/>
    <col min="5645" max="5645" width="9.28515625" bestFit="1" customWidth="1"/>
    <col min="5646" max="5646" width="10.42578125" customWidth="1"/>
    <col min="5647" max="5647" width="9.28515625" bestFit="1" customWidth="1"/>
    <col min="5889" max="5889" width="30.42578125" customWidth="1"/>
    <col min="5890" max="5890" width="13.85546875" customWidth="1"/>
    <col min="5892" max="5892" width="10.140625" customWidth="1"/>
    <col min="5893" max="5895" width="11" customWidth="1"/>
    <col min="5896" max="5896" width="9.5703125" bestFit="1" customWidth="1"/>
    <col min="5897" max="5897" width="9.28515625" customWidth="1"/>
    <col min="5898" max="5899" width="9.28515625" bestFit="1" customWidth="1"/>
    <col min="5900" max="5900" width="7.85546875" customWidth="1"/>
    <col min="5901" max="5901" width="9.28515625" bestFit="1" customWidth="1"/>
    <col min="5902" max="5902" width="10.42578125" customWidth="1"/>
    <col min="5903" max="5903" width="9.28515625" bestFit="1" customWidth="1"/>
    <col min="6145" max="6145" width="30.42578125" customWidth="1"/>
    <col min="6146" max="6146" width="13.85546875" customWidth="1"/>
    <col min="6148" max="6148" width="10.140625" customWidth="1"/>
    <col min="6149" max="6151" width="11" customWidth="1"/>
    <col min="6152" max="6152" width="9.5703125" bestFit="1" customWidth="1"/>
    <col min="6153" max="6153" width="9.28515625" customWidth="1"/>
    <col min="6154" max="6155" width="9.28515625" bestFit="1" customWidth="1"/>
    <col min="6156" max="6156" width="7.85546875" customWidth="1"/>
    <col min="6157" max="6157" width="9.28515625" bestFit="1" customWidth="1"/>
    <col min="6158" max="6158" width="10.42578125" customWidth="1"/>
    <col min="6159" max="6159" width="9.28515625" bestFit="1" customWidth="1"/>
    <col min="6401" max="6401" width="30.42578125" customWidth="1"/>
    <col min="6402" max="6402" width="13.85546875" customWidth="1"/>
    <col min="6404" max="6404" width="10.140625" customWidth="1"/>
    <col min="6405" max="6407" width="11" customWidth="1"/>
    <col min="6408" max="6408" width="9.5703125" bestFit="1" customWidth="1"/>
    <col min="6409" max="6409" width="9.28515625" customWidth="1"/>
    <col min="6410" max="6411" width="9.28515625" bestFit="1" customWidth="1"/>
    <col min="6412" max="6412" width="7.85546875" customWidth="1"/>
    <col min="6413" max="6413" width="9.28515625" bestFit="1" customWidth="1"/>
    <col min="6414" max="6414" width="10.42578125" customWidth="1"/>
    <col min="6415" max="6415" width="9.28515625" bestFit="1" customWidth="1"/>
    <col min="6657" max="6657" width="30.42578125" customWidth="1"/>
    <col min="6658" max="6658" width="13.85546875" customWidth="1"/>
    <col min="6660" max="6660" width="10.140625" customWidth="1"/>
    <col min="6661" max="6663" width="11" customWidth="1"/>
    <col min="6664" max="6664" width="9.5703125" bestFit="1" customWidth="1"/>
    <col min="6665" max="6665" width="9.28515625" customWidth="1"/>
    <col min="6666" max="6667" width="9.28515625" bestFit="1" customWidth="1"/>
    <col min="6668" max="6668" width="7.85546875" customWidth="1"/>
    <col min="6669" max="6669" width="9.28515625" bestFit="1" customWidth="1"/>
    <col min="6670" max="6670" width="10.42578125" customWidth="1"/>
    <col min="6671" max="6671" width="9.28515625" bestFit="1" customWidth="1"/>
    <col min="6913" max="6913" width="30.42578125" customWidth="1"/>
    <col min="6914" max="6914" width="13.85546875" customWidth="1"/>
    <col min="6916" max="6916" width="10.140625" customWidth="1"/>
    <col min="6917" max="6919" width="11" customWidth="1"/>
    <col min="6920" max="6920" width="9.5703125" bestFit="1" customWidth="1"/>
    <col min="6921" max="6921" width="9.28515625" customWidth="1"/>
    <col min="6922" max="6923" width="9.28515625" bestFit="1" customWidth="1"/>
    <col min="6924" max="6924" width="7.85546875" customWidth="1"/>
    <col min="6925" max="6925" width="9.28515625" bestFit="1" customWidth="1"/>
    <col min="6926" max="6926" width="10.42578125" customWidth="1"/>
    <col min="6927" max="6927" width="9.28515625" bestFit="1" customWidth="1"/>
    <col min="7169" max="7169" width="30.42578125" customWidth="1"/>
    <col min="7170" max="7170" width="13.85546875" customWidth="1"/>
    <col min="7172" max="7172" width="10.140625" customWidth="1"/>
    <col min="7173" max="7175" width="11" customWidth="1"/>
    <col min="7176" max="7176" width="9.5703125" bestFit="1" customWidth="1"/>
    <col min="7177" max="7177" width="9.28515625" customWidth="1"/>
    <col min="7178" max="7179" width="9.28515625" bestFit="1" customWidth="1"/>
    <col min="7180" max="7180" width="7.85546875" customWidth="1"/>
    <col min="7181" max="7181" width="9.28515625" bestFit="1" customWidth="1"/>
    <col min="7182" max="7182" width="10.42578125" customWidth="1"/>
    <col min="7183" max="7183" width="9.28515625" bestFit="1" customWidth="1"/>
    <col min="7425" max="7425" width="30.42578125" customWidth="1"/>
    <col min="7426" max="7426" width="13.85546875" customWidth="1"/>
    <col min="7428" max="7428" width="10.140625" customWidth="1"/>
    <col min="7429" max="7431" width="11" customWidth="1"/>
    <col min="7432" max="7432" width="9.5703125" bestFit="1" customWidth="1"/>
    <col min="7433" max="7433" width="9.28515625" customWidth="1"/>
    <col min="7434" max="7435" width="9.28515625" bestFit="1" customWidth="1"/>
    <col min="7436" max="7436" width="7.85546875" customWidth="1"/>
    <col min="7437" max="7437" width="9.28515625" bestFit="1" customWidth="1"/>
    <col min="7438" max="7438" width="10.42578125" customWidth="1"/>
    <col min="7439" max="7439" width="9.28515625" bestFit="1" customWidth="1"/>
    <col min="7681" max="7681" width="30.42578125" customWidth="1"/>
    <col min="7682" max="7682" width="13.85546875" customWidth="1"/>
    <col min="7684" max="7684" width="10.140625" customWidth="1"/>
    <col min="7685" max="7687" width="11" customWidth="1"/>
    <col min="7688" max="7688" width="9.5703125" bestFit="1" customWidth="1"/>
    <col min="7689" max="7689" width="9.28515625" customWidth="1"/>
    <col min="7690" max="7691" width="9.28515625" bestFit="1" customWidth="1"/>
    <col min="7692" max="7692" width="7.85546875" customWidth="1"/>
    <col min="7693" max="7693" width="9.28515625" bestFit="1" customWidth="1"/>
    <col min="7694" max="7694" width="10.42578125" customWidth="1"/>
    <col min="7695" max="7695" width="9.28515625" bestFit="1" customWidth="1"/>
    <col min="7937" max="7937" width="30.42578125" customWidth="1"/>
    <col min="7938" max="7938" width="13.85546875" customWidth="1"/>
    <col min="7940" max="7940" width="10.140625" customWidth="1"/>
    <col min="7941" max="7943" width="11" customWidth="1"/>
    <col min="7944" max="7944" width="9.5703125" bestFit="1" customWidth="1"/>
    <col min="7945" max="7945" width="9.28515625" customWidth="1"/>
    <col min="7946" max="7947" width="9.28515625" bestFit="1" customWidth="1"/>
    <col min="7948" max="7948" width="7.85546875" customWidth="1"/>
    <col min="7949" max="7949" width="9.28515625" bestFit="1" customWidth="1"/>
    <col min="7950" max="7950" width="10.42578125" customWidth="1"/>
    <col min="7951" max="7951" width="9.28515625" bestFit="1" customWidth="1"/>
    <col min="8193" max="8193" width="30.42578125" customWidth="1"/>
    <col min="8194" max="8194" width="13.85546875" customWidth="1"/>
    <col min="8196" max="8196" width="10.140625" customWidth="1"/>
    <col min="8197" max="8199" width="11" customWidth="1"/>
    <col min="8200" max="8200" width="9.5703125" bestFit="1" customWidth="1"/>
    <col min="8201" max="8201" width="9.28515625" customWidth="1"/>
    <col min="8202" max="8203" width="9.28515625" bestFit="1" customWidth="1"/>
    <col min="8204" max="8204" width="7.85546875" customWidth="1"/>
    <col min="8205" max="8205" width="9.28515625" bestFit="1" customWidth="1"/>
    <col min="8206" max="8206" width="10.42578125" customWidth="1"/>
    <col min="8207" max="8207" width="9.28515625" bestFit="1" customWidth="1"/>
    <col min="8449" max="8449" width="30.42578125" customWidth="1"/>
    <col min="8450" max="8450" width="13.85546875" customWidth="1"/>
    <col min="8452" max="8452" width="10.140625" customWidth="1"/>
    <col min="8453" max="8455" width="11" customWidth="1"/>
    <col min="8456" max="8456" width="9.5703125" bestFit="1" customWidth="1"/>
    <col min="8457" max="8457" width="9.28515625" customWidth="1"/>
    <col min="8458" max="8459" width="9.28515625" bestFit="1" customWidth="1"/>
    <col min="8460" max="8460" width="7.85546875" customWidth="1"/>
    <col min="8461" max="8461" width="9.28515625" bestFit="1" customWidth="1"/>
    <col min="8462" max="8462" width="10.42578125" customWidth="1"/>
    <col min="8463" max="8463" width="9.28515625" bestFit="1" customWidth="1"/>
    <col min="8705" max="8705" width="30.42578125" customWidth="1"/>
    <col min="8706" max="8706" width="13.85546875" customWidth="1"/>
    <col min="8708" max="8708" width="10.140625" customWidth="1"/>
    <col min="8709" max="8711" width="11" customWidth="1"/>
    <col min="8712" max="8712" width="9.5703125" bestFit="1" customWidth="1"/>
    <col min="8713" max="8713" width="9.28515625" customWidth="1"/>
    <col min="8714" max="8715" width="9.28515625" bestFit="1" customWidth="1"/>
    <col min="8716" max="8716" width="7.85546875" customWidth="1"/>
    <col min="8717" max="8717" width="9.28515625" bestFit="1" customWidth="1"/>
    <col min="8718" max="8718" width="10.42578125" customWidth="1"/>
    <col min="8719" max="8719" width="9.28515625" bestFit="1" customWidth="1"/>
    <col min="8961" max="8961" width="30.42578125" customWidth="1"/>
    <col min="8962" max="8962" width="13.85546875" customWidth="1"/>
    <col min="8964" max="8964" width="10.140625" customWidth="1"/>
    <col min="8965" max="8967" width="11" customWidth="1"/>
    <col min="8968" max="8968" width="9.5703125" bestFit="1" customWidth="1"/>
    <col min="8969" max="8969" width="9.28515625" customWidth="1"/>
    <col min="8970" max="8971" width="9.28515625" bestFit="1" customWidth="1"/>
    <col min="8972" max="8972" width="7.85546875" customWidth="1"/>
    <col min="8973" max="8973" width="9.28515625" bestFit="1" customWidth="1"/>
    <col min="8974" max="8974" width="10.42578125" customWidth="1"/>
    <col min="8975" max="8975" width="9.28515625" bestFit="1" customWidth="1"/>
    <col min="9217" max="9217" width="30.42578125" customWidth="1"/>
    <col min="9218" max="9218" width="13.85546875" customWidth="1"/>
    <col min="9220" max="9220" width="10.140625" customWidth="1"/>
    <col min="9221" max="9223" width="11" customWidth="1"/>
    <col min="9224" max="9224" width="9.5703125" bestFit="1" customWidth="1"/>
    <col min="9225" max="9225" width="9.28515625" customWidth="1"/>
    <col min="9226" max="9227" width="9.28515625" bestFit="1" customWidth="1"/>
    <col min="9228" max="9228" width="7.85546875" customWidth="1"/>
    <col min="9229" max="9229" width="9.28515625" bestFit="1" customWidth="1"/>
    <col min="9230" max="9230" width="10.42578125" customWidth="1"/>
    <col min="9231" max="9231" width="9.28515625" bestFit="1" customWidth="1"/>
    <col min="9473" max="9473" width="30.42578125" customWidth="1"/>
    <col min="9474" max="9474" width="13.85546875" customWidth="1"/>
    <col min="9476" max="9476" width="10.140625" customWidth="1"/>
    <col min="9477" max="9479" width="11" customWidth="1"/>
    <col min="9480" max="9480" width="9.5703125" bestFit="1" customWidth="1"/>
    <col min="9481" max="9481" width="9.28515625" customWidth="1"/>
    <col min="9482" max="9483" width="9.28515625" bestFit="1" customWidth="1"/>
    <col min="9484" max="9484" width="7.85546875" customWidth="1"/>
    <col min="9485" max="9485" width="9.28515625" bestFit="1" customWidth="1"/>
    <col min="9486" max="9486" width="10.42578125" customWidth="1"/>
    <col min="9487" max="9487" width="9.28515625" bestFit="1" customWidth="1"/>
    <col min="9729" max="9729" width="30.42578125" customWidth="1"/>
    <col min="9730" max="9730" width="13.85546875" customWidth="1"/>
    <col min="9732" max="9732" width="10.140625" customWidth="1"/>
    <col min="9733" max="9735" width="11" customWidth="1"/>
    <col min="9736" max="9736" width="9.5703125" bestFit="1" customWidth="1"/>
    <col min="9737" max="9737" width="9.28515625" customWidth="1"/>
    <col min="9738" max="9739" width="9.28515625" bestFit="1" customWidth="1"/>
    <col min="9740" max="9740" width="7.85546875" customWidth="1"/>
    <col min="9741" max="9741" width="9.28515625" bestFit="1" customWidth="1"/>
    <col min="9742" max="9742" width="10.42578125" customWidth="1"/>
    <col min="9743" max="9743" width="9.28515625" bestFit="1" customWidth="1"/>
    <col min="9985" max="9985" width="30.42578125" customWidth="1"/>
    <col min="9986" max="9986" width="13.85546875" customWidth="1"/>
    <col min="9988" max="9988" width="10.140625" customWidth="1"/>
    <col min="9989" max="9991" width="11" customWidth="1"/>
    <col min="9992" max="9992" width="9.5703125" bestFit="1" customWidth="1"/>
    <col min="9993" max="9993" width="9.28515625" customWidth="1"/>
    <col min="9994" max="9995" width="9.28515625" bestFit="1" customWidth="1"/>
    <col min="9996" max="9996" width="7.85546875" customWidth="1"/>
    <col min="9997" max="9997" width="9.28515625" bestFit="1" customWidth="1"/>
    <col min="9998" max="9998" width="10.42578125" customWidth="1"/>
    <col min="9999" max="9999" width="9.28515625" bestFit="1" customWidth="1"/>
    <col min="10241" max="10241" width="30.42578125" customWidth="1"/>
    <col min="10242" max="10242" width="13.85546875" customWidth="1"/>
    <col min="10244" max="10244" width="10.140625" customWidth="1"/>
    <col min="10245" max="10247" width="11" customWidth="1"/>
    <col min="10248" max="10248" width="9.5703125" bestFit="1" customWidth="1"/>
    <col min="10249" max="10249" width="9.28515625" customWidth="1"/>
    <col min="10250" max="10251" width="9.28515625" bestFit="1" customWidth="1"/>
    <col min="10252" max="10252" width="7.85546875" customWidth="1"/>
    <col min="10253" max="10253" width="9.28515625" bestFit="1" customWidth="1"/>
    <col min="10254" max="10254" width="10.42578125" customWidth="1"/>
    <col min="10255" max="10255" width="9.28515625" bestFit="1" customWidth="1"/>
    <col min="10497" max="10497" width="30.42578125" customWidth="1"/>
    <col min="10498" max="10498" width="13.85546875" customWidth="1"/>
    <col min="10500" max="10500" width="10.140625" customWidth="1"/>
    <col min="10501" max="10503" width="11" customWidth="1"/>
    <col min="10504" max="10504" width="9.5703125" bestFit="1" customWidth="1"/>
    <col min="10505" max="10505" width="9.28515625" customWidth="1"/>
    <col min="10506" max="10507" width="9.28515625" bestFit="1" customWidth="1"/>
    <col min="10508" max="10508" width="7.85546875" customWidth="1"/>
    <col min="10509" max="10509" width="9.28515625" bestFit="1" customWidth="1"/>
    <col min="10510" max="10510" width="10.42578125" customWidth="1"/>
    <col min="10511" max="10511" width="9.28515625" bestFit="1" customWidth="1"/>
    <col min="10753" max="10753" width="30.42578125" customWidth="1"/>
    <col min="10754" max="10754" width="13.85546875" customWidth="1"/>
    <col min="10756" max="10756" width="10.140625" customWidth="1"/>
    <col min="10757" max="10759" width="11" customWidth="1"/>
    <col min="10760" max="10760" width="9.5703125" bestFit="1" customWidth="1"/>
    <col min="10761" max="10761" width="9.28515625" customWidth="1"/>
    <col min="10762" max="10763" width="9.28515625" bestFit="1" customWidth="1"/>
    <col min="10764" max="10764" width="7.85546875" customWidth="1"/>
    <col min="10765" max="10765" width="9.28515625" bestFit="1" customWidth="1"/>
    <col min="10766" max="10766" width="10.42578125" customWidth="1"/>
    <col min="10767" max="10767" width="9.28515625" bestFit="1" customWidth="1"/>
    <col min="11009" max="11009" width="30.42578125" customWidth="1"/>
    <col min="11010" max="11010" width="13.85546875" customWidth="1"/>
    <col min="11012" max="11012" width="10.140625" customWidth="1"/>
    <col min="11013" max="11015" width="11" customWidth="1"/>
    <col min="11016" max="11016" width="9.5703125" bestFit="1" customWidth="1"/>
    <col min="11017" max="11017" width="9.28515625" customWidth="1"/>
    <col min="11018" max="11019" width="9.28515625" bestFit="1" customWidth="1"/>
    <col min="11020" max="11020" width="7.85546875" customWidth="1"/>
    <col min="11021" max="11021" width="9.28515625" bestFit="1" customWidth="1"/>
    <col min="11022" max="11022" width="10.42578125" customWidth="1"/>
    <col min="11023" max="11023" width="9.28515625" bestFit="1" customWidth="1"/>
    <col min="11265" max="11265" width="30.42578125" customWidth="1"/>
    <col min="11266" max="11266" width="13.85546875" customWidth="1"/>
    <col min="11268" max="11268" width="10.140625" customWidth="1"/>
    <col min="11269" max="11271" width="11" customWidth="1"/>
    <col min="11272" max="11272" width="9.5703125" bestFit="1" customWidth="1"/>
    <col min="11273" max="11273" width="9.28515625" customWidth="1"/>
    <col min="11274" max="11275" width="9.28515625" bestFit="1" customWidth="1"/>
    <col min="11276" max="11276" width="7.85546875" customWidth="1"/>
    <col min="11277" max="11277" width="9.28515625" bestFit="1" customWidth="1"/>
    <col min="11278" max="11278" width="10.42578125" customWidth="1"/>
    <col min="11279" max="11279" width="9.28515625" bestFit="1" customWidth="1"/>
    <col min="11521" max="11521" width="30.42578125" customWidth="1"/>
    <col min="11522" max="11522" width="13.85546875" customWidth="1"/>
    <col min="11524" max="11524" width="10.140625" customWidth="1"/>
    <col min="11525" max="11527" width="11" customWidth="1"/>
    <col min="11528" max="11528" width="9.5703125" bestFit="1" customWidth="1"/>
    <col min="11529" max="11529" width="9.28515625" customWidth="1"/>
    <col min="11530" max="11531" width="9.28515625" bestFit="1" customWidth="1"/>
    <col min="11532" max="11532" width="7.85546875" customWidth="1"/>
    <col min="11533" max="11533" width="9.28515625" bestFit="1" customWidth="1"/>
    <col min="11534" max="11534" width="10.42578125" customWidth="1"/>
    <col min="11535" max="11535" width="9.28515625" bestFit="1" customWidth="1"/>
    <col min="11777" max="11777" width="30.42578125" customWidth="1"/>
    <col min="11778" max="11778" width="13.85546875" customWidth="1"/>
    <col min="11780" max="11780" width="10.140625" customWidth="1"/>
    <col min="11781" max="11783" width="11" customWidth="1"/>
    <col min="11784" max="11784" width="9.5703125" bestFit="1" customWidth="1"/>
    <col min="11785" max="11785" width="9.28515625" customWidth="1"/>
    <col min="11786" max="11787" width="9.28515625" bestFit="1" customWidth="1"/>
    <col min="11788" max="11788" width="7.85546875" customWidth="1"/>
    <col min="11789" max="11789" width="9.28515625" bestFit="1" customWidth="1"/>
    <col min="11790" max="11790" width="10.42578125" customWidth="1"/>
    <col min="11791" max="11791" width="9.28515625" bestFit="1" customWidth="1"/>
    <col min="12033" max="12033" width="30.42578125" customWidth="1"/>
    <col min="12034" max="12034" width="13.85546875" customWidth="1"/>
    <col min="12036" max="12036" width="10.140625" customWidth="1"/>
    <col min="12037" max="12039" width="11" customWidth="1"/>
    <col min="12040" max="12040" width="9.5703125" bestFit="1" customWidth="1"/>
    <col min="12041" max="12041" width="9.28515625" customWidth="1"/>
    <col min="12042" max="12043" width="9.28515625" bestFit="1" customWidth="1"/>
    <col min="12044" max="12044" width="7.85546875" customWidth="1"/>
    <col min="12045" max="12045" width="9.28515625" bestFit="1" customWidth="1"/>
    <col min="12046" max="12046" width="10.42578125" customWidth="1"/>
    <col min="12047" max="12047" width="9.28515625" bestFit="1" customWidth="1"/>
    <col min="12289" max="12289" width="30.42578125" customWidth="1"/>
    <col min="12290" max="12290" width="13.85546875" customWidth="1"/>
    <col min="12292" max="12292" width="10.140625" customWidth="1"/>
    <col min="12293" max="12295" width="11" customWidth="1"/>
    <col min="12296" max="12296" width="9.5703125" bestFit="1" customWidth="1"/>
    <col min="12297" max="12297" width="9.28515625" customWidth="1"/>
    <col min="12298" max="12299" width="9.28515625" bestFit="1" customWidth="1"/>
    <col min="12300" max="12300" width="7.85546875" customWidth="1"/>
    <col min="12301" max="12301" width="9.28515625" bestFit="1" customWidth="1"/>
    <col min="12302" max="12302" width="10.42578125" customWidth="1"/>
    <col min="12303" max="12303" width="9.28515625" bestFit="1" customWidth="1"/>
    <col min="12545" max="12545" width="30.42578125" customWidth="1"/>
    <col min="12546" max="12546" width="13.85546875" customWidth="1"/>
    <col min="12548" max="12548" width="10.140625" customWidth="1"/>
    <col min="12549" max="12551" width="11" customWidth="1"/>
    <col min="12552" max="12552" width="9.5703125" bestFit="1" customWidth="1"/>
    <col min="12553" max="12553" width="9.28515625" customWidth="1"/>
    <col min="12554" max="12555" width="9.28515625" bestFit="1" customWidth="1"/>
    <col min="12556" max="12556" width="7.85546875" customWidth="1"/>
    <col min="12557" max="12557" width="9.28515625" bestFit="1" customWidth="1"/>
    <col min="12558" max="12558" width="10.42578125" customWidth="1"/>
    <col min="12559" max="12559" width="9.28515625" bestFit="1" customWidth="1"/>
    <col min="12801" max="12801" width="30.42578125" customWidth="1"/>
    <col min="12802" max="12802" width="13.85546875" customWidth="1"/>
    <col min="12804" max="12804" width="10.140625" customWidth="1"/>
    <col min="12805" max="12807" width="11" customWidth="1"/>
    <col min="12808" max="12808" width="9.5703125" bestFit="1" customWidth="1"/>
    <col min="12809" max="12809" width="9.28515625" customWidth="1"/>
    <col min="12810" max="12811" width="9.28515625" bestFit="1" customWidth="1"/>
    <col min="12812" max="12812" width="7.85546875" customWidth="1"/>
    <col min="12813" max="12813" width="9.28515625" bestFit="1" customWidth="1"/>
    <col min="12814" max="12814" width="10.42578125" customWidth="1"/>
    <col min="12815" max="12815" width="9.28515625" bestFit="1" customWidth="1"/>
    <col min="13057" max="13057" width="30.42578125" customWidth="1"/>
    <col min="13058" max="13058" width="13.85546875" customWidth="1"/>
    <col min="13060" max="13060" width="10.140625" customWidth="1"/>
    <col min="13061" max="13063" width="11" customWidth="1"/>
    <col min="13064" max="13064" width="9.5703125" bestFit="1" customWidth="1"/>
    <col min="13065" max="13065" width="9.28515625" customWidth="1"/>
    <col min="13066" max="13067" width="9.28515625" bestFit="1" customWidth="1"/>
    <col min="13068" max="13068" width="7.85546875" customWidth="1"/>
    <col min="13069" max="13069" width="9.28515625" bestFit="1" customWidth="1"/>
    <col min="13070" max="13070" width="10.42578125" customWidth="1"/>
    <col min="13071" max="13071" width="9.28515625" bestFit="1" customWidth="1"/>
    <col min="13313" max="13313" width="30.42578125" customWidth="1"/>
    <col min="13314" max="13314" width="13.85546875" customWidth="1"/>
    <col min="13316" max="13316" width="10.140625" customWidth="1"/>
    <col min="13317" max="13319" width="11" customWidth="1"/>
    <col min="13320" max="13320" width="9.5703125" bestFit="1" customWidth="1"/>
    <col min="13321" max="13321" width="9.28515625" customWidth="1"/>
    <col min="13322" max="13323" width="9.28515625" bestFit="1" customWidth="1"/>
    <col min="13324" max="13324" width="7.85546875" customWidth="1"/>
    <col min="13325" max="13325" width="9.28515625" bestFit="1" customWidth="1"/>
    <col min="13326" max="13326" width="10.42578125" customWidth="1"/>
    <col min="13327" max="13327" width="9.28515625" bestFit="1" customWidth="1"/>
    <col min="13569" max="13569" width="30.42578125" customWidth="1"/>
    <col min="13570" max="13570" width="13.85546875" customWidth="1"/>
    <col min="13572" max="13572" width="10.140625" customWidth="1"/>
    <col min="13573" max="13575" width="11" customWidth="1"/>
    <col min="13576" max="13576" width="9.5703125" bestFit="1" customWidth="1"/>
    <col min="13577" max="13577" width="9.28515625" customWidth="1"/>
    <col min="13578" max="13579" width="9.28515625" bestFit="1" customWidth="1"/>
    <col min="13580" max="13580" width="7.85546875" customWidth="1"/>
    <col min="13581" max="13581" width="9.28515625" bestFit="1" customWidth="1"/>
    <col min="13582" max="13582" width="10.42578125" customWidth="1"/>
    <col min="13583" max="13583" width="9.28515625" bestFit="1" customWidth="1"/>
    <col min="13825" max="13825" width="30.42578125" customWidth="1"/>
    <col min="13826" max="13826" width="13.85546875" customWidth="1"/>
    <col min="13828" max="13828" width="10.140625" customWidth="1"/>
    <col min="13829" max="13831" width="11" customWidth="1"/>
    <col min="13832" max="13832" width="9.5703125" bestFit="1" customWidth="1"/>
    <col min="13833" max="13833" width="9.28515625" customWidth="1"/>
    <col min="13834" max="13835" width="9.28515625" bestFit="1" customWidth="1"/>
    <col min="13836" max="13836" width="7.85546875" customWidth="1"/>
    <col min="13837" max="13837" width="9.28515625" bestFit="1" customWidth="1"/>
    <col min="13838" max="13838" width="10.42578125" customWidth="1"/>
    <col min="13839" max="13839" width="9.28515625" bestFit="1" customWidth="1"/>
    <col min="14081" max="14081" width="30.42578125" customWidth="1"/>
    <col min="14082" max="14082" width="13.85546875" customWidth="1"/>
    <col min="14084" max="14084" width="10.140625" customWidth="1"/>
    <col min="14085" max="14087" width="11" customWidth="1"/>
    <col min="14088" max="14088" width="9.5703125" bestFit="1" customWidth="1"/>
    <col min="14089" max="14089" width="9.28515625" customWidth="1"/>
    <col min="14090" max="14091" width="9.28515625" bestFit="1" customWidth="1"/>
    <col min="14092" max="14092" width="7.85546875" customWidth="1"/>
    <col min="14093" max="14093" width="9.28515625" bestFit="1" customWidth="1"/>
    <col min="14094" max="14094" width="10.42578125" customWidth="1"/>
    <col min="14095" max="14095" width="9.28515625" bestFit="1" customWidth="1"/>
    <col min="14337" max="14337" width="30.42578125" customWidth="1"/>
    <col min="14338" max="14338" width="13.85546875" customWidth="1"/>
    <col min="14340" max="14340" width="10.140625" customWidth="1"/>
    <col min="14341" max="14343" width="11" customWidth="1"/>
    <col min="14344" max="14344" width="9.5703125" bestFit="1" customWidth="1"/>
    <col min="14345" max="14345" width="9.28515625" customWidth="1"/>
    <col min="14346" max="14347" width="9.28515625" bestFit="1" customWidth="1"/>
    <col min="14348" max="14348" width="7.85546875" customWidth="1"/>
    <col min="14349" max="14349" width="9.28515625" bestFit="1" customWidth="1"/>
    <col min="14350" max="14350" width="10.42578125" customWidth="1"/>
    <col min="14351" max="14351" width="9.28515625" bestFit="1" customWidth="1"/>
    <col min="14593" max="14593" width="30.42578125" customWidth="1"/>
    <col min="14594" max="14594" width="13.85546875" customWidth="1"/>
    <col min="14596" max="14596" width="10.140625" customWidth="1"/>
    <col min="14597" max="14599" width="11" customWidth="1"/>
    <col min="14600" max="14600" width="9.5703125" bestFit="1" customWidth="1"/>
    <col min="14601" max="14601" width="9.28515625" customWidth="1"/>
    <col min="14602" max="14603" width="9.28515625" bestFit="1" customWidth="1"/>
    <col min="14604" max="14604" width="7.85546875" customWidth="1"/>
    <col min="14605" max="14605" width="9.28515625" bestFit="1" customWidth="1"/>
    <col min="14606" max="14606" width="10.42578125" customWidth="1"/>
    <col min="14607" max="14607" width="9.28515625" bestFit="1" customWidth="1"/>
    <col min="14849" max="14849" width="30.42578125" customWidth="1"/>
    <col min="14850" max="14850" width="13.85546875" customWidth="1"/>
    <col min="14852" max="14852" width="10.140625" customWidth="1"/>
    <col min="14853" max="14855" width="11" customWidth="1"/>
    <col min="14856" max="14856" width="9.5703125" bestFit="1" customWidth="1"/>
    <col min="14857" max="14857" width="9.28515625" customWidth="1"/>
    <col min="14858" max="14859" width="9.28515625" bestFit="1" customWidth="1"/>
    <col min="14860" max="14860" width="7.85546875" customWidth="1"/>
    <col min="14861" max="14861" width="9.28515625" bestFit="1" customWidth="1"/>
    <col min="14862" max="14862" width="10.42578125" customWidth="1"/>
    <col min="14863" max="14863" width="9.28515625" bestFit="1" customWidth="1"/>
    <col min="15105" max="15105" width="30.42578125" customWidth="1"/>
    <col min="15106" max="15106" width="13.85546875" customWidth="1"/>
    <col min="15108" max="15108" width="10.140625" customWidth="1"/>
    <col min="15109" max="15111" width="11" customWidth="1"/>
    <col min="15112" max="15112" width="9.5703125" bestFit="1" customWidth="1"/>
    <col min="15113" max="15113" width="9.28515625" customWidth="1"/>
    <col min="15114" max="15115" width="9.28515625" bestFit="1" customWidth="1"/>
    <col min="15116" max="15116" width="7.85546875" customWidth="1"/>
    <col min="15117" max="15117" width="9.28515625" bestFit="1" customWidth="1"/>
    <col min="15118" max="15118" width="10.42578125" customWidth="1"/>
    <col min="15119" max="15119" width="9.28515625" bestFit="1" customWidth="1"/>
    <col min="15361" max="15361" width="30.42578125" customWidth="1"/>
    <col min="15362" max="15362" width="13.85546875" customWidth="1"/>
    <col min="15364" max="15364" width="10.140625" customWidth="1"/>
    <col min="15365" max="15367" width="11" customWidth="1"/>
    <col min="15368" max="15368" width="9.5703125" bestFit="1" customWidth="1"/>
    <col min="15369" max="15369" width="9.28515625" customWidth="1"/>
    <col min="15370" max="15371" width="9.28515625" bestFit="1" customWidth="1"/>
    <col min="15372" max="15372" width="7.85546875" customWidth="1"/>
    <col min="15373" max="15373" width="9.28515625" bestFit="1" customWidth="1"/>
    <col min="15374" max="15374" width="10.42578125" customWidth="1"/>
    <col min="15375" max="15375" width="9.28515625" bestFit="1" customWidth="1"/>
    <col min="15617" max="15617" width="30.42578125" customWidth="1"/>
    <col min="15618" max="15618" width="13.85546875" customWidth="1"/>
    <col min="15620" max="15620" width="10.140625" customWidth="1"/>
    <col min="15621" max="15623" width="11" customWidth="1"/>
    <col min="15624" max="15624" width="9.5703125" bestFit="1" customWidth="1"/>
    <col min="15625" max="15625" width="9.28515625" customWidth="1"/>
    <col min="15626" max="15627" width="9.28515625" bestFit="1" customWidth="1"/>
    <col min="15628" max="15628" width="7.85546875" customWidth="1"/>
    <col min="15629" max="15629" width="9.28515625" bestFit="1" customWidth="1"/>
    <col min="15630" max="15630" width="10.42578125" customWidth="1"/>
    <col min="15631" max="15631" width="9.28515625" bestFit="1" customWidth="1"/>
    <col min="15873" max="15873" width="30.42578125" customWidth="1"/>
    <col min="15874" max="15874" width="13.85546875" customWidth="1"/>
    <col min="15876" max="15876" width="10.140625" customWidth="1"/>
    <col min="15877" max="15879" width="11" customWidth="1"/>
    <col min="15880" max="15880" width="9.5703125" bestFit="1" customWidth="1"/>
    <col min="15881" max="15881" width="9.28515625" customWidth="1"/>
    <col min="15882" max="15883" width="9.28515625" bestFit="1" customWidth="1"/>
    <col min="15884" max="15884" width="7.85546875" customWidth="1"/>
    <col min="15885" max="15885" width="9.28515625" bestFit="1" customWidth="1"/>
    <col min="15886" max="15886" width="10.42578125" customWidth="1"/>
    <col min="15887" max="15887" width="9.28515625" bestFit="1" customWidth="1"/>
    <col min="16129" max="16129" width="30.42578125" customWidth="1"/>
    <col min="16130" max="16130" width="13.85546875" customWidth="1"/>
    <col min="16132" max="16132" width="10.140625" customWidth="1"/>
    <col min="16133" max="16135" width="11" customWidth="1"/>
    <col min="16136" max="16136" width="9.5703125" bestFit="1" customWidth="1"/>
    <col min="16137" max="16137" width="9.28515625" customWidth="1"/>
    <col min="16138" max="16139" width="9.28515625" bestFit="1" customWidth="1"/>
    <col min="16140" max="16140" width="7.85546875" customWidth="1"/>
    <col min="16141" max="16141" width="9.28515625" bestFit="1" customWidth="1"/>
    <col min="16142" max="16142" width="10.42578125" customWidth="1"/>
    <col min="16143" max="16143" width="9.28515625" bestFit="1" customWidth="1"/>
  </cols>
  <sheetData>
    <row r="1" spans="1:15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</row>
    <row r="2" spans="1:15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</row>
    <row r="4" spans="1:15">
      <c r="A4" s="46" t="s">
        <v>828</v>
      </c>
      <c r="B4" s="854" t="s">
        <v>5606</v>
      </c>
      <c r="C4" s="854"/>
      <c r="D4" s="854"/>
      <c r="E4" s="854" t="s">
        <v>830</v>
      </c>
      <c r="F4" s="854"/>
      <c r="G4" s="854"/>
      <c r="H4" s="854" t="s">
        <v>5607</v>
      </c>
      <c r="I4" s="854"/>
      <c r="J4" s="46" t="s">
        <v>5</v>
      </c>
      <c r="K4" s="46"/>
      <c r="L4" s="47">
        <v>522.23599999999999</v>
      </c>
      <c r="M4" s="46" t="s">
        <v>831</v>
      </c>
      <c r="N4" s="46"/>
      <c r="O4" s="47">
        <v>80</v>
      </c>
    </row>
    <row r="5" spans="1:15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>
      <c r="A6" s="46" t="s">
        <v>832</v>
      </c>
      <c r="B6" s="854" t="s">
        <v>5608</v>
      </c>
      <c r="C6" s="854"/>
      <c r="D6" s="854"/>
      <c r="E6" s="854" t="s">
        <v>176</v>
      </c>
      <c r="F6" s="854"/>
      <c r="G6" s="854"/>
      <c r="H6" s="854" t="s">
        <v>5609</v>
      </c>
      <c r="I6" s="854"/>
      <c r="J6" s="854"/>
      <c r="K6" s="46"/>
      <c r="L6" s="46"/>
      <c r="M6" s="46"/>
      <c r="N6" s="46"/>
      <c r="O6" s="46"/>
    </row>
    <row r="7" spans="1: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</row>
    <row r="8" spans="1:15">
      <c r="A8" s="46" t="s">
        <v>835</v>
      </c>
      <c r="B8" s="854" t="s">
        <v>5610</v>
      </c>
      <c r="C8" s="854"/>
      <c r="D8" s="854"/>
      <c r="E8" s="967" t="s">
        <v>5519</v>
      </c>
      <c r="F8" s="989"/>
      <c r="G8" s="940"/>
      <c r="H8" s="854" t="s">
        <v>5611</v>
      </c>
      <c r="I8" s="854"/>
      <c r="J8" s="854"/>
      <c r="K8" s="854"/>
      <c r="L8" s="854"/>
      <c r="M8" s="46"/>
      <c r="N8" s="46"/>
      <c r="O8" s="46"/>
    </row>
    <row r="9" spans="1:15">
      <c r="A9" s="46"/>
      <c r="B9" s="46"/>
      <c r="C9" s="46"/>
      <c r="D9" s="46"/>
      <c r="E9" s="46"/>
      <c r="F9" s="46"/>
      <c r="G9" s="46"/>
      <c r="H9" s="48"/>
      <c r="I9" s="48"/>
      <c r="J9" s="48"/>
      <c r="K9" s="48"/>
      <c r="L9" s="48"/>
      <c r="M9" s="46"/>
      <c r="N9" s="46"/>
      <c r="O9" s="46"/>
    </row>
    <row r="10" spans="1:1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15">
      <c r="A11" s="47" t="s">
        <v>838</v>
      </c>
      <c r="B11" s="854" t="s">
        <v>5612</v>
      </c>
      <c r="C11" s="854"/>
      <c r="D11" s="854" t="s">
        <v>5613</v>
      </c>
      <c r="E11" s="854"/>
      <c r="F11" s="854"/>
      <c r="G11" s="854"/>
      <c r="H11" s="854" t="s">
        <v>5614</v>
      </c>
      <c r="I11" s="854"/>
      <c r="J11" s="854"/>
      <c r="K11" s="854"/>
      <c r="L11" s="854"/>
      <c r="M11" s="854"/>
      <c r="N11" s="854"/>
      <c r="O11" s="46"/>
    </row>
    <row r="12" spans="1:15">
      <c r="A12" s="47" t="s">
        <v>840</v>
      </c>
      <c r="B12" s="854" t="s">
        <v>5615</v>
      </c>
      <c r="C12" s="854"/>
      <c r="D12" s="854" t="s">
        <v>5616</v>
      </c>
      <c r="E12" s="854"/>
      <c r="F12" s="854"/>
      <c r="G12" s="854"/>
      <c r="H12" s="854" t="s">
        <v>5617</v>
      </c>
      <c r="I12" s="854"/>
      <c r="J12" s="854"/>
      <c r="K12" s="854"/>
      <c r="L12" s="854"/>
      <c r="M12" s="854"/>
      <c r="N12" s="854"/>
      <c r="O12" s="46"/>
    </row>
    <row r="13" spans="1:15">
      <c r="A13" s="47" t="s">
        <v>844</v>
      </c>
      <c r="B13" s="1155" t="s">
        <v>5618</v>
      </c>
      <c r="C13" s="917"/>
      <c r="D13" s="843" t="s">
        <v>5619</v>
      </c>
      <c r="E13" s="870"/>
      <c r="F13" s="870"/>
      <c r="G13" s="844"/>
      <c r="H13" s="854" t="s">
        <v>5620</v>
      </c>
      <c r="I13" s="854"/>
      <c r="J13" s="854"/>
      <c r="K13" s="854"/>
      <c r="L13" s="854"/>
      <c r="M13" s="854"/>
      <c r="N13" s="854"/>
      <c r="O13" s="46"/>
    </row>
    <row r="14" spans="1:15">
      <c r="A14" s="47" t="s">
        <v>850</v>
      </c>
      <c r="B14" s="854"/>
      <c r="C14" s="854"/>
      <c r="D14" s="854"/>
      <c r="E14" s="854"/>
      <c r="F14" s="854"/>
      <c r="G14" s="854"/>
      <c r="H14" s="854"/>
      <c r="I14" s="854"/>
      <c r="J14" s="854"/>
      <c r="K14" s="854"/>
      <c r="L14" s="854"/>
      <c r="M14" s="854"/>
      <c r="N14" s="854"/>
      <c r="O14" s="46"/>
    </row>
    <row r="15" spans="1:1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</row>
    <row r="16" spans="1:15">
      <c r="A16" s="46" t="s">
        <v>852</v>
      </c>
      <c r="B16" s="47">
        <v>3</v>
      </c>
      <c r="C16" s="46" t="s">
        <v>853</v>
      </c>
      <c r="D16" s="46"/>
      <c r="E16" s="522">
        <v>3</v>
      </c>
      <c r="F16" s="540"/>
      <c r="H16" s="46" t="s">
        <v>643</v>
      </c>
      <c r="I16" s="522">
        <v>5</v>
      </c>
      <c r="J16" s="46" t="s">
        <v>644</v>
      </c>
      <c r="K16" s="47">
        <v>1</v>
      </c>
      <c r="L16" s="46" t="s">
        <v>645</v>
      </c>
      <c r="M16" s="47"/>
      <c r="N16" s="46"/>
      <c r="O16" s="46"/>
    </row>
    <row r="17" spans="1:1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1:1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>
      <c r="A19" s="46" t="s">
        <v>854</v>
      </c>
      <c r="B19" s="46" t="s">
        <v>204</v>
      </c>
      <c r="C19" s="47">
        <v>70</v>
      </c>
      <c r="D19" s="46" t="s">
        <v>205</v>
      </c>
      <c r="E19" s="47"/>
      <c r="F19" s="84"/>
      <c r="G19" s="49" t="s">
        <v>206</v>
      </c>
      <c r="H19" s="47"/>
      <c r="I19" s="46" t="s">
        <v>230</v>
      </c>
      <c r="J19" s="47">
        <v>70</v>
      </c>
      <c r="K19" s="46" t="s">
        <v>207</v>
      </c>
      <c r="L19" s="47"/>
      <c r="M19" s="46" t="s">
        <v>855</v>
      </c>
      <c r="N19" s="46"/>
      <c r="O19" s="47"/>
    </row>
    <row r="20" spans="1:15">
      <c r="A20" s="46" t="s">
        <v>209</v>
      </c>
      <c r="B20" s="46" t="s">
        <v>210</v>
      </c>
      <c r="C20" s="47">
        <v>204</v>
      </c>
      <c r="D20" s="46" t="s">
        <v>211</v>
      </c>
      <c r="E20" s="47"/>
      <c r="F20" s="84"/>
      <c r="G20" s="49" t="s">
        <v>212</v>
      </c>
      <c r="H20" s="47"/>
      <c r="I20" s="46" t="s">
        <v>411</v>
      </c>
      <c r="J20" s="47">
        <v>204</v>
      </c>
      <c r="K20" s="46"/>
      <c r="L20" s="46"/>
      <c r="M20" s="46"/>
      <c r="N20" s="46"/>
      <c r="O20" s="46"/>
    </row>
    <row r="21" spans="1:15">
      <c r="A21" s="46"/>
      <c r="B21" s="46" t="s">
        <v>858</v>
      </c>
      <c r="C21" s="47">
        <v>196</v>
      </c>
      <c r="D21" s="46" t="s">
        <v>214</v>
      </c>
      <c r="E21" s="47"/>
      <c r="F21" s="84"/>
      <c r="G21" s="46" t="s">
        <v>215</v>
      </c>
      <c r="H21" s="47"/>
      <c r="I21" s="46" t="s">
        <v>410</v>
      </c>
      <c r="J21" s="47">
        <v>196</v>
      </c>
      <c r="K21" s="46"/>
      <c r="L21" s="46"/>
      <c r="M21" s="46"/>
      <c r="N21" s="46"/>
      <c r="O21" s="46"/>
    </row>
    <row r="22" spans="1:1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</row>
    <row r="23" spans="1:15">
      <c r="A23" s="50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</row>
    <row r="24" spans="1:15">
      <c r="A24" s="1154" t="s">
        <v>861</v>
      </c>
      <c r="B24" s="988" t="s">
        <v>5532</v>
      </c>
      <c r="C24" s="988" t="s">
        <v>219</v>
      </c>
      <c r="D24" s="988" t="s">
        <v>863</v>
      </c>
      <c r="E24" s="988" t="s">
        <v>864</v>
      </c>
      <c r="F24" s="538"/>
      <c r="G24" s="854" t="s">
        <v>865</v>
      </c>
      <c r="H24" s="854"/>
      <c r="I24" s="854"/>
      <c r="J24" s="854"/>
      <c r="K24" s="854"/>
      <c r="L24" s="854"/>
      <c r="M24" s="854"/>
      <c r="N24" s="854"/>
      <c r="O24" s="854"/>
    </row>
    <row r="25" spans="1:15">
      <c r="A25" s="1154"/>
      <c r="B25" s="988"/>
      <c r="C25" s="988"/>
      <c r="D25" s="988"/>
      <c r="E25" s="988"/>
      <c r="F25" s="538" t="s">
        <v>1180</v>
      </c>
      <c r="G25" s="47" t="s">
        <v>1179</v>
      </c>
      <c r="H25" s="47" t="s">
        <v>1178</v>
      </c>
      <c r="I25" s="47">
        <v>3</v>
      </c>
      <c r="J25" s="47">
        <v>4</v>
      </c>
      <c r="K25" s="47">
        <v>5</v>
      </c>
      <c r="L25" s="47">
        <v>6</v>
      </c>
      <c r="M25" s="47">
        <v>7</v>
      </c>
      <c r="N25" s="47" t="s">
        <v>230</v>
      </c>
      <c r="O25" s="47" t="s">
        <v>662</v>
      </c>
    </row>
    <row r="26" spans="1:15">
      <c r="A26" s="491" t="s">
        <v>232</v>
      </c>
      <c r="B26" s="491">
        <v>8000</v>
      </c>
      <c r="C26" s="503" t="s">
        <v>873</v>
      </c>
      <c r="D26" s="493">
        <f>+B26*L4/100000</f>
        <v>41.778880000000001</v>
      </c>
      <c r="E26" s="494">
        <f>1480000/100000</f>
        <v>14.8</v>
      </c>
      <c r="F26" s="494"/>
      <c r="G26" s="495">
        <f>214415/100000</f>
        <v>2.1441499999999998</v>
      </c>
      <c r="H26" s="495">
        <f>1124215/100000</f>
        <v>11.242150000000001</v>
      </c>
      <c r="I26" s="495"/>
      <c r="J26" s="495"/>
      <c r="K26" s="495"/>
      <c r="L26" s="495"/>
      <c r="M26" s="495"/>
      <c r="N26" s="494">
        <f>+G26+H26</f>
        <v>13.3863</v>
      </c>
      <c r="O26" s="495">
        <f>+N26*100/E26</f>
        <v>90.447972972972977</v>
      </c>
    </row>
    <row r="27" spans="1:15">
      <c r="A27" s="491" t="s">
        <v>874</v>
      </c>
      <c r="B27" s="491">
        <v>7000</v>
      </c>
      <c r="C27" s="491" t="s">
        <v>873</v>
      </c>
      <c r="D27" s="495">
        <f>+B27*80/100000</f>
        <v>5.6</v>
      </c>
      <c r="E27" s="495">
        <v>0</v>
      </c>
      <c r="F27" s="495"/>
      <c r="G27" s="495">
        <v>0</v>
      </c>
      <c r="H27" s="495">
        <v>0</v>
      </c>
      <c r="I27" s="495"/>
      <c r="J27" s="495"/>
      <c r="K27" s="495"/>
      <c r="L27" s="495"/>
      <c r="M27" s="495"/>
      <c r="N27" s="495">
        <f t="shared" ref="N27:N34" si="0">+G27+H27</f>
        <v>0</v>
      </c>
      <c r="O27" s="495">
        <v>0</v>
      </c>
    </row>
    <row r="28" spans="1:15">
      <c r="A28" s="491" t="s">
        <v>235</v>
      </c>
      <c r="B28" s="491">
        <v>43000</v>
      </c>
      <c r="C28" s="491" t="s">
        <v>5388</v>
      </c>
      <c r="D28" s="495">
        <v>0.43</v>
      </c>
      <c r="E28" s="494">
        <f>35000/100000</f>
        <v>0.35</v>
      </c>
      <c r="F28" s="494"/>
      <c r="G28" s="495">
        <f>5440/100000</f>
        <v>5.4399999999999997E-2</v>
      </c>
      <c r="H28" s="495">
        <f>20060/100000</f>
        <v>0.2006</v>
      </c>
      <c r="I28" s="495"/>
      <c r="J28" s="495"/>
      <c r="K28" s="495"/>
      <c r="L28" s="495"/>
      <c r="M28" s="495"/>
      <c r="N28" s="494">
        <f t="shared" si="0"/>
        <v>0.255</v>
      </c>
      <c r="O28" s="495">
        <f t="shared" ref="O28:O35" si="1">+N28*100/E28</f>
        <v>72.857142857142861</v>
      </c>
    </row>
    <row r="29" spans="1:15">
      <c r="A29" s="491" t="s">
        <v>875</v>
      </c>
      <c r="B29" s="491">
        <v>34000</v>
      </c>
      <c r="C29" s="491" t="s">
        <v>5388</v>
      </c>
      <c r="D29" s="495">
        <v>0.34</v>
      </c>
      <c r="E29" s="494">
        <f>16000/100000</f>
        <v>0.16</v>
      </c>
      <c r="F29" s="494"/>
      <c r="G29" s="495">
        <f>16000/100000</f>
        <v>0.16</v>
      </c>
      <c r="H29" s="495">
        <v>0</v>
      </c>
      <c r="I29" s="495"/>
      <c r="J29" s="495"/>
      <c r="K29" s="495"/>
      <c r="L29" s="495"/>
      <c r="M29" s="495"/>
      <c r="N29" s="494">
        <f t="shared" si="0"/>
        <v>0.16</v>
      </c>
      <c r="O29" s="495">
        <f t="shared" si="1"/>
        <v>100</v>
      </c>
    </row>
    <row r="30" spans="1:15">
      <c r="A30" s="491" t="s">
        <v>238</v>
      </c>
      <c r="B30" s="491">
        <v>1200</v>
      </c>
      <c r="C30" s="491" t="s">
        <v>873</v>
      </c>
      <c r="D30" s="495">
        <f>+B30*L4/100000</f>
        <v>6.266832</v>
      </c>
      <c r="E30" s="494">
        <f>200000/100000</f>
        <v>2</v>
      </c>
      <c r="F30" s="494"/>
      <c r="G30" s="495">
        <v>0</v>
      </c>
      <c r="H30" s="495">
        <f>50000/100000</f>
        <v>0.5</v>
      </c>
      <c r="I30" s="495"/>
      <c r="J30" s="495"/>
      <c r="K30" s="495"/>
      <c r="L30" s="495"/>
      <c r="M30" s="495"/>
      <c r="N30" s="494">
        <f t="shared" si="0"/>
        <v>0.5</v>
      </c>
      <c r="O30" s="495">
        <f t="shared" si="1"/>
        <v>25</v>
      </c>
    </row>
    <row r="31" spans="1:15">
      <c r="A31" s="491" t="s">
        <v>667</v>
      </c>
      <c r="B31" s="491">
        <v>565</v>
      </c>
      <c r="C31" s="491" t="s">
        <v>873</v>
      </c>
      <c r="D31" s="495">
        <f>+B31*L4/100000</f>
        <v>2.9506333999999996</v>
      </c>
      <c r="E31" s="494">
        <f>295043/100000</f>
        <v>2.9504299999999999</v>
      </c>
      <c r="F31" s="494"/>
      <c r="G31" s="495">
        <f>295043/100000</f>
        <v>2.9504299999999999</v>
      </c>
      <c r="H31" s="495">
        <v>0</v>
      </c>
      <c r="I31" s="495"/>
      <c r="J31" s="495"/>
      <c r="K31" s="495"/>
      <c r="L31" s="495"/>
      <c r="M31" s="495"/>
      <c r="N31" s="494">
        <f t="shared" si="0"/>
        <v>2.9504299999999999</v>
      </c>
      <c r="O31" s="495">
        <f t="shared" si="1"/>
        <v>100</v>
      </c>
    </row>
    <row r="32" spans="1:15">
      <c r="A32" s="491" t="s">
        <v>876</v>
      </c>
      <c r="B32" s="491">
        <v>1000</v>
      </c>
      <c r="C32" s="491" t="s">
        <v>873</v>
      </c>
      <c r="D32" s="495">
        <f>+B32*L4/100000</f>
        <v>5.2223600000000001</v>
      </c>
      <c r="E32" s="495">
        <v>0</v>
      </c>
      <c r="F32" s="495"/>
      <c r="G32" s="495">
        <v>0</v>
      </c>
      <c r="H32" s="495">
        <v>0</v>
      </c>
      <c r="I32" s="495"/>
      <c r="J32" s="495"/>
      <c r="K32" s="495"/>
      <c r="L32" s="495"/>
      <c r="M32" s="495"/>
      <c r="N32" s="495">
        <f t="shared" si="0"/>
        <v>0</v>
      </c>
      <c r="O32" s="495">
        <v>0</v>
      </c>
    </row>
    <row r="33" spans="1:16">
      <c r="A33" s="491" t="s">
        <v>394</v>
      </c>
      <c r="B33" s="491">
        <v>2750</v>
      </c>
      <c r="C33" s="491" t="s">
        <v>5486</v>
      </c>
      <c r="D33" s="94">
        <f>66000/100000+1.687</f>
        <v>2.347</v>
      </c>
      <c r="E33" s="494">
        <f>66000/100000</f>
        <v>0.66</v>
      </c>
      <c r="F33" s="494"/>
      <c r="G33" s="495">
        <f>24500/100000</f>
        <v>0.245</v>
      </c>
      <c r="H33" s="495">
        <f>41500/100000</f>
        <v>0.41499999999999998</v>
      </c>
      <c r="I33" s="495"/>
      <c r="J33" s="495"/>
      <c r="K33" s="495"/>
      <c r="L33" s="495"/>
      <c r="M33" s="495"/>
      <c r="N33" s="494">
        <f t="shared" si="0"/>
        <v>0.65999999999999992</v>
      </c>
      <c r="O33" s="495">
        <f t="shared" si="1"/>
        <v>99.999999999999972</v>
      </c>
    </row>
    <row r="34" spans="1:16">
      <c r="A34" s="498" t="s">
        <v>670</v>
      </c>
      <c r="B34" s="499">
        <v>2000</v>
      </c>
      <c r="C34" s="500" t="s">
        <v>244</v>
      </c>
      <c r="D34" s="494">
        <v>0.1</v>
      </c>
      <c r="E34" s="501">
        <v>0.1</v>
      </c>
      <c r="F34" s="494"/>
      <c r="G34" s="495">
        <v>0</v>
      </c>
      <c r="H34" s="501">
        <v>0.1</v>
      </c>
      <c r="I34" s="495"/>
      <c r="J34" s="495"/>
      <c r="K34" s="495"/>
      <c r="L34" s="495"/>
      <c r="M34" s="495"/>
      <c r="N34" s="494">
        <f t="shared" si="0"/>
        <v>0.1</v>
      </c>
      <c r="O34" s="495">
        <f t="shared" si="1"/>
        <v>100</v>
      </c>
    </row>
    <row r="35" spans="1:16">
      <c r="A35" s="69" t="s">
        <v>5550</v>
      </c>
      <c r="B35" s="70"/>
      <c r="C35" s="70"/>
      <c r="D35" s="88">
        <f>SUM(D26:D34)</f>
        <v>65.035705399999998</v>
      </c>
      <c r="E35" s="88">
        <f t="shared" ref="E35:M35" si="2">SUM(E26:E34)</f>
        <v>21.020430000000005</v>
      </c>
      <c r="F35" s="88">
        <f t="shared" si="2"/>
        <v>0</v>
      </c>
      <c r="G35" s="88">
        <f t="shared" si="2"/>
        <v>5.5539800000000001</v>
      </c>
      <c r="H35" s="88">
        <f t="shared" si="2"/>
        <v>12.457749999999999</v>
      </c>
      <c r="I35" s="88">
        <f t="shared" si="2"/>
        <v>0</v>
      </c>
      <c r="J35" s="88">
        <f t="shared" si="2"/>
        <v>0</v>
      </c>
      <c r="K35" s="88">
        <f t="shared" si="2"/>
        <v>0</v>
      </c>
      <c r="L35" s="88">
        <f t="shared" si="2"/>
        <v>0</v>
      </c>
      <c r="M35" s="88">
        <f t="shared" si="2"/>
        <v>0</v>
      </c>
      <c r="N35" s="88">
        <f>SUM(N26:N34)</f>
        <v>18.011730000000004</v>
      </c>
      <c r="O35" s="348">
        <f t="shared" si="1"/>
        <v>85.68678185936254</v>
      </c>
      <c r="P35" s="505"/>
    </row>
  </sheetData>
  <mergeCells count="34">
    <mergeCell ref="B6:D6"/>
    <mergeCell ref="E6:G6"/>
    <mergeCell ref="H6:J6"/>
    <mergeCell ref="A1:O1"/>
    <mergeCell ref="A2:O2"/>
    <mergeCell ref="B4:D4"/>
    <mergeCell ref="E4:G4"/>
    <mergeCell ref="H4:I4"/>
    <mergeCell ref="A5:C5"/>
    <mergeCell ref="B8:D8"/>
    <mergeCell ref="E8:G8"/>
    <mergeCell ref="H8:L8"/>
    <mergeCell ref="B11:C11"/>
    <mergeCell ref="D11:G11"/>
    <mergeCell ref="H11:J11"/>
    <mergeCell ref="K11:N11"/>
    <mergeCell ref="B12:C12"/>
    <mergeCell ref="D12:G12"/>
    <mergeCell ref="H12:J12"/>
    <mergeCell ref="K12:N12"/>
    <mergeCell ref="B13:C13"/>
    <mergeCell ref="D13:G13"/>
    <mergeCell ref="H13:J13"/>
    <mergeCell ref="K13:N13"/>
    <mergeCell ref="B14:C14"/>
    <mergeCell ref="D14:G14"/>
    <mergeCell ref="H14:J14"/>
    <mergeCell ref="K14:N14"/>
    <mergeCell ref="A24:A25"/>
    <mergeCell ref="B24:B25"/>
    <mergeCell ref="C24:C25"/>
    <mergeCell ref="D24:D25"/>
    <mergeCell ref="E24:E25"/>
    <mergeCell ref="G24:O24"/>
  </mergeCells>
  <hyperlinks>
    <hyperlink ref="A5" location="'Fact Sheet of VDC'!A1" display="&lt;&lt;Back"/>
  </hyperlinks>
  <pageMargins left="0.7" right="0.7" top="0.75" bottom="0.75" header="0.3" footer="0.3"/>
  <pageSetup paperSize="9" scale="76" orientation="landscape" r:id="rId1"/>
</worksheet>
</file>

<file path=xl/worksheets/sheet188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A5" sqref="A5:C5"/>
    </sheetView>
  </sheetViews>
  <sheetFormatPr defaultRowHeight="15"/>
  <cols>
    <col min="1" max="1" width="30.42578125" customWidth="1"/>
    <col min="2" max="2" width="13.85546875" customWidth="1"/>
    <col min="3" max="3" width="9.28515625" bestFit="1" customWidth="1"/>
    <col min="4" max="4" width="12.28515625" customWidth="1"/>
    <col min="5" max="5" width="14.5703125" customWidth="1"/>
    <col min="6" max="6" width="11" customWidth="1"/>
    <col min="7" max="7" width="10.5703125" bestFit="1" customWidth="1"/>
    <col min="8" max="8" width="9.28515625" customWidth="1"/>
    <col min="9" max="10" width="9.28515625" bestFit="1" customWidth="1"/>
    <col min="11" max="11" width="7.85546875" customWidth="1"/>
    <col min="12" max="12" width="9.28515625" bestFit="1" customWidth="1"/>
    <col min="13" max="13" width="8" customWidth="1"/>
    <col min="14" max="14" width="9.28515625" bestFit="1" customWidth="1"/>
    <col min="257" max="257" width="30.42578125" customWidth="1"/>
    <col min="258" max="258" width="13.85546875" customWidth="1"/>
    <col min="259" max="259" width="9.28515625" bestFit="1" customWidth="1"/>
    <col min="260" max="260" width="12.28515625" customWidth="1"/>
    <col min="261" max="261" width="14.5703125" customWidth="1"/>
    <col min="262" max="262" width="11" customWidth="1"/>
    <col min="263" max="263" width="10.5703125" bestFit="1" customWidth="1"/>
    <col min="264" max="264" width="9.28515625" customWidth="1"/>
    <col min="265" max="266" width="9.28515625" bestFit="1" customWidth="1"/>
    <col min="267" max="267" width="7.85546875" customWidth="1"/>
    <col min="268" max="268" width="9.28515625" bestFit="1" customWidth="1"/>
    <col min="269" max="269" width="8" customWidth="1"/>
    <col min="270" max="270" width="9.28515625" bestFit="1" customWidth="1"/>
    <col min="513" max="513" width="30.42578125" customWidth="1"/>
    <col min="514" max="514" width="13.85546875" customWidth="1"/>
    <col min="515" max="515" width="9.28515625" bestFit="1" customWidth="1"/>
    <col min="516" max="516" width="12.28515625" customWidth="1"/>
    <col min="517" max="517" width="14.5703125" customWidth="1"/>
    <col min="518" max="518" width="11" customWidth="1"/>
    <col min="519" max="519" width="10.5703125" bestFit="1" customWidth="1"/>
    <col min="520" max="520" width="9.28515625" customWidth="1"/>
    <col min="521" max="522" width="9.28515625" bestFit="1" customWidth="1"/>
    <col min="523" max="523" width="7.85546875" customWidth="1"/>
    <col min="524" max="524" width="9.28515625" bestFit="1" customWidth="1"/>
    <col min="525" max="525" width="8" customWidth="1"/>
    <col min="526" max="526" width="9.28515625" bestFit="1" customWidth="1"/>
    <col min="769" max="769" width="30.42578125" customWidth="1"/>
    <col min="770" max="770" width="13.85546875" customWidth="1"/>
    <col min="771" max="771" width="9.28515625" bestFit="1" customWidth="1"/>
    <col min="772" max="772" width="12.28515625" customWidth="1"/>
    <col min="773" max="773" width="14.5703125" customWidth="1"/>
    <col min="774" max="774" width="11" customWidth="1"/>
    <col min="775" max="775" width="10.5703125" bestFit="1" customWidth="1"/>
    <col min="776" max="776" width="9.28515625" customWidth="1"/>
    <col min="777" max="778" width="9.28515625" bestFit="1" customWidth="1"/>
    <col min="779" max="779" width="7.85546875" customWidth="1"/>
    <col min="780" max="780" width="9.28515625" bestFit="1" customWidth="1"/>
    <col min="781" max="781" width="8" customWidth="1"/>
    <col min="782" max="782" width="9.28515625" bestFit="1" customWidth="1"/>
    <col min="1025" max="1025" width="30.42578125" customWidth="1"/>
    <col min="1026" max="1026" width="13.85546875" customWidth="1"/>
    <col min="1027" max="1027" width="9.28515625" bestFit="1" customWidth="1"/>
    <col min="1028" max="1028" width="12.28515625" customWidth="1"/>
    <col min="1029" max="1029" width="14.5703125" customWidth="1"/>
    <col min="1030" max="1030" width="11" customWidth="1"/>
    <col min="1031" max="1031" width="10.5703125" bestFit="1" customWidth="1"/>
    <col min="1032" max="1032" width="9.28515625" customWidth="1"/>
    <col min="1033" max="1034" width="9.28515625" bestFit="1" customWidth="1"/>
    <col min="1035" max="1035" width="7.85546875" customWidth="1"/>
    <col min="1036" max="1036" width="9.28515625" bestFit="1" customWidth="1"/>
    <col min="1037" max="1037" width="8" customWidth="1"/>
    <col min="1038" max="1038" width="9.28515625" bestFit="1" customWidth="1"/>
    <col min="1281" max="1281" width="30.42578125" customWidth="1"/>
    <col min="1282" max="1282" width="13.85546875" customWidth="1"/>
    <col min="1283" max="1283" width="9.28515625" bestFit="1" customWidth="1"/>
    <col min="1284" max="1284" width="12.28515625" customWidth="1"/>
    <col min="1285" max="1285" width="14.5703125" customWidth="1"/>
    <col min="1286" max="1286" width="11" customWidth="1"/>
    <col min="1287" max="1287" width="10.5703125" bestFit="1" customWidth="1"/>
    <col min="1288" max="1288" width="9.28515625" customWidth="1"/>
    <col min="1289" max="1290" width="9.28515625" bestFit="1" customWidth="1"/>
    <col min="1291" max="1291" width="7.85546875" customWidth="1"/>
    <col min="1292" max="1292" width="9.28515625" bestFit="1" customWidth="1"/>
    <col min="1293" max="1293" width="8" customWidth="1"/>
    <col min="1294" max="1294" width="9.28515625" bestFit="1" customWidth="1"/>
    <col min="1537" max="1537" width="30.42578125" customWidth="1"/>
    <col min="1538" max="1538" width="13.85546875" customWidth="1"/>
    <col min="1539" max="1539" width="9.28515625" bestFit="1" customWidth="1"/>
    <col min="1540" max="1540" width="12.28515625" customWidth="1"/>
    <col min="1541" max="1541" width="14.5703125" customWidth="1"/>
    <col min="1542" max="1542" width="11" customWidth="1"/>
    <col min="1543" max="1543" width="10.5703125" bestFit="1" customWidth="1"/>
    <col min="1544" max="1544" width="9.28515625" customWidth="1"/>
    <col min="1545" max="1546" width="9.28515625" bestFit="1" customWidth="1"/>
    <col min="1547" max="1547" width="7.85546875" customWidth="1"/>
    <col min="1548" max="1548" width="9.28515625" bestFit="1" customWidth="1"/>
    <col min="1549" max="1549" width="8" customWidth="1"/>
    <col min="1550" max="1550" width="9.28515625" bestFit="1" customWidth="1"/>
    <col min="1793" max="1793" width="30.42578125" customWidth="1"/>
    <col min="1794" max="1794" width="13.85546875" customWidth="1"/>
    <col min="1795" max="1795" width="9.28515625" bestFit="1" customWidth="1"/>
    <col min="1796" max="1796" width="12.28515625" customWidth="1"/>
    <col min="1797" max="1797" width="14.5703125" customWidth="1"/>
    <col min="1798" max="1798" width="11" customWidth="1"/>
    <col min="1799" max="1799" width="10.5703125" bestFit="1" customWidth="1"/>
    <col min="1800" max="1800" width="9.28515625" customWidth="1"/>
    <col min="1801" max="1802" width="9.28515625" bestFit="1" customWidth="1"/>
    <col min="1803" max="1803" width="7.85546875" customWidth="1"/>
    <col min="1804" max="1804" width="9.28515625" bestFit="1" customWidth="1"/>
    <col min="1805" max="1805" width="8" customWidth="1"/>
    <col min="1806" max="1806" width="9.28515625" bestFit="1" customWidth="1"/>
    <col min="2049" max="2049" width="30.42578125" customWidth="1"/>
    <col min="2050" max="2050" width="13.85546875" customWidth="1"/>
    <col min="2051" max="2051" width="9.28515625" bestFit="1" customWidth="1"/>
    <col min="2052" max="2052" width="12.28515625" customWidth="1"/>
    <col min="2053" max="2053" width="14.5703125" customWidth="1"/>
    <col min="2054" max="2054" width="11" customWidth="1"/>
    <col min="2055" max="2055" width="10.5703125" bestFit="1" customWidth="1"/>
    <col min="2056" max="2056" width="9.28515625" customWidth="1"/>
    <col min="2057" max="2058" width="9.28515625" bestFit="1" customWidth="1"/>
    <col min="2059" max="2059" width="7.85546875" customWidth="1"/>
    <col min="2060" max="2060" width="9.28515625" bestFit="1" customWidth="1"/>
    <col min="2061" max="2061" width="8" customWidth="1"/>
    <col min="2062" max="2062" width="9.28515625" bestFit="1" customWidth="1"/>
    <col min="2305" max="2305" width="30.42578125" customWidth="1"/>
    <col min="2306" max="2306" width="13.85546875" customWidth="1"/>
    <col min="2307" max="2307" width="9.28515625" bestFit="1" customWidth="1"/>
    <col min="2308" max="2308" width="12.28515625" customWidth="1"/>
    <col min="2309" max="2309" width="14.5703125" customWidth="1"/>
    <col min="2310" max="2310" width="11" customWidth="1"/>
    <col min="2311" max="2311" width="10.5703125" bestFit="1" customWidth="1"/>
    <col min="2312" max="2312" width="9.28515625" customWidth="1"/>
    <col min="2313" max="2314" width="9.28515625" bestFit="1" customWidth="1"/>
    <col min="2315" max="2315" width="7.85546875" customWidth="1"/>
    <col min="2316" max="2316" width="9.28515625" bestFit="1" customWidth="1"/>
    <col min="2317" max="2317" width="8" customWidth="1"/>
    <col min="2318" max="2318" width="9.28515625" bestFit="1" customWidth="1"/>
    <col min="2561" max="2561" width="30.42578125" customWidth="1"/>
    <col min="2562" max="2562" width="13.85546875" customWidth="1"/>
    <col min="2563" max="2563" width="9.28515625" bestFit="1" customWidth="1"/>
    <col min="2564" max="2564" width="12.28515625" customWidth="1"/>
    <col min="2565" max="2565" width="14.5703125" customWidth="1"/>
    <col min="2566" max="2566" width="11" customWidth="1"/>
    <col min="2567" max="2567" width="10.5703125" bestFit="1" customWidth="1"/>
    <col min="2568" max="2568" width="9.28515625" customWidth="1"/>
    <col min="2569" max="2570" width="9.28515625" bestFit="1" customWidth="1"/>
    <col min="2571" max="2571" width="7.85546875" customWidth="1"/>
    <col min="2572" max="2572" width="9.28515625" bestFit="1" customWidth="1"/>
    <col min="2573" max="2573" width="8" customWidth="1"/>
    <col min="2574" max="2574" width="9.28515625" bestFit="1" customWidth="1"/>
    <col min="2817" max="2817" width="30.42578125" customWidth="1"/>
    <col min="2818" max="2818" width="13.85546875" customWidth="1"/>
    <col min="2819" max="2819" width="9.28515625" bestFit="1" customWidth="1"/>
    <col min="2820" max="2820" width="12.28515625" customWidth="1"/>
    <col min="2821" max="2821" width="14.5703125" customWidth="1"/>
    <col min="2822" max="2822" width="11" customWidth="1"/>
    <col min="2823" max="2823" width="10.5703125" bestFit="1" customWidth="1"/>
    <col min="2824" max="2824" width="9.28515625" customWidth="1"/>
    <col min="2825" max="2826" width="9.28515625" bestFit="1" customWidth="1"/>
    <col min="2827" max="2827" width="7.85546875" customWidth="1"/>
    <col min="2828" max="2828" width="9.28515625" bestFit="1" customWidth="1"/>
    <col min="2829" max="2829" width="8" customWidth="1"/>
    <col min="2830" max="2830" width="9.28515625" bestFit="1" customWidth="1"/>
    <col min="3073" max="3073" width="30.42578125" customWidth="1"/>
    <col min="3074" max="3074" width="13.85546875" customWidth="1"/>
    <col min="3075" max="3075" width="9.28515625" bestFit="1" customWidth="1"/>
    <col min="3076" max="3076" width="12.28515625" customWidth="1"/>
    <col min="3077" max="3077" width="14.5703125" customWidth="1"/>
    <col min="3078" max="3078" width="11" customWidth="1"/>
    <col min="3079" max="3079" width="10.5703125" bestFit="1" customWidth="1"/>
    <col min="3080" max="3080" width="9.28515625" customWidth="1"/>
    <col min="3081" max="3082" width="9.28515625" bestFit="1" customWidth="1"/>
    <col min="3083" max="3083" width="7.85546875" customWidth="1"/>
    <col min="3084" max="3084" width="9.28515625" bestFit="1" customWidth="1"/>
    <col min="3085" max="3085" width="8" customWidth="1"/>
    <col min="3086" max="3086" width="9.28515625" bestFit="1" customWidth="1"/>
    <col min="3329" max="3329" width="30.42578125" customWidth="1"/>
    <col min="3330" max="3330" width="13.85546875" customWidth="1"/>
    <col min="3331" max="3331" width="9.28515625" bestFit="1" customWidth="1"/>
    <col min="3332" max="3332" width="12.28515625" customWidth="1"/>
    <col min="3333" max="3333" width="14.5703125" customWidth="1"/>
    <col min="3334" max="3334" width="11" customWidth="1"/>
    <col min="3335" max="3335" width="10.5703125" bestFit="1" customWidth="1"/>
    <col min="3336" max="3336" width="9.28515625" customWidth="1"/>
    <col min="3337" max="3338" width="9.28515625" bestFit="1" customWidth="1"/>
    <col min="3339" max="3339" width="7.85546875" customWidth="1"/>
    <col min="3340" max="3340" width="9.28515625" bestFit="1" customWidth="1"/>
    <col min="3341" max="3341" width="8" customWidth="1"/>
    <col min="3342" max="3342" width="9.28515625" bestFit="1" customWidth="1"/>
    <col min="3585" max="3585" width="30.42578125" customWidth="1"/>
    <col min="3586" max="3586" width="13.85546875" customWidth="1"/>
    <col min="3587" max="3587" width="9.28515625" bestFit="1" customWidth="1"/>
    <col min="3588" max="3588" width="12.28515625" customWidth="1"/>
    <col min="3589" max="3589" width="14.5703125" customWidth="1"/>
    <col min="3590" max="3590" width="11" customWidth="1"/>
    <col min="3591" max="3591" width="10.5703125" bestFit="1" customWidth="1"/>
    <col min="3592" max="3592" width="9.28515625" customWidth="1"/>
    <col min="3593" max="3594" width="9.28515625" bestFit="1" customWidth="1"/>
    <col min="3595" max="3595" width="7.85546875" customWidth="1"/>
    <col min="3596" max="3596" width="9.28515625" bestFit="1" customWidth="1"/>
    <col min="3597" max="3597" width="8" customWidth="1"/>
    <col min="3598" max="3598" width="9.28515625" bestFit="1" customWidth="1"/>
    <col min="3841" max="3841" width="30.42578125" customWidth="1"/>
    <col min="3842" max="3842" width="13.85546875" customWidth="1"/>
    <col min="3843" max="3843" width="9.28515625" bestFit="1" customWidth="1"/>
    <col min="3844" max="3844" width="12.28515625" customWidth="1"/>
    <col min="3845" max="3845" width="14.5703125" customWidth="1"/>
    <col min="3846" max="3846" width="11" customWidth="1"/>
    <col min="3847" max="3847" width="10.5703125" bestFit="1" customWidth="1"/>
    <col min="3848" max="3848" width="9.28515625" customWidth="1"/>
    <col min="3849" max="3850" width="9.28515625" bestFit="1" customWidth="1"/>
    <col min="3851" max="3851" width="7.85546875" customWidth="1"/>
    <col min="3852" max="3852" width="9.28515625" bestFit="1" customWidth="1"/>
    <col min="3853" max="3853" width="8" customWidth="1"/>
    <col min="3854" max="3854" width="9.28515625" bestFit="1" customWidth="1"/>
    <col min="4097" max="4097" width="30.42578125" customWidth="1"/>
    <col min="4098" max="4098" width="13.85546875" customWidth="1"/>
    <col min="4099" max="4099" width="9.28515625" bestFit="1" customWidth="1"/>
    <col min="4100" max="4100" width="12.28515625" customWidth="1"/>
    <col min="4101" max="4101" width="14.5703125" customWidth="1"/>
    <col min="4102" max="4102" width="11" customWidth="1"/>
    <col min="4103" max="4103" width="10.5703125" bestFit="1" customWidth="1"/>
    <col min="4104" max="4104" width="9.28515625" customWidth="1"/>
    <col min="4105" max="4106" width="9.28515625" bestFit="1" customWidth="1"/>
    <col min="4107" max="4107" width="7.85546875" customWidth="1"/>
    <col min="4108" max="4108" width="9.28515625" bestFit="1" customWidth="1"/>
    <col min="4109" max="4109" width="8" customWidth="1"/>
    <col min="4110" max="4110" width="9.28515625" bestFit="1" customWidth="1"/>
    <col min="4353" max="4353" width="30.42578125" customWidth="1"/>
    <col min="4354" max="4354" width="13.85546875" customWidth="1"/>
    <col min="4355" max="4355" width="9.28515625" bestFit="1" customWidth="1"/>
    <col min="4356" max="4356" width="12.28515625" customWidth="1"/>
    <col min="4357" max="4357" width="14.5703125" customWidth="1"/>
    <col min="4358" max="4358" width="11" customWidth="1"/>
    <col min="4359" max="4359" width="10.5703125" bestFit="1" customWidth="1"/>
    <col min="4360" max="4360" width="9.28515625" customWidth="1"/>
    <col min="4361" max="4362" width="9.28515625" bestFit="1" customWidth="1"/>
    <col min="4363" max="4363" width="7.85546875" customWidth="1"/>
    <col min="4364" max="4364" width="9.28515625" bestFit="1" customWidth="1"/>
    <col min="4365" max="4365" width="8" customWidth="1"/>
    <col min="4366" max="4366" width="9.28515625" bestFit="1" customWidth="1"/>
    <col min="4609" max="4609" width="30.42578125" customWidth="1"/>
    <col min="4610" max="4610" width="13.85546875" customWidth="1"/>
    <col min="4611" max="4611" width="9.28515625" bestFit="1" customWidth="1"/>
    <col min="4612" max="4612" width="12.28515625" customWidth="1"/>
    <col min="4613" max="4613" width="14.5703125" customWidth="1"/>
    <col min="4614" max="4614" width="11" customWidth="1"/>
    <col min="4615" max="4615" width="10.5703125" bestFit="1" customWidth="1"/>
    <col min="4616" max="4616" width="9.28515625" customWidth="1"/>
    <col min="4617" max="4618" width="9.28515625" bestFit="1" customWidth="1"/>
    <col min="4619" max="4619" width="7.85546875" customWidth="1"/>
    <col min="4620" max="4620" width="9.28515625" bestFit="1" customWidth="1"/>
    <col min="4621" max="4621" width="8" customWidth="1"/>
    <col min="4622" max="4622" width="9.28515625" bestFit="1" customWidth="1"/>
    <col min="4865" max="4865" width="30.42578125" customWidth="1"/>
    <col min="4866" max="4866" width="13.85546875" customWidth="1"/>
    <col min="4867" max="4867" width="9.28515625" bestFit="1" customWidth="1"/>
    <col min="4868" max="4868" width="12.28515625" customWidth="1"/>
    <col min="4869" max="4869" width="14.5703125" customWidth="1"/>
    <col min="4870" max="4870" width="11" customWidth="1"/>
    <col min="4871" max="4871" width="10.5703125" bestFit="1" customWidth="1"/>
    <col min="4872" max="4872" width="9.28515625" customWidth="1"/>
    <col min="4873" max="4874" width="9.28515625" bestFit="1" customWidth="1"/>
    <col min="4875" max="4875" width="7.85546875" customWidth="1"/>
    <col min="4876" max="4876" width="9.28515625" bestFit="1" customWidth="1"/>
    <col min="4877" max="4877" width="8" customWidth="1"/>
    <col min="4878" max="4878" width="9.28515625" bestFit="1" customWidth="1"/>
    <col min="5121" max="5121" width="30.42578125" customWidth="1"/>
    <col min="5122" max="5122" width="13.85546875" customWidth="1"/>
    <col min="5123" max="5123" width="9.28515625" bestFit="1" customWidth="1"/>
    <col min="5124" max="5124" width="12.28515625" customWidth="1"/>
    <col min="5125" max="5125" width="14.5703125" customWidth="1"/>
    <col min="5126" max="5126" width="11" customWidth="1"/>
    <col min="5127" max="5127" width="10.5703125" bestFit="1" customWidth="1"/>
    <col min="5128" max="5128" width="9.28515625" customWidth="1"/>
    <col min="5129" max="5130" width="9.28515625" bestFit="1" customWidth="1"/>
    <col min="5131" max="5131" width="7.85546875" customWidth="1"/>
    <col min="5132" max="5132" width="9.28515625" bestFit="1" customWidth="1"/>
    <col min="5133" max="5133" width="8" customWidth="1"/>
    <col min="5134" max="5134" width="9.28515625" bestFit="1" customWidth="1"/>
    <col min="5377" max="5377" width="30.42578125" customWidth="1"/>
    <col min="5378" max="5378" width="13.85546875" customWidth="1"/>
    <col min="5379" max="5379" width="9.28515625" bestFit="1" customWidth="1"/>
    <col min="5380" max="5380" width="12.28515625" customWidth="1"/>
    <col min="5381" max="5381" width="14.5703125" customWidth="1"/>
    <col min="5382" max="5382" width="11" customWidth="1"/>
    <col min="5383" max="5383" width="10.5703125" bestFit="1" customWidth="1"/>
    <col min="5384" max="5384" width="9.28515625" customWidth="1"/>
    <col min="5385" max="5386" width="9.28515625" bestFit="1" customWidth="1"/>
    <col min="5387" max="5387" width="7.85546875" customWidth="1"/>
    <col min="5388" max="5388" width="9.28515625" bestFit="1" customWidth="1"/>
    <col min="5389" max="5389" width="8" customWidth="1"/>
    <col min="5390" max="5390" width="9.28515625" bestFit="1" customWidth="1"/>
    <col min="5633" max="5633" width="30.42578125" customWidth="1"/>
    <col min="5634" max="5634" width="13.85546875" customWidth="1"/>
    <col min="5635" max="5635" width="9.28515625" bestFit="1" customWidth="1"/>
    <col min="5636" max="5636" width="12.28515625" customWidth="1"/>
    <col min="5637" max="5637" width="14.5703125" customWidth="1"/>
    <col min="5638" max="5638" width="11" customWidth="1"/>
    <col min="5639" max="5639" width="10.5703125" bestFit="1" customWidth="1"/>
    <col min="5640" max="5640" width="9.28515625" customWidth="1"/>
    <col min="5641" max="5642" width="9.28515625" bestFit="1" customWidth="1"/>
    <col min="5643" max="5643" width="7.85546875" customWidth="1"/>
    <col min="5644" max="5644" width="9.28515625" bestFit="1" customWidth="1"/>
    <col min="5645" max="5645" width="8" customWidth="1"/>
    <col min="5646" max="5646" width="9.28515625" bestFit="1" customWidth="1"/>
    <col min="5889" max="5889" width="30.42578125" customWidth="1"/>
    <col min="5890" max="5890" width="13.85546875" customWidth="1"/>
    <col min="5891" max="5891" width="9.28515625" bestFit="1" customWidth="1"/>
    <col min="5892" max="5892" width="12.28515625" customWidth="1"/>
    <col min="5893" max="5893" width="14.5703125" customWidth="1"/>
    <col min="5894" max="5894" width="11" customWidth="1"/>
    <col min="5895" max="5895" width="10.5703125" bestFit="1" customWidth="1"/>
    <col min="5896" max="5896" width="9.28515625" customWidth="1"/>
    <col min="5897" max="5898" width="9.28515625" bestFit="1" customWidth="1"/>
    <col min="5899" max="5899" width="7.85546875" customWidth="1"/>
    <col min="5900" max="5900" width="9.28515625" bestFit="1" customWidth="1"/>
    <col min="5901" max="5901" width="8" customWidth="1"/>
    <col min="5902" max="5902" width="9.28515625" bestFit="1" customWidth="1"/>
    <col min="6145" max="6145" width="30.42578125" customWidth="1"/>
    <col min="6146" max="6146" width="13.85546875" customWidth="1"/>
    <col min="6147" max="6147" width="9.28515625" bestFit="1" customWidth="1"/>
    <col min="6148" max="6148" width="12.28515625" customWidth="1"/>
    <col min="6149" max="6149" width="14.5703125" customWidth="1"/>
    <col min="6150" max="6150" width="11" customWidth="1"/>
    <col min="6151" max="6151" width="10.5703125" bestFit="1" customWidth="1"/>
    <col min="6152" max="6152" width="9.28515625" customWidth="1"/>
    <col min="6153" max="6154" width="9.28515625" bestFit="1" customWidth="1"/>
    <col min="6155" max="6155" width="7.85546875" customWidth="1"/>
    <col min="6156" max="6156" width="9.28515625" bestFit="1" customWidth="1"/>
    <col min="6157" max="6157" width="8" customWidth="1"/>
    <col min="6158" max="6158" width="9.28515625" bestFit="1" customWidth="1"/>
    <col min="6401" max="6401" width="30.42578125" customWidth="1"/>
    <col min="6402" max="6402" width="13.85546875" customWidth="1"/>
    <col min="6403" max="6403" width="9.28515625" bestFit="1" customWidth="1"/>
    <col min="6404" max="6404" width="12.28515625" customWidth="1"/>
    <col min="6405" max="6405" width="14.5703125" customWidth="1"/>
    <col min="6406" max="6406" width="11" customWidth="1"/>
    <col min="6407" max="6407" width="10.5703125" bestFit="1" customWidth="1"/>
    <col min="6408" max="6408" width="9.28515625" customWidth="1"/>
    <col min="6409" max="6410" width="9.28515625" bestFit="1" customWidth="1"/>
    <col min="6411" max="6411" width="7.85546875" customWidth="1"/>
    <col min="6412" max="6412" width="9.28515625" bestFit="1" customWidth="1"/>
    <col min="6413" max="6413" width="8" customWidth="1"/>
    <col min="6414" max="6414" width="9.28515625" bestFit="1" customWidth="1"/>
    <col min="6657" max="6657" width="30.42578125" customWidth="1"/>
    <col min="6658" max="6658" width="13.85546875" customWidth="1"/>
    <col min="6659" max="6659" width="9.28515625" bestFit="1" customWidth="1"/>
    <col min="6660" max="6660" width="12.28515625" customWidth="1"/>
    <col min="6661" max="6661" width="14.5703125" customWidth="1"/>
    <col min="6662" max="6662" width="11" customWidth="1"/>
    <col min="6663" max="6663" width="10.5703125" bestFit="1" customWidth="1"/>
    <col min="6664" max="6664" width="9.28515625" customWidth="1"/>
    <col min="6665" max="6666" width="9.28515625" bestFit="1" customWidth="1"/>
    <col min="6667" max="6667" width="7.85546875" customWidth="1"/>
    <col min="6668" max="6668" width="9.28515625" bestFit="1" customWidth="1"/>
    <col min="6669" max="6669" width="8" customWidth="1"/>
    <col min="6670" max="6670" width="9.28515625" bestFit="1" customWidth="1"/>
    <col min="6913" max="6913" width="30.42578125" customWidth="1"/>
    <col min="6914" max="6914" width="13.85546875" customWidth="1"/>
    <col min="6915" max="6915" width="9.28515625" bestFit="1" customWidth="1"/>
    <col min="6916" max="6916" width="12.28515625" customWidth="1"/>
    <col min="6917" max="6917" width="14.5703125" customWidth="1"/>
    <col min="6918" max="6918" width="11" customWidth="1"/>
    <col min="6919" max="6919" width="10.5703125" bestFit="1" customWidth="1"/>
    <col min="6920" max="6920" width="9.28515625" customWidth="1"/>
    <col min="6921" max="6922" width="9.28515625" bestFit="1" customWidth="1"/>
    <col min="6923" max="6923" width="7.85546875" customWidth="1"/>
    <col min="6924" max="6924" width="9.28515625" bestFit="1" customWidth="1"/>
    <col min="6925" max="6925" width="8" customWidth="1"/>
    <col min="6926" max="6926" width="9.28515625" bestFit="1" customWidth="1"/>
    <col min="7169" max="7169" width="30.42578125" customWidth="1"/>
    <col min="7170" max="7170" width="13.85546875" customWidth="1"/>
    <col min="7171" max="7171" width="9.28515625" bestFit="1" customWidth="1"/>
    <col min="7172" max="7172" width="12.28515625" customWidth="1"/>
    <col min="7173" max="7173" width="14.5703125" customWidth="1"/>
    <col min="7174" max="7174" width="11" customWidth="1"/>
    <col min="7175" max="7175" width="10.5703125" bestFit="1" customWidth="1"/>
    <col min="7176" max="7176" width="9.28515625" customWidth="1"/>
    <col min="7177" max="7178" width="9.28515625" bestFit="1" customWidth="1"/>
    <col min="7179" max="7179" width="7.85546875" customWidth="1"/>
    <col min="7180" max="7180" width="9.28515625" bestFit="1" customWidth="1"/>
    <col min="7181" max="7181" width="8" customWidth="1"/>
    <col min="7182" max="7182" width="9.28515625" bestFit="1" customWidth="1"/>
    <col min="7425" max="7425" width="30.42578125" customWidth="1"/>
    <col min="7426" max="7426" width="13.85546875" customWidth="1"/>
    <col min="7427" max="7427" width="9.28515625" bestFit="1" customWidth="1"/>
    <col min="7428" max="7428" width="12.28515625" customWidth="1"/>
    <col min="7429" max="7429" width="14.5703125" customWidth="1"/>
    <col min="7430" max="7430" width="11" customWidth="1"/>
    <col min="7431" max="7431" width="10.5703125" bestFit="1" customWidth="1"/>
    <col min="7432" max="7432" width="9.28515625" customWidth="1"/>
    <col min="7433" max="7434" width="9.28515625" bestFit="1" customWidth="1"/>
    <col min="7435" max="7435" width="7.85546875" customWidth="1"/>
    <col min="7436" max="7436" width="9.28515625" bestFit="1" customWidth="1"/>
    <col min="7437" max="7437" width="8" customWidth="1"/>
    <col min="7438" max="7438" width="9.28515625" bestFit="1" customWidth="1"/>
    <col min="7681" max="7681" width="30.42578125" customWidth="1"/>
    <col min="7682" max="7682" width="13.85546875" customWidth="1"/>
    <col min="7683" max="7683" width="9.28515625" bestFit="1" customWidth="1"/>
    <col min="7684" max="7684" width="12.28515625" customWidth="1"/>
    <col min="7685" max="7685" width="14.5703125" customWidth="1"/>
    <col min="7686" max="7686" width="11" customWidth="1"/>
    <col min="7687" max="7687" width="10.5703125" bestFit="1" customWidth="1"/>
    <col min="7688" max="7688" width="9.28515625" customWidth="1"/>
    <col min="7689" max="7690" width="9.28515625" bestFit="1" customWidth="1"/>
    <col min="7691" max="7691" width="7.85546875" customWidth="1"/>
    <col min="7692" max="7692" width="9.28515625" bestFit="1" customWidth="1"/>
    <col min="7693" max="7693" width="8" customWidth="1"/>
    <col min="7694" max="7694" width="9.28515625" bestFit="1" customWidth="1"/>
    <col min="7937" max="7937" width="30.42578125" customWidth="1"/>
    <col min="7938" max="7938" width="13.85546875" customWidth="1"/>
    <col min="7939" max="7939" width="9.28515625" bestFit="1" customWidth="1"/>
    <col min="7940" max="7940" width="12.28515625" customWidth="1"/>
    <col min="7941" max="7941" width="14.5703125" customWidth="1"/>
    <col min="7942" max="7942" width="11" customWidth="1"/>
    <col min="7943" max="7943" width="10.5703125" bestFit="1" customWidth="1"/>
    <col min="7944" max="7944" width="9.28515625" customWidth="1"/>
    <col min="7945" max="7946" width="9.28515625" bestFit="1" customWidth="1"/>
    <col min="7947" max="7947" width="7.85546875" customWidth="1"/>
    <col min="7948" max="7948" width="9.28515625" bestFit="1" customWidth="1"/>
    <col min="7949" max="7949" width="8" customWidth="1"/>
    <col min="7950" max="7950" width="9.28515625" bestFit="1" customWidth="1"/>
    <col min="8193" max="8193" width="30.42578125" customWidth="1"/>
    <col min="8194" max="8194" width="13.85546875" customWidth="1"/>
    <col min="8195" max="8195" width="9.28515625" bestFit="1" customWidth="1"/>
    <col min="8196" max="8196" width="12.28515625" customWidth="1"/>
    <col min="8197" max="8197" width="14.5703125" customWidth="1"/>
    <col min="8198" max="8198" width="11" customWidth="1"/>
    <col min="8199" max="8199" width="10.5703125" bestFit="1" customWidth="1"/>
    <col min="8200" max="8200" width="9.28515625" customWidth="1"/>
    <col min="8201" max="8202" width="9.28515625" bestFit="1" customWidth="1"/>
    <col min="8203" max="8203" width="7.85546875" customWidth="1"/>
    <col min="8204" max="8204" width="9.28515625" bestFit="1" customWidth="1"/>
    <col min="8205" max="8205" width="8" customWidth="1"/>
    <col min="8206" max="8206" width="9.28515625" bestFit="1" customWidth="1"/>
    <col min="8449" max="8449" width="30.42578125" customWidth="1"/>
    <col min="8450" max="8450" width="13.85546875" customWidth="1"/>
    <col min="8451" max="8451" width="9.28515625" bestFit="1" customWidth="1"/>
    <col min="8452" max="8452" width="12.28515625" customWidth="1"/>
    <col min="8453" max="8453" width="14.5703125" customWidth="1"/>
    <col min="8454" max="8454" width="11" customWidth="1"/>
    <col min="8455" max="8455" width="10.5703125" bestFit="1" customWidth="1"/>
    <col min="8456" max="8456" width="9.28515625" customWidth="1"/>
    <col min="8457" max="8458" width="9.28515625" bestFit="1" customWidth="1"/>
    <col min="8459" max="8459" width="7.85546875" customWidth="1"/>
    <col min="8460" max="8460" width="9.28515625" bestFit="1" customWidth="1"/>
    <col min="8461" max="8461" width="8" customWidth="1"/>
    <col min="8462" max="8462" width="9.28515625" bestFit="1" customWidth="1"/>
    <col min="8705" max="8705" width="30.42578125" customWidth="1"/>
    <col min="8706" max="8706" width="13.85546875" customWidth="1"/>
    <col min="8707" max="8707" width="9.28515625" bestFit="1" customWidth="1"/>
    <col min="8708" max="8708" width="12.28515625" customWidth="1"/>
    <col min="8709" max="8709" width="14.5703125" customWidth="1"/>
    <col min="8710" max="8710" width="11" customWidth="1"/>
    <col min="8711" max="8711" width="10.5703125" bestFit="1" customWidth="1"/>
    <col min="8712" max="8712" width="9.28515625" customWidth="1"/>
    <col min="8713" max="8714" width="9.28515625" bestFit="1" customWidth="1"/>
    <col min="8715" max="8715" width="7.85546875" customWidth="1"/>
    <col min="8716" max="8716" width="9.28515625" bestFit="1" customWidth="1"/>
    <col min="8717" max="8717" width="8" customWidth="1"/>
    <col min="8718" max="8718" width="9.28515625" bestFit="1" customWidth="1"/>
    <col min="8961" max="8961" width="30.42578125" customWidth="1"/>
    <col min="8962" max="8962" width="13.85546875" customWidth="1"/>
    <col min="8963" max="8963" width="9.28515625" bestFit="1" customWidth="1"/>
    <col min="8964" max="8964" width="12.28515625" customWidth="1"/>
    <col min="8965" max="8965" width="14.5703125" customWidth="1"/>
    <col min="8966" max="8966" width="11" customWidth="1"/>
    <col min="8967" max="8967" width="10.5703125" bestFit="1" customWidth="1"/>
    <col min="8968" max="8968" width="9.28515625" customWidth="1"/>
    <col min="8969" max="8970" width="9.28515625" bestFit="1" customWidth="1"/>
    <col min="8971" max="8971" width="7.85546875" customWidth="1"/>
    <col min="8972" max="8972" width="9.28515625" bestFit="1" customWidth="1"/>
    <col min="8973" max="8973" width="8" customWidth="1"/>
    <col min="8974" max="8974" width="9.28515625" bestFit="1" customWidth="1"/>
    <col min="9217" max="9217" width="30.42578125" customWidth="1"/>
    <col min="9218" max="9218" width="13.85546875" customWidth="1"/>
    <col min="9219" max="9219" width="9.28515625" bestFit="1" customWidth="1"/>
    <col min="9220" max="9220" width="12.28515625" customWidth="1"/>
    <col min="9221" max="9221" width="14.5703125" customWidth="1"/>
    <col min="9222" max="9222" width="11" customWidth="1"/>
    <col min="9223" max="9223" width="10.5703125" bestFit="1" customWidth="1"/>
    <col min="9224" max="9224" width="9.28515625" customWidth="1"/>
    <col min="9225" max="9226" width="9.28515625" bestFit="1" customWidth="1"/>
    <col min="9227" max="9227" width="7.85546875" customWidth="1"/>
    <col min="9228" max="9228" width="9.28515625" bestFit="1" customWidth="1"/>
    <col min="9229" max="9229" width="8" customWidth="1"/>
    <col min="9230" max="9230" width="9.28515625" bestFit="1" customWidth="1"/>
    <col min="9473" max="9473" width="30.42578125" customWidth="1"/>
    <col min="9474" max="9474" width="13.85546875" customWidth="1"/>
    <col min="9475" max="9475" width="9.28515625" bestFit="1" customWidth="1"/>
    <col min="9476" max="9476" width="12.28515625" customWidth="1"/>
    <col min="9477" max="9477" width="14.5703125" customWidth="1"/>
    <col min="9478" max="9478" width="11" customWidth="1"/>
    <col min="9479" max="9479" width="10.5703125" bestFit="1" customWidth="1"/>
    <col min="9480" max="9480" width="9.28515625" customWidth="1"/>
    <col min="9481" max="9482" width="9.28515625" bestFit="1" customWidth="1"/>
    <col min="9483" max="9483" width="7.85546875" customWidth="1"/>
    <col min="9484" max="9484" width="9.28515625" bestFit="1" customWidth="1"/>
    <col min="9485" max="9485" width="8" customWidth="1"/>
    <col min="9486" max="9486" width="9.28515625" bestFit="1" customWidth="1"/>
    <col min="9729" max="9729" width="30.42578125" customWidth="1"/>
    <col min="9730" max="9730" width="13.85546875" customWidth="1"/>
    <col min="9731" max="9731" width="9.28515625" bestFit="1" customWidth="1"/>
    <col min="9732" max="9732" width="12.28515625" customWidth="1"/>
    <col min="9733" max="9733" width="14.5703125" customWidth="1"/>
    <col min="9734" max="9734" width="11" customWidth="1"/>
    <col min="9735" max="9735" width="10.5703125" bestFit="1" customWidth="1"/>
    <col min="9736" max="9736" width="9.28515625" customWidth="1"/>
    <col min="9737" max="9738" width="9.28515625" bestFit="1" customWidth="1"/>
    <col min="9739" max="9739" width="7.85546875" customWidth="1"/>
    <col min="9740" max="9740" width="9.28515625" bestFit="1" customWidth="1"/>
    <col min="9741" max="9741" width="8" customWidth="1"/>
    <col min="9742" max="9742" width="9.28515625" bestFit="1" customWidth="1"/>
    <col min="9985" max="9985" width="30.42578125" customWidth="1"/>
    <col min="9986" max="9986" width="13.85546875" customWidth="1"/>
    <col min="9987" max="9987" width="9.28515625" bestFit="1" customWidth="1"/>
    <col min="9988" max="9988" width="12.28515625" customWidth="1"/>
    <col min="9989" max="9989" width="14.5703125" customWidth="1"/>
    <col min="9990" max="9990" width="11" customWidth="1"/>
    <col min="9991" max="9991" width="10.5703125" bestFit="1" customWidth="1"/>
    <col min="9992" max="9992" width="9.28515625" customWidth="1"/>
    <col min="9993" max="9994" width="9.28515625" bestFit="1" customWidth="1"/>
    <col min="9995" max="9995" width="7.85546875" customWidth="1"/>
    <col min="9996" max="9996" width="9.28515625" bestFit="1" customWidth="1"/>
    <col min="9997" max="9997" width="8" customWidth="1"/>
    <col min="9998" max="9998" width="9.28515625" bestFit="1" customWidth="1"/>
    <col min="10241" max="10241" width="30.42578125" customWidth="1"/>
    <col min="10242" max="10242" width="13.85546875" customWidth="1"/>
    <col min="10243" max="10243" width="9.28515625" bestFit="1" customWidth="1"/>
    <col min="10244" max="10244" width="12.28515625" customWidth="1"/>
    <col min="10245" max="10245" width="14.5703125" customWidth="1"/>
    <col min="10246" max="10246" width="11" customWidth="1"/>
    <col min="10247" max="10247" width="10.5703125" bestFit="1" customWidth="1"/>
    <col min="10248" max="10248" width="9.28515625" customWidth="1"/>
    <col min="10249" max="10250" width="9.28515625" bestFit="1" customWidth="1"/>
    <col min="10251" max="10251" width="7.85546875" customWidth="1"/>
    <col min="10252" max="10252" width="9.28515625" bestFit="1" customWidth="1"/>
    <col min="10253" max="10253" width="8" customWidth="1"/>
    <col min="10254" max="10254" width="9.28515625" bestFit="1" customWidth="1"/>
    <col min="10497" max="10497" width="30.42578125" customWidth="1"/>
    <col min="10498" max="10498" width="13.85546875" customWidth="1"/>
    <col min="10499" max="10499" width="9.28515625" bestFit="1" customWidth="1"/>
    <col min="10500" max="10500" width="12.28515625" customWidth="1"/>
    <col min="10501" max="10501" width="14.5703125" customWidth="1"/>
    <col min="10502" max="10502" width="11" customWidth="1"/>
    <col min="10503" max="10503" width="10.5703125" bestFit="1" customWidth="1"/>
    <col min="10504" max="10504" width="9.28515625" customWidth="1"/>
    <col min="10505" max="10506" width="9.28515625" bestFit="1" customWidth="1"/>
    <col min="10507" max="10507" width="7.85546875" customWidth="1"/>
    <col min="10508" max="10508" width="9.28515625" bestFit="1" customWidth="1"/>
    <col min="10509" max="10509" width="8" customWidth="1"/>
    <col min="10510" max="10510" width="9.28515625" bestFit="1" customWidth="1"/>
    <col min="10753" max="10753" width="30.42578125" customWidth="1"/>
    <col min="10754" max="10754" width="13.85546875" customWidth="1"/>
    <col min="10755" max="10755" width="9.28515625" bestFit="1" customWidth="1"/>
    <col min="10756" max="10756" width="12.28515625" customWidth="1"/>
    <col min="10757" max="10757" width="14.5703125" customWidth="1"/>
    <col min="10758" max="10758" width="11" customWidth="1"/>
    <col min="10759" max="10759" width="10.5703125" bestFit="1" customWidth="1"/>
    <col min="10760" max="10760" width="9.28515625" customWidth="1"/>
    <col min="10761" max="10762" width="9.28515625" bestFit="1" customWidth="1"/>
    <col min="10763" max="10763" width="7.85546875" customWidth="1"/>
    <col min="10764" max="10764" width="9.28515625" bestFit="1" customWidth="1"/>
    <col min="10765" max="10765" width="8" customWidth="1"/>
    <col min="10766" max="10766" width="9.28515625" bestFit="1" customWidth="1"/>
    <col min="11009" max="11009" width="30.42578125" customWidth="1"/>
    <col min="11010" max="11010" width="13.85546875" customWidth="1"/>
    <col min="11011" max="11011" width="9.28515625" bestFit="1" customWidth="1"/>
    <col min="11012" max="11012" width="12.28515625" customWidth="1"/>
    <col min="11013" max="11013" width="14.5703125" customWidth="1"/>
    <col min="11014" max="11014" width="11" customWidth="1"/>
    <col min="11015" max="11015" width="10.5703125" bestFit="1" customWidth="1"/>
    <col min="11016" max="11016" width="9.28515625" customWidth="1"/>
    <col min="11017" max="11018" width="9.28515625" bestFit="1" customWidth="1"/>
    <col min="11019" max="11019" width="7.85546875" customWidth="1"/>
    <col min="11020" max="11020" width="9.28515625" bestFit="1" customWidth="1"/>
    <col min="11021" max="11021" width="8" customWidth="1"/>
    <col min="11022" max="11022" width="9.28515625" bestFit="1" customWidth="1"/>
    <col min="11265" max="11265" width="30.42578125" customWidth="1"/>
    <col min="11266" max="11266" width="13.85546875" customWidth="1"/>
    <col min="11267" max="11267" width="9.28515625" bestFit="1" customWidth="1"/>
    <col min="11268" max="11268" width="12.28515625" customWidth="1"/>
    <col min="11269" max="11269" width="14.5703125" customWidth="1"/>
    <col min="11270" max="11270" width="11" customWidth="1"/>
    <col min="11271" max="11271" width="10.5703125" bestFit="1" customWidth="1"/>
    <col min="11272" max="11272" width="9.28515625" customWidth="1"/>
    <col min="11273" max="11274" width="9.28515625" bestFit="1" customWidth="1"/>
    <col min="11275" max="11275" width="7.85546875" customWidth="1"/>
    <col min="11276" max="11276" width="9.28515625" bestFit="1" customWidth="1"/>
    <col min="11277" max="11277" width="8" customWidth="1"/>
    <col min="11278" max="11278" width="9.28515625" bestFit="1" customWidth="1"/>
    <col min="11521" max="11521" width="30.42578125" customWidth="1"/>
    <col min="11522" max="11522" width="13.85546875" customWidth="1"/>
    <col min="11523" max="11523" width="9.28515625" bestFit="1" customWidth="1"/>
    <col min="11524" max="11524" width="12.28515625" customWidth="1"/>
    <col min="11525" max="11525" width="14.5703125" customWidth="1"/>
    <col min="11526" max="11526" width="11" customWidth="1"/>
    <col min="11527" max="11527" width="10.5703125" bestFit="1" customWidth="1"/>
    <col min="11528" max="11528" width="9.28515625" customWidth="1"/>
    <col min="11529" max="11530" width="9.28515625" bestFit="1" customWidth="1"/>
    <col min="11531" max="11531" width="7.85546875" customWidth="1"/>
    <col min="11532" max="11532" width="9.28515625" bestFit="1" customWidth="1"/>
    <col min="11533" max="11533" width="8" customWidth="1"/>
    <col min="11534" max="11534" width="9.28515625" bestFit="1" customWidth="1"/>
    <col min="11777" max="11777" width="30.42578125" customWidth="1"/>
    <col min="11778" max="11778" width="13.85546875" customWidth="1"/>
    <col min="11779" max="11779" width="9.28515625" bestFit="1" customWidth="1"/>
    <col min="11780" max="11780" width="12.28515625" customWidth="1"/>
    <col min="11781" max="11781" width="14.5703125" customWidth="1"/>
    <col min="11782" max="11782" width="11" customWidth="1"/>
    <col min="11783" max="11783" width="10.5703125" bestFit="1" customWidth="1"/>
    <col min="11784" max="11784" width="9.28515625" customWidth="1"/>
    <col min="11785" max="11786" width="9.28515625" bestFit="1" customWidth="1"/>
    <col min="11787" max="11787" width="7.85546875" customWidth="1"/>
    <col min="11788" max="11788" width="9.28515625" bestFit="1" customWidth="1"/>
    <col min="11789" max="11789" width="8" customWidth="1"/>
    <col min="11790" max="11790" width="9.28515625" bestFit="1" customWidth="1"/>
    <col min="12033" max="12033" width="30.42578125" customWidth="1"/>
    <col min="12034" max="12034" width="13.85546875" customWidth="1"/>
    <col min="12035" max="12035" width="9.28515625" bestFit="1" customWidth="1"/>
    <col min="12036" max="12036" width="12.28515625" customWidth="1"/>
    <col min="12037" max="12037" width="14.5703125" customWidth="1"/>
    <col min="12038" max="12038" width="11" customWidth="1"/>
    <col min="12039" max="12039" width="10.5703125" bestFit="1" customWidth="1"/>
    <col min="12040" max="12040" width="9.28515625" customWidth="1"/>
    <col min="12041" max="12042" width="9.28515625" bestFit="1" customWidth="1"/>
    <col min="12043" max="12043" width="7.85546875" customWidth="1"/>
    <col min="12044" max="12044" width="9.28515625" bestFit="1" customWidth="1"/>
    <col min="12045" max="12045" width="8" customWidth="1"/>
    <col min="12046" max="12046" width="9.28515625" bestFit="1" customWidth="1"/>
    <col min="12289" max="12289" width="30.42578125" customWidth="1"/>
    <col min="12290" max="12290" width="13.85546875" customWidth="1"/>
    <col min="12291" max="12291" width="9.28515625" bestFit="1" customWidth="1"/>
    <col min="12292" max="12292" width="12.28515625" customWidth="1"/>
    <col min="12293" max="12293" width="14.5703125" customWidth="1"/>
    <col min="12294" max="12294" width="11" customWidth="1"/>
    <col min="12295" max="12295" width="10.5703125" bestFit="1" customWidth="1"/>
    <col min="12296" max="12296" width="9.28515625" customWidth="1"/>
    <col min="12297" max="12298" width="9.28515625" bestFit="1" customWidth="1"/>
    <col min="12299" max="12299" width="7.85546875" customWidth="1"/>
    <col min="12300" max="12300" width="9.28515625" bestFit="1" customWidth="1"/>
    <col min="12301" max="12301" width="8" customWidth="1"/>
    <col min="12302" max="12302" width="9.28515625" bestFit="1" customWidth="1"/>
    <col min="12545" max="12545" width="30.42578125" customWidth="1"/>
    <col min="12546" max="12546" width="13.85546875" customWidth="1"/>
    <col min="12547" max="12547" width="9.28515625" bestFit="1" customWidth="1"/>
    <col min="12548" max="12548" width="12.28515625" customWidth="1"/>
    <col min="12549" max="12549" width="14.5703125" customWidth="1"/>
    <col min="12550" max="12550" width="11" customWidth="1"/>
    <col min="12551" max="12551" width="10.5703125" bestFit="1" customWidth="1"/>
    <col min="12552" max="12552" width="9.28515625" customWidth="1"/>
    <col min="12553" max="12554" width="9.28515625" bestFit="1" customWidth="1"/>
    <col min="12555" max="12555" width="7.85546875" customWidth="1"/>
    <col min="12556" max="12556" width="9.28515625" bestFit="1" customWidth="1"/>
    <col min="12557" max="12557" width="8" customWidth="1"/>
    <col min="12558" max="12558" width="9.28515625" bestFit="1" customWidth="1"/>
    <col min="12801" max="12801" width="30.42578125" customWidth="1"/>
    <col min="12802" max="12802" width="13.85546875" customWidth="1"/>
    <col min="12803" max="12803" width="9.28515625" bestFit="1" customWidth="1"/>
    <col min="12804" max="12804" width="12.28515625" customWidth="1"/>
    <col min="12805" max="12805" width="14.5703125" customWidth="1"/>
    <col min="12806" max="12806" width="11" customWidth="1"/>
    <col min="12807" max="12807" width="10.5703125" bestFit="1" customWidth="1"/>
    <col min="12808" max="12808" width="9.28515625" customWidth="1"/>
    <col min="12809" max="12810" width="9.28515625" bestFit="1" customWidth="1"/>
    <col min="12811" max="12811" width="7.85546875" customWidth="1"/>
    <col min="12812" max="12812" width="9.28515625" bestFit="1" customWidth="1"/>
    <col min="12813" max="12813" width="8" customWidth="1"/>
    <col min="12814" max="12814" width="9.28515625" bestFit="1" customWidth="1"/>
    <col min="13057" max="13057" width="30.42578125" customWidth="1"/>
    <col min="13058" max="13058" width="13.85546875" customWidth="1"/>
    <col min="13059" max="13059" width="9.28515625" bestFit="1" customWidth="1"/>
    <col min="13060" max="13060" width="12.28515625" customWidth="1"/>
    <col min="13061" max="13061" width="14.5703125" customWidth="1"/>
    <col min="13062" max="13062" width="11" customWidth="1"/>
    <col min="13063" max="13063" width="10.5703125" bestFit="1" customWidth="1"/>
    <col min="13064" max="13064" width="9.28515625" customWidth="1"/>
    <col min="13065" max="13066" width="9.28515625" bestFit="1" customWidth="1"/>
    <col min="13067" max="13067" width="7.85546875" customWidth="1"/>
    <col min="13068" max="13068" width="9.28515625" bestFit="1" customWidth="1"/>
    <col min="13069" max="13069" width="8" customWidth="1"/>
    <col min="13070" max="13070" width="9.28515625" bestFit="1" customWidth="1"/>
    <col min="13313" max="13313" width="30.42578125" customWidth="1"/>
    <col min="13314" max="13314" width="13.85546875" customWidth="1"/>
    <col min="13315" max="13315" width="9.28515625" bestFit="1" customWidth="1"/>
    <col min="13316" max="13316" width="12.28515625" customWidth="1"/>
    <col min="13317" max="13317" width="14.5703125" customWidth="1"/>
    <col min="13318" max="13318" width="11" customWidth="1"/>
    <col min="13319" max="13319" width="10.5703125" bestFit="1" customWidth="1"/>
    <col min="13320" max="13320" width="9.28515625" customWidth="1"/>
    <col min="13321" max="13322" width="9.28515625" bestFit="1" customWidth="1"/>
    <col min="13323" max="13323" width="7.85546875" customWidth="1"/>
    <col min="13324" max="13324" width="9.28515625" bestFit="1" customWidth="1"/>
    <col min="13325" max="13325" width="8" customWidth="1"/>
    <col min="13326" max="13326" width="9.28515625" bestFit="1" customWidth="1"/>
    <col min="13569" max="13569" width="30.42578125" customWidth="1"/>
    <col min="13570" max="13570" width="13.85546875" customWidth="1"/>
    <col min="13571" max="13571" width="9.28515625" bestFit="1" customWidth="1"/>
    <col min="13572" max="13572" width="12.28515625" customWidth="1"/>
    <col min="13573" max="13573" width="14.5703125" customWidth="1"/>
    <col min="13574" max="13574" width="11" customWidth="1"/>
    <col min="13575" max="13575" width="10.5703125" bestFit="1" customWidth="1"/>
    <col min="13576" max="13576" width="9.28515625" customWidth="1"/>
    <col min="13577" max="13578" width="9.28515625" bestFit="1" customWidth="1"/>
    <col min="13579" max="13579" width="7.85546875" customWidth="1"/>
    <col min="13580" max="13580" width="9.28515625" bestFit="1" customWidth="1"/>
    <col min="13581" max="13581" width="8" customWidth="1"/>
    <col min="13582" max="13582" width="9.28515625" bestFit="1" customWidth="1"/>
    <col min="13825" max="13825" width="30.42578125" customWidth="1"/>
    <col min="13826" max="13826" width="13.85546875" customWidth="1"/>
    <col min="13827" max="13827" width="9.28515625" bestFit="1" customWidth="1"/>
    <col min="13828" max="13828" width="12.28515625" customWidth="1"/>
    <col min="13829" max="13829" width="14.5703125" customWidth="1"/>
    <col min="13830" max="13830" width="11" customWidth="1"/>
    <col min="13831" max="13831" width="10.5703125" bestFit="1" customWidth="1"/>
    <col min="13832" max="13832" width="9.28515625" customWidth="1"/>
    <col min="13833" max="13834" width="9.28515625" bestFit="1" customWidth="1"/>
    <col min="13835" max="13835" width="7.85546875" customWidth="1"/>
    <col min="13836" max="13836" width="9.28515625" bestFit="1" customWidth="1"/>
    <col min="13837" max="13837" width="8" customWidth="1"/>
    <col min="13838" max="13838" width="9.28515625" bestFit="1" customWidth="1"/>
    <col min="14081" max="14081" width="30.42578125" customWidth="1"/>
    <col min="14082" max="14082" width="13.85546875" customWidth="1"/>
    <col min="14083" max="14083" width="9.28515625" bestFit="1" customWidth="1"/>
    <col min="14084" max="14084" width="12.28515625" customWidth="1"/>
    <col min="14085" max="14085" width="14.5703125" customWidth="1"/>
    <col min="14086" max="14086" width="11" customWidth="1"/>
    <col min="14087" max="14087" width="10.5703125" bestFit="1" customWidth="1"/>
    <col min="14088" max="14088" width="9.28515625" customWidth="1"/>
    <col min="14089" max="14090" width="9.28515625" bestFit="1" customWidth="1"/>
    <col min="14091" max="14091" width="7.85546875" customWidth="1"/>
    <col min="14092" max="14092" width="9.28515625" bestFit="1" customWidth="1"/>
    <col min="14093" max="14093" width="8" customWidth="1"/>
    <col min="14094" max="14094" width="9.28515625" bestFit="1" customWidth="1"/>
    <col min="14337" max="14337" width="30.42578125" customWidth="1"/>
    <col min="14338" max="14338" width="13.85546875" customWidth="1"/>
    <col min="14339" max="14339" width="9.28515625" bestFit="1" customWidth="1"/>
    <col min="14340" max="14340" width="12.28515625" customWidth="1"/>
    <col min="14341" max="14341" width="14.5703125" customWidth="1"/>
    <col min="14342" max="14342" width="11" customWidth="1"/>
    <col min="14343" max="14343" width="10.5703125" bestFit="1" customWidth="1"/>
    <col min="14344" max="14344" width="9.28515625" customWidth="1"/>
    <col min="14345" max="14346" width="9.28515625" bestFit="1" customWidth="1"/>
    <col min="14347" max="14347" width="7.85546875" customWidth="1"/>
    <col min="14348" max="14348" width="9.28515625" bestFit="1" customWidth="1"/>
    <col min="14349" max="14349" width="8" customWidth="1"/>
    <col min="14350" max="14350" width="9.28515625" bestFit="1" customWidth="1"/>
    <col min="14593" max="14593" width="30.42578125" customWidth="1"/>
    <col min="14594" max="14594" width="13.85546875" customWidth="1"/>
    <col min="14595" max="14595" width="9.28515625" bestFit="1" customWidth="1"/>
    <col min="14596" max="14596" width="12.28515625" customWidth="1"/>
    <col min="14597" max="14597" width="14.5703125" customWidth="1"/>
    <col min="14598" max="14598" width="11" customWidth="1"/>
    <col min="14599" max="14599" width="10.5703125" bestFit="1" customWidth="1"/>
    <col min="14600" max="14600" width="9.28515625" customWidth="1"/>
    <col min="14601" max="14602" width="9.28515625" bestFit="1" customWidth="1"/>
    <col min="14603" max="14603" width="7.85546875" customWidth="1"/>
    <col min="14604" max="14604" width="9.28515625" bestFit="1" customWidth="1"/>
    <col min="14605" max="14605" width="8" customWidth="1"/>
    <col min="14606" max="14606" width="9.28515625" bestFit="1" customWidth="1"/>
    <col min="14849" max="14849" width="30.42578125" customWidth="1"/>
    <col min="14850" max="14850" width="13.85546875" customWidth="1"/>
    <col min="14851" max="14851" width="9.28515625" bestFit="1" customWidth="1"/>
    <col min="14852" max="14852" width="12.28515625" customWidth="1"/>
    <col min="14853" max="14853" width="14.5703125" customWidth="1"/>
    <col min="14854" max="14854" width="11" customWidth="1"/>
    <col min="14855" max="14855" width="10.5703125" bestFit="1" customWidth="1"/>
    <col min="14856" max="14856" width="9.28515625" customWidth="1"/>
    <col min="14857" max="14858" width="9.28515625" bestFit="1" customWidth="1"/>
    <col min="14859" max="14859" width="7.85546875" customWidth="1"/>
    <col min="14860" max="14860" width="9.28515625" bestFit="1" customWidth="1"/>
    <col min="14861" max="14861" width="8" customWidth="1"/>
    <col min="14862" max="14862" width="9.28515625" bestFit="1" customWidth="1"/>
    <col min="15105" max="15105" width="30.42578125" customWidth="1"/>
    <col min="15106" max="15106" width="13.85546875" customWidth="1"/>
    <col min="15107" max="15107" width="9.28515625" bestFit="1" customWidth="1"/>
    <col min="15108" max="15108" width="12.28515625" customWidth="1"/>
    <col min="15109" max="15109" width="14.5703125" customWidth="1"/>
    <col min="15110" max="15110" width="11" customWidth="1"/>
    <col min="15111" max="15111" width="10.5703125" bestFit="1" customWidth="1"/>
    <col min="15112" max="15112" width="9.28515625" customWidth="1"/>
    <col min="15113" max="15114" width="9.28515625" bestFit="1" customWidth="1"/>
    <col min="15115" max="15115" width="7.85546875" customWidth="1"/>
    <col min="15116" max="15116" width="9.28515625" bestFit="1" customWidth="1"/>
    <col min="15117" max="15117" width="8" customWidth="1"/>
    <col min="15118" max="15118" width="9.28515625" bestFit="1" customWidth="1"/>
    <col min="15361" max="15361" width="30.42578125" customWidth="1"/>
    <col min="15362" max="15362" width="13.85546875" customWidth="1"/>
    <col min="15363" max="15363" width="9.28515625" bestFit="1" customWidth="1"/>
    <col min="15364" max="15364" width="12.28515625" customWidth="1"/>
    <col min="15365" max="15365" width="14.5703125" customWidth="1"/>
    <col min="15366" max="15366" width="11" customWidth="1"/>
    <col min="15367" max="15367" width="10.5703125" bestFit="1" customWidth="1"/>
    <col min="15368" max="15368" width="9.28515625" customWidth="1"/>
    <col min="15369" max="15370" width="9.28515625" bestFit="1" customWidth="1"/>
    <col min="15371" max="15371" width="7.85546875" customWidth="1"/>
    <col min="15372" max="15372" width="9.28515625" bestFit="1" customWidth="1"/>
    <col min="15373" max="15373" width="8" customWidth="1"/>
    <col min="15374" max="15374" width="9.28515625" bestFit="1" customWidth="1"/>
    <col min="15617" max="15617" width="30.42578125" customWidth="1"/>
    <col min="15618" max="15618" width="13.85546875" customWidth="1"/>
    <col min="15619" max="15619" width="9.28515625" bestFit="1" customWidth="1"/>
    <col min="15620" max="15620" width="12.28515625" customWidth="1"/>
    <col min="15621" max="15621" width="14.5703125" customWidth="1"/>
    <col min="15622" max="15622" width="11" customWidth="1"/>
    <col min="15623" max="15623" width="10.5703125" bestFit="1" customWidth="1"/>
    <col min="15624" max="15624" width="9.28515625" customWidth="1"/>
    <col min="15625" max="15626" width="9.28515625" bestFit="1" customWidth="1"/>
    <col min="15627" max="15627" width="7.85546875" customWidth="1"/>
    <col min="15628" max="15628" width="9.28515625" bestFit="1" customWidth="1"/>
    <col min="15629" max="15629" width="8" customWidth="1"/>
    <col min="15630" max="15630" width="9.28515625" bestFit="1" customWidth="1"/>
    <col min="15873" max="15873" width="30.42578125" customWidth="1"/>
    <col min="15874" max="15874" width="13.85546875" customWidth="1"/>
    <col min="15875" max="15875" width="9.28515625" bestFit="1" customWidth="1"/>
    <col min="15876" max="15876" width="12.28515625" customWidth="1"/>
    <col min="15877" max="15877" width="14.5703125" customWidth="1"/>
    <col min="15878" max="15878" width="11" customWidth="1"/>
    <col min="15879" max="15879" width="10.5703125" bestFit="1" customWidth="1"/>
    <col min="15880" max="15880" width="9.28515625" customWidth="1"/>
    <col min="15881" max="15882" width="9.28515625" bestFit="1" customWidth="1"/>
    <col min="15883" max="15883" width="7.85546875" customWidth="1"/>
    <col min="15884" max="15884" width="9.28515625" bestFit="1" customWidth="1"/>
    <col min="15885" max="15885" width="8" customWidth="1"/>
    <col min="15886" max="15886" width="9.28515625" bestFit="1" customWidth="1"/>
    <col min="16129" max="16129" width="30.42578125" customWidth="1"/>
    <col min="16130" max="16130" width="13.85546875" customWidth="1"/>
    <col min="16131" max="16131" width="9.28515625" bestFit="1" customWidth="1"/>
    <col min="16132" max="16132" width="12.28515625" customWidth="1"/>
    <col min="16133" max="16133" width="14.5703125" customWidth="1"/>
    <col min="16134" max="16134" width="11" customWidth="1"/>
    <col min="16135" max="16135" width="10.5703125" bestFit="1" customWidth="1"/>
    <col min="16136" max="16136" width="9.28515625" customWidth="1"/>
    <col min="16137" max="16138" width="9.28515625" bestFit="1" customWidth="1"/>
    <col min="16139" max="16139" width="7.85546875" customWidth="1"/>
    <col min="16140" max="16140" width="9.28515625" bestFit="1" customWidth="1"/>
    <col min="16141" max="16141" width="8" customWidth="1"/>
    <col min="16142" max="16142" width="9.28515625" bestFit="1" customWidth="1"/>
  </cols>
  <sheetData>
    <row r="1" spans="1:14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</row>
    <row r="2" spans="1:14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</row>
    <row r="4" spans="1:14">
      <c r="A4" s="46" t="s">
        <v>828</v>
      </c>
      <c r="B4" s="854" t="s">
        <v>5621</v>
      </c>
      <c r="C4" s="854"/>
      <c r="D4" s="854"/>
      <c r="E4" s="854" t="s">
        <v>830</v>
      </c>
      <c r="F4" s="854"/>
      <c r="G4" s="854" t="s">
        <v>5674</v>
      </c>
      <c r="H4" s="854"/>
      <c r="I4" s="46" t="s">
        <v>5</v>
      </c>
      <c r="J4" s="46"/>
      <c r="K4" s="47">
        <v>532.31100000000004</v>
      </c>
      <c r="L4" s="46" t="s">
        <v>831</v>
      </c>
      <c r="M4" s="46"/>
      <c r="N4" s="47">
        <v>80</v>
      </c>
    </row>
    <row r="5" spans="1:14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54" t="s">
        <v>5622</v>
      </c>
      <c r="C6" s="854"/>
      <c r="D6" s="854"/>
      <c r="E6" s="854" t="s">
        <v>176</v>
      </c>
      <c r="F6" s="854"/>
      <c r="G6" s="854" t="s">
        <v>5623</v>
      </c>
      <c r="H6" s="854"/>
      <c r="I6" s="854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 ht="23.25" customHeight="1">
      <c r="A8" s="46" t="s">
        <v>835</v>
      </c>
      <c r="B8" s="854" t="s">
        <v>5622</v>
      </c>
      <c r="C8" s="854"/>
      <c r="D8" s="854"/>
      <c r="E8" s="967" t="s">
        <v>5519</v>
      </c>
      <c r="F8" s="940"/>
      <c r="G8" s="854" t="s">
        <v>5624</v>
      </c>
      <c r="H8" s="854"/>
      <c r="I8" s="854"/>
      <c r="J8" s="854"/>
      <c r="K8" s="854"/>
      <c r="L8" s="46"/>
      <c r="M8" s="46"/>
      <c r="N8" s="46"/>
    </row>
    <row r="9" spans="1:14">
      <c r="A9" s="46"/>
      <c r="B9" s="46"/>
      <c r="C9" s="46"/>
      <c r="D9" s="46"/>
      <c r="E9" s="46"/>
      <c r="F9" s="46"/>
      <c r="G9" s="48"/>
      <c r="H9" s="48"/>
      <c r="I9" s="48"/>
      <c r="J9" s="48"/>
      <c r="K9" s="48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47" t="s">
        <v>838</v>
      </c>
      <c r="B11" s="854" t="s">
        <v>5625</v>
      </c>
      <c r="C11" s="854"/>
      <c r="D11" s="854" t="s">
        <v>5626</v>
      </c>
      <c r="E11" s="854"/>
      <c r="F11" s="854"/>
      <c r="G11" s="854" t="s">
        <v>3620</v>
      </c>
      <c r="H11" s="854"/>
      <c r="I11" s="854"/>
      <c r="J11" s="854"/>
      <c r="K11" s="854"/>
      <c r="L11" s="854"/>
      <c r="M11" s="854"/>
      <c r="N11" s="46"/>
    </row>
    <row r="12" spans="1:14">
      <c r="A12" s="47" t="s">
        <v>840</v>
      </c>
      <c r="B12" s="854" t="s">
        <v>5627</v>
      </c>
      <c r="C12" s="854"/>
      <c r="D12" s="854" t="s">
        <v>5628</v>
      </c>
      <c r="E12" s="854"/>
      <c r="F12" s="854"/>
      <c r="G12" s="854" t="s">
        <v>5629</v>
      </c>
      <c r="H12" s="854"/>
      <c r="I12" s="854"/>
      <c r="J12" s="854"/>
      <c r="K12" s="854"/>
      <c r="L12" s="854"/>
      <c r="M12" s="854"/>
      <c r="N12" s="46"/>
    </row>
    <row r="13" spans="1:14" ht="21.75" customHeight="1">
      <c r="A13" s="47" t="s">
        <v>844</v>
      </c>
      <c r="B13" s="1155" t="s">
        <v>5630</v>
      </c>
      <c r="C13" s="917"/>
      <c r="D13" s="1155" t="s">
        <v>5631</v>
      </c>
      <c r="E13" s="1156"/>
      <c r="F13" s="917"/>
      <c r="G13" s="854" t="s">
        <v>5632</v>
      </c>
      <c r="H13" s="854"/>
      <c r="I13" s="854"/>
      <c r="J13" s="854"/>
      <c r="K13" s="854"/>
      <c r="L13" s="854"/>
      <c r="M13" s="854"/>
      <c r="N13" s="46"/>
    </row>
    <row r="14" spans="1:14">
      <c r="A14" s="47" t="s">
        <v>850</v>
      </c>
      <c r="B14" s="854"/>
      <c r="C14" s="854"/>
      <c r="D14" s="854"/>
      <c r="E14" s="854"/>
      <c r="F14" s="854"/>
      <c r="G14" s="854"/>
      <c r="H14" s="854"/>
      <c r="I14" s="854"/>
      <c r="J14" s="854"/>
      <c r="K14" s="854"/>
      <c r="L14" s="854"/>
      <c r="M14" s="854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 t="s">
        <v>852</v>
      </c>
      <c r="B16" s="47">
        <v>3</v>
      </c>
      <c r="C16" s="46" t="s">
        <v>853</v>
      </c>
      <c r="D16" s="46"/>
      <c r="E16" s="522">
        <v>3</v>
      </c>
      <c r="G16" s="46" t="s">
        <v>643</v>
      </c>
      <c r="H16" s="522">
        <v>4</v>
      </c>
      <c r="I16" s="46" t="s">
        <v>644</v>
      </c>
      <c r="J16" s="47">
        <v>2</v>
      </c>
      <c r="K16" s="46" t="s">
        <v>645</v>
      </c>
      <c r="L16" s="47"/>
      <c r="M16" s="46"/>
      <c r="N16" s="46"/>
    </row>
    <row r="17" spans="1:14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>
      <c r="A19" s="46" t="s">
        <v>854</v>
      </c>
      <c r="B19" s="46" t="s">
        <v>204</v>
      </c>
      <c r="C19" s="47">
        <v>128</v>
      </c>
      <c r="D19" s="46" t="s">
        <v>205</v>
      </c>
      <c r="E19" s="47"/>
      <c r="F19" s="49" t="s">
        <v>206</v>
      </c>
      <c r="G19" s="47"/>
      <c r="H19" s="46" t="s">
        <v>230</v>
      </c>
      <c r="I19" s="47">
        <v>128</v>
      </c>
      <c r="J19" s="46" t="s">
        <v>207</v>
      </c>
      <c r="K19" s="47">
        <v>34</v>
      </c>
      <c r="L19" s="46" t="s">
        <v>855</v>
      </c>
      <c r="M19" s="46"/>
      <c r="N19" s="47"/>
    </row>
    <row r="20" spans="1:14">
      <c r="A20" s="46" t="s">
        <v>209</v>
      </c>
      <c r="B20" s="46" t="s">
        <v>210</v>
      </c>
      <c r="C20" s="47">
        <v>263</v>
      </c>
      <c r="D20" s="46" t="s">
        <v>211</v>
      </c>
      <c r="E20" s="47"/>
      <c r="F20" s="49" t="s">
        <v>212</v>
      </c>
      <c r="G20" s="47"/>
      <c r="H20" s="46" t="s">
        <v>411</v>
      </c>
      <c r="I20" s="47">
        <v>263</v>
      </c>
      <c r="J20" s="46"/>
      <c r="K20" s="46"/>
      <c r="L20" s="46"/>
      <c r="M20" s="46"/>
      <c r="N20" s="46"/>
    </row>
    <row r="21" spans="1:14">
      <c r="A21" s="46"/>
      <c r="B21" s="46" t="s">
        <v>858</v>
      </c>
      <c r="C21" s="47">
        <v>282</v>
      </c>
      <c r="D21" s="46" t="s">
        <v>214</v>
      </c>
      <c r="E21" s="47"/>
      <c r="F21" s="46" t="s">
        <v>215</v>
      </c>
      <c r="G21" s="47"/>
      <c r="H21" s="46" t="s">
        <v>410</v>
      </c>
      <c r="I21" s="47">
        <v>282</v>
      </c>
      <c r="J21" s="46"/>
      <c r="K21" s="46"/>
      <c r="L21" s="46"/>
      <c r="M21" s="46"/>
      <c r="N21" s="46"/>
    </row>
    <row r="22" spans="1:14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4">
      <c r="A23" s="50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 ht="30" customHeight="1">
      <c r="A24" s="1154" t="s">
        <v>861</v>
      </c>
      <c r="B24" s="988" t="s">
        <v>5532</v>
      </c>
      <c r="C24" s="988" t="s">
        <v>219</v>
      </c>
      <c r="D24" s="988" t="s">
        <v>863</v>
      </c>
      <c r="E24" s="988" t="s">
        <v>864</v>
      </c>
      <c r="F24" s="854" t="s">
        <v>865</v>
      </c>
      <c r="G24" s="854"/>
      <c r="H24" s="854"/>
      <c r="I24" s="854"/>
      <c r="J24" s="854"/>
      <c r="K24" s="854"/>
      <c r="L24" s="854"/>
      <c r="M24" s="854"/>
      <c r="N24" s="854"/>
    </row>
    <row r="25" spans="1:14" ht="15" customHeight="1">
      <c r="A25" s="1154"/>
      <c r="B25" s="988"/>
      <c r="C25" s="988"/>
      <c r="D25" s="988"/>
      <c r="E25" s="988"/>
      <c r="F25" s="47" t="s">
        <v>1179</v>
      </c>
      <c r="G25" s="47" t="s">
        <v>1178</v>
      </c>
      <c r="H25" s="47">
        <v>3</v>
      </c>
      <c r="I25" s="47">
        <v>4</v>
      </c>
      <c r="J25" s="47">
        <v>5</v>
      </c>
      <c r="K25" s="47">
        <v>6</v>
      </c>
      <c r="L25" s="47">
        <v>7</v>
      </c>
      <c r="M25" s="47" t="s">
        <v>230</v>
      </c>
      <c r="N25" s="47" t="s">
        <v>662</v>
      </c>
    </row>
    <row r="26" spans="1:14">
      <c r="A26" s="491" t="s">
        <v>232</v>
      </c>
      <c r="B26" s="491">
        <v>8000</v>
      </c>
      <c r="C26" s="503" t="s">
        <v>873</v>
      </c>
      <c r="D26" s="493">
        <f>+B26*K4/100000</f>
        <v>42.584879999999998</v>
      </c>
      <c r="E26" s="494">
        <f>1380000/100000</f>
        <v>13.8</v>
      </c>
      <c r="F26" s="495">
        <f>259420/100000</f>
        <v>2.5941999999999998</v>
      </c>
      <c r="G26" s="495">
        <f>723270/100000</f>
        <v>7.2327000000000004</v>
      </c>
      <c r="H26" s="495"/>
      <c r="I26" s="495"/>
      <c r="J26" s="495"/>
      <c r="K26" s="495"/>
      <c r="L26" s="495"/>
      <c r="M26" s="494">
        <f>+F26+G26</f>
        <v>9.8269000000000002</v>
      </c>
      <c r="N26" s="495">
        <f>+M26*100/E26</f>
        <v>71.209420289855075</v>
      </c>
    </row>
    <row r="27" spans="1:14">
      <c r="A27" s="491" t="s">
        <v>874</v>
      </c>
      <c r="B27" s="491">
        <v>7000</v>
      </c>
      <c r="C27" s="491" t="s">
        <v>873</v>
      </c>
      <c r="D27" s="495">
        <f>+B27*80/100000</f>
        <v>5.6</v>
      </c>
      <c r="E27" s="495">
        <v>0</v>
      </c>
      <c r="F27" s="495">
        <v>0</v>
      </c>
      <c r="G27" s="495">
        <v>0</v>
      </c>
      <c r="H27" s="495"/>
      <c r="I27" s="495"/>
      <c r="J27" s="495"/>
      <c r="K27" s="495"/>
      <c r="L27" s="495"/>
      <c r="M27" s="495">
        <f t="shared" ref="M27:M34" si="0">+F27+G27</f>
        <v>0</v>
      </c>
      <c r="N27" s="495">
        <v>0</v>
      </c>
    </row>
    <row r="28" spans="1:14">
      <c r="A28" s="491" t="s">
        <v>235</v>
      </c>
      <c r="B28" s="491">
        <v>43000</v>
      </c>
      <c r="C28" s="491" t="s">
        <v>5388</v>
      </c>
      <c r="D28" s="495">
        <v>0.43</v>
      </c>
      <c r="E28" s="494">
        <f>35000/100000</f>
        <v>0.35</v>
      </c>
      <c r="F28" s="495">
        <f>5440/100000</f>
        <v>5.4399999999999997E-2</v>
      </c>
      <c r="G28" s="495">
        <f>12560/100000</f>
        <v>0.12559999999999999</v>
      </c>
      <c r="H28" s="495"/>
      <c r="I28" s="495"/>
      <c r="J28" s="495"/>
      <c r="K28" s="495"/>
      <c r="L28" s="495"/>
      <c r="M28" s="494">
        <f t="shared" si="0"/>
        <v>0.18</v>
      </c>
      <c r="N28" s="495">
        <f t="shared" ref="N28:N35" si="1">+M28*100/E28</f>
        <v>51.428571428571431</v>
      </c>
    </row>
    <row r="29" spans="1:14">
      <c r="A29" s="491" t="s">
        <v>875</v>
      </c>
      <c r="B29" s="491">
        <v>34000</v>
      </c>
      <c r="C29" s="491" t="s">
        <v>5388</v>
      </c>
      <c r="D29" s="495">
        <v>0.34</v>
      </c>
      <c r="E29" s="494">
        <f>16000/100000</f>
        <v>0.16</v>
      </c>
      <c r="F29" s="495">
        <f>16000/100000</f>
        <v>0.16</v>
      </c>
      <c r="G29" s="495">
        <v>0</v>
      </c>
      <c r="H29" s="495"/>
      <c r="I29" s="495"/>
      <c r="J29" s="495"/>
      <c r="K29" s="495"/>
      <c r="L29" s="495"/>
      <c r="M29" s="494">
        <f t="shared" si="0"/>
        <v>0.16</v>
      </c>
      <c r="N29" s="495">
        <f t="shared" si="1"/>
        <v>100</v>
      </c>
    </row>
    <row r="30" spans="1:14">
      <c r="A30" s="491" t="s">
        <v>238</v>
      </c>
      <c r="B30" s="491">
        <v>1200</v>
      </c>
      <c r="C30" s="491" t="s">
        <v>873</v>
      </c>
      <c r="D30" s="495">
        <f>+B30*K4/100000</f>
        <v>6.3877320000000006</v>
      </c>
      <c r="E30" s="494">
        <f>200000/100000</f>
        <v>2</v>
      </c>
      <c r="F30" s="495">
        <v>0</v>
      </c>
      <c r="G30" s="495">
        <f>50000/100000</f>
        <v>0.5</v>
      </c>
      <c r="H30" s="495"/>
      <c r="I30" s="495"/>
      <c r="J30" s="495"/>
      <c r="K30" s="495"/>
      <c r="L30" s="495"/>
      <c r="M30" s="494">
        <f t="shared" si="0"/>
        <v>0.5</v>
      </c>
      <c r="N30" s="495">
        <f t="shared" si="1"/>
        <v>25</v>
      </c>
    </row>
    <row r="31" spans="1:14">
      <c r="A31" s="491" t="s">
        <v>667</v>
      </c>
      <c r="B31" s="491">
        <v>565</v>
      </c>
      <c r="C31" s="491" t="s">
        <v>873</v>
      </c>
      <c r="D31" s="495">
        <f>+B31*K4/100000</f>
        <v>3.0075571500000002</v>
      </c>
      <c r="E31" s="494">
        <f>300750/100000</f>
        <v>3.0074999999999998</v>
      </c>
      <c r="F31" s="495">
        <f>300750/100000</f>
        <v>3.0074999999999998</v>
      </c>
      <c r="G31" s="495">
        <v>0</v>
      </c>
      <c r="H31" s="495"/>
      <c r="I31" s="495"/>
      <c r="J31" s="495"/>
      <c r="K31" s="495"/>
      <c r="L31" s="495"/>
      <c r="M31" s="494">
        <f t="shared" si="0"/>
        <v>3.0074999999999998</v>
      </c>
      <c r="N31" s="495">
        <f t="shared" si="1"/>
        <v>100</v>
      </c>
    </row>
    <row r="32" spans="1:14">
      <c r="A32" s="491" t="s">
        <v>876</v>
      </c>
      <c r="B32" s="491">
        <v>1000</v>
      </c>
      <c r="C32" s="491" t="s">
        <v>873</v>
      </c>
      <c r="D32" s="495">
        <f>+B32*K4/100000</f>
        <v>5.3231099999999998</v>
      </c>
      <c r="E32" s="495">
        <v>0</v>
      </c>
      <c r="F32" s="495">
        <v>0</v>
      </c>
      <c r="G32" s="495">
        <v>0</v>
      </c>
      <c r="H32" s="495"/>
      <c r="I32" s="495"/>
      <c r="J32" s="495"/>
      <c r="K32" s="495"/>
      <c r="L32" s="495"/>
      <c r="M32" s="495">
        <f t="shared" si="0"/>
        <v>0</v>
      </c>
      <c r="N32" s="495">
        <v>0</v>
      </c>
    </row>
    <row r="33" spans="1:14">
      <c r="A33" s="491" t="s">
        <v>394</v>
      </c>
      <c r="B33" s="491">
        <v>2750</v>
      </c>
      <c r="C33" s="491" t="s">
        <v>5486</v>
      </c>
      <c r="D33" s="94">
        <f>66000/100000+1.687</f>
        <v>2.347</v>
      </c>
      <c r="E33" s="494">
        <f>66000/100000</f>
        <v>0.66</v>
      </c>
      <c r="F33" s="495">
        <f>24500/100000</f>
        <v>0.245</v>
      </c>
      <c r="G33" s="495">
        <f>41500/100000</f>
        <v>0.41499999999999998</v>
      </c>
      <c r="H33" s="495"/>
      <c r="I33" s="495"/>
      <c r="J33" s="495"/>
      <c r="K33" s="495"/>
      <c r="L33" s="495"/>
      <c r="M33" s="494">
        <f t="shared" si="0"/>
        <v>0.65999999999999992</v>
      </c>
      <c r="N33" s="495">
        <f t="shared" si="1"/>
        <v>99.999999999999972</v>
      </c>
    </row>
    <row r="34" spans="1:14">
      <c r="A34" s="498" t="s">
        <v>670</v>
      </c>
      <c r="B34" s="499">
        <v>2000</v>
      </c>
      <c r="C34" s="500" t="s">
        <v>244</v>
      </c>
      <c r="D34" s="494">
        <v>0.1</v>
      </c>
      <c r="E34" s="501">
        <v>0.1</v>
      </c>
      <c r="F34" s="495">
        <v>0</v>
      </c>
      <c r="G34" s="501">
        <v>0.1</v>
      </c>
      <c r="H34" s="495"/>
      <c r="I34" s="495"/>
      <c r="J34" s="495"/>
      <c r="K34" s="495"/>
      <c r="L34" s="495"/>
      <c r="M34" s="494">
        <f t="shared" si="0"/>
        <v>0.1</v>
      </c>
      <c r="N34" s="495">
        <f t="shared" si="1"/>
        <v>100</v>
      </c>
    </row>
    <row r="35" spans="1:14">
      <c r="A35" s="506" t="s">
        <v>5550</v>
      </c>
      <c r="B35" s="507"/>
      <c r="C35" s="507"/>
      <c r="D35" s="494">
        <f>SUM(D26:D34)</f>
        <v>66.120279149999988</v>
      </c>
      <c r="E35" s="494">
        <f t="shared" ref="E35:L35" si="2">SUM(E26:E34)</f>
        <v>20.077500000000004</v>
      </c>
      <c r="F35" s="494">
        <f t="shared" si="2"/>
        <v>6.0610999999999997</v>
      </c>
      <c r="G35" s="494">
        <f>SUM(G26:G34)</f>
        <v>8.3733000000000004</v>
      </c>
      <c r="H35" s="494">
        <f t="shared" si="2"/>
        <v>0</v>
      </c>
      <c r="I35" s="494">
        <f t="shared" si="2"/>
        <v>0</v>
      </c>
      <c r="J35" s="494">
        <f t="shared" si="2"/>
        <v>0</v>
      </c>
      <c r="K35" s="494">
        <f t="shared" si="2"/>
        <v>0</v>
      </c>
      <c r="L35" s="494">
        <f t="shared" si="2"/>
        <v>0</v>
      </c>
      <c r="M35" s="494">
        <f>SUM(M26:M34)</f>
        <v>14.4344</v>
      </c>
      <c r="N35" s="495">
        <f t="shared" si="1"/>
        <v>71.893413024529934</v>
      </c>
    </row>
  </sheetData>
  <mergeCells count="34">
    <mergeCell ref="B6:D6"/>
    <mergeCell ref="E6:F6"/>
    <mergeCell ref="G6:I6"/>
    <mergeCell ref="A1:N1"/>
    <mergeCell ref="A2:N2"/>
    <mergeCell ref="B4:D4"/>
    <mergeCell ref="E4:F4"/>
    <mergeCell ref="G4:H4"/>
    <mergeCell ref="A5:C5"/>
    <mergeCell ref="B8:D8"/>
    <mergeCell ref="E8:F8"/>
    <mergeCell ref="G8:K8"/>
    <mergeCell ref="B11:C11"/>
    <mergeCell ref="D11:F11"/>
    <mergeCell ref="G11:I11"/>
    <mergeCell ref="J11:M11"/>
    <mergeCell ref="B12:C12"/>
    <mergeCell ref="D12:F12"/>
    <mergeCell ref="G12:I12"/>
    <mergeCell ref="J12:M12"/>
    <mergeCell ref="B13:C13"/>
    <mergeCell ref="D13:F13"/>
    <mergeCell ref="G13:I13"/>
    <mergeCell ref="J13:M13"/>
    <mergeCell ref="B14:C14"/>
    <mergeCell ref="D14:F14"/>
    <mergeCell ref="G14:I14"/>
    <mergeCell ref="J14:M14"/>
    <mergeCell ref="A24:A25"/>
    <mergeCell ref="B24:B25"/>
    <mergeCell ref="C24:C25"/>
    <mergeCell ref="D24:D25"/>
    <mergeCell ref="E24:E25"/>
    <mergeCell ref="F24:N24"/>
  </mergeCells>
  <hyperlinks>
    <hyperlink ref="A5" location="'Fact Sheet of VDC'!A1" display="&lt;&lt;Back"/>
  </hyperlinks>
  <pageMargins left="0.7" right="0.7" top="0.4" bottom="0.36" header="0.3" footer="0.3"/>
  <pageSetup paperSize="9" scale="75" orientation="landscape" r:id="rId1"/>
</worksheet>
</file>

<file path=xl/worksheets/sheet189.xml><?xml version="1.0" encoding="utf-8"?>
<worksheet xmlns="http://schemas.openxmlformats.org/spreadsheetml/2006/main" xmlns:r="http://schemas.openxmlformats.org/officeDocument/2006/relationships">
  <dimension ref="A1:O35"/>
  <sheetViews>
    <sheetView workbookViewId="0">
      <selection activeCell="A5" sqref="A5:C5"/>
    </sheetView>
  </sheetViews>
  <sheetFormatPr defaultRowHeight="15"/>
  <cols>
    <col min="1" max="1" width="30.42578125" customWidth="1"/>
    <col min="2" max="2" width="13.85546875" customWidth="1"/>
    <col min="4" max="4" width="10.140625" customWidth="1"/>
    <col min="5" max="7" width="11" customWidth="1"/>
    <col min="8" max="8" width="9.28515625" bestFit="1" customWidth="1"/>
    <col min="9" max="9" width="9.28515625" customWidth="1"/>
    <col min="10" max="11" width="9.28515625" bestFit="1" customWidth="1"/>
    <col min="12" max="12" width="7.85546875" customWidth="1"/>
    <col min="13" max="13" width="9.28515625" bestFit="1" customWidth="1"/>
    <col min="14" max="14" width="9.5703125" bestFit="1" customWidth="1"/>
    <col min="15" max="15" width="11" customWidth="1"/>
    <col min="257" max="257" width="30.42578125" customWidth="1"/>
    <col min="258" max="258" width="13.85546875" customWidth="1"/>
    <col min="260" max="260" width="10.140625" customWidth="1"/>
    <col min="261" max="263" width="11" customWidth="1"/>
    <col min="264" max="264" width="9.28515625" bestFit="1" customWidth="1"/>
    <col min="265" max="265" width="9.28515625" customWidth="1"/>
    <col min="266" max="267" width="9.28515625" bestFit="1" customWidth="1"/>
    <col min="268" max="268" width="7.85546875" customWidth="1"/>
    <col min="269" max="269" width="9.28515625" bestFit="1" customWidth="1"/>
    <col min="270" max="270" width="9.5703125" bestFit="1" customWidth="1"/>
    <col min="271" max="271" width="11" customWidth="1"/>
    <col min="513" max="513" width="30.42578125" customWidth="1"/>
    <col min="514" max="514" width="13.85546875" customWidth="1"/>
    <col min="516" max="516" width="10.140625" customWidth="1"/>
    <col min="517" max="519" width="11" customWidth="1"/>
    <col min="520" max="520" width="9.28515625" bestFit="1" customWidth="1"/>
    <col min="521" max="521" width="9.28515625" customWidth="1"/>
    <col min="522" max="523" width="9.28515625" bestFit="1" customWidth="1"/>
    <col min="524" max="524" width="7.85546875" customWidth="1"/>
    <col min="525" max="525" width="9.28515625" bestFit="1" customWidth="1"/>
    <col min="526" max="526" width="9.5703125" bestFit="1" customWidth="1"/>
    <col min="527" max="527" width="11" customWidth="1"/>
    <col min="769" max="769" width="30.42578125" customWidth="1"/>
    <col min="770" max="770" width="13.85546875" customWidth="1"/>
    <col min="772" max="772" width="10.140625" customWidth="1"/>
    <col min="773" max="775" width="11" customWidth="1"/>
    <col min="776" max="776" width="9.28515625" bestFit="1" customWidth="1"/>
    <col min="777" max="777" width="9.28515625" customWidth="1"/>
    <col min="778" max="779" width="9.28515625" bestFit="1" customWidth="1"/>
    <col min="780" max="780" width="7.85546875" customWidth="1"/>
    <col min="781" max="781" width="9.28515625" bestFit="1" customWidth="1"/>
    <col min="782" max="782" width="9.5703125" bestFit="1" customWidth="1"/>
    <col min="783" max="783" width="11" customWidth="1"/>
    <col min="1025" max="1025" width="30.42578125" customWidth="1"/>
    <col min="1026" max="1026" width="13.85546875" customWidth="1"/>
    <col min="1028" max="1028" width="10.140625" customWidth="1"/>
    <col min="1029" max="1031" width="11" customWidth="1"/>
    <col min="1032" max="1032" width="9.28515625" bestFit="1" customWidth="1"/>
    <col min="1033" max="1033" width="9.28515625" customWidth="1"/>
    <col min="1034" max="1035" width="9.28515625" bestFit="1" customWidth="1"/>
    <col min="1036" max="1036" width="7.85546875" customWidth="1"/>
    <col min="1037" max="1037" width="9.28515625" bestFit="1" customWidth="1"/>
    <col min="1038" max="1038" width="9.5703125" bestFit="1" customWidth="1"/>
    <col min="1039" max="1039" width="11" customWidth="1"/>
    <col min="1281" max="1281" width="30.42578125" customWidth="1"/>
    <col min="1282" max="1282" width="13.85546875" customWidth="1"/>
    <col min="1284" max="1284" width="10.140625" customWidth="1"/>
    <col min="1285" max="1287" width="11" customWidth="1"/>
    <col min="1288" max="1288" width="9.28515625" bestFit="1" customWidth="1"/>
    <col min="1289" max="1289" width="9.28515625" customWidth="1"/>
    <col min="1290" max="1291" width="9.28515625" bestFit="1" customWidth="1"/>
    <col min="1292" max="1292" width="7.85546875" customWidth="1"/>
    <col min="1293" max="1293" width="9.28515625" bestFit="1" customWidth="1"/>
    <col min="1294" max="1294" width="9.5703125" bestFit="1" customWidth="1"/>
    <col min="1295" max="1295" width="11" customWidth="1"/>
    <col min="1537" max="1537" width="30.42578125" customWidth="1"/>
    <col min="1538" max="1538" width="13.85546875" customWidth="1"/>
    <col min="1540" max="1540" width="10.140625" customWidth="1"/>
    <col min="1541" max="1543" width="11" customWidth="1"/>
    <col min="1544" max="1544" width="9.28515625" bestFit="1" customWidth="1"/>
    <col min="1545" max="1545" width="9.28515625" customWidth="1"/>
    <col min="1546" max="1547" width="9.28515625" bestFit="1" customWidth="1"/>
    <col min="1548" max="1548" width="7.85546875" customWidth="1"/>
    <col min="1549" max="1549" width="9.28515625" bestFit="1" customWidth="1"/>
    <col min="1550" max="1550" width="9.5703125" bestFit="1" customWidth="1"/>
    <col min="1551" max="1551" width="11" customWidth="1"/>
    <col min="1793" max="1793" width="30.42578125" customWidth="1"/>
    <col min="1794" max="1794" width="13.85546875" customWidth="1"/>
    <col min="1796" max="1796" width="10.140625" customWidth="1"/>
    <col min="1797" max="1799" width="11" customWidth="1"/>
    <col min="1800" max="1800" width="9.28515625" bestFit="1" customWidth="1"/>
    <col min="1801" max="1801" width="9.28515625" customWidth="1"/>
    <col min="1802" max="1803" width="9.28515625" bestFit="1" customWidth="1"/>
    <col min="1804" max="1804" width="7.85546875" customWidth="1"/>
    <col min="1805" max="1805" width="9.28515625" bestFit="1" customWidth="1"/>
    <col min="1806" max="1806" width="9.5703125" bestFit="1" customWidth="1"/>
    <col min="1807" max="1807" width="11" customWidth="1"/>
    <col min="2049" max="2049" width="30.42578125" customWidth="1"/>
    <col min="2050" max="2050" width="13.85546875" customWidth="1"/>
    <col min="2052" max="2052" width="10.140625" customWidth="1"/>
    <col min="2053" max="2055" width="11" customWidth="1"/>
    <col min="2056" max="2056" width="9.28515625" bestFit="1" customWidth="1"/>
    <col min="2057" max="2057" width="9.28515625" customWidth="1"/>
    <col min="2058" max="2059" width="9.28515625" bestFit="1" customWidth="1"/>
    <col min="2060" max="2060" width="7.85546875" customWidth="1"/>
    <col min="2061" max="2061" width="9.28515625" bestFit="1" customWidth="1"/>
    <col min="2062" max="2062" width="9.5703125" bestFit="1" customWidth="1"/>
    <col min="2063" max="2063" width="11" customWidth="1"/>
    <col min="2305" max="2305" width="30.42578125" customWidth="1"/>
    <col min="2306" max="2306" width="13.85546875" customWidth="1"/>
    <col min="2308" max="2308" width="10.140625" customWidth="1"/>
    <col min="2309" max="2311" width="11" customWidth="1"/>
    <col min="2312" max="2312" width="9.28515625" bestFit="1" customWidth="1"/>
    <col min="2313" max="2313" width="9.28515625" customWidth="1"/>
    <col min="2314" max="2315" width="9.28515625" bestFit="1" customWidth="1"/>
    <col min="2316" max="2316" width="7.85546875" customWidth="1"/>
    <col min="2317" max="2317" width="9.28515625" bestFit="1" customWidth="1"/>
    <col min="2318" max="2318" width="9.5703125" bestFit="1" customWidth="1"/>
    <col min="2319" max="2319" width="11" customWidth="1"/>
    <col min="2561" max="2561" width="30.42578125" customWidth="1"/>
    <col min="2562" max="2562" width="13.85546875" customWidth="1"/>
    <col min="2564" max="2564" width="10.140625" customWidth="1"/>
    <col min="2565" max="2567" width="11" customWidth="1"/>
    <col min="2568" max="2568" width="9.28515625" bestFit="1" customWidth="1"/>
    <col min="2569" max="2569" width="9.28515625" customWidth="1"/>
    <col min="2570" max="2571" width="9.28515625" bestFit="1" customWidth="1"/>
    <col min="2572" max="2572" width="7.85546875" customWidth="1"/>
    <col min="2573" max="2573" width="9.28515625" bestFit="1" customWidth="1"/>
    <col min="2574" max="2574" width="9.5703125" bestFit="1" customWidth="1"/>
    <col min="2575" max="2575" width="11" customWidth="1"/>
    <col min="2817" max="2817" width="30.42578125" customWidth="1"/>
    <col min="2818" max="2818" width="13.85546875" customWidth="1"/>
    <col min="2820" max="2820" width="10.140625" customWidth="1"/>
    <col min="2821" max="2823" width="11" customWidth="1"/>
    <col min="2824" max="2824" width="9.28515625" bestFit="1" customWidth="1"/>
    <col min="2825" max="2825" width="9.28515625" customWidth="1"/>
    <col min="2826" max="2827" width="9.28515625" bestFit="1" customWidth="1"/>
    <col min="2828" max="2828" width="7.85546875" customWidth="1"/>
    <col min="2829" max="2829" width="9.28515625" bestFit="1" customWidth="1"/>
    <col min="2830" max="2830" width="9.5703125" bestFit="1" customWidth="1"/>
    <col min="2831" max="2831" width="11" customWidth="1"/>
    <col min="3073" max="3073" width="30.42578125" customWidth="1"/>
    <col min="3074" max="3074" width="13.85546875" customWidth="1"/>
    <col min="3076" max="3076" width="10.140625" customWidth="1"/>
    <col min="3077" max="3079" width="11" customWidth="1"/>
    <col min="3080" max="3080" width="9.28515625" bestFit="1" customWidth="1"/>
    <col min="3081" max="3081" width="9.28515625" customWidth="1"/>
    <col min="3082" max="3083" width="9.28515625" bestFit="1" customWidth="1"/>
    <col min="3084" max="3084" width="7.85546875" customWidth="1"/>
    <col min="3085" max="3085" width="9.28515625" bestFit="1" customWidth="1"/>
    <col min="3086" max="3086" width="9.5703125" bestFit="1" customWidth="1"/>
    <col min="3087" max="3087" width="11" customWidth="1"/>
    <col min="3329" max="3329" width="30.42578125" customWidth="1"/>
    <col min="3330" max="3330" width="13.85546875" customWidth="1"/>
    <col min="3332" max="3332" width="10.140625" customWidth="1"/>
    <col min="3333" max="3335" width="11" customWidth="1"/>
    <col min="3336" max="3336" width="9.28515625" bestFit="1" customWidth="1"/>
    <col min="3337" max="3337" width="9.28515625" customWidth="1"/>
    <col min="3338" max="3339" width="9.28515625" bestFit="1" customWidth="1"/>
    <col min="3340" max="3340" width="7.85546875" customWidth="1"/>
    <col min="3341" max="3341" width="9.28515625" bestFit="1" customWidth="1"/>
    <col min="3342" max="3342" width="9.5703125" bestFit="1" customWidth="1"/>
    <col min="3343" max="3343" width="11" customWidth="1"/>
    <col min="3585" max="3585" width="30.42578125" customWidth="1"/>
    <col min="3586" max="3586" width="13.85546875" customWidth="1"/>
    <col min="3588" max="3588" width="10.140625" customWidth="1"/>
    <col min="3589" max="3591" width="11" customWidth="1"/>
    <col min="3592" max="3592" width="9.28515625" bestFit="1" customWidth="1"/>
    <col min="3593" max="3593" width="9.28515625" customWidth="1"/>
    <col min="3594" max="3595" width="9.28515625" bestFit="1" customWidth="1"/>
    <col min="3596" max="3596" width="7.85546875" customWidth="1"/>
    <col min="3597" max="3597" width="9.28515625" bestFit="1" customWidth="1"/>
    <col min="3598" max="3598" width="9.5703125" bestFit="1" customWidth="1"/>
    <col min="3599" max="3599" width="11" customWidth="1"/>
    <col min="3841" max="3841" width="30.42578125" customWidth="1"/>
    <col min="3842" max="3842" width="13.85546875" customWidth="1"/>
    <col min="3844" max="3844" width="10.140625" customWidth="1"/>
    <col min="3845" max="3847" width="11" customWidth="1"/>
    <col min="3848" max="3848" width="9.28515625" bestFit="1" customWidth="1"/>
    <col min="3849" max="3849" width="9.28515625" customWidth="1"/>
    <col min="3850" max="3851" width="9.28515625" bestFit="1" customWidth="1"/>
    <col min="3852" max="3852" width="7.85546875" customWidth="1"/>
    <col min="3853" max="3853" width="9.28515625" bestFit="1" customWidth="1"/>
    <col min="3854" max="3854" width="9.5703125" bestFit="1" customWidth="1"/>
    <col min="3855" max="3855" width="11" customWidth="1"/>
    <col min="4097" max="4097" width="30.42578125" customWidth="1"/>
    <col min="4098" max="4098" width="13.85546875" customWidth="1"/>
    <col min="4100" max="4100" width="10.140625" customWidth="1"/>
    <col min="4101" max="4103" width="11" customWidth="1"/>
    <col min="4104" max="4104" width="9.28515625" bestFit="1" customWidth="1"/>
    <col min="4105" max="4105" width="9.28515625" customWidth="1"/>
    <col min="4106" max="4107" width="9.28515625" bestFit="1" customWidth="1"/>
    <col min="4108" max="4108" width="7.85546875" customWidth="1"/>
    <col min="4109" max="4109" width="9.28515625" bestFit="1" customWidth="1"/>
    <col min="4110" max="4110" width="9.5703125" bestFit="1" customWidth="1"/>
    <col min="4111" max="4111" width="11" customWidth="1"/>
    <col min="4353" max="4353" width="30.42578125" customWidth="1"/>
    <col min="4354" max="4354" width="13.85546875" customWidth="1"/>
    <col min="4356" max="4356" width="10.140625" customWidth="1"/>
    <col min="4357" max="4359" width="11" customWidth="1"/>
    <col min="4360" max="4360" width="9.28515625" bestFit="1" customWidth="1"/>
    <col min="4361" max="4361" width="9.28515625" customWidth="1"/>
    <col min="4362" max="4363" width="9.28515625" bestFit="1" customWidth="1"/>
    <col min="4364" max="4364" width="7.85546875" customWidth="1"/>
    <col min="4365" max="4365" width="9.28515625" bestFit="1" customWidth="1"/>
    <col min="4366" max="4366" width="9.5703125" bestFit="1" customWidth="1"/>
    <col min="4367" max="4367" width="11" customWidth="1"/>
    <col min="4609" max="4609" width="30.42578125" customWidth="1"/>
    <col min="4610" max="4610" width="13.85546875" customWidth="1"/>
    <col min="4612" max="4612" width="10.140625" customWidth="1"/>
    <col min="4613" max="4615" width="11" customWidth="1"/>
    <col min="4616" max="4616" width="9.28515625" bestFit="1" customWidth="1"/>
    <col min="4617" max="4617" width="9.28515625" customWidth="1"/>
    <col min="4618" max="4619" width="9.28515625" bestFit="1" customWidth="1"/>
    <col min="4620" max="4620" width="7.85546875" customWidth="1"/>
    <col min="4621" max="4621" width="9.28515625" bestFit="1" customWidth="1"/>
    <col min="4622" max="4622" width="9.5703125" bestFit="1" customWidth="1"/>
    <col min="4623" max="4623" width="11" customWidth="1"/>
    <col min="4865" max="4865" width="30.42578125" customWidth="1"/>
    <col min="4866" max="4866" width="13.85546875" customWidth="1"/>
    <col min="4868" max="4868" width="10.140625" customWidth="1"/>
    <col min="4869" max="4871" width="11" customWidth="1"/>
    <col min="4872" max="4872" width="9.28515625" bestFit="1" customWidth="1"/>
    <col min="4873" max="4873" width="9.28515625" customWidth="1"/>
    <col min="4874" max="4875" width="9.28515625" bestFit="1" customWidth="1"/>
    <col min="4876" max="4876" width="7.85546875" customWidth="1"/>
    <col min="4877" max="4877" width="9.28515625" bestFit="1" customWidth="1"/>
    <col min="4878" max="4878" width="9.5703125" bestFit="1" customWidth="1"/>
    <col min="4879" max="4879" width="11" customWidth="1"/>
    <col min="5121" max="5121" width="30.42578125" customWidth="1"/>
    <col min="5122" max="5122" width="13.85546875" customWidth="1"/>
    <col min="5124" max="5124" width="10.140625" customWidth="1"/>
    <col min="5125" max="5127" width="11" customWidth="1"/>
    <col min="5128" max="5128" width="9.28515625" bestFit="1" customWidth="1"/>
    <col min="5129" max="5129" width="9.28515625" customWidth="1"/>
    <col min="5130" max="5131" width="9.28515625" bestFit="1" customWidth="1"/>
    <col min="5132" max="5132" width="7.85546875" customWidth="1"/>
    <col min="5133" max="5133" width="9.28515625" bestFit="1" customWidth="1"/>
    <col min="5134" max="5134" width="9.5703125" bestFit="1" customWidth="1"/>
    <col min="5135" max="5135" width="11" customWidth="1"/>
    <col min="5377" max="5377" width="30.42578125" customWidth="1"/>
    <col min="5378" max="5378" width="13.85546875" customWidth="1"/>
    <col min="5380" max="5380" width="10.140625" customWidth="1"/>
    <col min="5381" max="5383" width="11" customWidth="1"/>
    <col min="5384" max="5384" width="9.28515625" bestFit="1" customWidth="1"/>
    <col min="5385" max="5385" width="9.28515625" customWidth="1"/>
    <col min="5386" max="5387" width="9.28515625" bestFit="1" customWidth="1"/>
    <col min="5388" max="5388" width="7.85546875" customWidth="1"/>
    <col min="5389" max="5389" width="9.28515625" bestFit="1" customWidth="1"/>
    <col min="5390" max="5390" width="9.5703125" bestFit="1" customWidth="1"/>
    <col min="5391" max="5391" width="11" customWidth="1"/>
    <col min="5633" max="5633" width="30.42578125" customWidth="1"/>
    <col min="5634" max="5634" width="13.85546875" customWidth="1"/>
    <col min="5636" max="5636" width="10.140625" customWidth="1"/>
    <col min="5637" max="5639" width="11" customWidth="1"/>
    <col min="5640" max="5640" width="9.28515625" bestFit="1" customWidth="1"/>
    <col min="5641" max="5641" width="9.28515625" customWidth="1"/>
    <col min="5642" max="5643" width="9.28515625" bestFit="1" customWidth="1"/>
    <col min="5644" max="5644" width="7.85546875" customWidth="1"/>
    <col min="5645" max="5645" width="9.28515625" bestFit="1" customWidth="1"/>
    <col min="5646" max="5646" width="9.5703125" bestFit="1" customWidth="1"/>
    <col min="5647" max="5647" width="11" customWidth="1"/>
    <col min="5889" max="5889" width="30.42578125" customWidth="1"/>
    <col min="5890" max="5890" width="13.85546875" customWidth="1"/>
    <col min="5892" max="5892" width="10.140625" customWidth="1"/>
    <col min="5893" max="5895" width="11" customWidth="1"/>
    <col min="5896" max="5896" width="9.28515625" bestFit="1" customWidth="1"/>
    <col min="5897" max="5897" width="9.28515625" customWidth="1"/>
    <col min="5898" max="5899" width="9.28515625" bestFit="1" customWidth="1"/>
    <col min="5900" max="5900" width="7.85546875" customWidth="1"/>
    <col min="5901" max="5901" width="9.28515625" bestFit="1" customWidth="1"/>
    <col min="5902" max="5902" width="9.5703125" bestFit="1" customWidth="1"/>
    <col min="5903" max="5903" width="11" customWidth="1"/>
    <col min="6145" max="6145" width="30.42578125" customWidth="1"/>
    <col min="6146" max="6146" width="13.85546875" customWidth="1"/>
    <col min="6148" max="6148" width="10.140625" customWidth="1"/>
    <col min="6149" max="6151" width="11" customWidth="1"/>
    <col min="6152" max="6152" width="9.28515625" bestFit="1" customWidth="1"/>
    <col min="6153" max="6153" width="9.28515625" customWidth="1"/>
    <col min="6154" max="6155" width="9.28515625" bestFit="1" customWidth="1"/>
    <col min="6156" max="6156" width="7.85546875" customWidth="1"/>
    <col min="6157" max="6157" width="9.28515625" bestFit="1" customWidth="1"/>
    <col min="6158" max="6158" width="9.5703125" bestFit="1" customWidth="1"/>
    <col min="6159" max="6159" width="11" customWidth="1"/>
    <col min="6401" max="6401" width="30.42578125" customWidth="1"/>
    <col min="6402" max="6402" width="13.85546875" customWidth="1"/>
    <col min="6404" max="6404" width="10.140625" customWidth="1"/>
    <col min="6405" max="6407" width="11" customWidth="1"/>
    <col min="6408" max="6408" width="9.28515625" bestFit="1" customWidth="1"/>
    <col min="6409" max="6409" width="9.28515625" customWidth="1"/>
    <col min="6410" max="6411" width="9.28515625" bestFit="1" customWidth="1"/>
    <col min="6412" max="6412" width="7.85546875" customWidth="1"/>
    <col min="6413" max="6413" width="9.28515625" bestFit="1" customWidth="1"/>
    <col min="6414" max="6414" width="9.5703125" bestFit="1" customWidth="1"/>
    <col min="6415" max="6415" width="11" customWidth="1"/>
    <col min="6657" max="6657" width="30.42578125" customWidth="1"/>
    <col min="6658" max="6658" width="13.85546875" customWidth="1"/>
    <col min="6660" max="6660" width="10.140625" customWidth="1"/>
    <col min="6661" max="6663" width="11" customWidth="1"/>
    <col min="6664" max="6664" width="9.28515625" bestFit="1" customWidth="1"/>
    <col min="6665" max="6665" width="9.28515625" customWidth="1"/>
    <col min="6666" max="6667" width="9.28515625" bestFit="1" customWidth="1"/>
    <col min="6668" max="6668" width="7.85546875" customWidth="1"/>
    <col min="6669" max="6669" width="9.28515625" bestFit="1" customWidth="1"/>
    <col min="6670" max="6670" width="9.5703125" bestFit="1" customWidth="1"/>
    <col min="6671" max="6671" width="11" customWidth="1"/>
    <col min="6913" max="6913" width="30.42578125" customWidth="1"/>
    <col min="6914" max="6914" width="13.85546875" customWidth="1"/>
    <col min="6916" max="6916" width="10.140625" customWidth="1"/>
    <col min="6917" max="6919" width="11" customWidth="1"/>
    <col min="6920" max="6920" width="9.28515625" bestFit="1" customWidth="1"/>
    <col min="6921" max="6921" width="9.28515625" customWidth="1"/>
    <col min="6922" max="6923" width="9.28515625" bestFit="1" customWidth="1"/>
    <col min="6924" max="6924" width="7.85546875" customWidth="1"/>
    <col min="6925" max="6925" width="9.28515625" bestFit="1" customWidth="1"/>
    <col min="6926" max="6926" width="9.5703125" bestFit="1" customWidth="1"/>
    <col min="6927" max="6927" width="11" customWidth="1"/>
    <col min="7169" max="7169" width="30.42578125" customWidth="1"/>
    <col min="7170" max="7170" width="13.85546875" customWidth="1"/>
    <col min="7172" max="7172" width="10.140625" customWidth="1"/>
    <col min="7173" max="7175" width="11" customWidth="1"/>
    <col min="7176" max="7176" width="9.28515625" bestFit="1" customWidth="1"/>
    <col min="7177" max="7177" width="9.28515625" customWidth="1"/>
    <col min="7178" max="7179" width="9.28515625" bestFit="1" customWidth="1"/>
    <col min="7180" max="7180" width="7.85546875" customWidth="1"/>
    <col min="7181" max="7181" width="9.28515625" bestFit="1" customWidth="1"/>
    <col min="7182" max="7182" width="9.5703125" bestFit="1" customWidth="1"/>
    <col min="7183" max="7183" width="11" customWidth="1"/>
    <col min="7425" max="7425" width="30.42578125" customWidth="1"/>
    <col min="7426" max="7426" width="13.85546875" customWidth="1"/>
    <col min="7428" max="7428" width="10.140625" customWidth="1"/>
    <col min="7429" max="7431" width="11" customWidth="1"/>
    <col min="7432" max="7432" width="9.28515625" bestFit="1" customWidth="1"/>
    <col min="7433" max="7433" width="9.28515625" customWidth="1"/>
    <col min="7434" max="7435" width="9.28515625" bestFit="1" customWidth="1"/>
    <col min="7436" max="7436" width="7.85546875" customWidth="1"/>
    <col min="7437" max="7437" width="9.28515625" bestFit="1" customWidth="1"/>
    <col min="7438" max="7438" width="9.5703125" bestFit="1" customWidth="1"/>
    <col min="7439" max="7439" width="11" customWidth="1"/>
    <col min="7681" max="7681" width="30.42578125" customWidth="1"/>
    <col min="7682" max="7682" width="13.85546875" customWidth="1"/>
    <col min="7684" max="7684" width="10.140625" customWidth="1"/>
    <col min="7685" max="7687" width="11" customWidth="1"/>
    <col min="7688" max="7688" width="9.28515625" bestFit="1" customWidth="1"/>
    <col min="7689" max="7689" width="9.28515625" customWidth="1"/>
    <col min="7690" max="7691" width="9.28515625" bestFit="1" customWidth="1"/>
    <col min="7692" max="7692" width="7.85546875" customWidth="1"/>
    <col min="7693" max="7693" width="9.28515625" bestFit="1" customWidth="1"/>
    <col min="7694" max="7694" width="9.5703125" bestFit="1" customWidth="1"/>
    <col min="7695" max="7695" width="11" customWidth="1"/>
    <col min="7937" max="7937" width="30.42578125" customWidth="1"/>
    <col min="7938" max="7938" width="13.85546875" customWidth="1"/>
    <col min="7940" max="7940" width="10.140625" customWidth="1"/>
    <col min="7941" max="7943" width="11" customWidth="1"/>
    <col min="7944" max="7944" width="9.28515625" bestFit="1" customWidth="1"/>
    <col min="7945" max="7945" width="9.28515625" customWidth="1"/>
    <col min="7946" max="7947" width="9.28515625" bestFit="1" customWidth="1"/>
    <col min="7948" max="7948" width="7.85546875" customWidth="1"/>
    <col min="7949" max="7949" width="9.28515625" bestFit="1" customWidth="1"/>
    <col min="7950" max="7950" width="9.5703125" bestFit="1" customWidth="1"/>
    <col min="7951" max="7951" width="11" customWidth="1"/>
    <col min="8193" max="8193" width="30.42578125" customWidth="1"/>
    <col min="8194" max="8194" width="13.85546875" customWidth="1"/>
    <col min="8196" max="8196" width="10.140625" customWidth="1"/>
    <col min="8197" max="8199" width="11" customWidth="1"/>
    <col min="8200" max="8200" width="9.28515625" bestFit="1" customWidth="1"/>
    <col min="8201" max="8201" width="9.28515625" customWidth="1"/>
    <col min="8202" max="8203" width="9.28515625" bestFit="1" customWidth="1"/>
    <col min="8204" max="8204" width="7.85546875" customWidth="1"/>
    <col min="8205" max="8205" width="9.28515625" bestFit="1" customWidth="1"/>
    <col min="8206" max="8206" width="9.5703125" bestFit="1" customWidth="1"/>
    <col min="8207" max="8207" width="11" customWidth="1"/>
    <col min="8449" max="8449" width="30.42578125" customWidth="1"/>
    <col min="8450" max="8450" width="13.85546875" customWidth="1"/>
    <col min="8452" max="8452" width="10.140625" customWidth="1"/>
    <col min="8453" max="8455" width="11" customWidth="1"/>
    <col min="8456" max="8456" width="9.28515625" bestFit="1" customWidth="1"/>
    <col min="8457" max="8457" width="9.28515625" customWidth="1"/>
    <col min="8458" max="8459" width="9.28515625" bestFit="1" customWidth="1"/>
    <col min="8460" max="8460" width="7.85546875" customWidth="1"/>
    <col min="8461" max="8461" width="9.28515625" bestFit="1" customWidth="1"/>
    <col min="8462" max="8462" width="9.5703125" bestFit="1" customWidth="1"/>
    <col min="8463" max="8463" width="11" customWidth="1"/>
    <col min="8705" max="8705" width="30.42578125" customWidth="1"/>
    <col min="8706" max="8706" width="13.85546875" customWidth="1"/>
    <col min="8708" max="8708" width="10.140625" customWidth="1"/>
    <col min="8709" max="8711" width="11" customWidth="1"/>
    <col min="8712" max="8712" width="9.28515625" bestFit="1" customWidth="1"/>
    <col min="8713" max="8713" width="9.28515625" customWidth="1"/>
    <col min="8714" max="8715" width="9.28515625" bestFit="1" customWidth="1"/>
    <col min="8716" max="8716" width="7.85546875" customWidth="1"/>
    <col min="8717" max="8717" width="9.28515625" bestFit="1" customWidth="1"/>
    <col min="8718" max="8718" width="9.5703125" bestFit="1" customWidth="1"/>
    <col min="8719" max="8719" width="11" customWidth="1"/>
    <col min="8961" max="8961" width="30.42578125" customWidth="1"/>
    <col min="8962" max="8962" width="13.85546875" customWidth="1"/>
    <col min="8964" max="8964" width="10.140625" customWidth="1"/>
    <col min="8965" max="8967" width="11" customWidth="1"/>
    <col min="8968" max="8968" width="9.28515625" bestFit="1" customWidth="1"/>
    <col min="8969" max="8969" width="9.28515625" customWidth="1"/>
    <col min="8970" max="8971" width="9.28515625" bestFit="1" customWidth="1"/>
    <col min="8972" max="8972" width="7.85546875" customWidth="1"/>
    <col min="8973" max="8973" width="9.28515625" bestFit="1" customWidth="1"/>
    <col min="8974" max="8974" width="9.5703125" bestFit="1" customWidth="1"/>
    <col min="8975" max="8975" width="11" customWidth="1"/>
    <col min="9217" max="9217" width="30.42578125" customWidth="1"/>
    <col min="9218" max="9218" width="13.85546875" customWidth="1"/>
    <col min="9220" max="9220" width="10.140625" customWidth="1"/>
    <col min="9221" max="9223" width="11" customWidth="1"/>
    <col min="9224" max="9224" width="9.28515625" bestFit="1" customWidth="1"/>
    <col min="9225" max="9225" width="9.28515625" customWidth="1"/>
    <col min="9226" max="9227" width="9.28515625" bestFit="1" customWidth="1"/>
    <col min="9228" max="9228" width="7.85546875" customWidth="1"/>
    <col min="9229" max="9229" width="9.28515625" bestFit="1" customWidth="1"/>
    <col min="9230" max="9230" width="9.5703125" bestFit="1" customWidth="1"/>
    <col min="9231" max="9231" width="11" customWidth="1"/>
    <col min="9473" max="9473" width="30.42578125" customWidth="1"/>
    <col min="9474" max="9474" width="13.85546875" customWidth="1"/>
    <col min="9476" max="9476" width="10.140625" customWidth="1"/>
    <col min="9477" max="9479" width="11" customWidth="1"/>
    <col min="9480" max="9480" width="9.28515625" bestFit="1" customWidth="1"/>
    <col min="9481" max="9481" width="9.28515625" customWidth="1"/>
    <col min="9482" max="9483" width="9.28515625" bestFit="1" customWidth="1"/>
    <col min="9484" max="9484" width="7.85546875" customWidth="1"/>
    <col min="9485" max="9485" width="9.28515625" bestFit="1" customWidth="1"/>
    <col min="9486" max="9486" width="9.5703125" bestFit="1" customWidth="1"/>
    <col min="9487" max="9487" width="11" customWidth="1"/>
    <col min="9729" max="9729" width="30.42578125" customWidth="1"/>
    <col min="9730" max="9730" width="13.85546875" customWidth="1"/>
    <col min="9732" max="9732" width="10.140625" customWidth="1"/>
    <col min="9733" max="9735" width="11" customWidth="1"/>
    <col min="9736" max="9736" width="9.28515625" bestFit="1" customWidth="1"/>
    <col min="9737" max="9737" width="9.28515625" customWidth="1"/>
    <col min="9738" max="9739" width="9.28515625" bestFit="1" customWidth="1"/>
    <col min="9740" max="9740" width="7.85546875" customWidth="1"/>
    <col min="9741" max="9741" width="9.28515625" bestFit="1" customWidth="1"/>
    <col min="9742" max="9742" width="9.5703125" bestFit="1" customWidth="1"/>
    <col min="9743" max="9743" width="11" customWidth="1"/>
    <col min="9985" max="9985" width="30.42578125" customWidth="1"/>
    <col min="9986" max="9986" width="13.85546875" customWidth="1"/>
    <col min="9988" max="9988" width="10.140625" customWidth="1"/>
    <col min="9989" max="9991" width="11" customWidth="1"/>
    <col min="9992" max="9992" width="9.28515625" bestFit="1" customWidth="1"/>
    <col min="9993" max="9993" width="9.28515625" customWidth="1"/>
    <col min="9994" max="9995" width="9.28515625" bestFit="1" customWidth="1"/>
    <col min="9996" max="9996" width="7.85546875" customWidth="1"/>
    <col min="9997" max="9997" width="9.28515625" bestFit="1" customWidth="1"/>
    <col min="9998" max="9998" width="9.5703125" bestFit="1" customWidth="1"/>
    <col min="9999" max="9999" width="11" customWidth="1"/>
    <col min="10241" max="10241" width="30.42578125" customWidth="1"/>
    <col min="10242" max="10242" width="13.85546875" customWidth="1"/>
    <col min="10244" max="10244" width="10.140625" customWidth="1"/>
    <col min="10245" max="10247" width="11" customWidth="1"/>
    <col min="10248" max="10248" width="9.28515625" bestFit="1" customWidth="1"/>
    <col min="10249" max="10249" width="9.28515625" customWidth="1"/>
    <col min="10250" max="10251" width="9.28515625" bestFit="1" customWidth="1"/>
    <col min="10252" max="10252" width="7.85546875" customWidth="1"/>
    <col min="10253" max="10253" width="9.28515625" bestFit="1" customWidth="1"/>
    <col min="10254" max="10254" width="9.5703125" bestFit="1" customWidth="1"/>
    <col min="10255" max="10255" width="11" customWidth="1"/>
    <col min="10497" max="10497" width="30.42578125" customWidth="1"/>
    <col min="10498" max="10498" width="13.85546875" customWidth="1"/>
    <col min="10500" max="10500" width="10.140625" customWidth="1"/>
    <col min="10501" max="10503" width="11" customWidth="1"/>
    <col min="10504" max="10504" width="9.28515625" bestFit="1" customWidth="1"/>
    <col min="10505" max="10505" width="9.28515625" customWidth="1"/>
    <col min="10506" max="10507" width="9.28515625" bestFit="1" customWidth="1"/>
    <col min="10508" max="10508" width="7.85546875" customWidth="1"/>
    <col min="10509" max="10509" width="9.28515625" bestFit="1" customWidth="1"/>
    <col min="10510" max="10510" width="9.5703125" bestFit="1" customWidth="1"/>
    <col min="10511" max="10511" width="11" customWidth="1"/>
    <col min="10753" max="10753" width="30.42578125" customWidth="1"/>
    <col min="10754" max="10754" width="13.85546875" customWidth="1"/>
    <col min="10756" max="10756" width="10.140625" customWidth="1"/>
    <col min="10757" max="10759" width="11" customWidth="1"/>
    <col min="10760" max="10760" width="9.28515625" bestFit="1" customWidth="1"/>
    <col min="10761" max="10761" width="9.28515625" customWidth="1"/>
    <col min="10762" max="10763" width="9.28515625" bestFit="1" customWidth="1"/>
    <col min="10764" max="10764" width="7.85546875" customWidth="1"/>
    <col min="10765" max="10765" width="9.28515625" bestFit="1" customWidth="1"/>
    <col min="10766" max="10766" width="9.5703125" bestFit="1" customWidth="1"/>
    <col min="10767" max="10767" width="11" customWidth="1"/>
    <col min="11009" max="11009" width="30.42578125" customWidth="1"/>
    <col min="11010" max="11010" width="13.85546875" customWidth="1"/>
    <col min="11012" max="11012" width="10.140625" customWidth="1"/>
    <col min="11013" max="11015" width="11" customWidth="1"/>
    <col min="11016" max="11016" width="9.28515625" bestFit="1" customWidth="1"/>
    <col min="11017" max="11017" width="9.28515625" customWidth="1"/>
    <col min="11018" max="11019" width="9.28515625" bestFit="1" customWidth="1"/>
    <col min="11020" max="11020" width="7.85546875" customWidth="1"/>
    <col min="11021" max="11021" width="9.28515625" bestFit="1" customWidth="1"/>
    <col min="11022" max="11022" width="9.5703125" bestFit="1" customWidth="1"/>
    <col min="11023" max="11023" width="11" customWidth="1"/>
    <col min="11265" max="11265" width="30.42578125" customWidth="1"/>
    <col min="11266" max="11266" width="13.85546875" customWidth="1"/>
    <col min="11268" max="11268" width="10.140625" customWidth="1"/>
    <col min="11269" max="11271" width="11" customWidth="1"/>
    <col min="11272" max="11272" width="9.28515625" bestFit="1" customWidth="1"/>
    <col min="11273" max="11273" width="9.28515625" customWidth="1"/>
    <col min="11274" max="11275" width="9.28515625" bestFit="1" customWidth="1"/>
    <col min="11276" max="11276" width="7.85546875" customWidth="1"/>
    <col min="11277" max="11277" width="9.28515625" bestFit="1" customWidth="1"/>
    <col min="11278" max="11278" width="9.5703125" bestFit="1" customWidth="1"/>
    <col min="11279" max="11279" width="11" customWidth="1"/>
    <col min="11521" max="11521" width="30.42578125" customWidth="1"/>
    <col min="11522" max="11522" width="13.85546875" customWidth="1"/>
    <col min="11524" max="11524" width="10.140625" customWidth="1"/>
    <col min="11525" max="11527" width="11" customWidth="1"/>
    <col min="11528" max="11528" width="9.28515625" bestFit="1" customWidth="1"/>
    <col min="11529" max="11529" width="9.28515625" customWidth="1"/>
    <col min="11530" max="11531" width="9.28515625" bestFit="1" customWidth="1"/>
    <col min="11532" max="11532" width="7.85546875" customWidth="1"/>
    <col min="11533" max="11533" width="9.28515625" bestFit="1" customWidth="1"/>
    <col min="11534" max="11534" width="9.5703125" bestFit="1" customWidth="1"/>
    <col min="11535" max="11535" width="11" customWidth="1"/>
    <col min="11777" max="11777" width="30.42578125" customWidth="1"/>
    <col min="11778" max="11778" width="13.85546875" customWidth="1"/>
    <col min="11780" max="11780" width="10.140625" customWidth="1"/>
    <col min="11781" max="11783" width="11" customWidth="1"/>
    <col min="11784" max="11784" width="9.28515625" bestFit="1" customWidth="1"/>
    <col min="11785" max="11785" width="9.28515625" customWidth="1"/>
    <col min="11786" max="11787" width="9.28515625" bestFit="1" customWidth="1"/>
    <col min="11788" max="11788" width="7.85546875" customWidth="1"/>
    <col min="11789" max="11789" width="9.28515625" bestFit="1" customWidth="1"/>
    <col min="11790" max="11790" width="9.5703125" bestFit="1" customWidth="1"/>
    <col min="11791" max="11791" width="11" customWidth="1"/>
    <col min="12033" max="12033" width="30.42578125" customWidth="1"/>
    <col min="12034" max="12034" width="13.85546875" customWidth="1"/>
    <col min="12036" max="12036" width="10.140625" customWidth="1"/>
    <col min="12037" max="12039" width="11" customWidth="1"/>
    <col min="12040" max="12040" width="9.28515625" bestFit="1" customWidth="1"/>
    <col min="12041" max="12041" width="9.28515625" customWidth="1"/>
    <col min="12042" max="12043" width="9.28515625" bestFit="1" customWidth="1"/>
    <col min="12044" max="12044" width="7.85546875" customWidth="1"/>
    <col min="12045" max="12045" width="9.28515625" bestFit="1" customWidth="1"/>
    <col min="12046" max="12046" width="9.5703125" bestFit="1" customWidth="1"/>
    <col min="12047" max="12047" width="11" customWidth="1"/>
    <col min="12289" max="12289" width="30.42578125" customWidth="1"/>
    <col min="12290" max="12290" width="13.85546875" customWidth="1"/>
    <col min="12292" max="12292" width="10.140625" customWidth="1"/>
    <col min="12293" max="12295" width="11" customWidth="1"/>
    <col min="12296" max="12296" width="9.28515625" bestFit="1" customWidth="1"/>
    <col min="12297" max="12297" width="9.28515625" customWidth="1"/>
    <col min="12298" max="12299" width="9.28515625" bestFit="1" customWidth="1"/>
    <col min="12300" max="12300" width="7.85546875" customWidth="1"/>
    <col min="12301" max="12301" width="9.28515625" bestFit="1" customWidth="1"/>
    <col min="12302" max="12302" width="9.5703125" bestFit="1" customWidth="1"/>
    <col min="12303" max="12303" width="11" customWidth="1"/>
    <col min="12545" max="12545" width="30.42578125" customWidth="1"/>
    <col min="12546" max="12546" width="13.85546875" customWidth="1"/>
    <col min="12548" max="12548" width="10.140625" customWidth="1"/>
    <col min="12549" max="12551" width="11" customWidth="1"/>
    <col min="12552" max="12552" width="9.28515625" bestFit="1" customWidth="1"/>
    <col min="12553" max="12553" width="9.28515625" customWidth="1"/>
    <col min="12554" max="12555" width="9.28515625" bestFit="1" customWidth="1"/>
    <col min="12556" max="12556" width="7.85546875" customWidth="1"/>
    <col min="12557" max="12557" width="9.28515625" bestFit="1" customWidth="1"/>
    <col min="12558" max="12558" width="9.5703125" bestFit="1" customWidth="1"/>
    <col min="12559" max="12559" width="11" customWidth="1"/>
    <col min="12801" max="12801" width="30.42578125" customWidth="1"/>
    <col min="12802" max="12802" width="13.85546875" customWidth="1"/>
    <col min="12804" max="12804" width="10.140625" customWidth="1"/>
    <col min="12805" max="12807" width="11" customWidth="1"/>
    <col min="12808" max="12808" width="9.28515625" bestFit="1" customWidth="1"/>
    <col min="12809" max="12809" width="9.28515625" customWidth="1"/>
    <col min="12810" max="12811" width="9.28515625" bestFit="1" customWidth="1"/>
    <col min="12812" max="12812" width="7.85546875" customWidth="1"/>
    <col min="12813" max="12813" width="9.28515625" bestFit="1" customWidth="1"/>
    <col min="12814" max="12814" width="9.5703125" bestFit="1" customWidth="1"/>
    <col min="12815" max="12815" width="11" customWidth="1"/>
    <col min="13057" max="13057" width="30.42578125" customWidth="1"/>
    <col min="13058" max="13058" width="13.85546875" customWidth="1"/>
    <col min="13060" max="13060" width="10.140625" customWidth="1"/>
    <col min="13061" max="13063" width="11" customWidth="1"/>
    <col min="13064" max="13064" width="9.28515625" bestFit="1" customWidth="1"/>
    <col min="13065" max="13065" width="9.28515625" customWidth="1"/>
    <col min="13066" max="13067" width="9.28515625" bestFit="1" customWidth="1"/>
    <col min="13068" max="13068" width="7.85546875" customWidth="1"/>
    <col min="13069" max="13069" width="9.28515625" bestFit="1" customWidth="1"/>
    <col min="13070" max="13070" width="9.5703125" bestFit="1" customWidth="1"/>
    <col min="13071" max="13071" width="11" customWidth="1"/>
    <col min="13313" max="13313" width="30.42578125" customWidth="1"/>
    <col min="13314" max="13314" width="13.85546875" customWidth="1"/>
    <col min="13316" max="13316" width="10.140625" customWidth="1"/>
    <col min="13317" max="13319" width="11" customWidth="1"/>
    <col min="13320" max="13320" width="9.28515625" bestFit="1" customWidth="1"/>
    <col min="13321" max="13321" width="9.28515625" customWidth="1"/>
    <col min="13322" max="13323" width="9.28515625" bestFit="1" customWidth="1"/>
    <col min="13324" max="13324" width="7.85546875" customWidth="1"/>
    <col min="13325" max="13325" width="9.28515625" bestFit="1" customWidth="1"/>
    <col min="13326" max="13326" width="9.5703125" bestFit="1" customWidth="1"/>
    <col min="13327" max="13327" width="11" customWidth="1"/>
    <col min="13569" max="13569" width="30.42578125" customWidth="1"/>
    <col min="13570" max="13570" width="13.85546875" customWidth="1"/>
    <col min="13572" max="13572" width="10.140625" customWidth="1"/>
    <col min="13573" max="13575" width="11" customWidth="1"/>
    <col min="13576" max="13576" width="9.28515625" bestFit="1" customWidth="1"/>
    <col min="13577" max="13577" width="9.28515625" customWidth="1"/>
    <col min="13578" max="13579" width="9.28515625" bestFit="1" customWidth="1"/>
    <col min="13580" max="13580" width="7.85546875" customWidth="1"/>
    <col min="13581" max="13581" width="9.28515625" bestFit="1" customWidth="1"/>
    <col min="13582" max="13582" width="9.5703125" bestFit="1" customWidth="1"/>
    <col min="13583" max="13583" width="11" customWidth="1"/>
    <col min="13825" max="13825" width="30.42578125" customWidth="1"/>
    <col min="13826" max="13826" width="13.85546875" customWidth="1"/>
    <col min="13828" max="13828" width="10.140625" customWidth="1"/>
    <col min="13829" max="13831" width="11" customWidth="1"/>
    <col min="13832" max="13832" width="9.28515625" bestFit="1" customWidth="1"/>
    <col min="13833" max="13833" width="9.28515625" customWidth="1"/>
    <col min="13834" max="13835" width="9.28515625" bestFit="1" customWidth="1"/>
    <col min="13836" max="13836" width="7.85546875" customWidth="1"/>
    <col min="13837" max="13837" width="9.28515625" bestFit="1" customWidth="1"/>
    <col min="13838" max="13838" width="9.5703125" bestFit="1" customWidth="1"/>
    <col min="13839" max="13839" width="11" customWidth="1"/>
    <col min="14081" max="14081" width="30.42578125" customWidth="1"/>
    <col min="14082" max="14082" width="13.85546875" customWidth="1"/>
    <col min="14084" max="14084" width="10.140625" customWidth="1"/>
    <col min="14085" max="14087" width="11" customWidth="1"/>
    <col min="14088" max="14088" width="9.28515625" bestFit="1" customWidth="1"/>
    <col min="14089" max="14089" width="9.28515625" customWidth="1"/>
    <col min="14090" max="14091" width="9.28515625" bestFit="1" customWidth="1"/>
    <col min="14092" max="14092" width="7.85546875" customWidth="1"/>
    <col min="14093" max="14093" width="9.28515625" bestFit="1" customWidth="1"/>
    <col min="14094" max="14094" width="9.5703125" bestFit="1" customWidth="1"/>
    <col min="14095" max="14095" width="11" customWidth="1"/>
    <col min="14337" max="14337" width="30.42578125" customWidth="1"/>
    <col min="14338" max="14338" width="13.85546875" customWidth="1"/>
    <col min="14340" max="14340" width="10.140625" customWidth="1"/>
    <col min="14341" max="14343" width="11" customWidth="1"/>
    <col min="14344" max="14344" width="9.28515625" bestFit="1" customWidth="1"/>
    <col min="14345" max="14345" width="9.28515625" customWidth="1"/>
    <col min="14346" max="14347" width="9.28515625" bestFit="1" customWidth="1"/>
    <col min="14348" max="14348" width="7.85546875" customWidth="1"/>
    <col min="14349" max="14349" width="9.28515625" bestFit="1" customWidth="1"/>
    <col min="14350" max="14350" width="9.5703125" bestFit="1" customWidth="1"/>
    <col min="14351" max="14351" width="11" customWidth="1"/>
    <col min="14593" max="14593" width="30.42578125" customWidth="1"/>
    <col min="14594" max="14594" width="13.85546875" customWidth="1"/>
    <col min="14596" max="14596" width="10.140625" customWidth="1"/>
    <col min="14597" max="14599" width="11" customWidth="1"/>
    <col min="14600" max="14600" width="9.28515625" bestFit="1" customWidth="1"/>
    <col min="14601" max="14601" width="9.28515625" customWidth="1"/>
    <col min="14602" max="14603" width="9.28515625" bestFit="1" customWidth="1"/>
    <col min="14604" max="14604" width="7.85546875" customWidth="1"/>
    <col min="14605" max="14605" width="9.28515625" bestFit="1" customWidth="1"/>
    <col min="14606" max="14606" width="9.5703125" bestFit="1" customWidth="1"/>
    <col min="14607" max="14607" width="11" customWidth="1"/>
    <col min="14849" max="14849" width="30.42578125" customWidth="1"/>
    <col min="14850" max="14850" width="13.85546875" customWidth="1"/>
    <col min="14852" max="14852" width="10.140625" customWidth="1"/>
    <col min="14853" max="14855" width="11" customWidth="1"/>
    <col min="14856" max="14856" width="9.28515625" bestFit="1" customWidth="1"/>
    <col min="14857" max="14857" width="9.28515625" customWidth="1"/>
    <col min="14858" max="14859" width="9.28515625" bestFit="1" customWidth="1"/>
    <col min="14860" max="14860" width="7.85546875" customWidth="1"/>
    <col min="14861" max="14861" width="9.28515625" bestFit="1" customWidth="1"/>
    <col min="14862" max="14862" width="9.5703125" bestFit="1" customWidth="1"/>
    <col min="14863" max="14863" width="11" customWidth="1"/>
    <col min="15105" max="15105" width="30.42578125" customWidth="1"/>
    <col min="15106" max="15106" width="13.85546875" customWidth="1"/>
    <col min="15108" max="15108" width="10.140625" customWidth="1"/>
    <col min="15109" max="15111" width="11" customWidth="1"/>
    <col min="15112" max="15112" width="9.28515625" bestFit="1" customWidth="1"/>
    <col min="15113" max="15113" width="9.28515625" customWidth="1"/>
    <col min="15114" max="15115" width="9.28515625" bestFit="1" customWidth="1"/>
    <col min="15116" max="15116" width="7.85546875" customWidth="1"/>
    <col min="15117" max="15117" width="9.28515625" bestFit="1" customWidth="1"/>
    <col min="15118" max="15118" width="9.5703125" bestFit="1" customWidth="1"/>
    <col min="15119" max="15119" width="11" customWidth="1"/>
    <col min="15361" max="15361" width="30.42578125" customWidth="1"/>
    <col min="15362" max="15362" width="13.85546875" customWidth="1"/>
    <col min="15364" max="15364" width="10.140625" customWidth="1"/>
    <col min="15365" max="15367" width="11" customWidth="1"/>
    <col min="15368" max="15368" width="9.28515625" bestFit="1" customWidth="1"/>
    <col min="15369" max="15369" width="9.28515625" customWidth="1"/>
    <col min="15370" max="15371" width="9.28515625" bestFit="1" customWidth="1"/>
    <col min="15372" max="15372" width="7.85546875" customWidth="1"/>
    <col min="15373" max="15373" width="9.28515625" bestFit="1" customWidth="1"/>
    <col min="15374" max="15374" width="9.5703125" bestFit="1" customWidth="1"/>
    <col min="15375" max="15375" width="11" customWidth="1"/>
    <col min="15617" max="15617" width="30.42578125" customWidth="1"/>
    <col min="15618" max="15618" width="13.85546875" customWidth="1"/>
    <col min="15620" max="15620" width="10.140625" customWidth="1"/>
    <col min="15621" max="15623" width="11" customWidth="1"/>
    <col min="15624" max="15624" width="9.28515625" bestFit="1" customWidth="1"/>
    <col min="15625" max="15625" width="9.28515625" customWidth="1"/>
    <col min="15626" max="15627" width="9.28515625" bestFit="1" customWidth="1"/>
    <col min="15628" max="15628" width="7.85546875" customWidth="1"/>
    <col min="15629" max="15629" width="9.28515625" bestFit="1" customWidth="1"/>
    <col min="15630" max="15630" width="9.5703125" bestFit="1" customWidth="1"/>
    <col min="15631" max="15631" width="11" customWidth="1"/>
    <col min="15873" max="15873" width="30.42578125" customWidth="1"/>
    <col min="15874" max="15874" width="13.85546875" customWidth="1"/>
    <col min="15876" max="15876" width="10.140625" customWidth="1"/>
    <col min="15877" max="15879" width="11" customWidth="1"/>
    <col min="15880" max="15880" width="9.28515625" bestFit="1" customWidth="1"/>
    <col min="15881" max="15881" width="9.28515625" customWidth="1"/>
    <col min="15882" max="15883" width="9.28515625" bestFit="1" customWidth="1"/>
    <col min="15884" max="15884" width="7.85546875" customWidth="1"/>
    <col min="15885" max="15885" width="9.28515625" bestFit="1" customWidth="1"/>
    <col min="15886" max="15886" width="9.5703125" bestFit="1" customWidth="1"/>
    <col min="15887" max="15887" width="11" customWidth="1"/>
    <col min="16129" max="16129" width="30.42578125" customWidth="1"/>
    <col min="16130" max="16130" width="13.85546875" customWidth="1"/>
    <col min="16132" max="16132" width="10.140625" customWidth="1"/>
    <col min="16133" max="16135" width="11" customWidth="1"/>
    <col min="16136" max="16136" width="9.28515625" bestFit="1" customWidth="1"/>
    <col min="16137" max="16137" width="9.28515625" customWidth="1"/>
    <col min="16138" max="16139" width="9.28515625" bestFit="1" customWidth="1"/>
    <col min="16140" max="16140" width="7.85546875" customWidth="1"/>
    <col min="16141" max="16141" width="9.28515625" bestFit="1" customWidth="1"/>
    <col min="16142" max="16142" width="9.5703125" bestFit="1" customWidth="1"/>
    <col min="16143" max="16143" width="11" customWidth="1"/>
  </cols>
  <sheetData>
    <row r="1" spans="1:15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</row>
    <row r="2" spans="1:15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</row>
    <row r="4" spans="1:15">
      <c r="A4" s="46" t="s">
        <v>828</v>
      </c>
      <c r="B4" s="854" t="s">
        <v>5633</v>
      </c>
      <c r="C4" s="854"/>
      <c r="D4" s="854"/>
      <c r="E4" s="854" t="s">
        <v>830</v>
      </c>
      <c r="F4" s="854"/>
      <c r="G4" s="854"/>
      <c r="H4" s="854" t="s">
        <v>5634</v>
      </c>
      <c r="I4" s="854"/>
      <c r="J4" s="46" t="s">
        <v>5</v>
      </c>
      <c r="K4" s="46"/>
      <c r="L4" s="47">
        <v>502.35899999999998</v>
      </c>
      <c r="M4" s="46" t="s">
        <v>831</v>
      </c>
      <c r="N4" s="46"/>
      <c r="O4" s="47">
        <v>80</v>
      </c>
    </row>
    <row r="5" spans="1:15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>
      <c r="A6" s="46" t="s">
        <v>832</v>
      </c>
      <c r="B6" s="854" t="s">
        <v>5635</v>
      </c>
      <c r="C6" s="854"/>
      <c r="D6" s="854"/>
      <c r="E6" s="854" t="s">
        <v>176</v>
      </c>
      <c r="F6" s="854"/>
      <c r="G6" s="854"/>
      <c r="H6" s="854" t="s">
        <v>5636</v>
      </c>
      <c r="I6" s="854"/>
      <c r="J6" s="854"/>
      <c r="K6" s="46"/>
      <c r="L6" s="46"/>
      <c r="M6" s="46"/>
      <c r="N6" s="46"/>
      <c r="O6" s="46"/>
    </row>
    <row r="7" spans="1: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</row>
    <row r="8" spans="1:15">
      <c r="A8" s="46" t="s">
        <v>835</v>
      </c>
      <c r="B8" s="854" t="s">
        <v>5610</v>
      </c>
      <c r="C8" s="854"/>
      <c r="D8" s="854"/>
      <c r="E8" s="967" t="s">
        <v>5519</v>
      </c>
      <c r="F8" s="989"/>
      <c r="G8" s="940"/>
      <c r="H8" s="854" t="s">
        <v>5637</v>
      </c>
      <c r="I8" s="854"/>
      <c r="J8" s="854"/>
      <c r="K8" s="854"/>
      <c r="L8" s="854"/>
      <c r="M8" s="46"/>
      <c r="N8" s="46"/>
      <c r="O8" s="46"/>
    </row>
    <row r="9" spans="1:15">
      <c r="A9" s="46"/>
      <c r="B9" s="46"/>
      <c r="C9" s="46"/>
      <c r="D9" s="46"/>
      <c r="E9" s="46"/>
      <c r="F9" s="46"/>
      <c r="G9" s="46"/>
      <c r="H9" s="48"/>
      <c r="I9" s="48"/>
      <c r="J9" s="48"/>
      <c r="K9" s="48"/>
      <c r="L9" s="48"/>
      <c r="M9" s="46"/>
      <c r="N9" s="46"/>
      <c r="O9" s="46"/>
    </row>
    <row r="10" spans="1:1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15">
      <c r="A11" s="47" t="s">
        <v>838</v>
      </c>
      <c r="B11" s="854" t="s">
        <v>5638</v>
      </c>
      <c r="C11" s="854"/>
      <c r="D11" s="854" t="s">
        <v>5639</v>
      </c>
      <c r="E11" s="854"/>
      <c r="F11" s="854"/>
      <c r="G11" s="854"/>
      <c r="H11" s="854" t="s">
        <v>5640</v>
      </c>
      <c r="I11" s="854"/>
      <c r="J11" s="854"/>
      <c r="K11" s="854"/>
      <c r="L11" s="854"/>
      <c r="M11" s="854"/>
      <c r="N11" s="854"/>
      <c r="O11" s="46"/>
    </row>
    <row r="12" spans="1:15">
      <c r="A12" s="47" t="s">
        <v>840</v>
      </c>
      <c r="B12" s="854" t="s">
        <v>5641</v>
      </c>
      <c r="C12" s="854"/>
      <c r="D12" s="854" t="s">
        <v>5642</v>
      </c>
      <c r="E12" s="854"/>
      <c r="F12" s="854"/>
      <c r="G12" s="854"/>
      <c r="H12" s="854" t="s">
        <v>5643</v>
      </c>
      <c r="I12" s="854"/>
      <c r="J12" s="854"/>
      <c r="K12" s="854"/>
      <c r="L12" s="854"/>
      <c r="M12" s="854"/>
      <c r="N12" s="854"/>
      <c r="O12" s="46"/>
    </row>
    <row r="13" spans="1:15">
      <c r="A13" s="47" t="s">
        <v>844</v>
      </c>
      <c r="B13" s="1155" t="s">
        <v>5644</v>
      </c>
      <c r="C13" s="917"/>
      <c r="D13" s="843"/>
      <c r="E13" s="870"/>
      <c r="F13" s="870"/>
      <c r="G13" s="844"/>
      <c r="H13" s="854" t="s">
        <v>5645</v>
      </c>
      <c r="I13" s="854"/>
      <c r="J13" s="854"/>
      <c r="K13" s="854"/>
      <c r="L13" s="854"/>
      <c r="M13" s="854"/>
      <c r="N13" s="854"/>
      <c r="O13" s="46"/>
    </row>
    <row r="14" spans="1:15">
      <c r="A14" s="47" t="s">
        <v>850</v>
      </c>
      <c r="B14" s="854"/>
      <c r="C14" s="854"/>
      <c r="D14" s="854"/>
      <c r="E14" s="854"/>
      <c r="F14" s="854"/>
      <c r="G14" s="854"/>
      <c r="H14" s="854"/>
      <c r="I14" s="854"/>
      <c r="J14" s="854"/>
      <c r="K14" s="854"/>
      <c r="L14" s="854"/>
      <c r="M14" s="854"/>
      <c r="N14" s="854"/>
      <c r="O14" s="46"/>
    </row>
    <row r="15" spans="1:1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</row>
    <row r="16" spans="1:15">
      <c r="A16" s="46" t="s">
        <v>852</v>
      </c>
      <c r="B16" s="47">
        <v>3</v>
      </c>
      <c r="C16" s="46" t="s">
        <v>853</v>
      </c>
      <c r="D16" s="46"/>
      <c r="E16" s="522">
        <v>3</v>
      </c>
      <c r="F16" s="540"/>
      <c r="H16" s="46" t="s">
        <v>643</v>
      </c>
      <c r="I16" s="522">
        <v>4</v>
      </c>
      <c r="J16" s="46" t="s">
        <v>644</v>
      </c>
      <c r="K16" s="47">
        <v>0</v>
      </c>
      <c r="L16" s="46" t="s">
        <v>645</v>
      </c>
      <c r="M16" s="47"/>
      <c r="N16" s="46"/>
      <c r="O16" s="46"/>
    </row>
    <row r="17" spans="1:1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1:1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>
      <c r="A19" s="46" t="s">
        <v>854</v>
      </c>
      <c r="B19" s="46" t="s">
        <v>204</v>
      </c>
      <c r="C19" s="47">
        <v>52</v>
      </c>
      <c r="D19" s="46" t="s">
        <v>205</v>
      </c>
      <c r="E19" s="47"/>
      <c r="F19" s="84"/>
      <c r="G19" s="49" t="s">
        <v>206</v>
      </c>
      <c r="H19" s="47"/>
      <c r="I19" s="46" t="s">
        <v>230</v>
      </c>
      <c r="J19" s="47">
        <v>52</v>
      </c>
      <c r="K19" s="46" t="s">
        <v>207</v>
      </c>
      <c r="L19" s="47">
        <v>27</v>
      </c>
      <c r="M19" s="46" t="s">
        <v>855</v>
      </c>
      <c r="N19" s="46"/>
      <c r="O19" s="47"/>
    </row>
    <row r="20" spans="1:15">
      <c r="A20" s="46" t="s">
        <v>209</v>
      </c>
      <c r="B20" s="46" t="s">
        <v>210</v>
      </c>
      <c r="C20" s="47">
        <v>152</v>
      </c>
      <c r="D20" s="46" t="s">
        <v>211</v>
      </c>
      <c r="E20" s="47"/>
      <c r="F20" s="84"/>
      <c r="G20" s="49" t="s">
        <v>212</v>
      </c>
      <c r="H20" s="47"/>
      <c r="I20" s="46" t="s">
        <v>411</v>
      </c>
      <c r="J20" s="47">
        <v>152</v>
      </c>
      <c r="K20" s="46"/>
      <c r="L20" s="46"/>
      <c r="M20" s="46"/>
      <c r="N20" s="46"/>
      <c r="O20" s="46"/>
    </row>
    <row r="21" spans="1:15">
      <c r="A21" s="46"/>
      <c r="B21" s="46" t="s">
        <v>858</v>
      </c>
      <c r="C21" s="47">
        <v>140</v>
      </c>
      <c r="D21" s="46" t="s">
        <v>214</v>
      </c>
      <c r="E21" s="47"/>
      <c r="F21" s="84"/>
      <c r="G21" s="46" t="s">
        <v>215</v>
      </c>
      <c r="H21" s="47"/>
      <c r="I21" s="46" t="s">
        <v>410</v>
      </c>
      <c r="J21" s="47">
        <v>140</v>
      </c>
      <c r="K21" s="46"/>
      <c r="L21" s="46"/>
      <c r="M21" s="46"/>
      <c r="N21" s="46"/>
      <c r="O21" s="46"/>
    </row>
    <row r="22" spans="1:1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</row>
    <row r="23" spans="1:15">
      <c r="A23" s="50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</row>
    <row r="24" spans="1:15" ht="30" customHeight="1">
      <c r="A24" s="1152" t="s">
        <v>861</v>
      </c>
      <c r="B24" s="1153" t="s">
        <v>5532</v>
      </c>
      <c r="C24" s="1153" t="s">
        <v>219</v>
      </c>
      <c r="D24" s="1153" t="s">
        <v>863</v>
      </c>
      <c r="E24" s="1153" t="s">
        <v>864</v>
      </c>
      <c r="F24" s="555"/>
      <c r="G24" s="1151" t="s">
        <v>865</v>
      </c>
      <c r="H24" s="1151"/>
      <c r="I24" s="1151"/>
      <c r="J24" s="1151"/>
      <c r="K24" s="1151"/>
      <c r="L24" s="1151"/>
      <c r="M24" s="1151"/>
      <c r="N24" s="1151"/>
      <c r="O24" s="1151"/>
    </row>
    <row r="25" spans="1:15" ht="28.5" customHeight="1">
      <c r="A25" s="1152"/>
      <c r="B25" s="1153"/>
      <c r="C25" s="1153"/>
      <c r="D25" s="1153"/>
      <c r="E25" s="1153"/>
      <c r="F25" s="491" t="s">
        <v>1180</v>
      </c>
      <c r="G25" s="491" t="s">
        <v>1179</v>
      </c>
      <c r="H25" s="491" t="s">
        <v>1178</v>
      </c>
      <c r="I25" s="491">
        <v>3</v>
      </c>
      <c r="J25" s="491">
        <v>4</v>
      </c>
      <c r="K25" s="491">
        <v>5</v>
      </c>
      <c r="L25" s="491">
        <v>6</v>
      </c>
      <c r="M25" s="491">
        <v>7</v>
      </c>
      <c r="N25" s="491" t="s">
        <v>230</v>
      </c>
      <c r="O25" s="491" t="s">
        <v>662</v>
      </c>
    </row>
    <row r="26" spans="1:15">
      <c r="A26" s="491" t="s">
        <v>232</v>
      </c>
      <c r="B26" s="491">
        <v>8000</v>
      </c>
      <c r="C26" s="492" t="s">
        <v>873</v>
      </c>
      <c r="D26" s="493">
        <f>+B26*L4/100000</f>
        <v>40.188720000000004</v>
      </c>
      <c r="E26" s="494">
        <f>1530000/100000</f>
        <v>15.3</v>
      </c>
      <c r="F26" s="494"/>
      <c r="G26" s="495">
        <f>484800/100000</f>
        <v>4.8479999999999999</v>
      </c>
      <c r="H26" s="495">
        <f>842840/100000</f>
        <v>8.4283999999999999</v>
      </c>
      <c r="I26" s="495"/>
      <c r="J26" s="495"/>
      <c r="K26" s="495"/>
      <c r="L26" s="495"/>
      <c r="M26" s="495"/>
      <c r="N26" s="494">
        <f>+G26+H26</f>
        <v>13.276399999999999</v>
      </c>
      <c r="O26" s="495">
        <f>+N26*100/E26</f>
        <v>86.77385620915031</v>
      </c>
    </row>
    <row r="27" spans="1:15">
      <c r="A27" s="491" t="s">
        <v>874</v>
      </c>
      <c r="B27" s="491">
        <v>7000</v>
      </c>
      <c r="C27" s="496" t="s">
        <v>873</v>
      </c>
      <c r="D27" s="495">
        <f>+B27*80/100000</f>
        <v>5.6</v>
      </c>
      <c r="E27" s="495">
        <v>0</v>
      </c>
      <c r="F27" s="495"/>
      <c r="G27" s="495">
        <v>0</v>
      </c>
      <c r="H27" s="495">
        <v>0</v>
      </c>
      <c r="I27" s="495"/>
      <c r="J27" s="495"/>
      <c r="K27" s="495"/>
      <c r="L27" s="495"/>
      <c r="M27" s="495"/>
      <c r="N27" s="495">
        <f t="shared" ref="N27:N34" si="0">+G27+H27</f>
        <v>0</v>
      </c>
      <c r="O27" s="495">
        <v>0</v>
      </c>
    </row>
    <row r="28" spans="1:15">
      <c r="A28" s="491" t="s">
        <v>235</v>
      </c>
      <c r="B28" s="491">
        <v>43000</v>
      </c>
      <c r="C28" s="496" t="s">
        <v>5388</v>
      </c>
      <c r="D28" s="495">
        <v>0.43</v>
      </c>
      <c r="E28" s="494">
        <f>35000/100000</f>
        <v>0.35</v>
      </c>
      <c r="F28" s="494"/>
      <c r="G28" s="495">
        <f>5440/100000</f>
        <v>5.4399999999999997E-2</v>
      </c>
      <c r="H28" s="495">
        <f>16160/100000</f>
        <v>0.16159999999999999</v>
      </c>
      <c r="I28" s="495"/>
      <c r="J28" s="495"/>
      <c r="K28" s="495"/>
      <c r="L28" s="495"/>
      <c r="M28" s="495"/>
      <c r="N28" s="494">
        <f t="shared" si="0"/>
        <v>0.216</v>
      </c>
      <c r="O28" s="495">
        <f t="shared" ref="O28:O35" si="1">+N28*100/E28</f>
        <v>61.714285714285722</v>
      </c>
    </row>
    <row r="29" spans="1:15">
      <c r="A29" s="491" t="s">
        <v>875</v>
      </c>
      <c r="B29" s="491">
        <v>34000</v>
      </c>
      <c r="C29" s="496" t="s">
        <v>5388</v>
      </c>
      <c r="D29" s="495">
        <v>0.34</v>
      </c>
      <c r="E29" s="494">
        <f>16000/100000</f>
        <v>0.16</v>
      </c>
      <c r="F29" s="494"/>
      <c r="G29" s="495">
        <f>16000/100000</f>
        <v>0.16</v>
      </c>
      <c r="H29" s="495">
        <v>0</v>
      </c>
      <c r="I29" s="495"/>
      <c r="J29" s="495"/>
      <c r="K29" s="495"/>
      <c r="L29" s="495"/>
      <c r="M29" s="495"/>
      <c r="N29" s="494">
        <f t="shared" si="0"/>
        <v>0.16</v>
      </c>
      <c r="O29" s="495">
        <f t="shared" si="1"/>
        <v>100</v>
      </c>
    </row>
    <row r="30" spans="1:15">
      <c r="A30" s="491" t="s">
        <v>238</v>
      </c>
      <c r="B30" s="491">
        <v>1200</v>
      </c>
      <c r="C30" s="496" t="s">
        <v>873</v>
      </c>
      <c r="D30" s="495">
        <f>+B30*L4/100000</f>
        <v>6.0283079999999991</v>
      </c>
      <c r="E30" s="494">
        <f>200000/100000</f>
        <v>2</v>
      </c>
      <c r="F30" s="494"/>
      <c r="G30" s="495">
        <v>0</v>
      </c>
      <c r="H30" s="495">
        <f>50000/100000</f>
        <v>0.5</v>
      </c>
      <c r="I30" s="495"/>
      <c r="J30" s="495"/>
      <c r="K30" s="495"/>
      <c r="L30" s="495"/>
      <c r="M30" s="495"/>
      <c r="N30" s="494">
        <f t="shared" si="0"/>
        <v>0.5</v>
      </c>
      <c r="O30" s="495">
        <f t="shared" si="1"/>
        <v>25</v>
      </c>
    </row>
    <row r="31" spans="1:15">
      <c r="A31" s="491" t="s">
        <v>667</v>
      </c>
      <c r="B31" s="491">
        <v>565</v>
      </c>
      <c r="C31" s="496" t="s">
        <v>873</v>
      </c>
      <c r="D31" s="495">
        <f>+B31*L4/100000</f>
        <v>2.8383283499999998</v>
      </c>
      <c r="E31" s="494">
        <f>302106/100000</f>
        <v>3.0210599999999999</v>
      </c>
      <c r="F31" s="494"/>
      <c r="G31" s="495">
        <f>302106/100000</f>
        <v>3.0210599999999999</v>
      </c>
      <c r="H31" s="495">
        <v>0</v>
      </c>
      <c r="I31" s="495"/>
      <c r="J31" s="495"/>
      <c r="K31" s="495"/>
      <c r="L31" s="495"/>
      <c r="M31" s="495"/>
      <c r="N31" s="494">
        <f t="shared" si="0"/>
        <v>3.0210599999999999</v>
      </c>
      <c r="O31" s="495">
        <f t="shared" si="1"/>
        <v>100</v>
      </c>
    </row>
    <row r="32" spans="1:15">
      <c r="A32" s="491" t="s">
        <v>876</v>
      </c>
      <c r="B32" s="491">
        <v>1000</v>
      </c>
      <c r="C32" s="496" t="s">
        <v>873</v>
      </c>
      <c r="D32" s="495">
        <f>+B32*L4/100000</f>
        <v>5.0235900000000004</v>
      </c>
      <c r="E32" s="495">
        <v>0</v>
      </c>
      <c r="F32" s="495"/>
      <c r="G32" s="495">
        <v>0</v>
      </c>
      <c r="H32" s="495">
        <v>0</v>
      </c>
      <c r="I32" s="495"/>
      <c r="J32" s="495"/>
      <c r="K32" s="495"/>
      <c r="L32" s="495"/>
      <c r="M32" s="495"/>
      <c r="N32" s="495">
        <f t="shared" si="0"/>
        <v>0</v>
      </c>
      <c r="O32" s="495">
        <v>0</v>
      </c>
    </row>
    <row r="33" spans="1:15">
      <c r="A33" s="491" t="s">
        <v>394</v>
      </c>
      <c r="B33" s="491">
        <v>2750</v>
      </c>
      <c r="C33" s="496" t="s">
        <v>5486</v>
      </c>
      <c r="D33" s="94">
        <f>66000/100000+1.687</f>
        <v>2.347</v>
      </c>
      <c r="E33" s="494">
        <f>66000/100000</f>
        <v>0.66</v>
      </c>
      <c r="F33" s="494"/>
      <c r="G33" s="495">
        <f>29000/100000</f>
        <v>0.28999999999999998</v>
      </c>
      <c r="H33" s="495">
        <f>37000/100000</f>
        <v>0.37</v>
      </c>
      <c r="I33" s="495"/>
      <c r="J33" s="495"/>
      <c r="K33" s="495"/>
      <c r="L33" s="495"/>
      <c r="M33" s="495"/>
      <c r="N33" s="494">
        <f t="shared" si="0"/>
        <v>0.65999999999999992</v>
      </c>
      <c r="O33" s="495">
        <f t="shared" si="1"/>
        <v>99.999999999999972</v>
      </c>
    </row>
    <row r="34" spans="1:15">
      <c r="A34" s="498" t="s">
        <v>670</v>
      </c>
      <c r="B34" s="499">
        <v>2000</v>
      </c>
      <c r="C34" s="496" t="s">
        <v>244</v>
      </c>
      <c r="D34" s="494">
        <v>0.1</v>
      </c>
      <c r="E34" s="501">
        <v>0.1</v>
      </c>
      <c r="F34" s="494"/>
      <c r="G34" s="495">
        <v>0</v>
      </c>
      <c r="H34" s="501">
        <v>0.1</v>
      </c>
      <c r="I34" s="495"/>
      <c r="J34" s="495"/>
      <c r="K34" s="495"/>
      <c r="L34" s="495"/>
      <c r="M34" s="495"/>
      <c r="N34" s="494">
        <f t="shared" si="0"/>
        <v>0.1</v>
      </c>
      <c r="O34" s="495">
        <f t="shared" si="1"/>
        <v>100</v>
      </c>
    </row>
    <row r="35" spans="1:15">
      <c r="A35" s="69" t="s">
        <v>5550</v>
      </c>
      <c r="B35" s="70">
        <f>SUM(B26:B33)</f>
        <v>97515</v>
      </c>
      <c r="C35" s="70"/>
      <c r="D35" s="88">
        <f>SUM(D26:D34)</f>
        <v>62.895946350000003</v>
      </c>
      <c r="E35" s="88">
        <f t="shared" ref="E35:M35" si="2">SUM(E26:E34)</f>
        <v>21.591060000000002</v>
      </c>
      <c r="F35" s="88">
        <f t="shared" si="2"/>
        <v>0</v>
      </c>
      <c r="G35" s="88">
        <f t="shared" si="2"/>
        <v>8.3734599999999997</v>
      </c>
      <c r="H35" s="88">
        <f t="shared" si="2"/>
        <v>9.5599999999999987</v>
      </c>
      <c r="I35" s="88">
        <f t="shared" si="2"/>
        <v>0</v>
      </c>
      <c r="J35" s="88">
        <f t="shared" si="2"/>
        <v>0</v>
      </c>
      <c r="K35" s="88">
        <f t="shared" si="2"/>
        <v>0</v>
      </c>
      <c r="L35" s="88">
        <f t="shared" si="2"/>
        <v>0</v>
      </c>
      <c r="M35" s="88">
        <f t="shared" si="2"/>
        <v>0</v>
      </c>
      <c r="N35" s="88">
        <f>SUM(N26:N34)</f>
        <v>17.93346</v>
      </c>
      <c r="O35" s="508">
        <f t="shared" si="1"/>
        <v>83.059655246199114</v>
      </c>
    </row>
  </sheetData>
  <mergeCells count="34">
    <mergeCell ref="B6:D6"/>
    <mergeCell ref="E6:G6"/>
    <mergeCell ref="H6:J6"/>
    <mergeCell ref="A1:O1"/>
    <mergeCell ref="A2:O2"/>
    <mergeCell ref="B4:D4"/>
    <mergeCell ref="E4:G4"/>
    <mergeCell ref="H4:I4"/>
    <mergeCell ref="A5:C5"/>
    <mergeCell ref="B8:D8"/>
    <mergeCell ref="E8:G8"/>
    <mergeCell ref="H8:L8"/>
    <mergeCell ref="B11:C11"/>
    <mergeCell ref="D11:G11"/>
    <mergeCell ref="H11:J11"/>
    <mergeCell ref="K11:N11"/>
    <mergeCell ref="B12:C12"/>
    <mergeCell ref="D12:G12"/>
    <mergeCell ref="H12:J12"/>
    <mergeCell ref="K12:N12"/>
    <mergeCell ref="B13:C13"/>
    <mergeCell ref="D13:G13"/>
    <mergeCell ref="H13:J13"/>
    <mergeCell ref="K13:N13"/>
    <mergeCell ref="B14:C14"/>
    <mergeCell ref="D14:G14"/>
    <mergeCell ref="H14:J14"/>
    <mergeCell ref="K14:N14"/>
    <mergeCell ref="A24:A25"/>
    <mergeCell ref="B24:B25"/>
    <mergeCell ref="C24:C25"/>
    <mergeCell ref="D24:D25"/>
    <mergeCell ref="E24:E25"/>
    <mergeCell ref="G24:O24"/>
  </mergeCells>
  <hyperlinks>
    <hyperlink ref="A5" location="'Fact Sheet of VDC'!A1" display="&lt;&lt;Back"/>
  </hyperlinks>
  <pageMargins left="0.7" right="0.7" top="0.75" bottom="0.75" header="0.3" footer="0.3"/>
  <pageSetup paperSize="9" scale="76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519</v>
      </c>
      <c r="H6" t="s">
        <v>437</v>
      </c>
      <c r="K6" t="s">
        <v>5716</v>
      </c>
      <c r="R6" t="s">
        <v>172</v>
      </c>
      <c r="T6">
        <v>526</v>
      </c>
      <c r="U6" t="s">
        <v>436</v>
      </c>
      <c r="W6">
        <v>120</v>
      </c>
    </row>
    <row r="9" spans="1:23">
      <c r="A9" t="s">
        <v>435</v>
      </c>
      <c r="D9" t="s">
        <v>518</v>
      </c>
      <c r="H9" t="s">
        <v>176</v>
      </c>
      <c r="K9" t="s">
        <v>517</v>
      </c>
    </row>
    <row r="12" spans="1:23">
      <c r="A12" t="s">
        <v>432</v>
      </c>
      <c r="H12" t="s">
        <v>431</v>
      </c>
      <c r="K12" t="s">
        <v>516</v>
      </c>
    </row>
    <row r="13" spans="1:23">
      <c r="H13" t="s">
        <v>429</v>
      </c>
    </row>
    <row r="17" spans="1:24">
      <c r="A17" t="s">
        <v>428</v>
      </c>
      <c r="D17" t="s">
        <v>515</v>
      </c>
      <c r="G17" t="s">
        <v>514</v>
      </c>
      <c r="K17" t="s">
        <v>513</v>
      </c>
      <c r="O17" t="s">
        <v>512</v>
      </c>
    </row>
    <row r="18" spans="1:24">
      <c r="A18" t="s">
        <v>425</v>
      </c>
      <c r="D18" t="s">
        <v>511</v>
      </c>
      <c r="G18" t="s">
        <v>510</v>
      </c>
      <c r="K18" t="s">
        <v>509</v>
      </c>
      <c r="O18" t="s">
        <v>508</v>
      </c>
    </row>
    <row r="19" spans="1:24">
      <c r="A19" t="s">
        <v>192</v>
      </c>
      <c r="D19" t="s">
        <v>507</v>
      </c>
      <c r="G19" t="s">
        <v>506</v>
      </c>
      <c r="K19" t="s">
        <v>505</v>
      </c>
      <c r="O19" t="s">
        <v>504</v>
      </c>
    </row>
    <row r="20" spans="1:24">
      <c r="A20" t="s">
        <v>420</v>
      </c>
      <c r="G20" t="s">
        <v>419</v>
      </c>
      <c r="O20" t="s">
        <v>419</v>
      </c>
    </row>
    <row r="23" spans="1:24">
      <c r="A23" t="s">
        <v>198</v>
      </c>
      <c r="E23">
        <v>4</v>
      </c>
      <c r="G23" t="s">
        <v>418</v>
      </c>
      <c r="J23">
        <v>4</v>
      </c>
      <c r="L23" t="s">
        <v>200</v>
      </c>
      <c r="N23">
        <v>10</v>
      </c>
      <c r="S23" t="s">
        <v>417</v>
      </c>
      <c r="U23">
        <v>2</v>
      </c>
      <c r="W23" t="s">
        <v>202</v>
      </c>
      <c r="X23">
        <v>36</v>
      </c>
    </row>
    <row r="26" spans="1:24">
      <c r="A26" t="s">
        <v>416</v>
      </c>
      <c r="D26" t="s">
        <v>204</v>
      </c>
      <c r="E26">
        <v>132</v>
      </c>
      <c r="G26" t="s">
        <v>205</v>
      </c>
      <c r="H26">
        <v>11</v>
      </c>
      <c r="J26" t="s">
        <v>415</v>
      </c>
      <c r="K26">
        <v>0</v>
      </c>
      <c r="M26" t="s">
        <v>230</v>
      </c>
      <c r="N26">
        <f>E26+H26+K26</f>
        <v>143</v>
      </c>
      <c r="S26" t="s">
        <v>414</v>
      </c>
      <c r="T26">
        <v>44</v>
      </c>
      <c r="V26" t="s">
        <v>503</v>
      </c>
    </row>
    <row r="27" spans="1:24">
      <c r="A27" t="s">
        <v>412</v>
      </c>
      <c r="D27" t="s">
        <v>210</v>
      </c>
      <c r="E27">
        <v>279</v>
      </c>
      <c r="G27" t="s">
        <v>211</v>
      </c>
      <c r="H27">
        <v>27</v>
      </c>
      <c r="J27" t="s">
        <v>212</v>
      </c>
      <c r="K27">
        <v>0</v>
      </c>
      <c r="M27" t="s">
        <v>411</v>
      </c>
      <c r="N27">
        <f>E27+H27+K27</f>
        <v>306</v>
      </c>
    </row>
    <row r="28" spans="1:24">
      <c r="D28" t="s">
        <v>213</v>
      </c>
      <c r="E28">
        <v>295</v>
      </c>
      <c r="G28" t="s">
        <v>214</v>
      </c>
      <c r="H28">
        <v>26</v>
      </c>
      <c r="J28" t="s">
        <v>215</v>
      </c>
      <c r="K28">
        <v>0</v>
      </c>
      <c r="M28" t="s">
        <v>410</v>
      </c>
      <c r="N28">
        <f>E28+H28+K28</f>
        <v>321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42.08</v>
      </c>
      <c r="G37">
        <v>4188000</v>
      </c>
      <c r="J37">
        <f>187270+170992</f>
        <v>358262</v>
      </c>
      <c r="L37">
        <v>1158444</v>
      </c>
      <c r="N37">
        <v>1045701</v>
      </c>
      <c r="S37">
        <v>74328</v>
      </c>
      <c r="U37">
        <v>512992</v>
      </c>
      <c r="X37">
        <f t="shared" ref="X37:X45" si="0">J37+L37+N37+S37+U37+W37</f>
        <v>3149727</v>
      </c>
      <c r="Y37">
        <f t="shared" ref="Y37:Y44" si="1">X37*100/G37</f>
        <v>75.20838108882522</v>
      </c>
    </row>
    <row r="38" spans="1:25">
      <c r="A38" t="s">
        <v>234</v>
      </c>
      <c r="D38">
        <v>7000</v>
      </c>
      <c r="E38" t="str">
        <f>+E37</f>
        <v>Hectare</v>
      </c>
      <c r="F38">
        <v>8.4</v>
      </c>
      <c r="G38">
        <v>710000</v>
      </c>
      <c r="J38">
        <v>24528</v>
      </c>
      <c r="L38">
        <v>150772</v>
      </c>
      <c r="N38">
        <v>169761</v>
      </c>
      <c r="S38">
        <v>304021</v>
      </c>
      <c r="U38">
        <v>93366</v>
      </c>
      <c r="X38">
        <f t="shared" si="0"/>
        <v>742448</v>
      </c>
      <c r="Y38">
        <f t="shared" si="1"/>
        <v>104.57014084507043</v>
      </c>
    </row>
    <row r="39" spans="1:25">
      <c r="A39" t="s">
        <v>397</v>
      </c>
      <c r="D39">
        <v>86</v>
      </c>
      <c r="E39" t="str">
        <f>+E38</f>
        <v>Hectare</v>
      </c>
      <c r="F39">
        <v>0.45</v>
      </c>
      <c r="G39">
        <v>43000</v>
      </c>
      <c r="J39">
        <v>2604</v>
      </c>
      <c r="L39">
        <v>1835</v>
      </c>
      <c r="N39">
        <v>34800</v>
      </c>
      <c r="S39">
        <v>4147</v>
      </c>
      <c r="U39">
        <v>1640</v>
      </c>
      <c r="X39">
        <f t="shared" si="0"/>
        <v>45026</v>
      </c>
      <c r="Y39">
        <f t="shared" si="1"/>
        <v>104.71162790697674</v>
      </c>
    </row>
    <row r="40" spans="1:25">
      <c r="A40" t="s">
        <v>396</v>
      </c>
      <c r="D40">
        <v>68</v>
      </c>
      <c r="E40" t="str">
        <f>+E39</f>
        <v>Hectare</v>
      </c>
      <c r="F40">
        <v>0.36</v>
      </c>
      <c r="G40">
        <v>34000</v>
      </c>
      <c r="J40">
        <v>3400</v>
      </c>
      <c r="L40">
        <v>16204</v>
      </c>
      <c r="N40">
        <v>2467</v>
      </c>
      <c r="S40">
        <v>12937</v>
      </c>
      <c r="U40">
        <v>0</v>
      </c>
      <c r="X40">
        <f t="shared" si="0"/>
        <v>35008</v>
      </c>
      <c r="Y40">
        <f t="shared" si="1"/>
        <v>102.96470588235294</v>
      </c>
    </row>
    <row r="41" spans="1:25">
      <c r="A41" t="s">
        <v>238</v>
      </c>
      <c r="D41">
        <v>1200</v>
      </c>
      <c r="E41" t="str">
        <f>+E38</f>
        <v>Hectare</v>
      </c>
      <c r="F41">
        <v>6.31</v>
      </c>
      <c r="G41">
        <v>510000</v>
      </c>
      <c r="J41">
        <v>0</v>
      </c>
      <c r="L41">
        <v>24400</v>
      </c>
      <c r="N41">
        <v>40260</v>
      </c>
      <c r="S41">
        <v>333227</v>
      </c>
      <c r="U41">
        <v>111659</v>
      </c>
      <c r="X41">
        <f t="shared" si="0"/>
        <v>509546</v>
      </c>
      <c r="Y41">
        <f t="shared" si="1"/>
        <v>99.910980392156858</v>
      </c>
    </row>
    <row r="42" spans="1:25">
      <c r="A42" t="s">
        <v>395</v>
      </c>
      <c r="D42">
        <v>565</v>
      </c>
      <c r="E42" t="str">
        <f>+E38</f>
        <v>Hectare</v>
      </c>
      <c r="F42">
        <v>2.83</v>
      </c>
      <c r="G42">
        <v>225000</v>
      </c>
      <c r="J42">
        <v>0</v>
      </c>
      <c r="L42">
        <v>0</v>
      </c>
      <c r="N42">
        <v>120000</v>
      </c>
      <c r="S42">
        <v>105000</v>
      </c>
      <c r="U42">
        <v>0</v>
      </c>
      <c r="X42">
        <f t="shared" si="0"/>
        <v>225000</v>
      </c>
      <c r="Y42">
        <f t="shared" si="1"/>
        <v>100</v>
      </c>
    </row>
    <row r="43" spans="1:25">
      <c r="A43" t="s">
        <v>240</v>
      </c>
      <c r="D43">
        <v>1000</v>
      </c>
      <c r="E43" t="str">
        <f>+E41</f>
        <v>Hectare</v>
      </c>
      <c r="F43">
        <v>5.26</v>
      </c>
      <c r="G43">
        <v>526000</v>
      </c>
      <c r="J43">
        <v>47895</v>
      </c>
      <c r="L43">
        <v>35053</v>
      </c>
      <c r="N43">
        <v>55385</v>
      </c>
      <c r="S43">
        <v>121522</v>
      </c>
      <c r="X43">
        <f t="shared" si="0"/>
        <v>259855</v>
      </c>
      <c r="Y43">
        <f t="shared" si="1"/>
        <v>49.402091254752854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129250</v>
      </c>
      <c r="J44">
        <v>26302</v>
      </c>
      <c r="L44">
        <v>35339</v>
      </c>
      <c r="N44">
        <v>15590</v>
      </c>
      <c r="S44">
        <v>22075</v>
      </c>
      <c r="U44">
        <v>1870</v>
      </c>
      <c r="X44">
        <f t="shared" si="0"/>
        <v>101176</v>
      </c>
      <c r="Y44">
        <f t="shared" si="1"/>
        <v>78.279303675048354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68.099999999999994</v>
      </c>
      <c r="G46">
        <f>SUM(G37:G45)</f>
        <v>6365250</v>
      </c>
      <c r="J46">
        <f>SUM(J37:J45)</f>
        <v>462991</v>
      </c>
      <c r="L46">
        <f>SUM(L37:L45)</f>
        <v>1422047</v>
      </c>
      <c r="N46">
        <f>SUM(N37:N45)</f>
        <v>1483964</v>
      </c>
      <c r="S46">
        <f>SUM(S37:S45)</f>
        <v>977257</v>
      </c>
      <c r="U46">
        <f>SUM(U37:U45)</f>
        <v>721527</v>
      </c>
      <c r="X46">
        <f>SUM(X37:X45)</f>
        <v>5067786</v>
      </c>
      <c r="Y46">
        <f>SUM(Y37:Y45)</f>
        <v>715.04723104518337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190.xml><?xml version="1.0" encoding="utf-8"?>
<worksheet xmlns="http://schemas.openxmlformats.org/spreadsheetml/2006/main" xmlns:r="http://schemas.openxmlformats.org/officeDocument/2006/relationships">
  <dimension ref="A1:O35"/>
  <sheetViews>
    <sheetView workbookViewId="0">
      <selection activeCell="A5" sqref="A5:C5"/>
    </sheetView>
  </sheetViews>
  <sheetFormatPr defaultRowHeight="15"/>
  <cols>
    <col min="1" max="1" width="30.42578125" customWidth="1"/>
    <col min="2" max="2" width="13.85546875" customWidth="1"/>
    <col min="3" max="3" width="9.28515625" bestFit="1" customWidth="1"/>
    <col min="4" max="4" width="11.7109375" customWidth="1"/>
    <col min="5" max="5" width="12.28515625" customWidth="1"/>
    <col min="6" max="6" width="13.85546875" customWidth="1"/>
    <col min="7" max="7" width="11" customWidth="1"/>
    <col min="8" max="8" width="10.5703125" bestFit="1" customWidth="1"/>
    <col min="9" max="9" width="11" customWidth="1"/>
    <col min="10" max="11" width="9.28515625" bestFit="1" customWidth="1"/>
    <col min="12" max="12" width="7.85546875" customWidth="1"/>
    <col min="13" max="13" width="9.28515625" bestFit="1" customWidth="1"/>
    <col min="14" max="14" width="11.28515625" customWidth="1"/>
    <col min="257" max="257" width="30.42578125" customWidth="1"/>
    <col min="258" max="258" width="13.85546875" customWidth="1"/>
    <col min="259" max="259" width="9.28515625" bestFit="1" customWidth="1"/>
    <col min="260" max="260" width="11.7109375" customWidth="1"/>
    <col min="261" max="261" width="12.28515625" customWidth="1"/>
    <col min="262" max="262" width="13.85546875" customWidth="1"/>
    <col min="263" max="263" width="11" customWidth="1"/>
    <col min="264" max="264" width="10.5703125" bestFit="1" customWidth="1"/>
    <col min="265" max="265" width="11" customWidth="1"/>
    <col min="266" max="267" width="9.28515625" bestFit="1" customWidth="1"/>
    <col min="268" max="268" width="7.85546875" customWidth="1"/>
    <col min="269" max="269" width="9.28515625" bestFit="1" customWidth="1"/>
    <col min="270" max="270" width="11.28515625" customWidth="1"/>
    <col min="513" max="513" width="30.42578125" customWidth="1"/>
    <col min="514" max="514" width="13.85546875" customWidth="1"/>
    <col min="515" max="515" width="9.28515625" bestFit="1" customWidth="1"/>
    <col min="516" max="516" width="11.7109375" customWidth="1"/>
    <col min="517" max="517" width="12.28515625" customWidth="1"/>
    <col min="518" max="518" width="13.85546875" customWidth="1"/>
    <col min="519" max="519" width="11" customWidth="1"/>
    <col min="520" max="520" width="10.5703125" bestFit="1" customWidth="1"/>
    <col min="521" max="521" width="11" customWidth="1"/>
    <col min="522" max="523" width="9.28515625" bestFit="1" customWidth="1"/>
    <col min="524" max="524" width="7.85546875" customWidth="1"/>
    <col min="525" max="525" width="9.28515625" bestFit="1" customWidth="1"/>
    <col min="526" max="526" width="11.28515625" customWidth="1"/>
    <col min="769" max="769" width="30.42578125" customWidth="1"/>
    <col min="770" max="770" width="13.85546875" customWidth="1"/>
    <col min="771" max="771" width="9.28515625" bestFit="1" customWidth="1"/>
    <col min="772" max="772" width="11.7109375" customWidth="1"/>
    <col min="773" max="773" width="12.28515625" customWidth="1"/>
    <col min="774" max="774" width="13.85546875" customWidth="1"/>
    <col min="775" max="775" width="11" customWidth="1"/>
    <col min="776" max="776" width="10.5703125" bestFit="1" customWidth="1"/>
    <col min="777" max="777" width="11" customWidth="1"/>
    <col min="778" max="779" width="9.28515625" bestFit="1" customWidth="1"/>
    <col min="780" max="780" width="7.85546875" customWidth="1"/>
    <col min="781" max="781" width="9.28515625" bestFit="1" customWidth="1"/>
    <col min="782" max="782" width="11.28515625" customWidth="1"/>
    <col min="1025" max="1025" width="30.42578125" customWidth="1"/>
    <col min="1026" max="1026" width="13.85546875" customWidth="1"/>
    <col min="1027" max="1027" width="9.28515625" bestFit="1" customWidth="1"/>
    <col min="1028" max="1028" width="11.7109375" customWidth="1"/>
    <col min="1029" max="1029" width="12.28515625" customWidth="1"/>
    <col min="1030" max="1030" width="13.85546875" customWidth="1"/>
    <col min="1031" max="1031" width="11" customWidth="1"/>
    <col min="1032" max="1032" width="10.5703125" bestFit="1" customWidth="1"/>
    <col min="1033" max="1033" width="11" customWidth="1"/>
    <col min="1034" max="1035" width="9.28515625" bestFit="1" customWidth="1"/>
    <col min="1036" max="1036" width="7.85546875" customWidth="1"/>
    <col min="1037" max="1037" width="9.28515625" bestFit="1" customWidth="1"/>
    <col min="1038" max="1038" width="11.28515625" customWidth="1"/>
    <col min="1281" max="1281" width="30.42578125" customWidth="1"/>
    <col min="1282" max="1282" width="13.85546875" customWidth="1"/>
    <col min="1283" max="1283" width="9.28515625" bestFit="1" customWidth="1"/>
    <col min="1284" max="1284" width="11.7109375" customWidth="1"/>
    <col min="1285" max="1285" width="12.28515625" customWidth="1"/>
    <col min="1286" max="1286" width="13.85546875" customWidth="1"/>
    <col min="1287" max="1287" width="11" customWidth="1"/>
    <col min="1288" max="1288" width="10.5703125" bestFit="1" customWidth="1"/>
    <col min="1289" max="1289" width="11" customWidth="1"/>
    <col min="1290" max="1291" width="9.28515625" bestFit="1" customWidth="1"/>
    <col min="1292" max="1292" width="7.85546875" customWidth="1"/>
    <col min="1293" max="1293" width="9.28515625" bestFit="1" customWidth="1"/>
    <col min="1294" max="1294" width="11.28515625" customWidth="1"/>
    <col min="1537" max="1537" width="30.42578125" customWidth="1"/>
    <col min="1538" max="1538" width="13.85546875" customWidth="1"/>
    <col min="1539" max="1539" width="9.28515625" bestFit="1" customWidth="1"/>
    <col min="1540" max="1540" width="11.7109375" customWidth="1"/>
    <col min="1541" max="1541" width="12.28515625" customWidth="1"/>
    <col min="1542" max="1542" width="13.85546875" customWidth="1"/>
    <col min="1543" max="1543" width="11" customWidth="1"/>
    <col min="1544" max="1544" width="10.5703125" bestFit="1" customWidth="1"/>
    <col min="1545" max="1545" width="11" customWidth="1"/>
    <col min="1546" max="1547" width="9.28515625" bestFit="1" customWidth="1"/>
    <col min="1548" max="1548" width="7.85546875" customWidth="1"/>
    <col min="1549" max="1549" width="9.28515625" bestFit="1" customWidth="1"/>
    <col min="1550" max="1550" width="11.28515625" customWidth="1"/>
    <col min="1793" max="1793" width="30.42578125" customWidth="1"/>
    <col min="1794" max="1794" width="13.85546875" customWidth="1"/>
    <col min="1795" max="1795" width="9.28515625" bestFit="1" customWidth="1"/>
    <col min="1796" max="1796" width="11.7109375" customWidth="1"/>
    <col min="1797" max="1797" width="12.28515625" customWidth="1"/>
    <col min="1798" max="1798" width="13.85546875" customWidth="1"/>
    <col min="1799" max="1799" width="11" customWidth="1"/>
    <col min="1800" max="1800" width="10.5703125" bestFit="1" customWidth="1"/>
    <col min="1801" max="1801" width="11" customWidth="1"/>
    <col min="1802" max="1803" width="9.28515625" bestFit="1" customWidth="1"/>
    <col min="1804" max="1804" width="7.85546875" customWidth="1"/>
    <col min="1805" max="1805" width="9.28515625" bestFit="1" customWidth="1"/>
    <col min="1806" max="1806" width="11.28515625" customWidth="1"/>
    <col min="2049" max="2049" width="30.42578125" customWidth="1"/>
    <col min="2050" max="2050" width="13.85546875" customWidth="1"/>
    <col min="2051" max="2051" width="9.28515625" bestFit="1" customWidth="1"/>
    <col min="2052" max="2052" width="11.7109375" customWidth="1"/>
    <col min="2053" max="2053" width="12.28515625" customWidth="1"/>
    <col min="2054" max="2054" width="13.85546875" customWidth="1"/>
    <col min="2055" max="2055" width="11" customWidth="1"/>
    <col min="2056" max="2056" width="10.5703125" bestFit="1" customWidth="1"/>
    <col min="2057" max="2057" width="11" customWidth="1"/>
    <col min="2058" max="2059" width="9.28515625" bestFit="1" customWidth="1"/>
    <col min="2060" max="2060" width="7.85546875" customWidth="1"/>
    <col min="2061" max="2061" width="9.28515625" bestFit="1" customWidth="1"/>
    <col min="2062" max="2062" width="11.28515625" customWidth="1"/>
    <col min="2305" max="2305" width="30.42578125" customWidth="1"/>
    <col min="2306" max="2306" width="13.85546875" customWidth="1"/>
    <col min="2307" max="2307" width="9.28515625" bestFit="1" customWidth="1"/>
    <col min="2308" max="2308" width="11.7109375" customWidth="1"/>
    <col min="2309" max="2309" width="12.28515625" customWidth="1"/>
    <col min="2310" max="2310" width="13.85546875" customWidth="1"/>
    <col min="2311" max="2311" width="11" customWidth="1"/>
    <col min="2312" max="2312" width="10.5703125" bestFit="1" customWidth="1"/>
    <col min="2313" max="2313" width="11" customWidth="1"/>
    <col min="2314" max="2315" width="9.28515625" bestFit="1" customWidth="1"/>
    <col min="2316" max="2316" width="7.85546875" customWidth="1"/>
    <col min="2317" max="2317" width="9.28515625" bestFit="1" customWidth="1"/>
    <col min="2318" max="2318" width="11.28515625" customWidth="1"/>
    <col min="2561" max="2561" width="30.42578125" customWidth="1"/>
    <col min="2562" max="2562" width="13.85546875" customWidth="1"/>
    <col min="2563" max="2563" width="9.28515625" bestFit="1" customWidth="1"/>
    <col min="2564" max="2564" width="11.7109375" customWidth="1"/>
    <col min="2565" max="2565" width="12.28515625" customWidth="1"/>
    <col min="2566" max="2566" width="13.85546875" customWidth="1"/>
    <col min="2567" max="2567" width="11" customWidth="1"/>
    <col min="2568" max="2568" width="10.5703125" bestFit="1" customWidth="1"/>
    <col min="2569" max="2569" width="11" customWidth="1"/>
    <col min="2570" max="2571" width="9.28515625" bestFit="1" customWidth="1"/>
    <col min="2572" max="2572" width="7.85546875" customWidth="1"/>
    <col min="2573" max="2573" width="9.28515625" bestFit="1" customWidth="1"/>
    <col min="2574" max="2574" width="11.28515625" customWidth="1"/>
    <col min="2817" max="2817" width="30.42578125" customWidth="1"/>
    <col min="2818" max="2818" width="13.85546875" customWidth="1"/>
    <col min="2819" max="2819" width="9.28515625" bestFit="1" customWidth="1"/>
    <col min="2820" max="2820" width="11.7109375" customWidth="1"/>
    <col min="2821" max="2821" width="12.28515625" customWidth="1"/>
    <col min="2822" max="2822" width="13.85546875" customWidth="1"/>
    <col min="2823" max="2823" width="11" customWidth="1"/>
    <col min="2824" max="2824" width="10.5703125" bestFit="1" customWidth="1"/>
    <col min="2825" max="2825" width="11" customWidth="1"/>
    <col min="2826" max="2827" width="9.28515625" bestFit="1" customWidth="1"/>
    <col min="2828" max="2828" width="7.85546875" customWidth="1"/>
    <col min="2829" max="2829" width="9.28515625" bestFit="1" customWidth="1"/>
    <col min="2830" max="2830" width="11.28515625" customWidth="1"/>
    <col min="3073" max="3073" width="30.42578125" customWidth="1"/>
    <col min="3074" max="3074" width="13.85546875" customWidth="1"/>
    <col min="3075" max="3075" width="9.28515625" bestFit="1" customWidth="1"/>
    <col min="3076" max="3076" width="11.7109375" customWidth="1"/>
    <col min="3077" max="3077" width="12.28515625" customWidth="1"/>
    <col min="3078" max="3078" width="13.85546875" customWidth="1"/>
    <col min="3079" max="3079" width="11" customWidth="1"/>
    <col min="3080" max="3080" width="10.5703125" bestFit="1" customWidth="1"/>
    <col min="3081" max="3081" width="11" customWidth="1"/>
    <col min="3082" max="3083" width="9.28515625" bestFit="1" customWidth="1"/>
    <col min="3084" max="3084" width="7.85546875" customWidth="1"/>
    <col min="3085" max="3085" width="9.28515625" bestFit="1" customWidth="1"/>
    <col min="3086" max="3086" width="11.28515625" customWidth="1"/>
    <col min="3329" max="3329" width="30.42578125" customWidth="1"/>
    <col min="3330" max="3330" width="13.85546875" customWidth="1"/>
    <col min="3331" max="3331" width="9.28515625" bestFit="1" customWidth="1"/>
    <col min="3332" max="3332" width="11.7109375" customWidth="1"/>
    <col min="3333" max="3333" width="12.28515625" customWidth="1"/>
    <col min="3334" max="3334" width="13.85546875" customWidth="1"/>
    <col min="3335" max="3335" width="11" customWidth="1"/>
    <col min="3336" max="3336" width="10.5703125" bestFit="1" customWidth="1"/>
    <col min="3337" max="3337" width="11" customWidth="1"/>
    <col min="3338" max="3339" width="9.28515625" bestFit="1" customWidth="1"/>
    <col min="3340" max="3340" width="7.85546875" customWidth="1"/>
    <col min="3341" max="3341" width="9.28515625" bestFit="1" customWidth="1"/>
    <col min="3342" max="3342" width="11.28515625" customWidth="1"/>
    <col min="3585" max="3585" width="30.42578125" customWidth="1"/>
    <col min="3586" max="3586" width="13.85546875" customWidth="1"/>
    <col min="3587" max="3587" width="9.28515625" bestFit="1" customWidth="1"/>
    <col min="3588" max="3588" width="11.7109375" customWidth="1"/>
    <col min="3589" max="3589" width="12.28515625" customWidth="1"/>
    <col min="3590" max="3590" width="13.85546875" customWidth="1"/>
    <col min="3591" max="3591" width="11" customWidth="1"/>
    <col min="3592" max="3592" width="10.5703125" bestFit="1" customWidth="1"/>
    <col min="3593" max="3593" width="11" customWidth="1"/>
    <col min="3594" max="3595" width="9.28515625" bestFit="1" customWidth="1"/>
    <col min="3596" max="3596" width="7.85546875" customWidth="1"/>
    <col min="3597" max="3597" width="9.28515625" bestFit="1" customWidth="1"/>
    <col min="3598" max="3598" width="11.28515625" customWidth="1"/>
    <col min="3841" max="3841" width="30.42578125" customWidth="1"/>
    <col min="3842" max="3842" width="13.85546875" customWidth="1"/>
    <col min="3843" max="3843" width="9.28515625" bestFit="1" customWidth="1"/>
    <col min="3844" max="3844" width="11.7109375" customWidth="1"/>
    <col min="3845" max="3845" width="12.28515625" customWidth="1"/>
    <col min="3846" max="3846" width="13.85546875" customWidth="1"/>
    <col min="3847" max="3847" width="11" customWidth="1"/>
    <col min="3848" max="3848" width="10.5703125" bestFit="1" customWidth="1"/>
    <col min="3849" max="3849" width="11" customWidth="1"/>
    <col min="3850" max="3851" width="9.28515625" bestFit="1" customWidth="1"/>
    <col min="3852" max="3852" width="7.85546875" customWidth="1"/>
    <col min="3853" max="3853" width="9.28515625" bestFit="1" customWidth="1"/>
    <col min="3854" max="3854" width="11.28515625" customWidth="1"/>
    <col min="4097" max="4097" width="30.42578125" customWidth="1"/>
    <col min="4098" max="4098" width="13.85546875" customWidth="1"/>
    <col min="4099" max="4099" width="9.28515625" bestFit="1" customWidth="1"/>
    <col min="4100" max="4100" width="11.7109375" customWidth="1"/>
    <col min="4101" max="4101" width="12.28515625" customWidth="1"/>
    <col min="4102" max="4102" width="13.85546875" customWidth="1"/>
    <col min="4103" max="4103" width="11" customWidth="1"/>
    <col min="4104" max="4104" width="10.5703125" bestFit="1" customWidth="1"/>
    <col min="4105" max="4105" width="11" customWidth="1"/>
    <col min="4106" max="4107" width="9.28515625" bestFit="1" customWidth="1"/>
    <col min="4108" max="4108" width="7.85546875" customWidth="1"/>
    <col min="4109" max="4109" width="9.28515625" bestFit="1" customWidth="1"/>
    <col min="4110" max="4110" width="11.28515625" customWidth="1"/>
    <col min="4353" max="4353" width="30.42578125" customWidth="1"/>
    <col min="4354" max="4354" width="13.85546875" customWidth="1"/>
    <col min="4355" max="4355" width="9.28515625" bestFit="1" customWidth="1"/>
    <col min="4356" max="4356" width="11.7109375" customWidth="1"/>
    <col min="4357" max="4357" width="12.28515625" customWidth="1"/>
    <col min="4358" max="4358" width="13.85546875" customWidth="1"/>
    <col min="4359" max="4359" width="11" customWidth="1"/>
    <col min="4360" max="4360" width="10.5703125" bestFit="1" customWidth="1"/>
    <col min="4361" max="4361" width="11" customWidth="1"/>
    <col min="4362" max="4363" width="9.28515625" bestFit="1" customWidth="1"/>
    <col min="4364" max="4364" width="7.85546875" customWidth="1"/>
    <col min="4365" max="4365" width="9.28515625" bestFit="1" customWidth="1"/>
    <col min="4366" max="4366" width="11.28515625" customWidth="1"/>
    <col min="4609" max="4609" width="30.42578125" customWidth="1"/>
    <col min="4610" max="4610" width="13.85546875" customWidth="1"/>
    <col min="4611" max="4611" width="9.28515625" bestFit="1" customWidth="1"/>
    <col min="4612" max="4612" width="11.7109375" customWidth="1"/>
    <col min="4613" max="4613" width="12.28515625" customWidth="1"/>
    <col min="4614" max="4614" width="13.85546875" customWidth="1"/>
    <col min="4615" max="4615" width="11" customWidth="1"/>
    <col min="4616" max="4616" width="10.5703125" bestFit="1" customWidth="1"/>
    <col min="4617" max="4617" width="11" customWidth="1"/>
    <col min="4618" max="4619" width="9.28515625" bestFit="1" customWidth="1"/>
    <col min="4620" max="4620" width="7.85546875" customWidth="1"/>
    <col min="4621" max="4621" width="9.28515625" bestFit="1" customWidth="1"/>
    <col min="4622" max="4622" width="11.28515625" customWidth="1"/>
    <col min="4865" max="4865" width="30.42578125" customWidth="1"/>
    <col min="4866" max="4866" width="13.85546875" customWidth="1"/>
    <col min="4867" max="4867" width="9.28515625" bestFit="1" customWidth="1"/>
    <col min="4868" max="4868" width="11.7109375" customWidth="1"/>
    <col min="4869" max="4869" width="12.28515625" customWidth="1"/>
    <col min="4870" max="4870" width="13.85546875" customWidth="1"/>
    <col min="4871" max="4871" width="11" customWidth="1"/>
    <col min="4872" max="4872" width="10.5703125" bestFit="1" customWidth="1"/>
    <col min="4873" max="4873" width="11" customWidth="1"/>
    <col min="4874" max="4875" width="9.28515625" bestFit="1" customWidth="1"/>
    <col min="4876" max="4876" width="7.85546875" customWidth="1"/>
    <col min="4877" max="4877" width="9.28515625" bestFit="1" customWidth="1"/>
    <col min="4878" max="4878" width="11.28515625" customWidth="1"/>
    <col min="5121" max="5121" width="30.42578125" customWidth="1"/>
    <col min="5122" max="5122" width="13.85546875" customWidth="1"/>
    <col min="5123" max="5123" width="9.28515625" bestFit="1" customWidth="1"/>
    <col min="5124" max="5124" width="11.7109375" customWidth="1"/>
    <col min="5125" max="5125" width="12.28515625" customWidth="1"/>
    <col min="5126" max="5126" width="13.85546875" customWidth="1"/>
    <col min="5127" max="5127" width="11" customWidth="1"/>
    <col min="5128" max="5128" width="10.5703125" bestFit="1" customWidth="1"/>
    <col min="5129" max="5129" width="11" customWidth="1"/>
    <col min="5130" max="5131" width="9.28515625" bestFit="1" customWidth="1"/>
    <col min="5132" max="5132" width="7.85546875" customWidth="1"/>
    <col min="5133" max="5133" width="9.28515625" bestFit="1" customWidth="1"/>
    <col min="5134" max="5134" width="11.28515625" customWidth="1"/>
    <col min="5377" max="5377" width="30.42578125" customWidth="1"/>
    <col min="5378" max="5378" width="13.85546875" customWidth="1"/>
    <col min="5379" max="5379" width="9.28515625" bestFit="1" customWidth="1"/>
    <col min="5380" max="5380" width="11.7109375" customWidth="1"/>
    <col min="5381" max="5381" width="12.28515625" customWidth="1"/>
    <col min="5382" max="5382" width="13.85546875" customWidth="1"/>
    <col min="5383" max="5383" width="11" customWidth="1"/>
    <col min="5384" max="5384" width="10.5703125" bestFit="1" customWidth="1"/>
    <col min="5385" max="5385" width="11" customWidth="1"/>
    <col min="5386" max="5387" width="9.28515625" bestFit="1" customWidth="1"/>
    <col min="5388" max="5388" width="7.85546875" customWidth="1"/>
    <col min="5389" max="5389" width="9.28515625" bestFit="1" customWidth="1"/>
    <col min="5390" max="5390" width="11.28515625" customWidth="1"/>
    <col min="5633" max="5633" width="30.42578125" customWidth="1"/>
    <col min="5634" max="5634" width="13.85546875" customWidth="1"/>
    <col min="5635" max="5635" width="9.28515625" bestFit="1" customWidth="1"/>
    <col min="5636" max="5636" width="11.7109375" customWidth="1"/>
    <col min="5637" max="5637" width="12.28515625" customWidth="1"/>
    <col min="5638" max="5638" width="13.85546875" customWidth="1"/>
    <col min="5639" max="5639" width="11" customWidth="1"/>
    <col min="5640" max="5640" width="10.5703125" bestFit="1" customWidth="1"/>
    <col min="5641" max="5641" width="11" customWidth="1"/>
    <col min="5642" max="5643" width="9.28515625" bestFit="1" customWidth="1"/>
    <col min="5644" max="5644" width="7.85546875" customWidth="1"/>
    <col min="5645" max="5645" width="9.28515625" bestFit="1" customWidth="1"/>
    <col min="5646" max="5646" width="11.28515625" customWidth="1"/>
    <col min="5889" max="5889" width="30.42578125" customWidth="1"/>
    <col min="5890" max="5890" width="13.85546875" customWidth="1"/>
    <col min="5891" max="5891" width="9.28515625" bestFit="1" customWidth="1"/>
    <col min="5892" max="5892" width="11.7109375" customWidth="1"/>
    <col min="5893" max="5893" width="12.28515625" customWidth="1"/>
    <col min="5894" max="5894" width="13.85546875" customWidth="1"/>
    <col min="5895" max="5895" width="11" customWidth="1"/>
    <col min="5896" max="5896" width="10.5703125" bestFit="1" customWidth="1"/>
    <col min="5897" max="5897" width="11" customWidth="1"/>
    <col min="5898" max="5899" width="9.28515625" bestFit="1" customWidth="1"/>
    <col min="5900" max="5900" width="7.85546875" customWidth="1"/>
    <col min="5901" max="5901" width="9.28515625" bestFit="1" customWidth="1"/>
    <col min="5902" max="5902" width="11.28515625" customWidth="1"/>
    <col min="6145" max="6145" width="30.42578125" customWidth="1"/>
    <col min="6146" max="6146" width="13.85546875" customWidth="1"/>
    <col min="6147" max="6147" width="9.28515625" bestFit="1" customWidth="1"/>
    <col min="6148" max="6148" width="11.7109375" customWidth="1"/>
    <col min="6149" max="6149" width="12.28515625" customWidth="1"/>
    <col min="6150" max="6150" width="13.85546875" customWidth="1"/>
    <col min="6151" max="6151" width="11" customWidth="1"/>
    <col min="6152" max="6152" width="10.5703125" bestFit="1" customWidth="1"/>
    <col min="6153" max="6153" width="11" customWidth="1"/>
    <col min="6154" max="6155" width="9.28515625" bestFit="1" customWidth="1"/>
    <col min="6156" max="6156" width="7.85546875" customWidth="1"/>
    <col min="6157" max="6157" width="9.28515625" bestFit="1" customWidth="1"/>
    <col min="6158" max="6158" width="11.28515625" customWidth="1"/>
    <col min="6401" max="6401" width="30.42578125" customWidth="1"/>
    <col min="6402" max="6402" width="13.85546875" customWidth="1"/>
    <col min="6403" max="6403" width="9.28515625" bestFit="1" customWidth="1"/>
    <col min="6404" max="6404" width="11.7109375" customWidth="1"/>
    <col min="6405" max="6405" width="12.28515625" customWidth="1"/>
    <col min="6406" max="6406" width="13.85546875" customWidth="1"/>
    <col min="6407" max="6407" width="11" customWidth="1"/>
    <col min="6408" max="6408" width="10.5703125" bestFit="1" customWidth="1"/>
    <col min="6409" max="6409" width="11" customWidth="1"/>
    <col min="6410" max="6411" width="9.28515625" bestFit="1" customWidth="1"/>
    <col min="6412" max="6412" width="7.85546875" customWidth="1"/>
    <col min="6413" max="6413" width="9.28515625" bestFit="1" customWidth="1"/>
    <col min="6414" max="6414" width="11.28515625" customWidth="1"/>
    <col min="6657" max="6657" width="30.42578125" customWidth="1"/>
    <col min="6658" max="6658" width="13.85546875" customWidth="1"/>
    <col min="6659" max="6659" width="9.28515625" bestFit="1" customWidth="1"/>
    <col min="6660" max="6660" width="11.7109375" customWidth="1"/>
    <col min="6661" max="6661" width="12.28515625" customWidth="1"/>
    <col min="6662" max="6662" width="13.85546875" customWidth="1"/>
    <col min="6663" max="6663" width="11" customWidth="1"/>
    <col min="6664" max="6664" width="10.5703125" bestFit="1" customWidth="1"/>
    <col min="6665" max="6665" width="11" customWidth="1"/>
    <col min="6666" max="6667" width="9.28515625" bestFit="1" customWidth="1"/>
    <col min="6668" max="6668" width="7.85546875" customWidth="1"/>
    <col min="6669" max="6669" width="9.28515625" bestFit="1" customWidth="1"/>
    <col min="6670" max="6670" width="11.28515625" customWidth="1"/>
    <col min="6913" max="6913" width="30.42578125" customWidth="1"/>
    <col min="6914" max="6914" width="13.85546875" customWidth="1"/>
    <col min="6915" max="6915" width="9.28515625" bestFit="1" customWidth="1"/>
    <col min="6916" max="6916" width="11.7109375" customWidth="1"/>
    <col min="6917" max="6917" width="12.28515625" customWidth="1"/>
    <col min="6918" max="6918" width="13.85546875" customWidth="1"/>
    <col min="6919" max="6919" width="11" customWidth="1"/>
    <col min="6920" max="6920" width="10.5703125" bestFit="1" customWidth="1"/>
    <col min="6921" max="6921" width="11" customWidth="1"/>
    <col min="6922" max="6923" width="9.28515625" bestFit="1" customWidth="1"/>
    <col min="6924" max="6924" width="7.85546875" customWidth="1"/>
    <col min="6925" max="6925" width="9.28515625" bestFit="1" customWidth="1"/>
    <col min="6926" max="6926" width="11.28515625" customWidth="1"/>
    <col min="7169" max="7169" width="30.42578125" customWidth="1"/>
    <col min="7170" max="7170" width="13.85546875" customWidth="1"/>
    <col min="7171" max="7171" width="9.28515625" bestFit="1" customWidth="1"/>
    <col min="7172" max="7172" width="11.7109375" customWidth="1"/>
    <col min="7173" max="7173" width="12.28515625" customWidth="1"/>
    <col min="7174" max="7174" width="13.85546875" customWidth="1"/>
    <col min="7175" max="7175" width="11" customWidth="1"/>
    <col min="7176" max="7176" width="10.5703125" bestFit="1" customWidth="1"/>
    <col min="7177" max="7177" width="11" customWidth="1"/>
    <col min="7178" max="7179" width="9.28515625" bestFit="1" customWidth="1"/>
    <col min="7180" max="7180" width="7.85546875" customWidth="1"/>
    <col min="7181" max="7181" width="9.28515625" bestFit="1" customWidth="1"/>
    <col min="7182" max="7182" width="11.28515625" customWidth="1"/>
    <col min="7425" max="7425" width="30.42578125" customWidth="1"/>
    <col min="7426" max="7426" width="13.85546875" customWidth="1"/>
    <col min="7427" max="7427" width="9.28515625" bestFit="1" customWidth="1"/>
    <col min="7428" max="7428" width="11.7109375" customWidth="1"/>
    <col min="7429" max="7429" width="12.28515625" customWidth="1"/>
    <col min="7430" max="7430" width="13.85546875" customWidth="1"/>
    <col min="7431" max="7431" width="11" customWidth="1"/>
    <col min="7432" max="7432" width="10.5703125" bestFit="1" customWidth="1"/>
    <col min="7433" max="7433" width="11" customWidth="1"/>
    <col min="7434" max="7435" width="9.28515625" bestFit="1" customWidth="1"/>
    <col min="7436" max="7436" width="7.85546875" customWidth="1"/>
    <col min="7437" max="7437" width="9.28515625" bestFit="1" customWidth="1"/>
    <col min="7438" max="7438" width="11.28515625" customWidth="1"/>
    <col min="7681" max="7681" width="30.42578125" customWidth="1"/>
    <col min="7682" max="7682" width="13.85546875" customWidth="1"/>
    <col min="7683" max="7683" width="9.28515625" bestFit="1" customWidth="1"/>
    <col min="7684" max="7684" width="11.7109375" customWidth="1"/>
    <col min="7685" max="7685" width="12.28515625" customWidth="1"/>
    <col min="7686" max="7686" width="13.85546875" customWidth="1"/>
    <col min="7687" max="7687" width="11" customWidth="1"/>
    <col min="7688" max="7688" width="10.5703125" bestFit="1" customWidth="1"/>
    <col min="7689" max="7689" width="11" customWidth="1"/>
    <col min="7690" max="7691" width="9.28515625" bestFit="1" customWidth="1"/>
    <col min="7692" max="7692" width="7.85546875" customWidth="1"/>
    <col min="7693" max="7693" width="9.28515625" bestFit="1" customWidth="1"/>
    <col min="7694" max="7694" width="11.28515625" customWidth="1"/>
    <col min="7937" max="7937" width="30.42578125" customWidth="1"/>
    <col min="7938" max="7938" width="13.85546875" customWidth="1"/>
    <col min="7939" max="7939" width="9.28515625" bestFit="1" customWidth="1"/>
    <col min="7940" max="7940" width="11.7109375" customWidth="1"/>
    <col min="7941" max="7941" width="12.28515625" customWidth="1"/>
    <col min="7942" max="7942" width="13.85546875" customWidth="1"/>
    <col min="7943" max="7943" width="11" customWidth="1"/>
    <col min="7944" max="7944" width="10.5703125" bestFit="1" customWidth="1"/>
    <col min="7945" max="7945" width="11" customWidth="1"/>
    <col min="7946" max="7947" width="9.28515625" bestFit="1" customWidth="1"/>
    <col min="7948" max="7948" width="7.85546875" customWidth="1"/>
    <col min="7949" max="7949" width="9.28515625" bestFit="1" customWidth="1"/>
    <col min="7950" max="7950" width="11.28515625" customWidth="1"/>
    <col min="8193" max="8193" width="30.42578125" customWidth="1"/>
    <col min="8194" max="8194" width="13.85546875" customWidth="1"/>
    <col min="8195" max="8195" width="9.28515625" bestFit="1" customWidth="1"/>
    <col min="8196" max="8196" width="11.7109375" customWidth="1"/>
    <col min="8197" max="8197" width="12.28515625" customWidth="1"/>
    <col min="8198" max="8198" width="13.85546875" customWidth="1"/>
    <col min="8199" max="8199" width="11" customWidth="1"/>
    <col min="8200" max="8200" width="10.5703125" bestFit="1" customWidth="1"/>
    <col min="8201" max="8201" width="11" customWidth="1"/>
    <col min="8202" max="8203" width="9.28515625" bestFit="1" customWidth="1"/>
    <col min="8204" max="8204" width="7.85546875" customWidth="1"/>
    <col min="8205" max="8205" width="9.28515625" bestFit="1" customWidth="1"/>
    <col min="8206" max="8206" width="11.28515625" customWidth="1"/>
    <col min="8449" max="8449" width="30.42578125" customWidth="1"/>
    <col min="8450" max="8450" width="13.85546875" customWidth="1"/>
    <col min="8451" max="8451" width="9.28515625" bestFit="1" customWidth="1"/>
    <col min="8452" max="8452" width="11.7109375" customWidth="1"/>
    <col min="8453" max="8453" width="12.28515625" customWidth="1"/>
    <col min="8454" max="8454" width="13.85546875" customWidth="1"/>
    <col min="8455" max="8455" width="11" customWidth="1"/>
    <col min="8456" max="8456" width="10.5703125" bestFit="1" customWidth="1"/>
    <col min="8457" max="8457" width="11" customWidth="1"/>
    <col min="8458" max="8459" width="9.28515625" bestFit="1" customWidth="1"/>
    <col min="8460" max="8460" width="7.85546875" customWidth="1"/>
    <col min="8461" max="8461" width="9.28515625" bestFit="1" customWidth="1"/>
    <col min="8462" max="8462" width="11.28515625" customWidth="1"/>
    <col min="8705" max="8705" width="30.42578125" customWidth="1"/>
    <col min="8706" max="8706" width="13.85546875" customWidth="1"/>
    <col min="8707" max="8707" width="9.28515625" bestFit="1" customWidth="1"/>
    <col min="8708" max="8708" width="11.7109375" customWidth="1"/>
    <col min="8709" max="8709" width="12.28515625" customWidth="1"/>
    <col min="8710" max="8710" width="13.85546875" customWidth="1"/>
    <col min="8711" max="8711" width="11" customWidth="1"/>
    <col min="8712" max="8712" width="10.5703125" bestFit="1" customWidth="1"/>
    <col min="8713" max="8713" width="11" customWidth="1"/>
    <col min="8714" max="8715" width="9.28515625" bestFit="1" customWidth="1"/>
    <col min="8716" max="8716" width="7.85546875" customWidth="1"/>
    <col min="8717" max="8717" width="9.28515625" bestFit="1" customWidth="1"/>
    <col min="8718" max="8718" width="11.28515625" customWidth="1"/>
    <col min="8961" max="8961" width="30.42578125" customWidth="1"/>
    <col min="8962" max="8962" width="13.85546875" customWidth="1"/>
    <col min="8963" max="8963" width="9.28515625" bestFit="1" customWidth="1"/>
    <col min="8964" max="8964" width="11.7109375" customWidth="1"/>
    <col min="8965" max="8965" width="12.28515625" customWidth="1"/>
    <col min="8966" max="8966" width="13.85546875" customWidth="1"/>
    <col min="8967" max="8967" width="11" customWidth="1"/>
    <col min="8968" max="8968" width="10.5703125" bestFit="1" customWidth="1"/>
    <col min="8969" max="8969" width="11" customWidth="1"/>
    <col min="8970" max="8971" width="9.28515625" bestFit="1" customWidth="1"/>
    <col min="8972" max="8972" width="7.85546875" customWidth="1"/>
    <col min="8973" max="8973" width="9.28515625" bestFit="1" customWidth="1"/>
    <col min="8974" max="8974" width="11.28515625" customWidth="1"/>
    <col min="9217" max="9217" width="30.42578125" customWidth="1"/>
    <col min="9218" max="9218" width="13.85546875" customWidth="1"/>
    <col min="9219" max="9219" width="9.28515625" bestFit="1" customWidth="1"/>
    <col min="9220" max="9220" width="11.7109375" customWidth="1"/>
    <col min="9221" max="9221" width="12.28515625" customWidth="1"/>
    <col min="9222" max="9222" width="13.85546875" customWidth="1"/>
    <col min="9223" max="9223" width="11" customWidth="1"/>
    <col min="9224" max="9224" width="10.5703125" bestFit="1" customWidth="1"/>
    <col min="9225" max="9225" width="11" customWidth="1"/>
    <col min="9226" max="9227" width="9.28515625" bestFit="1" customWidth="1"/>
    <col min="9228" max="9228" width="7.85546875" customWidth="1"/>
    <col min="9229" max="9229" width="9.28515625" bestFit="1" customWidth="1"/>
    <col min="9230" max="9230" width="11.28515625" customWidth="1"/>
    <col min="9473" max="9473" width="30.42578125" customWidth="1"/>
    <col min="9474" max="9474" width="13.85546875" customWidth="1"/>
    <col min="9475" max="9475" width="9.28515625" bestFit="1" customWidth="1"/>
    <col min="9476" max="9476" width="11.7109375" customWidth="1"/>
    <col min="9477" max="9477" width="12.28515625" customWidth="1"/>
    <col min="9478" max="9478" width="13.85546875" customWidth="1"/>
    <col min="9479" max="9479" width="11" customWidth="1"/>
    <col min="9480" max="9480" width="10.5703125" bestFit="1" customWidth="1"/>
    <col min="9481" max="9481" width="11" customWidth="1"/>
    <col min="9482" max="9483" width="9.28515625" bestFit="1" customWidth="1"/>
    <col min="9484" max="9484" width="7.85546875" customWidth="1"/>
    <col min="9485" max="9485" width="9.28515625" bestFit="1" customWidth="1"/>
    <col min="9486" max="9486" width="11.28515625" customWidth="1"/>
    <col min="9729" max="9729" width="30.42578125" customWidth="1"/>
    <col min="9730" max="9730" width="13.85546875" customWidth="1"/>
    <col min="9731" max="9731" width="9.28515625" bestFit="1" customWidth="1"/>
    <col min="9732" max="9732" width="11.7109375" customWidth="1"/>
    <col min="9733" max="9733" width="12.28515625" customWidth="1"/>
    <col min="9734" max="9734" width="13.85546875" customWidth="1"/>
    <col min="9735" max="9735" width="11" customWidth="1"/>
    <col min="9736" max="9736" width="10.5703125" bestFit="1" customWidth="1"/>
    <col min="9737" max="9737" width="11" customWidth="1"/>
    <col min="9738" max="9739" width="9.28515625" bestFit="1" customWidth="1"/>
    <col min="9740" max="9740" width="7.85546875" customWidth="1"/>
    <col min="9741" max="9741" width="9.28515625" bestFit="1" customWidth="1"/>
    <col min="9742" max="9742" width="11.28515625" customWidth="1"/>
    <col min="9985" max="9985" width="30.42578125" customWidth="1"/>
    <col min="9986" max="9986" width="13.85546875" customWidth="1"/>
    <col min="9987" max="9987" width="9.28515625" bestFit="1" customWidth="1"/>
    <col min="9988" max="9988" width="11.7109375" customWidth="1"/>
    <col min="9989" max="9989" width="12.28515625" customWidth="1"/>
    <col min="9990" max="9990" width="13.85546875" customWidth="1"/>
    <col min="9991" max="9991" width="11" customWidth="1"/>
    <col min="9992" max="9992" width="10.5703125" bestFit="1" customWidth="1"/>
    <col min="9993" max="9993" width="11" customWidth="1"/>
    <col min="9994" max="9995" width="9.28515625" bestFit="1" customWidth="1"/>
    <col min="9996" max="9996" width="7.85546875" customWidth="1"/>
    <col min="9997" max="9997" width="9.28515625" bestFit="1" customWidth="1"/>
    <col min="9998" max="9998" width="11.28515625" customWidth="1"/>
    <col min="10241" max="10241" width="30.42578125" customWidth="1"/>
    <col min="10242" max="10242" width="13.85546875" customWidth="1"/>
    <col min="10243" max="10243" width="9.28515625" bestFit="1" customWidth="1"/>
    <col min="10244" max="10244" width="11.7109375" customWidth="1"/>
    <col min="10245" max="10245" width="12.28515625" customWidth="1"/>
    <col min="10246" max="10246" width="13.85546875" customWidth="1"/>
    <col min="10247" max="10247" width="11" customWidth="1"/>
    <col min="10248" max="10248" width="10.5703125" bestFit="1" customWidth="1"/>
    <col min="10249" max="10249" width="11" customWidth="1"/>
    <col min="10250" max="10251" width="9.28515625" bestFit="1" customWidth="1"/>
    <col min="10252" max="10252" width="7.85546875" customWidth="1"/>
    <col min="10253" max="10253" width="9.28515625" bestFit="1" customWidth="1"/>
    <col min="10254" max="10254" width="11.28515625" customWidth="1"/>
    <col min="10497" max="10497" width="30.42578125" customWidth="1"/>
    <col min="10498" max="10498" width="13.85546875" customWidth="1"/>
    <col min="10499" max="10499" width="9.28515625" bestFit="1" customWidth="1"/>
    <col min="10500" max="10500" width="11.7109375" customWidth="1"/>
    <col min="10501" max="10501" width="12.28515625" customWidth="1"/>
    <col min="10502" max="10502" width="13.85546875" customWidth="1"/>
    <col min="10503" max="10503" width="11" customWidth="1"/>
    <col min="10504" max="10504" width="10.5703125" bestFit="1" customWidth="1"/>
    <col min="10505" max="10505" width="11" customWidth="1"/>
    <col min="10506" max="10507" width="9.28515625" bestFit="1" customWidth="1"/>
    <col min="10508" max="10508" width="7.85546875" customWidth="1"/>
    <col min="10509" max="10509" width="9.28515625" bestFit="1" customWidth="1"/>
    <col min="10510" max="10510" width="11.28515625" customWidth="1"/>
    <col min="10753" max="10753" width="30.42578125" customWidth="1"/>
    <col min="10754" max="10754" width="13.85546875" customWidth="1"/>
    <col min="10755" max="10755" width="9.28515625" bestFit="1" customWidth="1"/>
    <col min="10756" max="10756" width="11.7109375" customWidth="1"/>
    <col min="10757" max="10757" width="12.28515625" customWidth="1"/>
    <col min="10758" max="10758" width="13.85546875" customWidth="1"/>
    <col min="10759" max="10759" width="11" customWidth="1"/>
    <col min="10760" max="10760" width="10.5703125" bestFit="1" customWidth="1"/>
    <col min="10761" max="10761" width="11" customWidth="1"/>
    <col min="10762" max="10763" width="9.28515625" bestFit="1" customWidth="1"/>
    <col min="10764" max="10764" width="7.85546875" customWidth="1"/>
    <col min="10765" max="10765" width="9.28515625" bestFit="1" customWidth="1"/>
    <col min="10766" max="10766" width="11.28515625" customWidth="1"/>
    <col min="11009" max="11009" width="30.42578125" customWidth="1"/>
    <col min="11010" max="11010" width="13.85546875" customWidth="1"/>
    <col min="11011" max="11011" width="9.28515625" bestFit="1" customWidth="1"/>
    <col min="11012" max="11012" width="11.7109375" customWidth="1"/>
    <col min="11013" max="11013" width="12.28515625" customWidth="1"/>
    <col min="11014" max="11014" width="13.85546875" customWidth="1"/>
    <col min="11015" max="11015" width="11" customWidth="1"/>
    <col min="11016" max="11016" width="10.5703125" bestFit="1" customWidth="1"/>
    <col min="11017" max="11017" width="11" customWidth="1"/>
    <col min="11018" max="11019" width="9.28515625" bestFit="1" customWidth="1"/>
    <col min="11020" max="11020" width="7.85546875" customWidth="1"/>
    <col min="11021" max="11021" width="9.28515625" bestFit="1" customWidth="1"/>
    <col min="11022" max="11022" width="11.28515625" customWidth="1"/>
    <col min="11265" max="11265" width="30.42578125" customWidth="1"/>
    <col min="11266" max="11266" width="13.85546875" customWidth="1"/>
    <col min="11267" max="11267" width="9.28515625" bestFit="1" customWidth="1"/>
    <col min="11268" max="11268" width="11.7109375" customWidth="1"/>
    <col min="11269" max="11269" width="12.28515625" customWidth="1"/>
    <col min="11270" max="11270" width="13.85546875" customWidth="1"/>
    <col min="11271" max="11271" width="11" customWidth="1"/>
    <col min="11272" max="11272" width="10.5703125" bestFit="1" customWidth="1"/>
    <col min="11273" max="11273" width="11" customWidth="1"/>
    <col min="11274" max="11275" width="9.28515625" bestFit="1" customWidth="1"/>
    <col min="11276" max="11276" width="7.85546875" customWidth="1"/>
    <col min="11277" max="11277" width="9.28515625" bestFit="1" customWidth="1"/>
    <col min="11278" max="11278" width="11.28515625" customWidth="1"/>
    <col min="11521" max="11521" width="30.42578125" customWidth="1"/>
    <col min="11522" max="11522" width="13.85546875" customWidth="1"/>
    <col min="11523" max="11523" width="9.28515625" bestFit="1" customWidth="1"/>
    <col min="11524" max="11524" width="11.7109375" customWidth="1"/>
    <col min="11525" max="11525" width="12.28515625" customWidth="1"/>
    <col min="11526" max="11526" width="13.85546875" customWidth="1"/>
    <col min="11527" max="11527" width="11" customWidth="1"/>
    <col min="11528" max="11528" width="10.5703125" bestFit="1" customWidth="1"/>
    <col min="11529" max="11529" width="11" customWidth="1"/>
    <col min="11530" max="11531" width="9.28515625" bestFit="1" customWidth="1"/>
    <col min="11532" max="11532" width="7.85546875" customWidth="1"/>
    <col min="11533" max="11533" width="9.28515625" bestFit="1" customWidth="1"/>
    <col min="11534" max="11534" width="11.28515625" customWidth="1"/>
    <col min="11777" max="11777" width="30.42578125" customWidth="1"/>
    <col min="11778" max="11778" width="13.85546875" customWidth="1"/>
    <col min="11779" max="11779" width="9.28515625" bestFit="1" customWidth="1"/>
    <col min="11780" max="11780" width="11.7109375" customWidth="1"/>
    <col min="11781" max="11781" width="12.28515625" customWidth="1"/>
    <col min="11782" max="11782" width="13.85546875" customWidth="1"/>
    <col min="11783" max="11783" width="11" customWidth="1"/>
    <col min="11784" max="11784" width="10.5703125" bestFit="1" customWidth="1"/>
    <col min="11785" max="11785" width="11" customWidth="1"/>
    <col min="11786" max="11787" width="9.28515625" bestFit="1" customWidth="1"/>
    <col min="11788" max="11788" width="7.85546875" customWidth="1"/>
    <col min="11789" max="11789" width="9.28515625" bestFit="1" customWidth="1"/>
    <col min="11790" max="11790" width="11.28515625" customWidth="1"/>
    <col min="12033" max="12033" width="30.42578125" customWidth="1"/>
    <col min="12034" max="12034" width="13.85546875" customWidth="1"/>
    <col min="12035" max="12035" width="9.28515625" bestFit="1" customWidth="1"/>
    <col min="12036" max="12036" width="11.7109375" customWidth="1"/>
    <col min="12037" max="12037" width="12.28515625" customWidth="1"/>
    <col min="12038" max="12038" width="13.85546875" customWidth="1"/>
    <col min="12039" max="12039" width="11" customWidth="1"/>
    <col min="12040" max="12040" width="10.5703125" bestFit="1" customWidth="1"/>
    <col min="12041" max="12041" width="11" customWidth="1"/>
    <col min="12042" max="12043" width="9.28515625" bestFit="1" customWidth="1"/>
    <col min="12044" max="12044" width="7.85546875" customWidth="1"/>
    <col min="12045" max="12045" width="9.28515625" bestFit="1" customWidth="1"/>
    <col min="12046" max="12046" width="11.28515625" customWidth="1"/>
    <col min="12289" max="12289" width="30.42578125" customWidth="1"/>
    <col min="12290" max="12290" width="13.85546875" customWidth="1"/>
    <col min="12291" max="12291" width="9.28515625" bestFit="1" customWidth="1"/>
    <col min="12292" max="12292" width="11.7109375" customWidth="1"/>
    <col min="12293" max="12293" width="12.28515625" customWidth="1"/>
    <col min="12294" max="12294" width="13.85546875" customWidth="1"/>
    <col min="12295" max="12295" width="11" customWidth="1"/>
    <col min="12296" max="12296" width="10.5703125" bestFit="1" customWidth="1"/>
    <col min="12297" max="12297" width="11" customWidth="1"/>
    <col min="12298" max="12299" width="9.28515625" bestFit="1" customWidth="1"/>
    <col min="12300" max="12300" width="7.85546875" customWidth="1"/>
    <col min="12301" max="12301" width="9.28515625" bestFit="1" customWidth="1"/>
    <col min="12302" max="12302" width="11.28515625" customWidth="1"/>
    <col min="12545" max="12545" width="30.42578125" customWidth="1"/>
    <col min="12546" max="12546" width="13.85546875" customWidth="1"/>
    <col min="12547" max="12547" width="9.28515625" bestFit="1" customWidth="1"/>
    <col min="12548" max="12548" width="11.7109375" customWidth="1"/>
    <col min="12549" max="12549" width="12.28515625" customWidth="1"/>
    <col min="12550" max="12550" width="13.85546875" customWidth="1"/>
    <col min="12551" max="12551" width="11" customWidth="1"/>
    <col min="12552" max="12552" width="10.5703125" bestFit="1" customWidth="1"/>
    <col min="12553" max="12553" width="11" customWidth="1"/>
    <col min="12554" max="12555" width="9.28515625" bestFit="1" customWidth="1"/>
    <col min="12556" max="12556" width="7.85546875" customWidth="1"/>
    <col min="12557" max="12557" width="9.28515625" bestFit="1" customWidth="1"/>
    <col min="12558" max="12558" width="11.28515625" customWidth="1"/>
    <col min="12801" max="12801" width="30.42578125" customWidth="1"/>
    <col min="12802" max="12802" width="13.85546875" customWidth="1"/>
    <col min="12803" max="12803" width="9.28515625" bestFit="1" customWidth="1"/>
    <col min="12804" max="12804" width="11.7109375" customWidth="1"/>
    <col min="12805" max="12805" width="12.28515625" customWidth="1"/>
    <col min="12806" max="12806" width="13.85546875" customWidth="1"/>
    <col min="12807" max="12807" width="11" customWidth="1"/>
    <col min="12808" max="12808" width="10.5703125" bestFit="1" customWidth="1"/>
    <col min="12809" max="12809" width="11" customWidth="1"/>
    <col min="12810" max="12811" width="9.28515625" bestFit="1" customWidth="1"/>
    <col min="12812" max="12812" width="7.85546875" customWidth="1"/>
    <col min="12813" max="12813" width="9.28515625" bestFit="1" customWidth="1"/>
    <col min="12814" max="12814" width="11.28515625" customWidth="1"/>
    <col min="13057" max="13057" width="30.42578125" customWidth="1"/>
    <col min="13058" max="13058" width="13.85546875" customWidth="1"/>
    <col min="13059" max="13059" width="9.28515625" bestFit="1" customWidth="1"/>
    <col min="13060" max="13060" width="11.7109375" customWidth="1"/>
    <col min="13061" max="13061" width="12.28515625" customWidth="1"/>
    <col min="13062" max="13062" width="13.85546875" customWidth="1"/>
    <col min="13063" max="13063" width="11" customWidth="1"/>
    <col min="13064" max="13064" width="10.5703125" bestFit="1" customWidth="1"/>
    <col min="13065" max="13065" width="11" customWidth="1"/>
    <col min="13066" max="13067" width="9.28515625" bestFit="1" customWidth="1"/>
    <col min="13068" max="13068" width="7.85546875" customWidth="1"/>
    <col min="13069" max="13069" width="9.28515625" bestFit="1" customWidth="1"/>
    <col min="13070" max="13070" width="11.28515625" customWidth="1"/>
    <col min="13313" max="13313" width="30.42578125" customWidth="1"/>
    <col min="13314" max="13314" width="13.85546875" customWidth="1"/>
    <col min="13315" max="13315" width="9.28515625" bestFit="1" customWidth="1"/>
    <col min="13316" max="13316" width="11.7109375" customWidth="1"/>
    <col min="13317" max="13317" width="12.28515625" customWidth="1"/>
    <col min="13318" max="13318" width="13.85546875" customWidth="1"/>
    <col min="13319" max="13319" width="11" customWidth="1"/>
    <col min="13320" max="13320" width="10.5703125" bestFit="1" customWidth="1"/>
    <col min="13321" max="13321" width="11" customWidth="1"/>
    <col min="13322" max="13323" width="9.28515625" bestFit="1" customWidth="1"/>
    <col min="13324" max="13324" width="7.85546875" customWidth="1"/>
    <col min="13325" max="13325" width="9.28515625" bestFit="1" customWidth="1"/>
    <col min="13326" max="13326" width="11.28515625" customWidth="1"/>
    <col min="13569" max="13569" width="30.42578125" customWidth="1"/>
    <col min="13570" max="13570" width="13.85546875" customWidth="1"/>
    <col min="13571" max="13571" width="9.28515625" bestFit="1" customWidth="1"/>
    <col min="13572" max="13572" width="11.7109375" customWidth="1"/>
    <col min="13573" max="13573" width="12.28515625" customWidth="1"/>
    <col min="13574" max="13574" width="13.85546875" customWidth="1"/>
    <col min="13575" max="13575" width="11" customWidth="1"/>
    <col min="13576" max="13576" width="10.5703125" bestFit="1" customWidth="1"/>
    <col min="13577" max="13577" width="11" customWidth="1"/>
    <col min="13578" max="13579" width="9.28515625" bestFit="1" customWidth="1"/>
    <col min="13580" max="13580" width="7.85546875" customWidth="1"/>
    <col min="13581" max="13581" width="9.28515625" bestFit="1" customWidth="1"/>
    <col min="13582" max="13582" width="11.28515625" customWidth="1"/>
    <col min="13825" max="13825" width="30.42578125" customWidth="1"/>
    <col min="13826" max="13826" width="13.85546875" customWidth="1"/>
    <col min="13827" max="13827" width="9.28515625" bestFit="1" customWidth="1"/>
    <col min="13828" max="13828" width="11.7109375" customWidth="1"/>
    <col min="13829" max="13829" width="12.28515625" customWidth="1"/>
    <col min="13830" max="13830" width="13.85546875" customWidth="1"/>
    <col min="13831" max="13831" width="11" customWidth="1"/>
    <col min="13832" max="13832" width="10.5703125" bestFit="1" customWidth="1"/>
    <col min="13833" max="13833" width="11" customWidth="1"/>
    <col min="13834" max="13835" width="9.28515625" bestFit="1" customWidth="1"/>
    <col min="13836" max="13836" width="7.85546875" customWidth="1"/>
    <col min="13837" max="13837" width="9.28515625" bestFit="1" customWidth="1"/>
    <col min="13838" max="13838" width="11.28515625" customWidth="1"/>
    <col min="14081" max="14081" width="30.42578125" customWidth="1"/>
    <col min="14082" max="14082" width="13.85546875" customWidth="1"/>
    <col min="14083" max="14083" width="9.28515625" bestFit="1" customWidth="1"/>
    <col min="14084" max="14084" width="11.7109375" customWidth="1"/>
    <col min="14085" max="14085" width="12.28515625" customWidth="1"/>
    <col min="14086" max="14086" width="13.85546875" customWidth="1"/>
    <col min="14087" max="14087" width="11" customWidth="1"/>
    <col min="14088" max="14088" width="10.5703125" bestFit="1" customWidth="1"/>
    <col min="14089" max="14089" width="11" customWidth="1"/>
    <col min="14090" max="14091" width="9.28515625" bestFit="1" customWidth="1"/>
    <col min="14092" max="14092" width="7.85546875" customWidth="1"/>
    <col min="14093" max="14093" width="9.28515625" bestFit="1" customWidth="1"/>
    <col min="14094" max="14094" width="11.28515625" customWidth="1"/>
    <col min="14337" max="14337" width="30.42578125" customWidth="1"/>
    <col min="14338" max="14338" width="13.85546875" customWidth="1"/>
    <col min="14339" max="14339" width="9.28515625" bestFit="1" customWidth="1"/>
    <col min="14340" max="14340" width="11.7109375" customWidth="1"/>
    <col min="14341" max="14341" width="12.28515625" customWidth="1"/>
    <col min="14342" max="14342" width="13.85546875" customWidth="1"/>
    <col min="14343" max="14343" width="11" customWidth="1"/>
    <col min="14344" max="14344" width="10.5703125" bestFit="1" customWidth="1"/>
    <col min="14345" max="14345" width="11" customWidth="1"/>
    <col min="14346" max="14347" width="9.28515625" bestFit="1" customWidth="1"/>
    <col min="14348" max="14348" width="7.85546875" customWidth="1"/>
    <col min="14349" max="14349" width="9.28515625" bestFit="1" customWidth="1"/>
    <col min="14350" max="14350" width="11.28515625" customWidth="1"/>
    <col min="14593" max="14593" width="30.42578125" customWidth="1"/>
    <col min="14594" max="14594" width="13.85546875" customWidth="1"/>
    <col min="14595" max="14595" width="9.28515625" bestFit="1" customWidth="1"/>
    <col min="14596" max="14596" width="11.7109375" customWidth="1"/>
    <col min="14597" max="14597" width="12.28515625" customWidth="1"/>
    <col min="14598" max="14598" width="13.85546875" customWidth="1"/>
    <col min="14599" max="14599" width="11" customWidth="1"/>
    <col min="14600" max="14600" width="10.5703125" bestFit="1" customWidth="1"/>
    <col min="14601" max="14601" width="11" customWidth="1"/>
    <col min="14602" max="14603" width="9.28515625" bestFit="1" customWidth="1"/>
    <col min="14604" max="14604" width="7.85546875" customWidth="1"/>
    <col min="14605" max="14605" width="9.28515625" bestFit="1" customWidth="1"/>
    <col min="14606" max="14606" width="11.28515625" customWidth="1"/>
    <col min="14849" max="14849" width="30.42578125" customWidth="1"/>
    <col min="14850" max="14850" width="13.85546875" customWidth="1"/>
    <col min="14851" max="14851" width="9.28515625" bestFit="1" customWidth="1"/>
    <col min="14852" max="14852" width="11.7109375" customWidth="1"/>
    <col min="14853" max="14853" width="12.28515625" customWidth="1"/>
    <col min="14854" max="14854" width="13.85546875" customWidth="1"/>
    <col min="14855" max="14855" width="11" customWidth="1"/>
    <col min="14856" max="14856" width="10.5703125" bestFit="1" customWidth="1"/>
    <col min="14857" max="14857" width="11" customWidth="1"/>
    <col min="14858" max="14859" width="9.28515625" bestFit="1" customWidth="1"/>
    <col min="14860" max="14860" width="7.85546875" customWidth="1"/>
    <col min="14861" max="14861" width="9.28515625" bestFit="1" customWidth="1"/>
    <col min="14862" max="14862" width="11.28515625" customWidth="1"/>
    <col min="15105" max="15105" width="30.42578125" customWidth="1"/>
    <col min="15106" max="15106" width="13.85546875" customWidth="1"/>
    <col min="15107" max="15107" width="9.28515625" bestFit="1" customWidth="1"/>
    <col min="15108" max="15108" width="11.7109375" customWidth="1"/>
    <col min="15109" max="15109" width="12.28515625" customWidth="1"/>
    <col min="15110" max="15110" width="13.85546875" customWidth="1"/>
    <col min="15111" max="15111" width="11" customWidth="1"/>
    <col min="15112" max="15112" width="10.5703125" bestFit="1" customWidth="1"/>
    <col min="15113" max="15113" width="11" customWidth="1"/>
    <col min="15114" max="15115" width="9.28515625" bestFit="1" customWidth="1"/>
    <col min="15116" max="15116" width="7.85546875" customWidth="1"/>
    <col min="15117" max="15117" width="9.28515625" bestFit="1" customWidth="1"/>
    <col min="15118" max="15118" width="11.28515625" customWidth="1"/>
    <col min="15361" max="15361" width="30.42578125" customWidth="1"/>
    <col min="15362" max="15362" width="13.85546875" customWidth="1"/>
    <col min="15363" max="15363" width="9.28515625" bestFit="1" customWidth="1"/>
    <col min="15364" max="15364" width="11.7109375" customWidth="1"/>
    <col min="15365" max="15365" width="12.28515625" customWidth="1"/>
    <col min="15366" max="15366" width="13.85546875" customWidth="1"/>
    <col min="15367" max="15367" width="11" customWidth="1"/>
    <col min="15368" max="15368" width="10.5703125" bestFit="1" customWidth="1"/>
    <col min="15369" max="15369" width="11" customWidth="1"/>
    <col min="15370" max="15371" width="9.28515625" bestFit="1" customWidth="1"/>
    <col min="15372" max="15372" width="7.85546875" customWidth="1"/>
    <col min="15373" max="15373" width="9.28515625" bestFit="1" customWidth="1"/>
    <col min="15374" max="15374" width="11.28515625" customWidth="1"/>
    <col min="15617" max="15617" width="30.42578125" customWidth="1"/>
    <col min="15618" max="15618" width="13.85546875" customWidth="1"/>
    <col min="15619" max="15619" width="9.28515625" bestFit="1" customWidth="1"/>
    <col min="15620" max="15620" width="11.7109375" customWidth="1"/>
    <col min="15621" max="15621" width="12.28515625" customWidth="1"/>
    <col min="15622" max="15622" width="13.85546875" customWidth="1"/>
    <col min="15623" max="15623" width="11" customWidth="1"/>
    <col min="15624" max="15624" width="10.5703125" bestFit="1" customWidth="1"/>
    <col min="15625" max="15625" width="11" customWidth="1"/>
    <col min="15626" max="15627" width="9.28515625" bestFit="1" customWidth="1"/>
    <col min="15628" max="15628" width="7.85546875" customWidth="1"/>
    <col min="15629" max="15629" width="9.28515625" bestFit="1" customWidth="1"/>
    <col min="15630" max="15630" width="11.28515625" customWidth="1"/>
    <col min="15873" max="15873" width="30.42578125" customWidth="1"/>
    <col min="15874" max="15874" width="13.85546875" customWidth="1"/>
    <col min="15875" max="15875" width="9.28515625" bestFit="1" customWidth="1"/>
    <col min="15876" max="15876" width="11.7109375" customWidth="1"/>
    <col min="15877" max="15877" width="12.28515625" customWidth="1"/>
    <col min="15878" max="15878" width="13.85546875" customWidth="1"/>
    <col min="15879" max="15879" width="11" customWidth="1"/>
    <col min="15880" max="15880" width="10.5703125" bestFit="1" customWidth="1"/>
    <col min="15881" max="15881" width="11" customWidth="1"/>
    <col min="15882" max="15883" width="9.28515625" bestFit="1" customWidth="1"/>
    <col min="15884" max="15884" width="7.85546875" customWidth="1"/>
    <col min="15885" max="15885" width="9.28515625" bestFit="1" customWidth="1"/>
    <col min="15886" max="15886" width="11.28515625" customWidth="1"/>
    <col min="16129" max="16129" width="30.42578125" customWidth="1"/>
    <col min="16130" max="16130" width="13.85546875" customWidth="1"/>
    <col min="16131" max="16131" width="9.28515625" bestFit="1" customWidth="1"/>
    <col min="16132" max="16132" width="11.7109375" customWidth="1"/>
    <col min="16133" max="16133" width="12.28515625" customWidth="1"/>
    <col min="16134" max="16134" width="13.85546875" customWidth="1"/>
    <col min="16135" max="16135" width="11" customWidth="1"/>
    <col min="16136" max="16136" width="10.5703125" bestFit="1" customWidth="1"/>
    <col min="16137" max="16137" width="11" customWidth="1"/>
    <col min="16138" max="16139" width="9.28515625" bestFit="1" customWidth="1"/>
    <col min="16140" max="16140" width="7.85546875" customWidth="1"/>
    <col min="16141" max="16141" width="9.28515625" bestFit="1" customWidth="1"/>
    <col min="16142" max="16142" width="11.28515625" customWidth="1"/>
  </cols>
  <sheetData>
    <row r="1" spans="1:15" ht="15.75">
      <c r="A1" s="968" t="s">
        <v>826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</row>
    <row r="2" spans="1:15" ht="15.75">
      <c r="A2" s="968" t="s">
        <v>827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</row>
    <row r="4" spans="1:15">
      <c r="A4" s="46" t="s">
        <v>828</v>
      </c>
      <c r="B4" s="854" t="s">
        <v>5646</v>
      </c>
      <c r="C4" s="854"/>
      <c r="D4" s="854"/>
      <c r="E4" s="854" t="s">
        <v>830</v>
      </c>
      <c r="F4" s="854"/>
      <c r="G4" s="854"/>
      <c r="H4" s="854" t="s">
        <v>5647</v>
      </c>
      <c r="I4" s="854"/>
      <c r="J4" s="46" t="s">
        <v>5</v>
      </c>
      <c r="K4" s="46"/>
      <c r="L4" s="47">
        <v>519.71600000000001</v>
      </c>
      <c r="M4" s="46" t="s">
        <v>831</v>
      </c>
      <c r="N4" s="46"/>
      <c r="O4" s="47">
        <v>80</v>
      </c>
    </row>
    <row r="5" spans="1:15">
      <c r="A5" s="808" t="s">
        <v>4176</v>
      </c>
      <c r="B5" s="808"/>
      <c r="C5" s="808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>
      <c r="A6" s="46" t="s">
        <v>832</v>
      </c>
      <c r="B6" s="854" t="s">
        <v>5648</v>
      </c>
      <c r="C6" s="854"/>
      <c r="D6" s="854"/>
      <c r="E6" s="854" t="s">
        <v>176</v>
      </c>
      <c r="F6" s="854"/>
      <c r="G6" s="854"/>
      <c r="H6" s="854" t="s">
        <v>5649</v>
      </c>
      <c r="I6" s="854"/>
      <c r="J6" s="854"/>
      <c r="K6" s="46"/>
      <c r="L6" s="46"/>
      <c r="M6" s="46"/>
      <c r="N6" s="46"/>
      <c r="O6" s="46"/>
    </row>
    <row r="7" spans="1: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</row>
    <row r="8" spans="1:15" ht="23.25" customHeight="1">
      <c r="A8" s="46" t="s">
        <v>835</v>
      </c>
      <c r="B8" s="854" t="s">
        <v>5585</v>
      </c>
      <c r="C8" s="854"/>
      <c r="D8" s="854"/>
      <c r="E8" s="967" t="s">
        <v>5519</v>
      </c>
      <c r="F8" s="989"/>
      <c r="G8" s="940"/>
      <c r="H8" s="854" t="s">
        <v>5650</v>
      </c>
      <c r="I8" s="854"/>
      <c r="J8" s="854"/>
      <c r="K8" s="854"/>
      <c r="L8" s="854"/>
      <c r="M8" s="46"/>
      <c r="N8" s="46"/>
      <c r="O8" s="46"/>
    </row>
    <row r="9" spans="1:15">
      <c r="A9" s="46"/>
      <c r="B9" s="46"/>
      <c r="C9" s="46"/>
      <c r="D9" s="46"/>
      <c r="E9" s="46"/>
      <c r="F9" s="46"/>
      <c r="G9" s="46"/>
      <c r="H9" s="48"/>
      <c r="I9" s="48"/>
      <c r="J9" s="48"/>
      <c r="K9" s="48"/>
      <c r="L9" s="48"/>
      <c r="M9" s="46"/>
      <c r="N9" s="46"/>
      <c r="O9" s="46"/>
    </row>
    <row r="10" spans="1:1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15">
      <c r="A11" s="47" t="s">
        <v>838</v>
      </c>
      <c r="B11" s="854" t="s">
        <v>5651</v>
      </c>
      <c r="C11" s="854"/>
      <c r="D11" s="854" t="s">
        <v>5652</v>
      </c>
      <c r="E11" s="854"/>
      <c r="F11" s="854"/>
      <c r="G11" s="854"/>
      <c r="H11" s="854" t="s">
        <v>5653</v>
      </c>
      <c r="I11" s="854"/>
      <c r="J11" s="854"/>
      <c r="K11" s="854"/>
      <c r="L11" s="854"/>
      <c r="M11" s="854"/>
      <c r="N11" s="854"/>
      <c r="O11" s="46"/>
    </row>
    <row r="12" spans="1:15">
      <c r="A12" s="47" t="s">
        <v>840</v>
      </c>
      <c r="B12" s="854" t="s">
        <v>5654</v>
      </c>
      <c r="C12" s="854"/>
      <c r="D12" s="854" t="s">
        <v>5655</v>
      </c>
      <c r="E12" s="854"/>
      <c r="F12" s="854"/>
      <c r="G12" s="854"/>
      <c r="H12" s="854" t="s">
        <v>5656</v>
      </c>
      <c r="I12" s="854"/>
      <c r="J12" s="854"/>
      <c r="K12" s="854"/>
      <c r="L12" s="854"/>
      <c r="M12" s="854"/>
      <c r="N12" s="854"/>
      <c r="O12" s="46"/>
    </row>
    <row r="13" spans="1:15" ht="21.75" customHeight="1">
      <c r="A13" s="47" t="s">
        <v>844</v>
      </c>
      <c r="B13" s="1155" t="s">
        <v>5657</v>
      </c>
      <c r="C13" s="917"/>
      <c r="D13" s="1155" t="s">
        <v>5658</v>
      </c>
      <c r="E13" s="1156"/>
      <c r="F13" s="1156"/>
      <c r="G13" s="917"/>
      <c r="H13" s="854" t="s">
        <v>5659</v>
      </c>
      <c r="I13" s="854"/>
      <c r="J13" s="854"/>
      <c r="K13" s="854"/>
      <c r="L13" s="854"/>
      <c r="M13" s="854"/>
      <c r="N13" s="854"/>
      <c r="O13" s="46"/>
    </row>
    <row r="14" spans="1:15">
      <c r="A14" s="47" t="s">
        <v>850</v>
      </c>
      <c r="B14" s="854"/>
      <c r="C14" s="854"/>
      <c r="D14" s="854"/>
      <c r="E14" s="854"/>
      <c r="F14" s="854"/>
      <c r="G14" s="854"/>
      <c r="H14" s="854"/>
      <c r="I14" s="854"/>
      <c r="J14" s="854"/>
      <c r="K14" s="854"/>
      <c r="L14" s="854"/>
      <c r="M14" s="854"/>
      <c r="N14" s="854"/>
      <c r="O14" s="46"/>
    </row>
    <row r="15" spans="1:1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</row>
    <row r="16" spans="1:15">
      <c r="A16" s="46" t="s">
        <v>852</v>
      </c>
      <c r="B16" s="47">
        <v>3</v>
      </c>
      <c r="C16" s="46" t="s">
        <v>853</v>
      </c>
      <c r="D16" s="46"/>
      <c r="E16" s="522">
        <v>3</v>
      </c>
      <c r="F16" s="540"/>
      <c r="H16" s="46" t="s">
        <v>643</v>
      </c>
      <c r="I16" s="522">
        <v>3</v>
      </c>
      <c r="J16" s="46" t="s">
        <v>644</v>
      </c>
      <c r="K16" s="47">
        <v>0</v>
      </c>
      <c r="L16" s="46" t="s">
        <v>645</v>
      </c>
      <c r="M16" s="47"/>
      <c r="N16" s="46"/>
      <c r="O16" s="46"/>
    </row>
    <row r="17" spans="1:1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1:1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>
      <c r="A19" s="46" t="s">
        <v>854</v>
      </c>
      <c r="B19" s="46" t="s">
        <v>204</v>
      </c>
      <c r="C19" s="47">
        <v>73</v>
      </c>
      <c r="D19" s="46" t="s">
        <v>205</v>
      </c>
      <c r="E19" s="47"/>
      <c r="F19" s="84"/>
      <c r="G19" s="49" t="s">
        <v>206</v>
      </c>
      <c r="H19" s="47"/>
      <c r="I19" s="46" t="s">
        <v>230</v>
      </c>
      <c r="J19" s="47">
        <v>73</v>
      </c>
      <c r="K19" s="46" t="s">
        <v>207</v>
      </c>
      <c r="L19" s="47">
        <v>21</v>
      </c>
      <c r="M19" s="46" t="s">
        <v>855</v>
      </c>
      <c r="N19" s="46"/>
      <c r="O19" s="47"/>
    </row>
    <row r="20" spans="1:15">
      <c r="A20" s="46" t="s">
        <v>209</v>
      </c>
      <c r="B20" s="46" t="s">
        <v>210</v>
      </c>
      <c r="C20" s="47">
        <v>180</v>
      </c>
      <c r="D20" s="46" t="s">
        <v>211</v>
      </c>
      <c r="E20" s="47"/>
      <c r="F20" s="84"/>
      <c r="G20" s="49" t="s">
        <v>212</v>
      </c>
      <c r="H20" s="47"/>
      <c r="I20" s="46" t="s">
        <v>411</v>
      </c>
      <c r="J20" s="47">
        <v>180</v>
      </c>
      <c r="K20" s="46"/>
      <c r="L20" s="46"/>
      <c r="M20" s="46"/>
      <c r="N20" s="46"/>
      <c r="O20" s="46"/>
    </row>
    <row r="21" spans="1:15">
      <c r="A21" s="46"/>
      <c r="B21" s="46" t="s">
        <v>858</v>
      </c>
      <c r="C21" s="47">
        <v>196</v>
      </c>
      <c r="D21" s="46" t="s">
        <v>214</v>
      </c>
      <c r="E21" s="47"/>
      <c r="F21" s="84"/>
      <c r="G21" s="46" t="s">
        <v>215</v>
      </c>
      <c r="H21" s="47"/>
      <c r="I21" s="46" t="s">
        <v>410</v>
      </c>
      <c r="J21" s="47">
        <v>196</v>
      </c>
      <c r="K21" s="46"/>
      <c r="L21" s="46"/>
      <c r="M21" s="46"/>
      <c r="N21" s="46"/>
      <c r="O21" s="46"/>
    </row>
    <row r="22" spans="1:1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</row>
    <row r="23" spans="1:15">
      <c r="A23" s="50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</row>
    <row r="24" spans="1:15" ht="30" customHeight="1">
      <c r="A24" s="1154" t="s">
        <v>861</v>
      </c>
      <c r="B24" s="988" t="s">
        <v>5532</v>
      </c>
      <c r="C24" s="988" t="s">
        <v>219</v>
      </c>
      <c r="D24" s="988" t="s">
        <v>863</v>
      </c>
      <c r="E24" s="988" t="s">
        <v>864</v>
      </c>
      <c r="F24" s="538"/>
      <c r="G24" s="854" t="s">
        <v>865</v>
      </c>
      <c r="H24" s="854"/>
      <c r="I24" s="854"/>
      <c r="J24" s="854"/>
      <c r="K24" s="854"/>
      <c r="L24" s="854"/>
      <c r="M24" s="854"/>
      <c r="N24" s="854"/>
      <c r="O24" s="854"/>
    </row>
    <row r="25" spans="1:15" ht="16.5" customHeight="1">
      <c r="A25" s="1154"/>
      <c r="B25" s="988"/>
      <c r="C25" s="988"/>
      <c r="D25" s="988"/>
      <c r="E25" s="988"/>
      <c r="F25" s="538" t="s">
        <v>1180</v>
      </c>
      <c r="G25" s="47" t="s">
        <v>1179</v>
      </c>
      <c r="H25" s="47" t="s">
        <v>1178</v>
      </c>
      <c r="I25" s="47">
        <v>3</v>
      </c>
      <c r="J25" s="47">
        <v>4</v>
      </c>
      <c r="K25" s="47">
        <v>5</v>
      </c>
      <c r="L25" s="47">
        <v>6</v>
      </c>
      <c r="M25" s="47">
        <v>7</v>
      </c>
      <c r="N25" s="47" t="s">
        <v>230</v>
      </c>
      <c r="O25" s="47" t="s">
        <v>662</v>
      </c>
    </row>
    <row r="26" spans="1:15">
      <c r="A26" s="491" t="s">
        <v>232</v>
      </c>
      <c r="B26" s="491">
        <v>8000</v>
      </c>
      <c r="C26" s="492" t="s">
        <v>873</v>
      </c>
      <c r="D26" s="493">
        <f>+B26*L4/100000</f>
        <v>41.577280000000002</v>
      </c>
      <c r="E26" s="494">
        <f>1580000/100000</f>
        <v>15.8</v>
      </c>
      <c r="F26" s="494"/>
      <c r="G26" s="495">
        <f>312964/100000</f>
        <v>3.1296400000000002</v>
      </c>
      <c r="H26" s="495">
        <f>1169840/100000</f>
        <v>11.698399999999999</v>
      </c>
      <c r="I26" s="495"/>
      <c r="J26" s="495"/>
      <c r="K26" s="495"/>
      <c r="L26" s="495"/>
      <c r="M26" s="495"/>
      <c r="N26" s="494">
        <f>+G26+H26</f>
        <v>14.82804</v>
      </c>
      <c r="O26" s="495">
        <f>+N26*100/E26</f>
        <v>93.848354430379729</v>
      </c>
    </row>
    <row r="27" spans="1:15">
      <c r="A27" s="491" t="s">
        <v>874</v>
      </c>
      <c r="B27" s="491">
        <v>7000</v>
      </c>
      <c r="C27" s="496" t="s">
        <v>873</v>
      </c>
      <c r="D27" s="495">
        <f>+B27*80/100000</f>
        <v>5.6</v>
      </c>
      <c r="E27" s="495">
        <v>0</v>
      </c>
      <c r="F27" s="495"/>
      <c r="G27" s="495">
        <v>0</v>
      </c>
      <c r="H27" s="495">
        <v>0</v>
      </c>
      <c r="I27" s="495"/>
      <c r="J27" s="495"/>
      <c r="K27" s="495"/>
      <c r="L27" s="495"/>
      <c r="M27" s="495"/>
      <c r="N27" s="495">
        <f t="shared" ref="N27:N33" si="0">+G27+H27</f>
        <v>0</v>
      </c>
      <c r="O27" s="495">
        <v>0</v>
      </c>
    </row>
    <row r="28" spans="1:15">
      <c r="A28" s="491" t="s">
        <v>235</v>
      </c>
      <c r="B28" s="491">
        <v>43000</v>
      </c>
      <c r="C28" s="496" t="s">
        <v>5388</v>
      </c>
      <c r="D28" s="495">
        <v>0.43</v>
      </c>
      <c r="E28" s="497">
        <f>35000/100000</f>
        <v>0.35</v>
      </c>
      <c r="F28" s="497"/>
      <c r="G28" s="495">
        <f>5440/100000</f>
        <v>5.4399999999999997E-2</v>
      </c>
      <c r="H28" s="495">
        <f>14210/100000</f>
        <v>0.1421</v>
      </c>
      <c r="I28" s="495"/>
      <c r="J28" s="495"/>
      <c r="K28" s="495"/>
      <c r="L28" s="495"/>
      <c r="M28" s="495"/>
      <c r="N28" s="494">
        <f t="shared" si="0"/>
        <v>0.19650000000000001</v>
      </c>
      <c r="O28" s="495">
        <f>+N28*100/E28</f>
        <v>56.142857142857153</v>
      </c>
    </row>
    <row r="29" spans="1:15">
      <c r="A29" s="491" t="s">
        <v>875</v>
      </c>
      <c r="B29" s="491">
        <v>34000</v>
      </c>
      <c r="C29" s="496" t="s">
        <v>5388</v>
      </c>
      <c r="D29" s="495">
        <v>0.34</v>
      </c>
      <c r="E29" s="494">
        <f>16000/100000</f>
        <v>0.16</v>
      </c>
      <c r="F29" s="494"/>
      <c r="G29" s="495">
        <f>16000/100000</f>
        <v>0.16</v>
      </c>
      <c r="H29" s="495">
        <v>0</v>
      </c>
      <c r="I29" s="495"/>
      <c r="J29" s="495"/>
      <c r="K29" s="495"/>
      <c r="L29" s="495"/>
      <c r="M29" s="495"/>
      <c r="N29" s="494">
        <f t="shared" si="0"/>
        <v>0.16</v>
      </c>
      <c r="O29" s="495">
        <f>+N29*100/E29</f>
        <v>100</v>
      </c>
    </row>
    <row r="30" spans="1:15">
      <c r="A30" s="491" t="s">
        <v>238</v>
      </c>
      <c r="B30" s="491">
        <v>1200</v>
      </c>
      <c r="C30" s="496" t="s">
        <v>873</v>
      </c>
      <c r="D30" s="495">
        <f>+B30*L4/100000</f>
        <v>6.2365919999999999</v>
      </c>
      <c r="E30" s="494">
        <f>200000/100000</f>
        <v>2</v>
      </c>
      <c r="F30" s="494"/>
      <c r="G30" s="495">
        <v>0</v>
      </c>
      <c r="H30" s="495">
        <f>50000/100000</f>
        <v>0.5</v>
      </c>
      <c r="I30" s="495"/>
      <c r="J30" s="495"/>
      <c r="K30" s="495"/>
      <c r="L30" s="495"/>
      <c r="M30" s="495"/>
      <c r="N30" s="494">
        <f t="shared" si="0"/>
        <v>0.5</v>
      </c>
      <c r="O30" s="495">
        <f>+N30*100/E30</f>
        <v>25</v>
      </c>
    </row>
    <row r="31" spans="1:15">
      <c r="A31" s="491" t="s">
        <v>667</v>
      </c>
      <c r="B31" s="491">
        <v>565</v>
      </c>
      <c r="C31" s="496" t="s">
        <v>873</v>
      </c>
      <c r="D31" s="495">
        <f>+B31*L4/100000</f>
        <v>2.9363953999999999</v>
      </c>
      <c r="E31" s="494">
        <f>293630/100000</f>
        <v>2.9363000000000001</v>
      </c>
      <c r="F31" s="494"/>
      <c r="G31" s="495">
        <f>293630/100000</f>
        <v>2.9363000000000001</v>
      </c>
      <c r="H31" s="495">
        <v>0</v>
      </c>
      <c r="I31" s="495"/>
      <c r="J31" s="495"/>
      <c r="K31" s="495"/>
      <c r="L31" s="495"/>
      <c r="M31" s="495"/>
      <c r="N31" s="494">
        <f t="shared" si="0"/>
        <v>2.9363000000000001</v>
      </c>
      <c r="O31" s="495">
        <f>+N31*100/E31</f>
        <v>100</v>
      </c>
    </row>
    <row r="32" spans="1:15">
      <c r="A32" s="491" t="s">
        <v>876</v>
      </c>
      <c r="B32" s="491">
        <v>1000</v>
      </c>
      <c r="C32" s="496" t="s">
        <v>873</v>
      </c>
      <c r="D32" s="495">
        <f>+B32*L4/100000</f>
        <v>5.1971600000000002</v>
      </c>
      <c r="E32" s="495">
        <v>0</v>
      </c>
      <c r="F32" s="495"/>
      <c r="G32" s="495">
        <v>0</v>
      </c>
      <c r="H32" s="495">
        <v>0</v>
      </c>
      <c r="I32" s="495"/>
      <c r="J32" s="495"/>
      <c r="K32" s="495"/>
      <c r="L32" s="495"/>
      <c r="M32" s="495"/>
      <c r="N32" s="495">
        <f t="shared" si="0"/>
        <v>0</v>
      </c>
      <c r="O32" s="495">
        <v>0</v>
      </c>
    </row>
    <row r="33" spans="1:15">
      <c r="A33" s="491" t="s">
        <v>394</v>
      </c>
      <c r="B33" s="491">
        <v>2750</v>
      </c>
      <c r="C33" s="496" t="s">
        <v>5486</v>
      </c>
      <c r="D33" s="494">
        <v>0.76</v>
      </c>
      <c r="E33" s="494">
        <f>66000/100000</f>
        <v>0.66</v>
      </c>
      <c r="F33" s="494"/>
      <c r="G33" s="495">
        <f>24500/100000</f>
        <v>0.245</v>
      </c>
      <c r="H33" s="495">
        <f>51500/100000</f>
        <v>0.51500000000000001</v>
      </c>
      <c r="I33" s="495"/>
      <c r="J33" s="495"/>
      <c r="K33" s="495"/>
      <c r="L33" s="495"/>
      <c r="M33" s="495"/>
      <c r="N33" s="494">
        <f t="shared" si="0"/>
        <v>0.76</v>
      </c>
      <c r="O33" s="495">
        <f>+N33*100/E33</f>
        <v>115.15151515151514</v>
      </c>
    </row>
    <row r="34" spans="1:15">
      <c r="A34" s="498" t="s">
        <v>670</v>
      </c>
      <c r="B34" s="499">
        <v>2000</v>
      </c>
      <c r="C34" s="496" t="s">
        <v>244</v>
      </c>
      <c r="D34" s="501">
        <v>0.1</v>
      </c>
      <c r="E34" s="494"/>
      <c r="F34" s="494"/>
      <c r="G34" s="495"/>
      <c r="H34" s="501">
        <v>0.1</v>
      </c>
      <c r="I34" s="495"/>
      <c r="J34" s="495"/>
      <c r="K34" s="495"/>
      <c r="L34" s="495"/>
      <c r="M34" s="495"/>
      <c r="N34" s="494"/>
      <c r="O34" s="495"/>
    </row>
    <row r="35" spans="1:15">
      <c r="A35" s="69" t="s">
        <v>5550</v>
      </c>
      <c r="B35" s="70"/>
      <c r="C35" s="70"/>
      <c r="D35" s="88">
        <f>SUM(D26:D33)</f>
        <v>63.077427400000012</v>
      </c>
      <c r="E35" s="88">
        <f t="shared" ref="E35:N35" si="1">SUM(E26:E33)</f>
        <v>21.906300000000002</v>
      </c>
      <c r="F35" s="88">
        <f t="shared" si="1"/>
        <v>0</v>
      </c>
      <c r="G35" s="88">
        <f t="shared" si="1"/>
        <v>6.5253400000000008</v>
      </c>
      <c r="H35" s="88">
        <f t="shared" si="1"/>
        <v>12.855499999999999</v>
      </c>
      <c r="I35" s="88">
        <f t="shared" si="1"/>
        <v>0</v>
      </c>
      <c r="J35" s="88">
        <f t="shared" si="1"/>
        <v>0</v>
      </c>
      <c r="K35" s="88">
        <f t="shared" si="1"/>
        <v>0</v>
      </c>
      <c r="L35" s="88">
        <f t="shared" si="1"/>
        <v>0</v>
      </c>
      <c r="M35" s="88">
        <f t="shared" si="1"/>
        <v>0</v>
      </c>
      <c r="N35" s="88">
        <f t="shared" si="1"/>
        <v>19.380840000000003</v>
      </c>
      <c r="O35" s="508">
        <f>+N35*100/E35</f>
        <v>88.471535585653442</v>
      </c>
    </row>
  </sheetData>
  <mergeCells count="34">
    <mergeCell ref="B6:D6"/>
    <mergeCell ref="E6:G6"/>
    <mergeCell ref="H6:J6"/>
    <mergeCell ref="A1:O1"/>
    <mergeCell ref="A2:O2"/>
    <mergeCell ref="B4:D4"/>
    <mergeCell ref="E4:G4"/>
    <mergeCell ref="H4:I4"/>
    <mergeCell ref="A5:C5"/>
    <mergeCell ref="B8:D8"/>
    <mergeCell ref="E8:G8"/>
    <mergeCell ref="H8:L8"/>
    <mergeCell ref="B11:C11"/>
    <mergeCell ref="D11:G11"/>
    <mergeCell ref="H11:J11"/>
    <mergeCell ref="K11:N11"/>
    <mergeCell ref="B12:C12"/>
    <mergeCell ref="D12:G12"/>
    <mergeCell ref="H12:J12"/>
    <mergeCell ref="K12:N12"/>
    <mergeCell ref="B13:C13"/>
    <mergeCell ref="D13:G13"/>
    <mergeCell ref="H13:J13"/>
    <mergeCell ref="K13:N13"/>
    <mergeCell ref="B14:C14"/>
    <mergeCell ref="D14:G14"/>
    <mergeCell ref="H14:J14"/>
    <mergeCell ref="K14:N14"/>
    <mergeCell ref="A24:A25"/>
    <mergeCell ref="B24:B25"/>
    <mergeCell ref="C24:C25"/>
    <mergeCell ref="D24:D25"/>
    <mergeCell ref="E24:E25"/>
    <mergeCell ref="G24:O24"/>
  </mergeCells>
  <hyperlinks>
    <hyperlink ref="A5" location="'Fact Sheet of VDC'!A1" display="&lt;&lt;Back"/>
  </hyperlinks>
  <pageMargins left="0.7" right="0.7" top="0.75" bottom="0.75" header="0.3" footer="0.3"/>
  <pageSetup paperSize="9" scale="69" orientation="landscape" r:id="rId1"/>
</worksheet>
</file>

<file path=xl/worksheets/sheet191.xml><?xml version="1.0" encoding="utf-8"?>
<worksheet xmlns="http://schemas.openxmlformats.org/spreadsheetml/2006/main" xmlns:r="http://schemas.openxmlformats.org/officeDocument/2006/relationships">
  <sheetPr>
    <tabColor rgb="FFFF0000"/>
  </sheetPr>
  <dimension ref="A1:N37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1466</v>
      </c>
      <c r="C3" s="1159"/>
      <c r="D3" s="1159"/>
      <c r="E3" s="1160" t="s">
        <v>1467</v>
      </c>
      <c r="F3" s="1160"/>
      <c r="G3" s="1161" t="s">
        <v>1468</v>
      </c>
      <c r="H3" s="1161"/>
      <c r="I3" s="1162" t="s">
        <v>5</v>
      </c>
      <c r="J3" s="1162"/>
      <c r="K3" s="509">
        <v>290.99400000000003</v>
      </c>
      <c r="L3" s="1160" t="s">
        <v>1469</v>
      </c>
      <c r="M3" s="1160"/>
      <c r="N3" s="509"/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1470</v>
      </c>
      <c r="C5" s="1159"/>
      <c r="D5" s="1159"/>
      <c r="E5" s="1163" t="s">
        <v>1471</v>
      </c>
      <c r="F5" s="1164"/>
      <c r="G5" s="1159" t="s">
        <v>1472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1474</v>
      </c>
      <c r="C7" s="1159"/>
      <c r="D7" s="1159"/>
      <c r="E7" s="1165" t="s">
        <v>1475</v>
      </c>
      <c r="F7" s="1166"/>
      <c r="G7" s="1159" t="s">
        <v>1476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1478</v>
      </c>
      <c r="C10" s="1159"/>
      <c r="D10" s="1159"/>
      <c r="E10" s="1159" t="s">
        <v>1479</v>
      </c>
      <c r="F10" s="1159"/>
      <c r="G10" s="1159"/>
      <c r="H10" s="1159" t="s">
        <v>1480</v>
      </c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59" t="s">
        <v>1481</v>
      </c>
      <c r="C11" s="1159"/>
      <c r="D11" s="1159"/>
      <c r="E11" s="1159" t="s">
        <v>1474</v>
      </c>
      <c r="F11" s="1159"/>
      <c r="G11" s="1159"/>
      <c r="H11" s="1159" t="s">
        <v>1482</v>
      </c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67" t="s">
        <v>1483</v>
      </c>
      <c r="C12" s="1168"/>
      <c r="D12" s="1169"/>
      <c r="E12" s="1159" t="s">
        <v>1484</v>
      </c>
      <c r="F12" s="1159"/>
      <c r="G12" s="1159"/>
      <c r="H12" s="1159" t="s">
        <v>1485</v>
      </c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59" t="s">
        <v>1486</v>
      </c>
      <c r="C13" s="1159"/>
      <c r="D13" s="1159"/>
      <c r="E13" s="1159" t="s">
        <v>1487</v>
      </c>
      <c r="F13" s="1159"/>
      <c r="G13" s="1159"/>
      <c r="H13" s="1159" t="s">
        <v>1488</v>
      </c>
      <c r="I13" s="1159"/>
      <c r="J13" s="1159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3</v>
      </c>
      <c r="C15" s="1170" t="s">
        <v>1490</v>
      </c>
      <c r="D15" s="1166"/>
      <c r="E15" s="1171"/>
      <c r="F15" s="509">
        <v>3</v>
      </c>
      <c r="G15" s="203" t="s">
        <v>1491</v>
      </c>
      <c r="H15" s="509">
        <v>8</v>
      </c>
      <c r="I15" s="203" t="s">
        <v>1492</v>
      </c>
      <c r="J15" s="509">
        <v>0</v>
      </c>
      <c r="K15" s="203" t="s">
        <v>1493</v>
      </c>
      <c r="L15" s="509">
        <v>3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60</v>
      </c>
      <c r="D17" s="203" t="s">
        <v>205</v>
      </c>
      <c r="E17" s="509">
        <v>4</v>
      </c>
      <c r="F17" s="203" t="s">
        <v>206</v>
      </c>
      <c r="G17" s="509">
        <v>45</v>
      </c>
      <c r="H17" s="203" t="s">
        <v>230</v>
      </c>
      <c r="I17" s="509">
        <v>109</v>
      </c>
      <c r="J17" s="203" t="s">
        <v>207</v>
      </c>
      <c r="K17" s="509">
        <v>14</v>
      </c>
      <c r="L17" s="1170" t="s">
        <v>855</v>
      </c>
      <c r="M17" s="1171"/>
      <c r="N17" s="509">
        <v>6</v>
      </c>
    </row>
    <row r="18" spans="1:14" ht="20.25" customHeight="1">
      <c r="A18" s="203" t="s">
        <v>209</v>
      </c>
      <c r="B18" s="203" t="s">
        <v>210</v>
      </c>
      <c r="C18" s="509">
        <v>155</v>
      </c>
      <c r="D18" s="203" t="s">
        <v>211</v>
      </c>
      <c r="E18" s="509">
        <v>9</v>
      </c>
      <c r="F18" s="203" t="s">
        <v>212</v>
      </c>
      <c r="G18" s="509">
        <v>108</v>
      </c>
      <c r="H18" s="203" t="s">
        <v>411</v>
      </c>
      <c r="I18" s="509">
        <v>272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171</v>
      </c>
      <c r="D19" s="203" t="s">
        <v>214</v>
      </c>
      <c r="E19" s="509">
        <v>12</v>
      </c>
      <c r="F19" s="203" t="s">
        <v>1494</v>
      </c>
      <c r="G19" s="509">
        <v>88</v>
      </c>
      <c r="H19" s="203" t="s">
        <v>410</v>
      </c>
      <c r="I19" s="509">
        <v>271</v>
      </c>
      <c r="K19" s="205"/>
      <c r="L19" s="1162"/>
      <c r="M19" s="1162"/>
      <c r="N19" s="205"/>
    </row>
    <row r="20" spans="1:14" ht="20.25" customHeight="1"/>
    <row r="21" spans="1:14">
      <c r="N21" s="205"/>
    </row>
    <row r="22" spans="1:14">
      <c r="N22" s="205"/>
    </row>
    <row r="23" spans="1:14">
      <c r="N23" s="205"/>
    </row>
    <row r="24" spans="1:14">
      <c r="A24" s="206" t="s">
        <v>216</v>
      </c>
      <c r="N24" s="205"/>
    </row>
    <row r="25" spans="1:14">
      <c r="N25" s="205"/>
    </row>
    <row r="26" spans="1:14">
      <c r="A26" s="1172" t="s">
        <v>217</v>
      </c>
      <c r="B26" s="1174" t="s">
        <v>1495</v>
      </c>
      <c r="C26" s="1175" t="s">
        <v>219</v>
      </c>
      <c r="D26" s="1174" t="s">
        <v>1496</v>
      </c>
      <c r="E26" s="1174" t="s">
        <v>1497</v>
      </c>
      <c r="F26" s="1174" t="s">
        <v>1498</v>
      </c>
      <c r="G26" s="1174"/>
      <c r="H26" s="1174"/>
      <c r="I26" s="1174"/>
      <c r="J26" s="1174"/>
      <c r="K26" s="1174"/>
      <c r="L26" s="1174"/>
      <c r="M26" s="1174"/>
      <c r="N26" s="1174"/>
    </row>
    <row r="27" spans="1:14">
      <c r="A27" s="1173"/>
      <c r="B27" s="1174"/>
      <c r="C27" s="1175"/>
      <c r="D27" s="1174"/>
      <c r="E27" s="1174"/>
      <c r="F27" s="512" t="s">
        <v>224</v>
      </c>
      <c r="G27" s="512" t="s">
        <v>225</v>
      </c>
      <c r="H27" s="512" t="s">
        <v>226</v>
      </c>
      <c r="I27" s="512" t="s">
        <v>227</v>
      </c>
      <c r="J27" s="512" t="s">
        <v>228</v>
      </c>
      <c r="K27" s="512" t="s">
        <v>229</v>
      </c>
      <c r="L27" s="512" t="s">
        <v>1499</v>
      </c>
      <c r="M27" s="512" t="s">
        <v>230</v>
      </c>
      <c r="N27" s="512" t="s">
        <v>231</v>
      </c>
    </row>
    <row r="28" spans="1:14">
      <c r="A28" s="204" t="s">
        <v>232</v>
      </c>
      <c r="B28" s="204">
        <v>8000</v>
      </c>
      <c r="C28" s="204" t="s">
        <v>1500</v>
      </c>
      <c r="D28" s="597">
        <v>23.279520000000002</v>
      </c>
      <c r="E28" s="597">
        <v>23.272919999999999</v>
      </c>
      <c r="F28" s="597">
        <v>0</v>
      </c>
      <c r="G28" s="597">
        <v>3.7124000000000001</v>
      </c>
      <c r="H28" s="597">
        <v>8.9294700000000002</v>
      </c>
      <c r="I28" s="597">
        <v>9.44</v>
      </c>
      <c r="J28" s="597">
        <v>0.24756</v>
      </c>
      <c r="K28" s="597">
        <v>1.1489499999999999</v>
      </c>
      <c r="L28" s="597">
        <v>0</v>
      </c>
      <c r="M28" s="207">
        <v>23.478380000000001</v>
      </c>
      <c r="N28" s="207">
        <v>100.88282862657545</v>
      </c>
    </row>
    <row r="29" spans="1:14">
      <c r="A29" s="204" t="s">
        <v>234</v>
      </c>
      <c r="B29" s="204">
        <v>7000</v>
      </c>
      <c r="C29" s="204" t="s">
        <v>1500</v>
      </c>
      <c r="D29" s="597">
        <v>3.2591328000000002</v>
      </c>
      <c r="E29" s="597">
        <v>0</v>
      </c>
      <c r="F29" s="597">
        <v>0</v>
      </c>
      <c r="G29" s="597">
        <v>0</v>
      </c>
      <c r="H29" s="597">
        <v>0</v>
      </c>
      <c r="I29" s="597">
        <v>0</v>
      </c>
      <c r="J29" s="597">
        <v>0</v>
      </c>
      <c r="K29" s="597">
        <v>0</v>
      </c>
      <c r="L29" s="597">
        <v>0</v>
      </c>
      <c r="M29" s="207">
        <v>0</v>
      </c>
      <c r="N29" s="207">
        <v>0</v>
      </c>
    </row>
    <row r="30" spans="1:14">
      <c r="A30" s="204" t="s">
        <v>235</v>
      </c>
      <c r="B30" s="204">
        <v>43000</v>
      </c>
      <c r="C30" s="204" t="s">
        <v>236</v>
      </c>
      <c r="D30" s="597">
        <v>0.43</v>
      </c>
      <c r="E30" s="597">
        <v>0.43</v>
      </c>
      <c r="F30" s="597">
        <v>0</v>
      </c>
      <c r="G30" s="597">
        <v>0</v>
      </c>
      <c r="H30" s="597">
        <v>2.52E-2</v>
      </c>
      <c r="I30" s="597">
        <v>0.19439999999999999</v>
      </c>
      <c r="J30" s="597">
        <v>0.03</v>
      </c>
      <c r="K30" s="597">
        <v>0.1804</v>
      </c>
      <c r="L30" s="597">
        <v>0</v>
      </c>
      <c r="M30" s="207">
        <v>0.43</v>
      </c>
      <c r="N30" s="207">
        <v>100</v>
      </c>
    </row>
    <row r="31" spans="1:14">
      <c r="A31" s="204" t="s">
        <v>1501</v>
      </c>
      <c r="B31" s="204">
        <v>37000</v>
      </c>
      <c r="C31" s="204" t="s">
        <v>236</v>
      </c>
      <c r="D31" s="597">
        <v>0.34</v>
      </c>
      <c r="E31" s="597">
        <v>0.34</v>
      </c>
      <c r="F31" s="597">
        <v>0</v>
      </c>
      <c r="G31" s="597">
        <v>0</v>
      </c>
      <c r="H31" s="597">
        <v>0</v>
      </c>
      <c r="I31" s="597">
        <v>0.11914</v>
      </c>
      <c r="J31" s="597">
        <v>2.9000000000000001E-2</v>
      </c>
      <c r="K31" s="597">
        <v>2.1239999999999998E-2</v>
      </c>
      <c r="L31" s="597">
        <v>0</v>
      </c>
      <c r="M31" s="207">
        <v>0.16938</v>
      </c>
      <c r="N31" s="207">
        <v>49.817647058823525</v>
      </c>
    </row>
    <row r="32" spans="1:14">
      <c r="A32" s="204" t="s">
        <v>238</v>
      </c>
      <c r="B32" s="204">
        <v>1200</v>
      </c>
      <c r="C32" s="204" t="s">
        <v>1500</v>
      </c>
      <c r="D32" s="597">
        <v>3.4919279999999997</v>
      </c>
      <c r="E32" s="597">
        <v>3.4918800000000001</v>
      </c>
      <c r="F32" s="597">
        <v>0.2787</v>
      </c>
      <c r="G32" s="597">
        <v>1.125775</v>
      </c>
      <c r="H32" s="597">
        <v>8.9249999999999996E-2</v>
      </c>
      <c r="I32" s="597">
        <v>1.9453100000000001</v>
      </c>
      <c r="J32" s="597">
        <v>0.29517500000000002</v>
      </c>
      <c r="K32" s="597">
        <v>0</v>
      </c>
      <c r="L32" s="597">
        <v>0</v>
      </c>
      <c r="M32" s="207">
        <v>3.73421</v>
      </c>
      <c r="N32" s="207">
        <v>106.93981465571554</v>
      </c>
    </row>
    <row r="33" spans="1:14">
      <c r="A33" s="204" t="s">
        <v>1502</v>
      </c>
      <c r="B33" s="204">
        <v>565</v>
      </c>
      <c r="C33" s="204" t="s">
        <v>1500</v>
      </c>
      <c r="D33" s="597">
        <v>1.6441161</v>
      </c>
      <c r="E33" s="597">
        <v>1.64411</v>
      </c>
      <c r="F33" s="597">
        <v>0</v>
      </c>
      <c r="G33" s="597">
        <v>0.06</v>
      </c>
      <c r="H33" s="597">
        <v>0.753</v>
      </c>
      <c r="I33" s="597">
        <v>0.83111000000000002</v>
      </c>
      <c r="J33" s="597">
        <v>0</v>
      </c>
      <c r="K33" s="597">
        <v>0</v>
      </c>
      <c r="L33" s="597">
        <v>0</v>
      </c>
      <c r="M33" s="207">
        <v>1.64411</v>
      </c>
      <c r="N33" s="207">
        <v>100</v>
      </c>
    </row>
    <row r="34" spans="1:14">
      <c r="A34" s="204" t="s">
        <v>1503</v>
      </c>
      <c r="B34" s="204">
        <v>1000</v>
      </c>
      <c r="C34" s="204" t="s">
        <v>1500</v>
      </c>
      <c r="D34" s="597">
        <v>2.9099400000000002</v>
      </c>
      <c r="E34" s="597">
        <v>2.9099400000000002</v>
      </c>
      <c r="F34" s="597">
        <v>0</v>
      </c>
      <c r="G34" s="597">
        <v>0</v>
      </c>
      <c r="H34" s="597">
        <v>0</v>
      </c>
      <c r="I34" s="597">
        <v>0</v>
      </c>
      <c r="J34" s="597">
        <v>0.53480000000000005</v>
      </c>
      <c r="K34" s="597">
        <v>0.69259999999999999</v>
      </c>
      <c r="L34" s="597">
        <v>0</v>
      </c>
      <c r="M34" s="207">
        <v>1.2274</v>
      </c>
      <c r="N34" s="207">
        <v>42.17956383980426</v>
      </c>
    </row>
    <row r="35" spans="1:14">
      <c r="A35" s="204" t="s">
        <v>607</v>
      </c>
      <c r="B35" s="204">
        <v>2750</v>
      </c>
      <c r="C35" s="204" t="s">
        <v>242</v>
      </c>
      <c r="D35" s="597">
        <v>1.75</v>
      </c>
      <c r="E35" s="597">
        <v>1.41631</v>
      </c>
      <c r="F35" s="597">
        <v>2E-3</v>
      </c>
      <c r="G35" s="597">
        <v>0.2107</v>
      </c>
      <c r="H35" s="597">
        <v>0.40739500000000001</v>
      </c>
      <c r="I35" s="597">
        <v>0.31201000000000001</v>
      </c>
      <c r="J35" s="597">
        <v>0.24697</v>
      </c>
      <c r="K35" s="597">
        <v>0.36896000000000001</v>
      </c>
      <c r="L35" s="597">
        <v>0</v>
      </c>
      <c r="M35" s="207">
        <v>1.548035</v>
      </c>
      <c r="N35" s="207">
        <v>109.30057685111312</v>
      </c>
    </row>
    <row r="36" spans="1:14">
      <c r="A36" s="204" t="s">
        <v>243</v>
      </c>
      <c r="B36" s="204">
        <v>10000</v>
      </c>
      <c r="C36" s="204" t="s">
        <v>244</v>
      </c>
      <c r="D36" s="597">
        <v>0</v>
      </c>
      <c r="E36" s="597">
        <v>0</v>
      </c>
      <c r="F36" s="597">
        <v>0</v>
      </c>
      <c r="G36" s="597"/>
      <c r="H36" s="597">
        <v>0</v>
      </c>
      <c r="I36" s="597">
        <v>0</v>
      </c>
      <c r="J36" s="597">
        <v>0</v>
      </c>
      <c r="K36" s="597">
        <v>0</v>
      </c>
      <c r="L36" s="597">
        <v>0</v>
      </c>
      <c r="M36" s="597">
        <v>0</v>
      </c>
      <c r="N36" s="207">
        <v>0</v>
      </c>
    </row>
    <row r="37" spans="1:14">
      <c r="A37" s="208" t="s">
        <v>230</v>
      </c>
      <c r="B37" s="208"/>
      <c r="C37" s="208"/>
      <c r="D37" s="209">
        <v>37.104636899999996</v>
      </c>
      <c r="E37" s="209">
        <v>33.505160000000004</v>
      </c>
      <c r="F37" s="209">
        <v>0.28070000000000001</v>
      </c>
      <c r="G37" s="209">
        <v>5.1088749999999994</v>
      </c>
      <c r="H37" s="209">
        <v>10.204314999999999</v>
      </c>
      <c r="I37" s="209">
        <v>12.841970000000002</v>
      </c>
      <c r="J37" s="209">
        <v>1.3835050000000002</v>
      </c>
      <c r="K37" s="209">
        <v>2.4121499999999996</v>
      </c>
      <c r="L37" s="209">
        <v>0</v>
      </c>
      <c r="M37" s="209">
        <v>32.231515000000002</v>
      </c>
      <c r="N37" s="207"/>
    </row>
  </sheetData>
  <mergeCells count="39">
    <mergeCell ref="A4:C4"/>
    <mergeCell ref="C15:E15"/>
    <mergeCell ref="L17:M17"/>
    <mergeCell ref="L18:M18"/>
    <mergeCell ref="L19:M19"/>
    <mergeCell ref="A26:A27"/>
    <mergeCell ref="B26:B27"/>
    <mergeCell ref="C26:C27"/>
    <mergeCell ref="D26:D27"/>
    <mergeCell ref="E26:E27"/>
    <mergeCell ref="F26:N26"/>
    <mergeCell ref="B12:D12"/>
    <mergeCell ref="E12:G12"/>
    <mergeCell ref="H12:J12"/>
    <mergeCell ref="K12:M12"/>
    <mergeCell ref="B13:D13"/>
    <mergeCell ref="E13:G13"/>
    <mergeCell ref="H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ageMargins left="0.25" right="0.25" top="0.25" bottom="0.25" header="0.3" footer="0.3"/>
  <pageSetup paperSize="9" scale="80" orientation="landscape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>
  <sheetPr>
    <tabColor rgb="FFFF0000"/>
  </sheetPr>
  <dimension ref="A1:N34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10.42578125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10.42578125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10.42578125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10.42578125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10.42578125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10.42578125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10.42578125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10.42578125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10.42578125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10.42578125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10.42578125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10.42578125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10.42578125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10.42578125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10.42578125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10.42578125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10.42578125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10.42578125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10.42578125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10.42578125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10.42578125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10.42578125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10.42578125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10.42578125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10.42578125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10.42578125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10.42578125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10.42578125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10.42578125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10.42578125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10.42578125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10.42578125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10.42578125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10.42578125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10.42578125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10.42578125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10.42578125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10.42578125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10.42578125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10.42578125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10.42578125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10.42578125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10.42578125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10.42578125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10.42578125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10.42578125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10.42578125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10.42578125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10.42578125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10.42578125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10.42578125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10.42578125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10.42578125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10.42578125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10.42578125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10.42578125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10.42578125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10.42578125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10.42578125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10.42578125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10.42578125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10.42578125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10.42578125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10.42578125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137</v>
      </c>
      <c r="C3" s="1159"/>
      <c r="D3" s="1159"/>
      <c r="E3" s="1160" t="s">
        <v>1467</v>
      </c>
      <c r="F3" s="1160"/>
      <c r="G3" s="1161" t="s">
        <v>1504</v>
      </c>
      <c r="H3" s="1161"/>
      <c r="I3" s="1162" t="s">
        <v>5</v>
      </c>
      <c r="J3" s="1162"/>
      <c r="K3" s="509">
        <v>382.61599999999999</v>
      </c>
      <c r="L3" s="1160" t="s">
        <v>1469</v>
      </c>
      <c r="M3" s="1160"/>
      <c r="N3" s="509"/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1505</v>
      </c>
      <c r="C5" s="1159"/>
      <c r="D5" s="1159"/>
      <c r="E5" s="1163" t="s">
        <v>1471</v>
      </c>
      <c r="F5" s="1164"/>
      <c r="G5" s="1159" t="s">
        <v>1506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1507</v>
      </c>
      <c r="C7" s="1159"/>
      <c r="D7" s="1159"/>
      <c r="E7" s="1165" t="s">
        <v>1475</v>
      </c>
      <c r="F7" s="1166"/>
      <c r="G7" s="1159" t="s">
        <v>1508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76" t="s">
        <v>1509</v>
      </c>
      <c r="C10" s="1177"/>
      <c r="D10" s="1177"/>
      <c r="E10" s="1177"/>
      <c r="F10" s="1177"/>
      <c r="G10" s="1178"/>
      <c r="H10" s="1159"/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76" t="s">
        <v>1510</v>
      </c>
      <c r="C11" s="1177"/>
      <c r="D11" s="1177"/>
      <c r="E11" s="1177"/>
      <c r="F11" s="1177"/>
      <c r="G11" s="1178"/>
      <c r="H11" s="1159"/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79" t="s">
        <v>1511</v>
      </c>
      <c r="C12" s="1180"/>
      <c r="D12" s="1180"/>
      <c r="E12" s="1180"/>
      <c r="F12" s="1180"/>
      <c r="G12" s="1181"/>
      <c r="H12" s="1159"/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76" t="s">
        <v>1512</v>
      </c>
      <c r="C13" s="1177"/>
      <c r="D13" s="1177"/>
      <c r="E13" s="1177"/>
      <c r="F13" s="1177"/>
      <c r="G13" s="1178"/>
      <c r="H13" s="1159"/>
      <c r="I13" s="1159"/>
      <c r="J13" s="1159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2</v>
      </c>
      <c r="C15" s="1170" t="s">
        <v>1490</v>
      </c>
      <c r="D15" s="1166"/>
      <c r="E15" s="1171"/>
      <c r="F15" s="509">
        <v>1</v>
      </c>
      <c r="G15" s="203" t="s">
        <v>1491</v>
      </c>
      <c r="H15" s="509">
        <v>6</v>
      </c>
      <c r="I15" s="203" t="s">
        <v>1492</v>
      </c>
      <c r="J15" s="509">
        <v>0</v>
      </c>
      <c r="K15" s="203" t="s">
        <v>1493</v>
      </c>
      <c r="L15" s="509">
        <v>2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4</v>
      </c>
      <c r="D17" s="203" t="s">
        <v>205</v>
      </c>
      <c r="E17" s="509">
        <v>0</v>
      </c>
      <c r="F17" s="203" t="s">
        <v>206</v>
      </c>
      <c r="G17" s="509">
        <v>64</v>
      </c>
      <c r="H17" s="203" t="s">
        <v>230</v>
      </c>
      <c r="I17" s="509">
        <v>68</v>
      </c>
      <c r="J17" s="203" t="s">
        <v>207</v>
      </c>
      <c r="K17" s="509">
        <v>24</v>
      </c>
      <c r="L17" s="1170" t="s">
        <v>855</v>
      </c>
      <c r="M17" s="1171"/>
      <c r="N17" s="509">
        <v>9</v>
      </c>
    </row>
    <row r="18" spans="1:14" ht="20.25" customHeight="1">
      <c r="A18" s="203" t="s">
        <v>209</v>
      </c>
      <c r="B18" s="203" t="s">
        <v>210</v>
      </c>
      <c r="C18" s="509">
        <v>7</v>
      </c>
      <c r="D18" s="203" t="s">
        <v>211</v>
      </c>
      <c r="E18" s="509">
        <v>0</v>
      </c>
      <c r="F18" s="203" t="s">
        <v>212</v>
      </c>
      <c r="G18" s="509">
        <v>110</v>
      </c>
      <c r="H18" s="203" t="s">
        <v>411</v>
      </c>
      <c r="I18" s="509">
        <v>117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8</v>
      </c>
      <c r="D19" s="203" t="s">
        <v>214</v>
      </c>
      <c r="E19" s="509">
        <v>0</v>
      </c>
      <c r="F19" s="203" t="s">
        <v>1494</v>
      </c>
      <c r="G19" s="509">
        <v>124</v>
      </c>
      <c r="H19" s="203" t="s">
        <v>410</v>
      </c>
      <c r="I19" s="509">
        <v>132</v>
      </c>
      <c r="K19" s="205"/>
      <c r="L19" s="1162"/>
      <c r="M19" s="1162"/>
      <c r="N19" s="205"/>
    </row>
    <row r="20" spans="1:14" ht="20.25" customHeight="1">
      <c r="C20" s="510"/>
      <c r="E20" s="510"/>
      <c r="G20" s="510"/>
      <c r="I20" s="510"/>
      <c r="K20" s="205"/>
      <c r="L20" s="511"/>
      <c r="M20" s="511"/>
      <c r="N20" s="205"/>
    </row>
    <row r="21" spans="1:14" ht="25.5" customHeight="1">
      <c r="A21" s="206" t="s">
        <v>216</v>
      </c>
    </row>
    <row r="22" spans="1:14" ht="17.25" customHeight="1">
      <c r="N22" s="205"/>
    </row>
    <row r="23" spans="1:14">
      <c r="A23" s="1182" t="s">
        <v>217</v>
      </c>
      <c r="B23" s="1174" t="s">
        <v>1495</v>
      </c>
      <c r="C23" s="1175" t="s">
        <v>219</v>
      </c>
      <c r="D23" s="1174" t="s">
        <v>1496</v>
      </c>
      <c r="E23" s="1174" t="s">
        <v>1497</v>
      </c>
      <c r="F23" s="1174" t="s">
        <v>1498</v>
      </c>
      <c r="G23" s="1174"/>
      <c r="H23" s="1174"/>
      <c r="I23" s="1174"/>
      <c r="J23" s="1174"/>
      <c r="K23" s="1174"/>
      <c r="L23" s="1174"/>
      <c r="M23" s="1174"/>
      <c r="N23" s="1174"/>
    </row>
    <row r="24" spans="1:14">
      <c r="A24" s="1183"/>
      <c r="B24" s="1174"/>
      <c r="C24" s="1175"/>
      <c r="D24" s="1174"/>
      <c r="E24" s="1174"/>
      <c r="F24" s="512" t="s">
        <v>224</v>
      </c>
      <c r="G24" s="512" t="s">
        <v>225</v>
      </c>
      <c r="H24" s="512" t="s">
        <v>226</v>
      </c>
      <c r="I24" s="512" t="s">
        <v>227</v>
      </c>
      <c r="J24" s="512" t="s">
        <v>228</v>
      </c>
      <c r="K24" s="512" t="s">
        <v>229</v>
      </c>
      <c r="L24" s="512" t="s">
        <v>1499</v>
      </c>
      <c r="M24" s="512" t="s">
        <v>230</v>
      </c>
      <c r="N24" s="512" t="s">
        <v>231</v>
      </c>
    </row>
    <row r="25" spans="1:14">
      <c r="A25" s="204" t="s">
        <v>232</v>
      </c>
      <c r="B25" s="204">
        <v>8000</v>
      </c>
      <c r="C25" s="204" t="s">
        <v>1500</v>
      </c>
      <c r="D25" s="597">
        <v>30.62528</v>
      </c>
      <c r="E25" s="597">
        <v>30.619420000000002</v>
      </c>
      <c r="F25" s="597">
        <v>6.0249999999999998E-2</v>
      </c>
      <c r="G25" s="597">
        <v>4.9849899999999998</v>
      </c>
      <c r="H25" s="597">
        <v>7.9841899999999999</v>
      </c>
      <c r="I25" s="597">
        <v>11</v>
      </c>
      <c r="J25" s="597">
        <v>5</v>
      </c>
      <c r="K25" s="597">
        <v>1.1594</v>
      </c>
      <c r="L25" s="597">
        <v>0</v>
      </c>
      <c r="M25" s="207">
        <v>30.188829999999999</v>
      </c>
      <c r="N25" s="207">
        <v>98.593735609622897</v>
      </c>
    </row>
    <row r="26" spans="1:14">
      <c r="A26" s="204" t="s">
        <v>234</v>
      </c>
      <c r="B26" s="204">
        <v>7000</v>
      </c>
      <c r="C26" s="204" t="s">
        <v>1500</v>
      </c>
      <c r="D26" s="597">
        <v>4.2875391999999994</v>
      </c>
      <c r="E26" s="597">
        <v>0</v>
      </c>
      <c r="F26" s="597">
        <v>0</v>
      </c>
      <c r="G26" s="597">
        <v>0</v>
      </c>
      <c r="H26" s="597">
        <v>0</v>
      </c>
      <c r="I26" s="597">
        <v>0</v>
      </c>
      <c r="J26" s="597">
        <v>0</v>
      </c>
      <c r="K26" s="597">
        <v>0</v>
      </c>
      <c r="L26" s="597">
        <v>0</v>
      </c>
      <c r="M26" s="207">
        <v>0</v>
      </c>
      <c r="N26" s="207">
        <v>0</v>
      </c>
    </row>
    <row r="27" spans="1:14">
      <c r="A27" s="204" t="s">
        <v>235</v>
      </c>
      <c r="B27" s="204">
        <v>43000</v>
      </c>
      <c r="C27" s="204" t="s">
        <v>236</v>
      </c>
      <c r="D27" s="597">
        <v>0.43</v>
      </c>
      <c r="E27" s="597">
        <v>0.43</v>
      </c>
      <c r="F27" s="597">
        <v>0</v>
      </c>
      <c r="G27" s="597">
        <v>0</v>
      </c>
      <c r="H27" s="597">
        <v>1.26E-2</v>
      </c>
      <c r="I27" s="597">
        <v>0.34510000000000002</v>
      </c>
      <c r="J27" s="597">
        <v>4.1090000000000002E-2</v>
      </c>
      <c r="K27" s="597">
        <v>3.1210000000000002E-2</v>
      </c>
      <c r="L27" s="597">
        <v>0</v>
      </c>
      <c r="M27" s="207">
        <v>0.43000000000000005</v>
      </c>
      <c r="N27" s="207">
        <v>100.00000000000003</v>
      </c>
    </row>
    <row r="28" spans="1:14">
      <c r="A28" s="204" t="s">
        <v>1501</v>
      </c>
      <c r="B28" s="204">
        <v>37000</v>
      </c>
      <c r="C28" s="204" t="s">
        <v>236</v>
      </c>
      <c r="D28" s="597">
        <v>0.34</v>
      </c>
      <c r="E28" s="597">
        <v>0.34</v>
      </c>
      <c r="F28" s="597">
        <v>0</v>
      </c>
      <c r="G28" s="597">
        <v>0</v>
      </c>
      <c r="H28" s="597">
        <v>0</v>
      </c>
      <c r="I28" s="597">
        <v>0.11914</v>
      </c>
      <c r="J28" s="597">
        <v>0.10525</v>
      </c>
      <c r="K28" s="597">
        <v>0</v>
      </c>
      <c r="L28" s="597">
        <v>0</v>
      </c>
      <c r="M28" s="207">
        <v>0.22438999999999998</v>
      </c>
      <c r="N28" s="207">
        <v>65.9970588235294</v>
      </c>
    </row>
    <row r="29" spans="1:14">
      <c r="A29" s="204" t="s">
        <v>238</v>
      </c>
      <c r="B29" s="204">
        <v>1200</v>
      </c>
      <c r="C29" s="204" t="s">
        <v>1500</v>
      </c>
      <c r="D29" s="597">
        <v>4.5937920000000005</v>
      </c>
      <c r="E29" s="597">
        <v>4.5937200000000002</v>
      </c>
      <c r="F29" s="597">
        <v>0</v>
      </c>
      <c r="G29" s="597">
        <v>1.33402</v>
      </c>
      <c r="H29" s="597">
        <v>5.0200000000000002E-2</v>
      </c>
      <c r="I29" s="597">
        <v>0</v>
      </c>
      <c r="J29" s="597">
        <v>2.9523799999999998</v>
      </c>
      <c r="K29" s="597">
        <v>0</v>
      </c>
      <c r="L29" s="597">
        <v>0</v>
      </c>
      <c r="M29" s="207">
        <v>4.3365999999999998</v>
      </c>
      <c r="N29" s="207">
        <v>94.402793378786683</v>
      </c>
    </row>
    <row r="30" spans="1:14">
      <c r="A30" s="204" t="s">
        <v>1502</v>
      </c>
      <c r="B30" s="204">
        <v>565</v>
      </c>
      <c r="C30" s="204" t="s">
        <v>1500</v>
      </c>
      <c r="D30" s="597">
        <v>2.1629103999999999</v>
      </c>
      <c r="E30" s="597">
        <v>2.1629100000000001</v>
      </c>
      <c r="F30" s="597">
        <v>0</v>
      </c>
      <c r="G30" s="597">
        <v>0</v>
      </c>
      <c r="H30" s="597">
        <v>0.90532000000000001</v>
      </c>
      <c r="I30" s="597">
        <v>1.25759</v>
      </c>
      <c r="J30" s="597">
        <v>0</v>
      </c>
      <c r="K30" s="597">
        <v>0</v>
      </c>
      <c r="L30" s="597">
        <v>0</v>
      </c>
      <c r="M30" s="207">
        <v>2.1629100000000001</v>
      </c>
      <c r="N30" s="207">
        <v>100</v>
      </c>
    </row>
    <row r="31" spans="1:14">
      <c r="A31" s="204" t="s">
        <v>1503</v>
      </c>
      <c r="B31" s="204">
        <v>1000</v>
      </c>
      <c r="C31" s="204" t="s">
        <v>1500</v>
      </c>
      <c r="D31" s="597">
        <v>3.82816</v>
      </c>
      <c r="E31" s="597">
        <v>3.82816</v>
      </c>
      <c r="F31" s="597">
        <v>0</v>
      </c>
      <c r="G31" s="597">
        <v>0</v>
      </c>
      <c r="H31" s="597">
        <v>0</v>
      </c>
      <c r="I31" s="597">
        <v>0</v>
      </c>
      <c r="J31" s="597">
        <v>0.69135000000000002</v>
      </c>
      <c r="K31" s="597">
        <v>0.38695000000000002</v>
      </c>
      <c r="L31" s="597">
        <v>0</v>
      </c>
      <c r="M31" s="207">
        <v>1.0783</v>
      </c>
      <c r="N31" s="207">
        <v>28.16757920254117</v>
      </c>
    </row>
    <row r="32" spans="1:14">
      <c r="A32" s="204" t="s">
        <v>607</v>
      </c>
      <c r="B32" s="204">
        <v>2750</v>
      </c>
      <c r="C32" s="204" t="s">
        <v>242</v>
      </c>
      <c r="D32" s="597">
        <v>1.74</v>
      </c>
      <c r="E32" s="597">
        <v>1.52508</v>
      </c>
      <c r="F32" s="597">
        <v>0</v>
      </c>
      <c r="G32" s="597">
        <v>0.2</v>
      </c>
      <c r="H32" s="597">
        <v>0.45373000000000002</v>
      </c>
      <c r="I32" s="597">
        <v>0.27550000000000002</v>
      </c>
      <c r="J32" s="597">
        <v>0.19650000000000001</v>
      </c>
      <c r="K32" s="597">
        <v>0.50129999999999997</v>
      </c>
      <c r="L32" s="597">
        <v>0</v>
      </c>
      <c r="M32" s="207">
        <v>1.63093</v>
      </c>
      <c r="N32" s="207">
        <v>106.94061950848482</v>
      </c>
    </row>
    <row r="33" spans="1:14">
      <c r="A33" s="204" t="s">
        <v>243</v>
      </c>
      <c r="B33" s="204">
        <v>10000</v>
      </c>
      <c r="C33" s="204" t="s">
        <v>244</v>
      </c>
      <c r="D33" s="597">
        <v>0</v>
      </c>
      <c r="E33" s="597">
        <v>0</v>
      </c>
      <c r="F33" s="597">
        <v>0</v>
      </c>
      <c r="G33" s="597">
        <v>0</v>
      </c>
      <c r="H33" s="597">
        <v>0</v>
      </c>
      <c r="I33" s="597">
        <v>0</v>
      </c>
      <c r="J33" s="597">
        <v>0</v>
      </c>
      <c r="K33" s="597">
        <v>0</v>
      </c>
      <c r="L33" s="597">
        <v>0</v>
      </c>
      <c r="M33" s="207">
        <v>0</v>
      </c>
      <c r="N33" s="207">
        <v>0</v>
      </c>
    </row>
    <row r="34" spans="1:14">
      <c r="A34" s="208" t="s">
        <v>230</v>
      </c>
      <c r="B34" s="208"/>
      <c r="C34" s="208"/>
      <c r="D34" s="209">
        <v>48.007681600000005</v>
      </c>
      <c r="E34" s="209">
        <v>43.499289999999995</v>
      </c>
      <c r="F34" s="209">
        <v>6.0249999999999998E-2</v>
      </c>
      <c r="G34" s="209">
        <v>6.5229099999999995</v>
      </c>
      <c r="H34" s="209">
        <v>9.4060400000000008</v>
      </c>
      <c r="I34" s="209">
        <v>12.99733</v>
      </c>
      <c r="J34" s="209">
        <v>8.9865700000000004</v>
      </c>
      <c r="K34" s="209">
        <v>2.0788599999999997</v>
      </c>
      <c r="L34" s="209">
        <v>0</v>
      </c>
      <c r="M34" s="209">
        <v>40.051960000000001</v>
      </c>
      <c r="N34" s="207"/>
    </row>
  </sheetData>
  <mergeCells count="35">
    <mergeCell ref="A4:C4"/>
    <mergeCell ref="C15:E15"/>
    <mergeCell ref="L17:M17"/>
    <mergeCell ref="L18:M18"/>
    <mergeCell ref="L19:M19"/>
    <mergeCell ref="A23:A24"/>
    <mergeCell ref="B23:B24"/>
    <mergeCell ref="C23:C24"/>
    <mergeCell ref="D23:D24"/>
    <mergeCell ref="E23:E24"/>
    <mergeCell ref="F23:N23"/>
    <mergeCell ref="B12:G12"/>
    <mergeCell ref="H12:J12"/>
    <mergeCell ref="K12:M12"/>
    <mergeCell ref="B13:G13"/>
    <mergeCell ref="H13:J13"/>
    <mergeCell ref="K13:M13"/>
    <mergeCell ref="B10:G10"/>
    <mergeCell ref="H10:J10"/>
    <mergeCell ref="K10:M10"/>
    <mergeCell ref="B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ageMargins left="0.25" right="0.25" top="0.25" bottom="0.25" header="0.3" footer="0.3"/>
  <pageSetup paperSize="9" scale="80" orientation="landscape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>
  <sheetPr>
    <tabColor rgb="FFFF0000"/>
  </sheetPr>
  <dimension ref="A1:N35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9.42578125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9.42578125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9.42578125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9.42578125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9.42578125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9.42578125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9.42578125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9.42578125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9.42578125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9.42578125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9.42578125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9.42578125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9.42578125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9.42578125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9.42578125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9.42578125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9.42578125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9.42578125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9.42578125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9.42578125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9.42578125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9.42578125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9.42578125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9.42578125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9.42578125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9.42578125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9.42578125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9.42578125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9.42578125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9.42578125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9.42578125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9.42578125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9.42578125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9.42578125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9.42578125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9.42578125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9.42578125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9.42578125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9.42578125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9.42578125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9.42578125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9.42578125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9.42578125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9.42578125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9.42578125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9.42578125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9.42578125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9.42578125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9.42578125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9.42578125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9.42578125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9.42578125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9.42578125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9.42578125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9.42578125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9.42578125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9.42578125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9.42578125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9.42578125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9.42578125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9.42578125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9.42578125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9.42578125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9.42578125" style="203" bestFit="1" customWidth="1"/>
    <col min="16144" max="16384" width="9.140625" style="203"/>
  </cols>
  <sheetData>
    <row r="1" spans="1:14" ht="33.75" customHeight="1">
      <c r="A1" s="1158" t="s">
        <v>1513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1514</v>
      </c>
      <c r="C3" s="1159"/>
      <c r="D3" s="1159"/>
      <c r="E3" s="1160" t="s">
        <v>1467</v>
      </c>
      <c r="F3" s="1160"/>
      <c r="G3" s="1161" t="s">
        <v>1515</v>
      </c>
      <c r="H3" s="1161"/>
      <c r="I3" s="1162" t="s">
        <v>5</v>
      </c>
      <c r="J3" s="1162"/>
      <c r="K3" s="509">
        <v>287.50099999999998</v>
      </c>
      <c r="L3" s="1160" t="s">
        <v>1469</v>
      </c>
      <c r="M3" s="1160"/>
      <c r="N3" s="509">
        <v>46</v>
      </c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1516</v>
      </c>
      <c r="C5" s="1159"/>
      <c r="D5" s="1159"/>
      <c r="E5" s="1163" t="s">
        <v>1471</v>
      </c>
      <c r="F5" s="1164"/>
      <c r="G5" s="1159" t="s">
        <v>1517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1518</v>
      </c>
      <c r="C7" s="1159"/>
      <c r="D7" s="1159"/>
      <c r="E7" s="1165" t="s">
        <v>1475</v>
      </c>
      <c r="F7" s="1166"/>
      <c r="G7" s="1159" t="s">
        <v>1519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1520</v>
      </c>
      <c r="C10" s="1159"/>
      <c r="D10" s="1159"/>
      <c r="E10" s="1159" t="s">
        <v>1521</v>
      </c>
      <c r="F10" s="1159"/>
      <c r="G10" s="1159"/>
      <c r="H10" s="1159" t="s">
        <v>1522</v>
      </c>
      <c r="I10" s="1159"/>
      <c r="J10" s="1159"/>
      <c r="K10" s="1159" t="s">
        <v>1523</v>
      </c>
      <c r="L10" s="1159"/>
      <c r="M10" s="1159"/>
    </row>
    <row r="11" spans="1:14" ht="25.5" customHeight="1">
      <c r="A11" s="204" t="s">
        <v>840</v>
      </c>
      <c r="B11" s="1159" t="s">
        <v>1524</v>
      </c>
      <c r="C11" s="1159"/>
      <c r="D11" s="1159"/>
      <c r="E11" s="1159" t="s">
        <v>1525</v>
      </c>
      <c r="F11" s="1159"/>
      <c r="G11" s="1159"/>
      <c r="H11" s="1159" t="s">
        <v>1526</v>
      </c>
      <c r="I11" s="1159"/>
      <c r="J11" s="1159"/>
      <c r="K11" s="1159" t="s">
        <v>1527</v>
      </c>
      <c r="L11" s="1159"/>
      <c r="M11" s="1159"/>
    </row>
    <row r="12" spans="1:14" ht="25.5" customHeight="1">
      <c r="A12" s="204" t="s">
        <v>844</v>
      </c>
      <c r="B12" s="1159" t="s">
        <v>1528</v>
      </c>
      <c r="C12" s="1159"/>
      <c r="D12" s="1159"/>
      <c r="E12" s="1159" t="s">
        <v>1529</v>
      </c>
      <c r="F12" s="1159"/>
      <c r="G12" s="1159"/>
      <c r="H12" s="1159" t="s">
        <v>1530</v>
      </c>
      <c r="I12" s="1159"/>
      <c r="J12" s="1159"/>
      <c r="K12" s="1159" t="s">
        <v>1531</v>
      </c>
      <c r="L12" s="1159"/>
      <c r="M12" s="1159"/>
    </row>
    <row r="13" spans="1:14" ht="25.5" customHeight="1">
      <c r="A13" s="204" t="s">
        <v>420</v>
      </c>
      <c r="B13" s="1159" t="s">
        <v>1532</v>
      </c>
      <c r="C13" s="1159"/>
      <c r="D13" s="1159"/>
      <c r="E13" s="1159" t="s">
        <v>1529</v>
      </c>
      <c r="F13" s="1159"/>
      <c r="G13" s="1159"/>
      <c r="H13" s="1159" t="s">
        <v>1533</v>
      </c>
      <c r="I13" s="1159"/>
      <c r="J13" s="1159"/>
      <c r="K13" s="1159" t="s">
        <v>1534</v>
      </c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4</v>
      </c>
      <c r="C15" s="1170" t="s">
        <v>1490</v>
      </c>
      <c r="D15" s="1166"/>
      <c r="E15" s="1171"/>
      <c r="F15" s="509">
        <v>4</v>
      </c>
      <c r="G15" s="203" t="s">
        <v>1491</v>
      </c>
      <c r="H15" s="509">
        <v>7</v>
      </c>
      <c r="I15" s="203" t="s">
        <v>1492</v>
      </c>
      <c r="J15" s="509">
        <v>3</v>
      </c>
      <c r="K15" s="203" t="s">
        <v>1493</v>
      </c>
      <c r="L15" s="509">
        <v>9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92</v>
      </c>
      <c r="D17" s="203" t="s">
        <v>205</v>
      </c>
      <c r="E17" s="509">
        <v>6</v>
      </c>
      <c r="F17" s="203" t="s">
        <v>206</v>
      </c>
      <c r="G17" s="509">
        <v>0</v>
      </c>
      <c r="H17" s="203" t="s">
        <v>230</v>
      </c>
      <c r="I17" s="509">
        <v>98</v>
      </c>
      <c r="J17" s="203" t="s">
        <v>207</v>
      </c>
      <c r="K17" s="509">
        <v>35</v>
      </c>
      <c r="L17" s="1170" t="s">
        <v>855</v>
      </c>
      <c r="M17" s="1171"/>
      <c r="N17" s="509">
        <v>7</v>
      </c>
    </row>
    <row r="18" spans="1:14" ht="20.25" customHeight="1">
      <c r="A18" s="203" t="s">
        <v>209</v>
      </c>
      <c r="B18" s="203" t="s">
        <v>210</v>
      </c>
      <c r="C18" s="509">
        <v>151</v>
      </c>
      <c r="D18" s="203" t="s">
        <v>211</v>
      </c>
      <c r="E18" s="509">
        <v>4</v>
      </c>
      <c r="F18" s="203" t="s">
        <v>212</v>
      </c>
      <c r="G18" s="509">
        <v>0</v>
      </c>
      <c r="H18" s="203" t="s">
        <v>411</v>
      </c>
      <c r="I18" s="509">
        <v>155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156</v>
      </c>
      <c r="D19" s="203" t="s">
        <v>214</v>
      </c>
      <c r="E19" s="509">
        <v>6</v>
      </c>
      <c r="F19" s="203" t="s">
        <v>1494</v>
      </c>
      <c r="G19" s="509">
        <v>0</v>
      </c>
      <c r="H19" s="203" t="s">
        <v>410</v>
      </c>
      <c r="I19" s="509">
        <v>162</v>
      </c>
      <c r="K19" s="205"/>
      <c r="L19" s="1162"/>
      <c r="M19" s="1162"/>
      <c r="N19" s="205"/>
    </row>
    <row r="20" spans="1:14">
      <c r="N20" s="205"/>
    </row>
    <row r="21" spans="1:14">
      <c r="K21" s="203" t="s">
        <v>1535</v>
      </c>
      <c r="N21" s="205"/>
    </row>
    <row r="22" spans="1:14">
      <c r="A22" s="206" t="s">
        <v>216</v>
      </c>
      <c r="K22" s="203">
        <v>2.3010600000000001</v>
      </c>
      <c r="N22" s="205"/>
    </row>
    <row r="23" spans="1:14">
      <c r="N23" s="205"/>
    </row>
    <row r="24" spans="1:14">
      <c r="A24" s="1182" t="s">
        <v>217</v>
      </c>
      <c r="B24" s="1174" t="s">
        <v>1495</v>
      </c>
      <c r="C24" s="1175" t="s">
        <v>219</v>
      </c>
      <c r="D24" s="1174" t="s">
        <v>1496</v>
      </c>
      <c r="E24" s="1174" t="s">
        <v>1497</v>
      </c>
      <c r="F24" s="1174" t="s">
        <v>1498</v>
      </c>
      <c r="G24" s="1174"/>
      <c r="H24" s="1174"/>
      <c r="I24" s="1174"/>
      <c r="J24" s="1174"/>
      <c r="K24" s="1174"/>
      <c r="L24" s="1174"/>
      <c r="M24" s="1174"/>
      <c r="N24" s="1174"/>
    </row>
    <row r="25" spans="1:14">
      <c r="A25" s="1183"/>
      <c r="B25" s="1174"/>
      <c r="C25" s="1175"/>
      <c r="D25" s="1174"/>
      <c r="E25" s="1174"/>
      <c r="F25" s="512" t="s">
        <v>224</v>
      </c>
      <c r="G25" s="512" t="s">
        <v>225</v>
      </c>
      <c r="H25" s="512" t="s">
        <v>226</v>
      </c>
      <c r="I25" s="512" t="s">
        <v>227</v>
      </c>
      <c r="J25" s="512" t="s">
        <v>228</v>
      </c>
      <c r="K25" s="512" t="s">
        <v>229</v>
      </c>
      <c r="L25" s="512" t="s">
        <v>1499</v>
      </c>
      <c r="M25" s="512" t="s">
        <v>230</v>
      </c>
      <c r="N25" s="512" t="s">
        <v>231</v>
      </c>
    </row>
    <row r="26" spans="1:14">
      <c r="A26" s="204" t="s">
        <v>232</v>
      </c>
      <c r="B26" s="204">
        <v>8000</v>
      </c>
      <c r="C26" s="204" t="s">
        <v>1500</v>
      </c>
      <c r="D26" s="597">
        <v>23.000080000000001</v>
      </c>
      <c r="E26" s="597">
        <v>23.225010000000001</v>
      </c>
      <c r="F26" s="597">
        <v>0</v>
      </c>
      <c r="G26" s="597">
        <v>6.3145499999999997</v>
      </c>
      <c r="H26" s="597">
        <v>15.66316</v>
      </c>
      <c r="I26" s="597">
        <v>0.2</v>
      </c>
      <c r="J26" s="597">
        <v>0</v>
      </c>
      <c r="K26" s="597">
        <v>0.82377</v>
      </c>
      <c r="L26" s="597">
        <v>0</v>
      </c>
      <c r="M26" s="207">
        <v>23.001479999999997</v>
      </c>
      <c r="N26" s="207">
        <v>99.037546162520471</v>
      </c>
    </row>
    <row r="27" spans="1:14">
      <c r="A27" s="204" t="s">
        <v>234</v>
      </c>
      <c r="B27" s="204">
        <v>7000</v>
      </c>
      <c r="C27" s="204" t="s">
        <v>1500</v>
      </c>
      <c r="D27" s="597">
        <v>3.2200112000000001</v>
      </c>
      <c r="E27" s="597">
        <v>3.22</v>
      </c>
      <c r="F27" s="597">
        <v>0</v>
      </c>
      <c r="G27" s="597">
        <v>0</v>
      </c>
      <c r="H27" s="597">
        <v>0</v>
      </c>
      <c r="I27" s="597">
        <v>0</v>
      </c>
      <c r="J27" s="597">
        <v>0.91893999999999998</v>
      </c>
      <c r="K27" s="597">
        <v>2.3010600000000001</v>
      </c>
      <c r="L27" s="597">
        <v>0</v>
      </c>
      <c r="M27" s="207">
        <v>3.22</v>
      </c>
      <c r="N27" s="207">
        <v>100</v>
      </c>
    </row>
    <row r="28" spans="1:14">
      <c r="A28" s="204" t="s">
        <v>235</v>
      </c>
      <c r="B28" s="204">
        <v>43000</v>
      </c>
      <c r="C28" s="204" t="s">
        <v>236</v>
      </c>
      <c r="D28" s="597">
        <v>0.43</v>
      </c>
      <c r="E28" s="597">
        <v>0.43</v>
      </c>
      <c r="F28" s="597">
        <v>0</v>
      </c>
      <c r="G28" s="597">
        <v>0</v>
      </c>
      <c r="H28" s="597">
        <v>2.52E-2</v>
      </c>
      <c r="I28" s="597">
        <v>0.15310000000000001</v>
      </c>
      <c r="J28" s="597">
        <v>0.1225</v>
      </c>
      <c r="K28" s="597">
        <v>9.7900000000000001E-3</v>
      </c>
      <c r="L28" s="597">
        <v>0</v>
      </c>
      <c r="M28" s="207">
        <v>0.31059000000000003</v>
      </c>
      <c r="N28" s="207">
        <v>72.230232558139534</v>
      </c>
    </row>
    <row r="29" spans="1:14">
      <c r="A29" s="204" t="s">
        <v>1501</v>
      </c>
      <c r="B29" s="204">
        <v>37000</v>
      </c>
      <c r="C29" s="204" t="s">
        <v>236</v>
      </c>
      <c r="D29" s="597">
        <v>0.34</v>
      </c>
      <c r="E29" s="597">
        <v>0.34</v>
      </c>
      <c r="F29" s="597">
        <v>0</v>
      </c>
      <c r="G29" s="597">
        <v>0</v>
      </c>
      <c r="H29" s="597">
        <v>0</v>
      </c>
      <c r="I29" s="597">
        <v>0.11914</v>
      </c>
      <c r="J29" s="597">
        <v>2.409E-2</v>
      </c>
      <c r="K29" s="597">
        <v>2.913E-2</v>
      </c>
      <c r="L29" s="597">
        <v>0</v>
      </c>
      <c r="M29" s="207">
        <v>0.17235999999999999</v>
      </c>
      <c r="N29" s="207">
        <v>50.69411764705881</v>
      </c>
    </row>
    <row r="30" spans="1:14">
      <c r="A30" s="204" t="s">
        <v>238</v>
      </c>
      <c r="B30" s="204">
        <v>1200</v>
      </c>
      <c r="C30" s="204" t="s">
        <v>1500</v>
      </c>
      <c r="D30" s="597">
        <v>3.4500120000000001</v>
      </c>
      <c r="E30" s="597">
        <v>3.45</v>
      </c>
      <c r="F30" s="597">
        <v>0</v>
      </c>
      <c r="G30" s="597">
        <v>1.4934400000000001</v>
      </c>
      <c r="H30" s="597">
        <v>0</v>
      </c>
      <c r="I30" s="597">
        <v>0.96830000000000005</v>
      </c>
      <c r="J30" s="597">
        <v>0.34720000000000001</v>
      </c>
      <c r="K30" s="597">
        <v>0</v>
      </c>
      <c r="L30" s="597">
        <v>0</v>
      </c>
      <c r="M30" s="207">
        <v>2.8089400000000002</v>
      </c>
      <c r="N30" s="207">
        <v>81.418550724637683</v>
      </c>
    </row>
    <row r="31" spans="1:14">
      <c r="A31" s="204" t="s">
        <v>1502</v>
      </c>
      <c r="B31" s="204">
        <v>565</v>
      </c>
      <c r="C31" s="204" t="s">
        <v>1500</v>
      </c>
      <c r="D31" s="597">
        <v>1.6243807000000001</v>
      </c>
      <c r="E31" s="597">
        <v>1.68</v>
      </c>
      <c r="F31" s="597">
        <v>0</v>
      </c>
      <c r="G31" s="597">
        <v>0.1</v>
      </c>
      <c r="H31" s="597">
        <v>1.58</v>
      </c>
      <c r="I31" s="597">
        <v>0</v>
      </c>
      <c r="J31" s="597">
        <v>0</v>
      </c>
      <c r="K31" s="597">
        <v>0</v>
      </c>
      <c r="L31" s="597">
        <v>0</v>
      </c>
      <c r="M31" s="207">
        <v>1.6800000000000002</v>
      </c>
      <c r="N31" s="207">
        <v>100.00000000000003</v>
      </c>
    </row>
    <row r="32" spans="1:14">
      <c r="A32" s="204" t="s">
        <v>1503</v>
      </c>
      <c r="B32" s="204">
        <v>1000</v>
      </c>
      <c r="C32" s="204" t="s">
        <v>1500</v>
      </c>
      <c r="D32" s="597">
        <v>2.8750100000000001</v>
      </c>
      <c r="E32" s="597">
        <v>2.645</v>
      </c>
      <c r="F32" s="597">
        <v>0</v>
      </c>
      <c r="G32" s="597">
        <v>0</v>
      </c>
      <c r="H32" s="597">
        <v>0</v>
      </c>
      <c r="I32" s="597">
        <v>0</v>
      </c>
      <c r="J32" s="597">
        <v>0</v>
      </c>
      <c r="K32" s="597">
        <v>0.53854999999999997</v>
      </c>
      <c r="L32" s="597">
        <v>0</v>
      </c>
      <c r="M32" s="207">
        <v>0.53854999999999997</v>
      </c>
      <c r="N32" s="207">
        <v>20.361058601134214</v>
      </c>
    </row>
    <row r="33" spans="1:14">
      <c r="A33" s="204" t="s">
        <v>607</v>
      </c>
      <c r="B33" s="204">
        <v>2750</v>
      </c>
      <c r="C33" s="204" t="s">
        <v>242</v>
      </c>
      <c r="D33" s="597">
        <v>1.75</v>
      </c>
      <c r="E33" s="597">
        <v>1.41631</v>
      </c>
      <c r="F33" s="597">
        <v>0</v>
      </c>
      <c r="G33" s="597">
        <v>0.29984</v>
      </c>
      <c r="H33" s="597">
        <v>0.29049999999999998</v>
      </c>
      <c r="I33" s="597">
        <v>0.26905000000000001</v>
      </c>
      <c r="J33" s="597">
        <v>0.16850000000000001</v>
      </c>
      <c r="K33" s="597">
        <v>0.25486999999999999</v>
      </c>
      <c r="L33" s="597">
        <v>0</v>
      </c>
      <c r="M33" s="207">
        <v>1.2827599999999999</v>
      </c>
      <c r="N33" s="207">
        <v>90.570567178089533</v>
      </c>
    </row>
    <row r="34" spans="1:14">
      <c r="A34" s="204" t="s">
        <v>243</v>
      </c>
      <c r="B34" s="204">
        <v>10000</v>
      </c>
      <c r="C34" s="204" t="s">
        <v>244</v>
      </c>
      <c r="D34" s="597">
        <v>0</v>
      </c>
      <c r="E34" s="597">
        <v>0</v>
      </c>
      <c r="F34" s="597">
        <v>0</v>
      </c>
      <c r="G34" s="597">
        <v>0</v>
      </c>
      <c r="H34" s="597">
        <v>0</v>
      </c>
      <c r="I34" s="597">
        <v>0</v>
      </c>
      <c r="J34" s="597">
        <v>0</v>
      </c>
      <c r="K34" s="597">
        <v>0</v>
      </c>
      <c r="L34" s="597">
        <v>0</v>
      </c>
      <c r="M34" s="597">
        <v>0</v>
      </c>
      <c r="N34" s="597">
        <v>0</v>
      </c>
    </row>
    <row r="35" spans="1:14">
      <c r="A35" s="208" t="s">
        <v>230</v>
      </c>
      <c r="B35" s="208"/>
      <c r="C35" s="208"/>
      <c r="D35" s="209">
        <v>36.689493900000002</v>
      </c>
      <c r="E35" s="209">
        <v>36.406320000000001</v>
      </c>
      <c r="F35" s="209">
        <v>0</v>
      </c>
      <c r="G35" s="209">
        <v>8.2078299999999995</v>
      </c>
      <c r="H35" s="209">
        <v>17.558859999999999</v>
      </c>
      <c r="I35" s="209">
        <v>1.7095899999999999</v>
      </c>
      <c r="J35" s="209">
        <v>1.5812300000000001</v>
      </c>
      <c r="K35" s="209">
        <v>3.9571700000000001</v>
      </c>
      <c r="L35" s="209">
        <v>0</v>
      </c>
      <c r="M35" s="209">
        <v>33.014679999999998</v>
      </c>
      <c r="N35" s="207">
        <v>9.0683925208590152E-4</v>
      </c>
    </row>
  </sheetData>
  <mergeCells count="39">
    <mergeCell ref="A4:C4"/>
    <mergeCell ref="C15:E15"/>
    <mergeCell ref="L17:M17"/>
    <mergeCell ref="L18:M18"/>
    <mergeCell ref="L19:M19"/>
    <mergeCell ref="A24:A25"/>
    <mergeCell ref="B24:B25"/>
    <mergeCell ref="C24:C25"/>
    <mergeCell ref="D24:D25"/>
    <mergeCell ref="E24:E25"/>
    <mergeCell ref="F24:N24"/>
    <mergeCell ref="B12:D12"/>
    <mergeCell ref="E12:G12"/>
    <mergeCell ref="H12:J12"/>
    <mergeCell ref="K12:M12"/>
    <mergeCell ref="B13:D13"/>
    <mergeCell ref="E13:G13"/>
    <mergeCell ref="H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ageMargins left="0.25" right="0.25" top="0.25" bottom="0.25" header="0.3" footer="0.3"/>
  <pageSetup paperSize="9" scale="80" orientation="landscape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>
  <sheetPr>
    <tabColor rgb="FFFF0000"/>
  </sheetPr>
  <dimension ref="A1:N35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4.28515625" style="203" customWidth="1"/>
    <col min="5" max="5" width="11.140625" style="203" customWidth="1"/>
    <col min="6" max="14" width="11.42578125" style="203" customWidth="1"/>
    <col min="15" max="15" width="10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4.28515625" style="203" customWidth="1"/>
    <col min="261" max="261" width="11.140625" style="203" customWidth="1"/>
    <col min="262" max="270" width="11.42578125" style="203" customWidth="1"/>
    <col min="271" max="271" width="10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4.28515625" style="203" customWidth="1"/>
    <col min="517" max="517" width="11.140625" style="203" customWidth="1"/>
    <col min="518" max="526" width="11.42578125" style="203" customWidth="1"/>
    <col min="527" max="527" width="10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4.28515625" style="203" customWidth="1"/>
    <col min="773" max="773" width="11.140625" style="203" customWidth="1"/>
    <col min="774" max="782" width="11.42578125" style="203" customWidth="1"/>
    <col min="783" max="783" width="10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4.28515625" style="203" customWidth="1"/>
    <col min="1029" max="1029" width="11.140625" style="203" customWidth="1"/>
    <col min="1030" max="1038" width="11.42578125" style="203" customWidth="1"/>
    <col min="1039" max="1039" width="10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4.28515625" style="203" customWidth="1"/>
    <col min="1285" max="1285" width="11.140625" style="203" customWidth="1"/>
    <col min="1286" max="1294" width="11.42578125" style="203" customWidth="1"/>
    <col min="1295" max="1295" width="10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4.28515625" style="203" customWidth="1"/>
    <col min="1541" max="1541" width="11.140625" style="203" customWidth="1"/>
    <col min="1542" max="1550" width="11.42578125" style="203" customWidth="1"/>
    <col min="1551" max="1551" width="10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4.28515625" style="203" customWidth="1"/>
    <col min="1797" max="1797" width="11.140625" style="203" customWidth="1"/>
    <col min="1798" max="1806" width="11.42578125" style="203" customWidth="1"/>
    <col min="1807" max="1807" width="10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4.28515625" style="203" customWidth="1"/>
    <col min="2053" max="2053" width="11.140625" style="203" customWidth="1"/>
    <col min="2054" max="2062" width="11.42578125" style="203" customWidth="1"/>
    <col min="2063" max="2063" width="10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4.28515625" style="203" customWidth="1"/>
    <col min="2309" max="2309" width="11.140625" style="203" customWidth="1"/>
    <col min="2310" max="2318" width="11.42578125" style="203" customWidth="1"/>
    <col min="2319" max="2319" width="10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4.28515625" style="203" customWidth="1"/>
    <col min="2565" max="2565" width="11.140625" style="203" customWidth="1"/>
    <col min="2566" max="2574" width="11.42578125" style="203" customWidth="1"/>
    <col min="2575" max="2575" width="10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4.28515625" style="203" customWidth="1"/>
    <col min="2821" max="2821" width="11.140625" style="203" customWidth="1"/>
    <col min="2822" max="2830" width="11.42578125" style="203" customWidth="1"/>
    <col min="2831" max="2831" width="10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4.28515625" style="203" customWidth="1"/>
    <col min="3077" max="3077" width="11.140625" style="203" customWidth="1"/>
    <col min="3078" max="3086" width="11.42578125" style="203" customWidth="1"/>
    <col min="3087" max="3087" width="10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4.28515625" style="203" customWidth="1"/>
    <col min="3333" max="3333" width="11.140625" style="203" customWidth="1"/>
    <col min="3334" max="3342" width="11.42578125" style="203" customWidth="1"/>
    <col min="3343" max="3343" width="10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4.28515625" style="203" customWidth="1"/>
    <col min="3589" max="3589" width="11.140625" style="203" customWidth="1"/>
    <col min="3590" max="3598" width="11.42578125" style="203" customWidth="1"/>
    <col min="3599" max="3599" width="10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4.28515625" style="203" customWidth="1"/>
    <col min="3845" max="3845" width="11.140625" style="203" customWidth="1"/>
    <col min="3846" max="3854" width="11.42578125" style="203" customWidth="1"/>
    <col min="3855" max="3855" width="10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4.28515625" style="203" customWidth="1"/>
    <col min="4101" max="4101" width="11.140625" style="203" customWidth="1"/>
    <col min="4102" max="4110" width="11.42578125" style="203" customWidth="1"/>
    <col min="4111" max="4111" width="10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4.28515625" style="203" customWidth="1"/>
    <col min="4357" max="4357" width="11.140625" style="203" customWidth="1"/>
    <col min="4358" max="4366" width="11.42578125" style="203" customWidth="1"/>
    <col min="4367" max="4367" width="10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4.28515625" style="203" customWidth="1"/>
    <col min="4613" max="4613" width="11.140625" style="203" customWidth="1"/>
    <col min="4614" max="4622" width="11.42578125" style="203" customWidth="1"/>
    <col min="4623" max="4623" width="10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4.28515625" style="203" customWidth="1"/>
    <col min="4869" max="4869" width="11.140625" style="203" customWidth="1"/>
    <col min="4870" max="4878" width="11.42578125" style="203" customWidth="1"/>
    <col min="4879" max="4879" width="10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4.28515625" style="203" customWidth="1"/>
    <col min="5125" max="5125" width="11.140625" style="203" customWidth="1"/>
    <col min="5126" max="5134" width="11.42578125" style="203" customWidth="1"/>
    <col min="5135" max="5135" width="10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4.28515625" style="203" customWidth="1"/>
    <col min="5381" max="5381" width="11.140625" style="203" customWidth="1"/>
    <col min="5382" max="5390" width="11.42578125" style="203" customWidth="1"/>
    <col min="5391" max="5391" width="10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4.28515625" style="203" customWidth="1"/>
    <col min="5637" max="5637" width="11.140625" style="203" customWidth="1"/>
    <col min="5638" max="5646" width="11.42578125" style="203" customWidth="1"/>
    <col min="5647" max="5647" width="10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4.28515625" style="203" customWidth="1"/>
    <col min="5893" max="5893" width="11.140625" style="203" customWidth="1"/>
    <col min="5894" max="5902" width="11.42578125" style="203" customWidth="1"/>
    <col min="5903" max="5903" width="10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4.28515625" style="203" customWidth="1"/>
    <col min="6149" max="6149" width="11.140625" style="203" customWidth="1"/>
    <col min="6150" max="6158" width="11.42578125" style="203" customWidth="1"/>
    <col min="6159" max="6159" width="10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4.28515625" style="203" customWidth="1"/>
    <col min="6405" max="6405" width="11.140625" style="203" customWidth="1"/>
    <col min="6406" max="6414" width="11.42578125" style="203" customWidth="1"/>
    <col min="6415" max="6415" width="10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4.28515625" style="203" customWidth="1"/>
    <col min="6661" max="6661" width="11.140625" style="203" customWidth="1"/>
    <col min="6662" max="6670" width="11.42578125" style="203" customWidth="1"/>
    <col min="6671" max="6671" width="10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4.28515625" style="203" customWidth="1"/>
    <col min="6917" max="6917" width="11.140625" style="203" customWidth="1"/>
    <col min="6918" max="6926" width="11.42578125" style="203" customWidth="1"/>
    <col min="6927" max="6927" width="10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4.28515625" style="203" customWidth="1"/>
    <col min="7173" max="7173" width="11.140625" style="203" customWidth="1"/>
    <col min="7174" max="7182" width="11.42578125" style="203" customWidth="1"/>
    <col min="7183" max="7183" width="10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4.28515625" style="203" customWidth="1"/>
    <col min="7429" max="7429" width="11.140625" style="203" customWidth="1"/>
    <col min="7430" max="7438" width="11.42578125" style="203" customWidth="1"/>
    <col min="7439" max="7439" width="10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4.28515625" style="203" customWidth="1"/>
    <col min="7685" max="7685" width="11.140625" style="203" customWidth="1"/>
    <col min="7686" max="7694" width="11.42578125" style="203" customWidth="1"/>
    <col min="7695" max="7695" width="10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4.28515625" style="203" customWidth="1"/>
    <col min="7941" max="7941" width="11.140625" style="203" customWidth="1"/>
    <col min="7942" max="7950" width="11.42578125" style="203" customWidth="1"/>
    <col min="7951" max="7951" width="10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4.28515625" style="203" customWidth="1"/>
    <col min="8197" max="8197" width="11.140625" style="203" customWidth="1"/>
    <col min="8198" max="8206" width="11.42578125" style="203" customWidth="1"/>
    <col min="8207" max="8207" width="10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4.28515625" style="203" customWidth="1"/>
    <col min="8453" max="8453" width="11.140625" style="203" customWidth="1"/>
    <col min="8454" max="8462" width="11.42578125" style="203" customWidth="1"/>
    <col min="8463" max="8463" width="10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4.28515625" style="203" customWidth="1"/>
    <col min="8709" max="8709" width="11.140625" style="203" customWidth="1"/>
    <col min="8710" max="8718" width="11.42578125" style="203" customWidth="1"/>
    <col min="8719" max="8719" width="10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4.28515625" style="203" customWidth="1"/>
    <col min="8965" max="8965" width="11.140625" style="203" customWidth="1"/>
    <col min="8966" max="8974" width="11.42578125" style="203" customWidth="1"/>
    <col min="8975" max="8975" width="10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4.28515625" style="203" customWidth="1"/>
    <col min="9221" max="9221" width="11.140625" style="203" customWidth="1"/>
    <col min="9222" max="9230" width="11.42578125" style="203" customWidth="1"/>
    <col min="9231" max="9231" width="10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4.28515625" style="203" customWidth="1"/>
    <col min="9477" max="9477" width="11.140625" style="203" customWidth="1"/>
    <col min="9478" max="9486" width="11.42578125" style="203" customWidth="1"/>
    <col min="9487" max="9487" width="10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4.28515625" style="203" customWidth="1"/>
    <col min="9733" max="9733" width="11.140625" style="203" customWidth="1"/>
    <col min="9734" max="9742" width="11.42578125" style="203" customWidth="1"/>
    <col min="9743" max="9743" width="10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4.28515625" style="203" customWidth="1"/>
    <col min="9989" max="9989" width="11.140625" style="203" customWidth="1"/>
    <col min="9990" max="9998" width="11.42578125" style="203" customWidth="1"/>
    <col min="9999" max="9999" width="10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4.28515625" style="203" customWidth="1"/>
    <col min="10245" max="10245" width="11.140625" style="203" customWidth="1"/>
    <col min="10246" max="10254" width="11.42578125" style="203" customWidth="1"/>
    <col min="10255" max="10255" width="10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4.28515625" style="203" customWidth="1"/>
    <col min="10501" max="10501" width="11.140625" style="203" customWidth="1"/>
    <col min="10502" max="10510" width="11.42578125" style="203" customWidth="1"/>
    <col min="10511" max="10511" width="10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4.28515625" style="203" customWidth="1"/>
    <col min="10757" max="10757" width="11.140625" style="203" customWidth="1"/>
    <col min="10758" max="10766" width="11.42578125" style="203" customWidth="1"/>
    <col min="10767" max="10767" width="10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4.28515625" style="203" customWidth="1"/>
    <col min="11013" max="11013" width="11.140625" style="203" customWidth="1"/>
    <col min="11014" max="11022" width="11.42578125" style="203" customWidth="1"/>
    <col min="11023" max="11023" width="10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4.28515625" style="203" customWidth="1"/>
    <col min="11269" max="11269" width="11.140625" style="203" customWidth="1"/>
    <col min="11270" max="11278" width="11.42578125" style="203" customWidth="1"/>
    <col min="11279" max="11279" width="10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4.28515625" style="203" customWidth="1"/>
    <col min="11525" max="11525" width="11.140625" style="203" customWidth="1"/>
    <col min="11526" max="11534" width="11.42578125" style="203" customWidth="1"/>
    <col min="11535" max="11535" width="10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4.28515625" style="203" customWidth="1"/>
    <col min="11781" max="11781" width="11.140625" style="203" customWidth="1"/>
    <col min="11782" max="11790" width="11.42578125" style="203" customWidth="1"/>
    <col min="11791" max="11791" width="10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4.28515625" style="203" customWidth="1"/>
    <col min="12037" max="12037" width="11.140625" style="203" customWidth="1"/>
    <col min="12038" max="12046" width="11.42578125" style="203" customWidth="1"/>
    <col min="12047" max="12047" width="10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4.28515625" style="203" customWidth="1"/>
    <col min="12293" max="12293" width="11.140625" style="203" customWidth="1"/>
    <col min="12294" max="12302" width="11.42578125" style="203" customWidth="1"/>
    <col min="12303" max="12303" width="10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4.28515625" style="203" customWidth="1"/>
    <col min="12549" max="12549" width="11.140625" style="203" customWidth="1"/>
    <col min="12550" max="12558" width="11.42578125" style="203" customWidth="1"/>
    <col min="12559" max="12559" width="10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4.28515625" style="203" customWidth="1"/>
    <col min="12805" max="12805" width="11.140625" style="203" customWidth="1"/>
    <col min="12806" max="12814" width="11.42578125" style="203" customWidth="1"/>
    <col min="12815" max="12815" width="10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4.28515625" style="203" customWidth="1"/>
    <col min="13061" max="13061" width="11.140625" style="203" customWidth="1"/>
    <col min="13062" max="13070" width="11.42578125" style="203" customWidth="1"/>
    <col min="13071" max="13071" width="10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4.28515625" style="203" customWidth="1"/>
    <col min="13317" max="13317" width="11.140625" style="203" customWidth="1"/>
    <col min="13318" max="13326" width="11.42578125" style="203" customWidth="1"/>
    <col min="13327" max="13327" width="10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4.28515625" style="203" customWidth="1"/>
    <col min="13573" max="13573" width="11.140625" style="203" customWidth="1"/>
    <col min="13574" max="13582" width="11.42578125" style="203" customWidth="1"/>
    <col min="13583" max="13583" width="10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4.28515625" style="203" customWidth="1"/>
    <col min="13829" max="13829" width="11.140625" style="203" customWidth="1"/>
    <col min="13830" max="13838" width="11.42578125" style="203" customWidth="1"/>
    <col min="13839" max="13839" width="10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4.28515625" style="203" customWidth="1"/>
    <col min="14085" max="14085" width="11.140625" style="203" customWidth="1"/>
    <col min="14086" max="14094" width="11.42578125" style="203" customWidth="1"/>
    <col min="14095" max="14095" width="10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4.28515625" style="203" customWidth="1"/>
    <col min="14341" max="14341" width="11.140625" style="203" customWidth="1"/>
    <col min="14342" max="14350" width="11.42578125" style="203" customWidth="1"/>
    <col min="14351" max="14351" width="10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4.28515625" style="203" customWidth="1"/>
    <col min="14597" max="14597" width="11.140625" style="203" customWidth="1"/>
    <col min="14598" max="14606" width="11.42578125" style="203" customWidth="1"/>
    <col min="14607" max="14607" width="10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4.28515625" style="203" customWidth="1"/>
    <col min="14853" max="14853" width="11.140625" style="203" customWidth="1"/>
    <col min="14854" max="14862" width="11.42578125" style="203" customWidth="1"/>
    <col min="14863" max="14863" width="10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4.28515625" style="203" customWidth="1"/>
    <col min="15109" max="15109" width="11.140625" style="203" customWidth="1"/>
    <col min="15110" max="15118" width="11.42578125" style="203" customWidth="1"/>
    <col min="15119" max="15119" width="10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4.28515625" style="203" customWidth="1"/>
    <col min="15365" max="15365" width="11.140625" style="203" customWidth="1"/>
    <col min="15366" max="15374" width="11.42578125" style="203" customWidth="1"/>
    <col min="15375" max="15375" width="10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4.28515625" style="203" customWidth="1"/>
    <col min="15621" max="15621" width="11.140625" style="203" customWidth="1"/>
    <col min="15622" max="15630" width="11.42578125" style="203" customWidth="1"/>
    <col min="15631" max="15631" width="10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4.28515625" style="203" customWidth="1"/>
    <col min="15877" max="15877" width="11.140625" style="203" customWidth="1"/>
    <col min="15878" max="15886" width="11.42578125" style="203" customWidth="1"/>
    <col min="15887" max="15887" width="10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4.28515625" style="203" customWidth="1"/>
    <col min="16133" max="16133" width="11.140625" style="203" customWidth="1"/>
    <col min="16134" max="16142" width="11.42578125" style="203" customWidth="1"/>
    <col min="16143" max="16143" width="10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1536</v>
      </c>
      <c r="C3" s="1159"/>
      <c r="D3" s="1159"/>
      <c r="E3" s="1160" t="s">
        <v>1467</v>
      </c>
      <c r="F3" s="1160"/>
      <c r="G3" s="1161" t="s">
        <v>1537</v>
      </c>
      <c r="H3" s="1161"/>
      <c r="I3" s="1162" t="s">
        <v>5</v>
      </c>
      <c r="J3" s="1162"/>
      <c r="K3" s="509">
        <v>277.45999999999998</v>
      </c>
      <c r="L3" s="1160" t="s">
        <v>1469</v>
      </c>
      <c r="M3" s="1160"/>
      <c r="N3" s="509">
        <v>44</v>
      </c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1538</v>
      </c>
      <c r="C5" s="1159"/>
      <c r="D5" s="1159"/>
      <c r="E5" s="203" t="s">
        <v>1471</v>
      </c>
      <c r="G5" s="1159" t="s">
        <v>1539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1540</v>
      </c>
      <c r="C7" s="1159"/>
      <c r="D7" s="1159"/>
      <c r="E7" s="1165" t="s">
        <v>1475</v>
      </c>
      <c r="F7" s="1166"/>
      <c r="G7" s="1159" t="s">
        <v>1519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1541</v>
      </c>
      <c r="C10" s="1159"/>
      <c r="D10" s="1159"/>
      <c r="E10" s="1159" t="s">
        <v>1542</v>
      </c>
      <c r="F10" s="1159"/>
      <c r="G10" s="1159"/>
      <c r="H10" s="1159" t="s">
        <v>1543</v>
      </c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59" t="s">
        <v>1544</v>
      </c>
      <c r="C11" s="1159"/>
      <c r="D11" s="1159"/>
      <c r="E11" s="1159" t="s">
        <v>1545</v>
      </c>
      <c r="F11" s="1159"/>
      <c r="G11" s="1159"/>
      <c r="H11" s="1159" t="s">
        <v>1546</v>
      </c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67" t="s">
        <v>1547</v>
      </c>
      <c r="C12" s="1168"/>
      <c r="D12" s="1169"/>
      <c r="E12" s="1159" t="s">
        <v>1540</v>
      </c>
      <c r="F12" s="1159"/>
      <c r="G12" s="1159"/>
      <c r="H12" s="1159"/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59" t="s">
        <v>1544</v>
      </c>
      <c r="C13" s="1159"/>
      <c r="D13" s="1159"/>
      <c r="E13" s="1159" t="s">
        <v>1540</v>
      </c>
      <c r="F13" s="1159"/>
      <c r="G13" s="1159"/>
      <c r="H13" s="1159" t="s">
        <v>1548</v>
      </c>
      <c r="I13" s="1159"/>
      <c r="J13" s="1159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3</v>
      </c>
      <c r="C15" s="1170" t="s">
        <v>1490</v>
      </c>
      <c r="D15" s="1166"/>
      <c r="E15" s="1171"/>
      <c r="F15" s="509">
        <v>3</v>
      </c>
      <c r="G15" s="203" t="s">
        <v>1491</v>
      </c>
      <c r="H15" s="509">
        <v>6</v>
      </c>
      <c r="I15" s="203" t="s">
        <v>1492</v>
      </c>
      <c r="J15" s="509">
        <v>2</v>
      </c>
      <c r="K15" s="203" t="s">
        <v>1493</v>
      </c>
      <c r="L15" s="509">
        <v>7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68</v>
      </c>
      <c r="D17" s="203" t="s">
        <v>205</v>
      </c>
      <c r="E17" s="509">
        <v>3</v>
      </c>
      <c r="F17" s="203" t="s">
        <v>206</v>
      </c>
      <c r="G17" s="509">
        <v>3</v>
      </c>
      <c r="H17" s="203" t="s">
        <v>230</v>
      </c>
      <c r="I17" s="509">
        <v>74</v>
      </c>
      <c r="J17" s="203" t="s">
        <v>207</v>
      </c>
      <c r="K17" s="509">
        <v>27</v>
      </c>
      <c r="L17" s="1170" t="s">
        <v>855</v>
      </c>
      <c r="M17" s="1171"/>
      <c r="N17" s="509">
        <v>14</v>
      </c>
    </row>
    <row r="18" spans="1:14" ht="20.25" customHeight="1">
      <c r="A18" s="203" t="s">
        <v>209</v>
      </c>
      <c r="B18" s="203" t="s">
        <v>210</v>
      </c>
      <c r="C18" s="509">
        <v>161</v>
      </c>
      <c r="D18" s="203" t="s">
        <v>211</v>
      </c>
      <c r="E18" s="509">
        <v>6</v>
      </c>
      <c r="F18" s="203" t="s">
        <v>212</v>
      </c>
      <c r="G18" s="509">
        <v>9</v>
      </c>
      <c r="H18" s="203" t="s">
        <v>411</v>
      </c>
      <c r="I18" s="509">
        <v>176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171</v>
      </c>
      <c r="D19" s="203" t="s">
        <v>214</v>
      </c>
      <c r="E19" s="509">
        <v>8</v>
      </c>
      <c r="F19" s="203" t="s">
        <v>1494</v>
      </c>
      <c r="G19" s="509">
        <v>10</v>
      </c>
      <c r="H19" s="203" t="s">
        <v>410</v>
      </c>
      <c r="I19" s="509">
        <v>189</v>
      </c>
      <c r="K19" s="205"/>
      <c r="L19" s="1162"/>
      <c r="M19" s="1162"/>
      <c r="N19" s="205"/>
    </row>
    <row r="20" spans="1:14">
      <c r="N20" s="205"/>
    </row>
    <row r="21" spans="1:14">
      <c r="A21" s="206" t="s">
        <v>216</v>
      </c>
      <c r="N21" s="205"/>
    </row>
    <row r="22" spans="1:14">
      <c r="A22" s="206"/>
      <c r="N22" s="205"/>
    </row>
    <row r="23" spans="1:14">
      <c r="E23" s="210"/>
      <c r="N23" s="205"/>
    </row>
    <row r="24" spans="1:14">
      <c r="A24" s="1182" t="s">
        <v>217</v>
      </c>
      <c r="B24" s="1174" t="s">
        <v>1495</v>
      </c>
      <c r="C24" s="1175" t="s">
        <v>219</v>
      </c>
      <c r="D24" s="1174" t="s">
        <v>1496</v>
      </c>
      <c r="E24" s="1174" t="s">
        <v>1497</v>
      </c>
      <c r="F24" s="1174" t="s">
        <v>1498</v>
      </c>
      <c r="G24" s="1174"/>
      <c r="H24" s="1174"/>
      <c r="I24" s="1174"/>
      <c r="J24" s="1174"/>
      <c r="K24" s="1174"/>
      <c r="L24" s="1174"/>
      <c r="M24" s="1174"/>
      <c r="N24" s="1174"/>
    </row>
    <row r="25" spans="1:14">
      <c r="A25" s="1183"/>
      <c r="B25" s="1174"/>
      <c r="C25" s="1175"/>
      <c r="D25" s="1174"/>
      <c r="E25" s="1174"/>
      <c r="F25" s="512" t="s">
        <v>224</v>
      </c>
      <c r="G25" s="512" t="s">
        <v>225</v>
      </c>
      <c r="H25" s="512" t="s">
        <v>226</v>
      </c>
      <c r="I25" s="512" t="s">
        <v>227</v>
      </c>
      <c r="J25" s="512" t="s">
        <v>228</v>
      </c>
      <c r="K25" s="512" t="s">
        <v>229</v>
      </c>
      <c r="L25" s="512" t="s">
        <v>1499</v>
      </c>
      <c r="M25" s="512" t="s">
        <v>230</v>
      </c>
      <c r="N25" s="512" t="s">
        <v>231</v>
      </c>
    </row>
    <row r="26" spans="1:14">
      <c r="A26" s="204" t="s">
        <v>232</v>
      </c>
      <c r="B26" s="204">
        <v>8000</v>
      </c>
      <c r="C26" s="204" t="s">
        <v>1500</v>
      </c>
      <c r="D26" s="597">
        <v>22.1968</v>
      </c>
      <c r="E26" s="597">
        <v>22.26444</v>
      </c>
      <c r="F26" s="597">
        <v>0</v>
      </c>
      <c r="G26" s="597">
        <v>5.5176049999999996</v>
      </c>
      <c r="H26" s="597">
        <v>12.921749999999999</v>
      </c>
      <c r="I26" s="597">
        <v>2.7284350000000002</v>
      </c>
      <c r="J26" s="597">
        <v>0</v>
      </c>
      <c r="K26" s="597">
        <v>0</v>
      </c>
      <c r="L26" s="597">
        <v>0</v>
      </c>
      <c r="M26" s="207">
        <v>21.16779</v>
      </c>
      <c r="N26" s="207">
        <v>95.074432592959894</v>
      </c>
    </row>
    <row r="27" spans="1:14">
      <c r="A27" s="204" t="s">
        <v>234</v>
      </c>
      <c r="B27" s="204">
        <v>7000</v>
      </c>
      <c r="C27" s="204" t="s">
        <v>1500</v>
      </c>
      <c r="D27" s="597">
        <v>3.1075520000000001</v>
      </c>
      <c r="E27" s="597">
        <v>3.08</v>
      </c>
      <c r="F27" s="597">
        <v>0</v>
      </c>
      <c r="G27" s="597">
        <v>0</v>
      </c>
      <c r="H27" s="597">
        <v>0</v>
      </c>
      <c r="I27" s="597">
        <v>0</v>
      </c>
      <c r="J27" s="597">
        <v>1.22109</v>
      </c>
      <c r="K27" s="597">
        <v>1.8589100000000001</v>
      </c>
      <c r="L27" s="597">
        <v>0</v>
      </c>
      <c r="M27" s="207">
        <v>3.08</v>
      </c>
      <c r="N27" s="207">
        <v>100</v>
      </c>
    </row>
    <row r="28" spans="1:14">
      <c r="A28" s="204" t="s">
        <v>235</v>
      </c>
      <c r="B28" s="204">
        <v>43000</v>
      </c>
      <c r="C28" s="204" t="s">
        <v>236</v>
      </c>
      <c r="D28" s="597">
        <v>0.43</v>
      </c>
      <c r="E28" s="597">
        <v>0.5</v>
      </c>
      <c r="F28" s="597">
        <v>0</v>
      </c>
      <c r="G28" s="597">
        <v>0</v>
      </c>
      <c r="H28" s="597">
        <v>0</v>
      </c>
      <c r="I28" s="597">
        <v>0.24154999999999999</v>
      </c>
      <c r="J28" s="597">
        <v>0.18845000000000001</v>
      </c>
      <c r="K28" s="597">
        <v>0</v>
      </c>
      <c r="L28" s="597">
        <v>0</v>
      </c>
      <c r="M28" s="207">
        <v>0.43</v>
      </c>
      <c r="N28" s="207">
        <v>86</v>
      </c>
    </row>
    <row r="29" spans="1:14">
      <c r="A29" s="204" t="s">
        <v>1501</v>
      </c>
      <c r="B29" s="204">
        <v>37000</v>
      </c>
      <c r="C29" s="204" t="s">
        <v>236</v>
      </c>
      <c r="D29" s="597">
        <v>0.34</v>
      </c>
      <c r="E29" s="597">
        <v>0.24</v>
      </c>
      <c r="F29" s="597">
        <v>0</v>
      </c>
      <c r="G29" s="597">
        <v>0</v>
      </c>
      <c r="H29" s="597">
        <v>0</v>
      </c>
      <c r="I29" s="597">
        <v>0.11914</v>
      </c>
      <c r="J29" s="597">
        <v>0.04</v>
      </c>
      <c r="K29" s="597">
        <v>0</v>
      </c>
      <c r="L29" s="597">
        <v>0</v>
      </c>
      <c r="M29" s="207">
        <v>0.15914</v>
      </c>
      <c r="N29" s="207">
        <v>66.308333333333337</v>
      </c>
    </row>
    <row r="30" spans="1:14">
      <c r="A30" s="204" t="s">
        <v>238</v>
      </c>
      <c r="B30" s="204">
        <v>1200</v>
      </c>
      <c r="C30" s="204" t="s">
        <v>1500</v>
      </c>
      <c r="D30" s="597">
        <v>3.32952</v>
      </c>
      <c r="E30" s="597">
        <v>3.32952</v>
      </c>
      <c r="F30" s="597">
        <v>0</v>
      </c>
      <c r="G30" s="597">
        <v>1.7235849999999999</v>
      </c>
      <c r="H30" s="597">
        <v>0</v>
      </c>
      <c r="I30" s="597">
        <v>0.39474999999999999</v>
      </c>
      <c r="J30" s="597">
        <v>1</v>
      </c>
      <c r="K30" s="597">
        <v>0.15933</v>
      </c>
      <c r="L30" s="597">
        <v>0</v>
      </c>
      <c r="M30" s="207">
        <v>3.2776650000000003</v>
      </c>
      <c r="N30" s="207">
        <v>98.442568298133068</v>
      </c>
    </row>
    <row r="31" spans="1:14">
      <c r="A31" s="204" t="s">
        <v>1502</v>
      </c>
      <c r="B31" s="204">
        <v>565</v>
      </c>
      <c r="C31" s="204" t="s">
        <v>1500</v>
      </c>
      <c r="D31" s="597">
        <v>1.5676489999999998</v>
      </c>
      <c r="E31" s="597">
        <v>1.56765</v>
      </c>
      <c r="F31" s="597">
        <v>0</v>
      </c>
      <c r="G31" s="597">
        <v>0.1</v>
      </c>
      <c r="H31" s="597">
        <v>0.505</v>
      </c>
      <c r="I31" s="597">
        <v>0.05</v>
      </c>
      <c r="J31" s="597">
        <v>0.91264999999999996</v>
      </c>
      <c r="K31" s="597">
        <v>0</v>
      </c>
      <c r="L31" s="597">
        <v>0</v>
      </c>
      <c r="M31" s="207">
        <v>1.56765</v>
      </c>
      <c r="N31" s="207">
        <v>100</v>
      </c>
    </row>
    <row r="32" spans="1:14">
      <c r="A32" s="204" t="s">
        <v>1503</v>
      </c>
      <c r="B32" s="204">
        <v>1000</v>
      </c>
      <c r="C32" s="204" t="s">
        <v>1500</v>
      </c>
      <c r="D32" s="597">
        <v>2.7746</v>
      </c>
      <c r="E32" s="597">
        <v>2.7345999999999999</v>
      </c>
      <c r="F32" s="597">
        <v>0</v>
      </c>
      <c r="G32" s="597">
        <v>0</v>
      </c>
      <c r="H32" s="597">
        <v>0</v>
      </c>
      <c r="I32" s="597">
        <v>0</v>
      </c>
      <c r="J32" s="597">
        <v>0</v>
      </c>
      <c r="K32" s="597">
        <v>3.1948500000000002</v>
      </c>
      <c r="L32" s="597">
        <v>0</v>
      </c>
      <c r="M32" s="207">
        <v>3.1948500000000002</v>
      </c>
      <c r="N32" s="207">
        <v>116.83061508081623</v>
      </c>
    </row>
    <row r="33" spans="1:14">
      <c r="A33" s="204" t="s">
        <v>607</v>
      </c>
      <c r="B33" s="204">
        <v>2750</v>
      </c>
      <c r="C33" s="204" t="s">
        <v>242</v>
      </c>
      <c r="D33" s="597">
        <v>1.75</v>
      </c>
      <c r="E33" s="597">
        <v>1.3075399999999999</v>
      </c>
      <c r="F33" s="597">
        <v>0</v>
      </c>
      <c r="G33" s="597">
        <v>0.14637</v>
      </c>
      <c r="H33" s="597">
        <v>0.17416000000000001</v>
      </c>
      <c r="I33" s="597">
        <v>0.24399999999999999</v>
      </c>
      <c r="J33" s="597">
        <v>9.2499999999999999E-2</v>
      </c>
      <c r="K33" s="597">
        <v>0.53400000000000003</v>
      </c>
      <c r="L33" s="597">
        <v>0</v>
      </c>
      <c r="M33" s="207">
        <v>1.19103</v>
      </c>
      <c r="N33" s="207">
        <v>91.089373938847004</v>
      </c>
    </row>
    <row r="34" spans="1:14">
      <c r="A34" s="204" t="s">
        <v>243</v>
      </c>
      <c r="B34" s="204">
        <v>10000</v>
      </c>
      <c r="C34" s="204" t="s">
        <v>244</v>
      </c>
      <c r="D34" s="597">
        <v>0</v>
      </c>
      <c r="E34" s="597">
        <v>0</v>
      </c>
      <c r="F34" s="597">
        <v>0</v>
      </c>
      <c r="G34" s="597">
        <v>0</v>
      </c>
      <c r="H34" s="597">
        <v>0</v>
      </c>
      <c r="I34" s="597">
        <v>0</v>
      </c>
      <c r="J34" s="597">
        <v>0</v>
      </c>
      <c r="K34" s="597">
        <v>0</v>
      </c>
      <c r="L34" s="597">
        <v>0</v>
      </c>
      <c r="M34" s="207"/>
      <c r="N34" s="207"/>
    </row>
    <row r="35" spans="1:14">
      <c r="A35" s="208" t="s">
        <v>230</v>
      </c>
      <c r="B35" s="208"/>
      <c r="C35" s="208"/>
      <c r="D35" s="209">
        <v>35.496120999999995</v>
      </c>
      <c r="E35" s="209">
        <v>35.02375</v>
      </c>
      <c r="F35" s="209">
        <v>0</v>
      </c>
      <c r="G35" s="209">
        <v>7.4875599999999993</v>
      </c>
      <c r="H35" s="209">
        <v>13.600910000000001</v>
      </c>
      <c r="I35" s="209">
        <v>3.7778749999999999</v>
      </c>
      <c r="J35" s="209">
        <v>3.4546900000000003</v>
      </c>
      <c r="K35" s="209">
        <v>5.74709</v>
      </c>
      <c r="L35" s="209">
        <v>0</v>
      </c>
      <c r="M35" s="209">
        <v>34.068125000000002</v>
      </c>
      <c r="N35" s="207">
        <v>9.7271494343124302E-4</v>
      </c>
    </row>
  </sheetData>
  <mergeCells count="38">
    <mergeCell ref="L18:M18"/>
    <mergeCell ref="L19:M19"/>
    <mergeCell ref="A24:A25"/>
    <mergeCell ref="B24:B25"/>
    <mergeCell ref="C24:C25"/>
    <mergeCell ref="D24:D25"/>
    <mergeCell ref="E24:E25"/>
    <mergeCell ref="F24:N24"/>
    <mergeCell ref="L17:M17"/>
    <mergeCell ref="B11:D11"/>
    <mergeCell ref="E11:G11"/>
    <mergeCell ref="H11:J11"/>
    <mergeCell ref="K11:M11"/>
    <mergeCell ref="B12:D12"/>
    <mergeCell ref="E12:G12"/>
    <mergeCell ref="H12:J12"/>
    <mergeCell ref="K12:M12"/>
    <mergeCell ref="B13:D13"/>
    <mergeCell ref="E13:G13"/>
    <mergeCell ref="H13:J13"/>
    <mergeCell ref="K13:M13"/>
    <mergeCell ref="C15:E15"/>
    <mergeCell ref="B10:D10"/>
    <mergeCell ref="E10:G10"/>
    <mergeCell ref="H10:J10"/>
    <mergeCell ref="K10:M10"/>
    <mergeCell ref="A1:N1"/>
    <mergeCell ref="B3:D3"/>
    <mergeCell ref="E3:F3"/>
    <mergeCell ref="G3:H3"/>
    <mergeCell ref="I3:J3"/>
    <mergeCell ref="L3:M3"/>
    <mergeCell ref="B5:D5"/>
    <mergeCell ref="G5:J5"/>
    <mergeCell ref="B7:D7"/>
    <mergeCell ref="E7:F8"/>
    <mergeCell ref="G7:K8"/>
    <mergeCell ref="A4:C4"/>
  </mergeCells>
  <hyperlinks>
    <hyperlink ref="A4" location="'Fact Sheet of VDC'!A1" display="&lt;&lt;Back"/>
  </hyperlinks>
  <pageMargins left="0.25" right="0.25" top="0.25" bottom="0.25" header="0.3" footer="0.3"/>
  <pageSetup paperSize="9" scale="80" orientation="landscape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1549</v>
      </c>
      <c r="C3" s="1159"/>
      <c r="D3" s="1159"/>
      <c r="E3" s="1160" t="s">
        <v>1467</v>
      </c>
      <c r="F3" s="1160"/>
      <c r="G3" s="1161" t="s">
        <v>1550</v>
      </c>
      <c r="H3" s="1161"/>
      <c r="I3" s="1162" t="s">
        <v>5</v>
      </c>
      <c r="J3" s="1162"/>
      <c r="K3" s="509">
        <v>250.37899999999999</v>
      </c>
      <c r="L3" s="1160" t="s">
        <v>1469</v>
      </c>
      <c r="M3" s="1160"/>
      <c r="N3" s="509"/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1551</v>
      </c>
      <c r="C5" s="1159"/>
      <c r="D5" s="1159"/>
      <c r="E5" s="1163" t="s">
        <v>1471</v>
      </c>
      <c r="F5" s="1164"/>
      <c r="G5" s="1159" t="s">
        <v>1552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1553</v>
      </c>
      <c r="C7" s="1159"/>
      <c r="D7" s="1159"/>
      <c r="E7" s="1165" t="s">
        <v>1475</v>
      </c>
      <c r="F7" s="1166"/>
      <c r="G7" s="1159" t="s">
        <v>1554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1555</v>
      </c>
      <c r="C10" s="1159"/>
      <c r="D10" s="1159"/>
      <c r="E10" s="1159" t="s">
        <v>1556</v>
      </c>
      <c r="F10" s="1159"/>
      <c r="G10" s="1159"/>
      <c r="H10" s="1159"/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59" t="s">
        <v>1557</v>
      </c>
      <c r="C11" s="1159"/>
      <c r="D11" s="1159"/>
      <c r="E11" s="1159" t="s">
        <v>1558</v>
      </c>
      <c r="F11" s="1159"/>
      <c r="G11" s="1159"/>
      <c r="H11" s="1159"/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59" t="s">
        <v>1559</v>
      </c>
      <c r="C12" s="1159"/>
      <c r="D12" s="1159"/>
      <c r="E12" s="1159" t="s">
        <v>1560</v>
      </c>
      <c r="F12" s="1159"/>
      <c r="G12" s="1159"/>
      <c r="H12" s="1159"/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59" t="s">
        <v>1561</v>
      </c>
      <c r="C13" s="1159"/>
      <c r="D13" s="1159"/>
      <c r="E13" s="1159" t="s">
        <v>1562</v>
      </c>
      <c r="F13" s="1159"/>
      <c r="G13" s="1159"/>
      <c r="H13" s="1159"/>
      <c r="I13" s="1159"/>
      <c r="J13" s="1159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3</v>
      </c>
      <c r="C15" s="1170" t="s">
        <v>1490</v>
      </c>
      <c r="D15" s="1166"/>
      <c r="E15" s="1171"/>
      <c r="F15" s="509">
        <v>2</v>
      </c>
      <c r="G15" s="203" t="s">
        <v>1491</v>
      </c>
      <c r="H15" s="509">
        <v>4</v>
      </c>
      <c r="I15" s="203" t="s">
        <v>1492</v>
      </c>
      <c r="J15" s="509">
        <v>0</v>
      </c>
      <c r="K15" s="203" t="s">
        <v>1493</v>
      </c>
      <c r="L15" s="509">
        <v>2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22</v>
      </c>
      <c r="D17" s="203" t="s">
        <v>205</v>
      </c>
      <c r="E17" s="509">
        <v>21</v>
      </c>
      <c r="F17" s="203" t="s">
        <v>206</v>
      </c>
      <c r="G17" s="509">
        <v>1</v>
      </c>
      <c r="H17" s="203" t="s">
        <v>230</v>
      </c>
      <c r="I17" s="509">
        <v>44</v>
      </c>
      <c r="J17" s="203" t="s">
        <v>207</v>
      </c>
      <c r="K17" s="509">
        <v>10</v>
      </c>
      <c r="L17" s="1170" t="s">
        <v>855</v>
      </c>
      <c r="M17" s="1171"/>
      <c r="N17" s="509">
        <v>7</v>
      </c>
    </row>
    <row r="18" spans="1:14" ht="20.25" customHeight="1">
      <c r="A18" s="203" t="s">
        <v>209</v>
      </c>
      <c r="B18" s="203" t="s">
        <v>210</v>
      </c>
      <c r="C18" s="509">
        <v>52</v>
      </c>
      <c r="D18" s="203" t="s">
        <v>211</v>
      </c>
      <c r="E18" s="509">
        <v>61</v>
      </c>
      <c r="F18" s="203" t="s">
        <v>212</v>
      </c>
      <c r="G18" s="509">
        <v>3</v>
      </c>
      <c r="H18" s="203" t="s">
        <v>411</v>
      </c>
      <c r="I18" s="509">
        <v>117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61</v>
      </c>
      <c r="D19" s="203" t="s">
        <v>214</v>
      </c>
      <c r="E19" s="509">
        <v>51</v>
      </c>
      <c r="F19" s="203" t="s">
        <v>1494</v>
      </c>
      <c r="G19" s="509">
        <v>1</v>
      </c>
      <c r="H19" s="203" t="s">
        <v>410</v>
      </c>
      <c r="I19" s="509">
        <v>113</v>
      </c>
      <c r="K19" s="205"/>
      <c r="L19" s="1162"/>
      <c r="M19" s="1162"/>
      <c r="N19" s="205"/>
    </row>
    <row r="20" spans="1:14" ht="20.25" customHeight="1"/>
    <row r="21" spans="1:14">
      <c r="N21" s="205"/>
    </row>
    <row r="22" spans="1:14">
      <c r="A22" s="206" t="s">
        <v>216</v>
      </c>
      <c r="N22" s="205"/>
    </row>
    <row r="23" spans="1:14">
      <c r="N23" s="205"/>
    </row>
    <row r="24" spans="1:14">
      <c r="A24" s="1182" t="s">
        <v>217</v>
      </c>
      <c r="B24" s="1174" t="s">
        <v>1495</v>
      </c>
      <c r="C24" s="1175" t="s">
        <v>219</v>
      </c>
      <c r="D24" s="1174" t="s">
        <v>1496</v>
      </c>
      <c r="E24" s="1174" t="s">
        <v>1497</v>
      </c>
      <c r="F24" s="1174" t="s">
        <v>1498</v>
      </c>
      <c r="G24" s="1174"/>
      <c r="H24" s="1174"/>
      <c r="I24" s="1174"/>
      <c r="J24" s="1174"/>
      <c r="K24" s="1174"/>
      <c r="L24" s="1174"/>
      <c r="M24" s="1174"/>
      <c r="N24" s="1174"/>
    </row>
    <row r="25" spans="1:14">
      <c r="A25" s="1183"/>
      <c r="B25" s="1174"/>
      <c r="C25" s="1175"/>
      <c r="D25" s="1174"/>
      <c r="E25" s="1174"/>
      <c r="F25" s="512" t="s">
        <v>224</v>
      </c>
      <c r="G25" s="512" t="s">
        <v>225</v>
      </c>
      <c r="H25" s="512" t="s">
        <v>226</v>
      </c>
      <c r="I25" s="512" t="s">
        <v>227</v>
      </c>
      <c r="J25" s="512" t="s">
        <v>228</v>
      </c>
      <c r="K25" s="512" t="s">
        <v>229</v>
      </c>
      <c r="L25" s="512" t="s">
        <v>1499</v>
      </c>
      <c r="M25" s="512" t="s">
        <v>230</v>
      </c>
      <c r="N25" s="512" t="s">
        <v>231</v>
      </c>
    </row>
    <row r="26" spans="1:14">
      <c r="A26" s="204" t="s">
        <v>232</v>
      </c>
      <c r="B26" s="204">
        <v>8000</v>
      </c>
      <c r="C26" s="204" t="s">
        <v>1500</v>
      </c>
      <c r="D26" s="597">
        <v>20.03032</v>
      </c>
      <c r="E26" s="597">
        <v>20.025310000000001</v>
      </c>
      <c r="F26" s="597">
        <v>0</v>
      </c>
      <c r="G26" s="597">
        <v>1.9986925</v>
      </c>
      <c r="H26" s="597">
        <v>9.4845500000000005</v>
      </c>
      <c r="I26" s="597">
        <v>8</v>
      </c>
      <c r="J26" s="597">
        <v>0</v>
      </c>
      <c r="K26" s="597">
        <v>0.78777249999999999</v>
      </c>
      <c r="L26" s="597">
        <v>0</v>
      </c>
      <c r="M26" s="207">
        <v>20.271015000000002</v>
      </c>
      <c r="N26" s="207">
        <v>101.22697226659663</v>
      </c>
    </row>
    <row r="27" spans="1:14">
      <c r="A27" s="204" t="s">
        <v>234</v>
      </c>
      <c r="B27" s="204">
        <v>7000</v>
      </c>
      <c r="C27" s="204" t="s">
        <v>1500</v>
      </c>
      <c r="D27" s="597">
        <v>2.8042447999999998</v>
      </c>
      <c r="E27" s="597">
        <v>0</v>
      </c>
      <c r="F27" s="597">
        <v>0</v>
      </c>
      <c r="G27" s="597">
        <v>0</v>
      </c>
      <c r="H27" s="597">
        <v>0</v>
      </c>
      <c r="I27" s="597">
        <v>0</v>
      </c>
      <c r="J27" s="597">
        <v>0</v>
      </c>
      <c r="K27" s="597">
        <v>0</v>
      </c>
      <c r="L27" s="597">
        <v>0</v>
      </c>
      <c r="M27" s="207">
        <v>0</v>
      </c>
      <c r="N27" s="207">
        <v>0</v>
      </c>
    </row>
    <row r="28" spans="1:14">
      <c r="A28" s="204" t="s">
        <v>235</v>
      </c>
      <c r="B28" s="204">
        <v>43000</v>
      </c>
      <c r="C28" s="204" t="s">
        <v>236</v>
      </c>
      <c r="D28" s="597">
        <v>0.43</v>
      </c>
      <c r="E28" s="597">
        <v>0.43</v>
      </c>
      <c r="F28" s="597">
        <v>0</v>
      </c>
      <c r="G28" s="597">
        <v>0</v>
      </c>
      <c r="H28" s="597">
        <v>0.17294999999999999</v>
      </c>
      <c r="I28" s="597">
        <v>7.5149999999999995E-2</v>
      </c>
      <c r="J28" s="597">
        <v>0.18190000000000001</v>
      </c>
      <c r="K28" s="597">
        <v>0</v>
      </c>
      <c r="L28" s="597">
        <v>0</v>
      </c>
      <c r="M28" s="207">
        <v>0.43</v>
      </c>
      <c r="N28" s="207">
        <v>100</v>
      </c>
    </row>
    <row r="29" spans="1:14">
      <c r="A29" s="204" t="s">
        <v>1501</v>
      </c>
      <c r="B29" s="204">
        <v>37000</v>
      </c>
      <c r="C29" s="204" t="s">
        <v>236</v>
      </c>
      <c r="D29" s="597">
        <v>0.34</v>
      </c>
      <c r="E29" s="597">
        <v>0.34</v>
      </c>
      <c r="F29" s="597">
        <v>0</v>
      </c>
      <c r="G29" s="597">
        <v>0</v>
      </c>
      <c r="H29" s="597">
        <v>0</v>
      </c>
      <c r="I29" s="597">
        <v>0.11914</v>
      </c>
      <c r="J29" s="597">
        <v>2.9000000000000001E-2</v>
      </c>
      <c r="K29" s="597">
        <v>2.9000000000000001E-2</v>
      </c>
      <c r="L29" s="597">
        <v>0</v>
      </c>
      <c r="M29" s="207">
        <v>0.17713999999999999</v>
      </c>
      <c r="N29" s="207">
        <v>52.099999999999994</v>
      </c>
    </row>
    <row r="30" spans="1:14">
      <c r="A30" s="204" t="s">
        <v>238</v>
      </c>
      <c r="B30" s="204">
        <v>1200</v>
      </c>
      <c r="C30" s="204" t="s">
        <v>1500</v>
      </c>
      <c r="D30" s="597">
        <v>3.0045479999999998</v>
      </c>
      <c r="E30" s="597">
        <v>3.0044400000000002</v>
      </c>
      <c r="F30" s="597">
        <v>0</v>
      </c>
      <c r="G30" s="597">
        <v>1.0737749999999999</v>
      </c>
      <c r="H30" s="597">
        <v>3.4000000000000002E-2</v>
      </c>
      <c r="I30" s="597">
        <v>1.216</v>
      </c>
      <c r="J30" s="597">
        <v>0</v>
      </c>
      <c r="K30" s="597">
        <v>0.87141000000000002</v>
      </c>
      <c r="L30" s="597">
        <v>0</v>
      </c>
      <c r="M30" s="207">
        <v>3.1951849999999999</v>
      </c>
      <c r="N30" s="207">
        <v>106.34877048634685</v>
      </c>
    </row>
    <row r="31" spans="1:14">
      <c r="A31" s="204" t="s">
        <v>1502</v>
      </c>
      <c r="B31" s="204">
        <v>565</v>
      </c>
      <c r="C31" s="204" t="s">
        <v>1500</v>
      </c>
      <c r="D31" s="597">
        <v>1.4146414</v>
      </c>
      <c r="E31" s="597">
        <v>1.4146300000000001</v>
      </c>
      <c r="F31" s="597">
        <v>0</v>
      </c>
      <c r="G31" s="597">
        <v>0</v>
      </c>
      <c r="H31" s="597">
        <v>0.90239999999999998</v>
      </c>
      <c r="I31" s="597">
        <v>0.51222999999999996</v>
      </c>
      <c r="J31" s="597">
        <v>0</v>
      </c>
      <c r="K31" s="597">
        <v>0</v>
      </c>
      <c r="L31" s="597">
        <v>0</v>
      </c>
      <c r="M31" s="207">
        <v>1.4146299999999998</v>
      </c>
      <c r="N31" s="207">
        <v>99.999999999999986</v>
      </c>
    </row>
    <row r="32" spans="1:14">
      <c r="A32" s="204" t="s">
        <v>1503</v>
      </c>
      <c r="B32" s="204">
        <v>1000</v>
      </c>
      <c r="C32" s="204" t="s">
        <v>1500</v>
      </c>
      <c r="D32" s="597">
        <v>2.50379</v>
      </c>
      <c r="E32" s="597">
        <v>2.50379</v>
      </c>
      <c r="F32" s="597">
        <v>0</v>
      </c>
      <c r="G32" s="597">
        <v>0</v>
      </c>
      <c r="H32" s="597">
        <v>0</v>
      </c>
      <c r="I32" s="597">
        <v>0</v>
      </c>
      <c r="J32" s="597">
        <v>0</v>
      </c>
      <c r="K32" s="597">
        <v>1.7524</v>
      </c>
      <c r="L32" s="597">
        <v>0</v>
      </c>
      <c r="M32" s="207">
        <v>1.7524</v>
      </c>
      <c r="N32" s="207">
        <v>69.989895318696853</v>
      </c>
    </row>
    <row r="33" spans="1:14">
      <c r="A33" s="204" t="s">
        <v>607</v>
      </c>
      <c r="B33" s="204">
        <v>2750</v>
      </c>
      <c r="C33" s="204" t="s">
        <v>242</v>
      </c>
      <c r="D33" s="597">
        <v>1.75</v>
      </c>
      <c r="E33" s="597">
        <v>1.41631</v>
      </c>
      <c r="F33" s="597">
        <v>0</v>
      </c>
      <c r="G33" s="597">
        <v>0.23493</v>
      </c>
      <c r="H33" s="597">
        <v>0.14103250000000001</v>
      </c>
      <c r="I33" s="597">
        <v>0.27600000000000002</v>
      </c>
      <c r="J33" s="597">
        <v>0.2</v>
      </c>
      <c r="K33" s="597">
        <v>0.54574999999999996</v>
      </c>
      <c r="L33" s="597">
        <v>0</v>
      </c>
      <c r="M33" s="207">
        <v>1.3977124999999999</v>
      </c>
      <c r="N33" s="207">
        <v>98.686904703066418</v>
      </c>
    </row>
    <row r="34" spans="1:14">
      <c r="A34" s="204" t="s">
        <v>243</v>
      </c>
      <c r="B34" s="204">
        <v>10000</v>
      </c>
      <c r="C34" s="204" t="s">
        <v>244</v>
      </c>
      <c r="D34" s="597">
        <v>0</v>
      </c>
      <c r="E34" s="597">
        <v>0</v>
      </c>
      <c r="F34" s="597">
        <v>0</v>
      </c>
      <c r="G34" s="597">
        <v>0</v>
      </c>
      <c r="H34" s="597">
        <v>0</v>
      </c>
      <c r="I34" s="597">
        <v>0</v>
      </c>
      <c r="J34" s="597">
        <v>0</v>
      </c>
      <c r="K34" s="597">
        <v>0</v>
      </c>
      <c r="L34" s="597">
        <v>0</v>
      </c>
      <c r="M34" s="207">
        <v>0</v>
      </c>
      <c r="N34" s="207">
        <v>0</v>
      </c>
    </row>
    <row r="35" spans="1:14">
      <c r="A35" s="208" t="s">
        <v>230</v>
      </c>
      <c r="B35" s="208"/>
      <c r="C35" s="208"/>
      <c r="D35" s="209">
        <v>32.277544200000001</v>
      </c>
      <c r="E35" s="209">
        <v>29.134479999999996</v>
      </c>
      <c r="F35" s="209">
        <v>0</v>
      </c>
      <c r="G35" s="209">
        <v>3.3073975</v>
      </c>
      <c r="H35" s="209">
        <v>10.734932500000001</v>
      </c>
      <c r="I35" s="209">
        <v>10.19852</v>
      </c>
      <c r="J35" s="209">
        <v>0.41090000000000004</v>
      </c>
      <c r="K35" s="209">
        <v>3.9863324999999996</v>
      </c>
      <c r="L35" s="209">
        <v>0</v>
      </c>
      <c r="M35" s="209">
        <v>28.638082500000003</v>
      </c>
      <c r="N35" s="207"/>
    </row>
  </sheetData>
  <mergeCells count="39">
    <mergeCell ref="A4:C4"/>
    <mergeCell ref="C15:E15"/>
    <mergeCell ref="L17:M17"/>
    <mergeCell ref="L18:M18"/>
    <mergeCell ref="L19:M19"/>
    <mergeCell ref="A24:A25"/>
    <mergeCell ref="B24:B25"/>
    <mergeCell ref="C24:C25"/>
    <mergeCell ref="D24:D25"/>
    <mergeCell ref="E24:E25"/>
    <mergeCell ref="F24:N24"/>
    <mergeCell ref="B12:D12"/>
    <mergeCell ref="E12:G12"/>
    <mergeCell ref="H12:J12"/>
    <mergeCell ref="K12:M12"/>
    <mergeCell ref="B13:D13"/>
    <mergeCell ref="E13:G13"/>
    <mergeCell ref="H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19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7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10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10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10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10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10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10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10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10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10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10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10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10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10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10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10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10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10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10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10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10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10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10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10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10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10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10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10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10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10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10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10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10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10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10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10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10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10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10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10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10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10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10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10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10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10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10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10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10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10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10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10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10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10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10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10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10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10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10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10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10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10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10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10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10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141</v>
      </c>
      <c r="C3" s="1159"/>
      <c r="D3" s="1159"/>
      <c r="E3" s="1160" t="s">
        <v>1467</v>
      </c>
      <c r="F3" s="1160"/>
      <c r="G3" s="1161" t="s">
        <v>1563</v>
      </c>
      <c r="H3" s="1161"/>
      <c r="I3" s="1162" t="s">
        <v>5</v>
      </c>
      <c r="J3" s="1162"/>
      <c r="K3" s="509">
        <v>383.44400000000002</v>
      </c>
      <c r="L3" s="1160" t="s">
        <v>1469</v>
      </c>
      <c r="M3" s="1160"/>
      <c r="N3" s="204"/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1564</v>
      </c>
      <c r="C5" s="1159"/>
      <c r="D5" s="1159"/>
      <c r="E5" s="1163" t="s">
        <v>1471</v>
      </c>
      <c r="F5" s="1164"/>
      <c r="G5" s="1159" t="s">
        <v>1565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1566</v>
      </c>
      <c r="C7" s="1159"/>
      <c r="D7" s="1159"/>
      <c r="E7" s="1165" t="s">
        <v>1475</v>
      </c>
      <c r="F7" s="1166"/>
      <c r="G7" s="1159" t="s">
        <v>1567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1568</v>
      </c>
      <c r="C10" s="1159"/>
      <c r="D10" s="1159"/>
      <c r="E10" s="1159" t="s">
        <v>1569</v>
      </c>
      <c r="F10" s="1159"/>
      <c r="G10" s="1159"/>
      <c r="H10" s="1159" t="s">
        <v>1570</v>
      </c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59" t="s">
        <v>1571</v>
      </c>
      <c r="C11" s="1159"/>
      <c r="D11" s="1159"/>
      <c r="E11" s="1159" t="s">
        <v>1565</v>
      </c>
      <c r="F11" s="1159"/>
      <c r="G11" s="1159"/>
      <c r="H11" s="1159" t="s">
        <v>1572</v>
      </c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67" t="s">
        <v>1573</v>
      </c>
      <c r="C12" s="1168"/>
      <c r="D12" s="1169"/>
      <c r="E12" s="1159" t="s">
        <v>1574</v>
      </c>
      <c r="F12" s="1159"/>
      <c r="G12" s="1159"/>
      <c r="H12" s="1159" t="s">
        <v>1575</v>
      </c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76" t="s">
        <v>1566</v>
      </c>
      <c r="C13" s="1177"/>
      <c r="D13" s="1177"/>
      <c r="E13" s="1177"/>
      <c r="F13" s="1177"/>
      <c r="G13" s="1177"/>
      <c r="H13" s="1177"/>
      <c r="I13" s="1177"/>
      <c r="J13" s="1178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3</v>
      </c>
      <c r="C15" s="1170" t="s">
        <v>1490</v>
      </c>
      <c r="D15" s="1166"/>
      <c r="E15" s="1171"/>
      <c r="F15" s="509">
        <v>3</v>
      </c>
      <c r="G15" s="203" t="s">
        <v>1491</v>
      </c>
      <c r="H15" s="509">
        <v>8</v>
      </c>
      <c r="I15" s="203" t="s">
        <v>1492</v>
      </c>
      <c r="J15" s="509">
        <v>0</v>
      </c>
      <c r="K15" s="203" t="s">
        <v>1493</v>
      </c>
      <c r="L15" s="509">
        <v>4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68</v>
      </c>
      <c r="D17" s="203" t="s">
        <v>205</v>
      </c>
      <c r="E17" s="509">
        <v>5</v>
      </c>
      <c r="F17" s="203" t="s">
        <v>206</v>
      </c>
      <c r="G17" s="509">
        <v>0</v>
      </c>
      <c r="H17" s="203" t="s">
        <v>230</v>
      </c>
      <c r="I17" s="509">
        <v>73</v>
      </c>
      <c r="J17" s="203" t="s">
        <v>207</v>
      </c>
      <c r="K17" s="509">
        <v>21</v>
      </c>
      <c r="L17" s="1170" t="s">
        <v>855</v>
      </c>
      <c r="M17" s="1171"/>
      <c r="N17" s="509">
        <v>13</v>
      </c>
    </row>
    <row r="18" spans="1:14" ht="20.25" customHeight="1">
      <c r="A18" s="203" t="s">
        <v>209</v>
      </c>
      <c r="B18" s="203" t="s">
        <v>210</v>
      </c>
      <c r="C18" s="509">
        <v>148</v>
      </c>
      <c r="D18" s="203" t="s">
        <v>211</v>
      </c>
      <c r="E18" s="509">
        <v>9</v>
      </c>
      <c r="F18" s="203" t="s">
        <v>212</v>
      </c>
      <c r="G18" s="509">
        <v>0</v>
      </c>
      <c r="H18" s="203" t="s">
        <v>411</v>
      </c>
      <c r="I18" s="509">
        <v>157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148</v>
      </c>
      <c r="D19" s="203" t="s">
        <v>214</v>
      </c>
      <c r="E19" s="509">
        <v>13</v>
      </c>
      <c r="F19" s="203" t="s">
        <v>1494</v>
      </c>
      <c r="G19" s="509">
        <v>0</v>
      </c>
      <c r="H19" s="203" t="s">
        <v>410</v>
      </c>
      <c r="I19" s="509">
        <v>161</v>
      </c>
      <c r="K19" s="205"/>
      <c r="L19" s="1162"/>
      <c r="M19" s="1162"/>
      <c r="N19" s="205"/>
    </row>
    <row r="20" spans="1:14" ht="20.25" customHeight="1"/>
    <row r="21" spans="1:14">
      <c r="N21" s="205"/>
    </row>
    <row r="22" spans="1:14">
      <c r="N22" s="205"/>
    </row>
    <row r="23" spans="1:14">
      <c r="N23" s="205"/>
    </row>
    <row r="24" spans="1:14">
      <c r="A24" s="206" t="s">
        <v>216</v>
      </c>
      <c r="N24" s="205"/>
    </row>
    <row r="25" spans="1:14">
      <c r="N25" s="205"/>
    </row>
    <row r="26" spans="1:14">
      <c r="A26" s="1182" t="s">
        <v>217</v>
      </c>
      <c r="B26" s="1174" t="s">
        <v>1495</v>
      </c>
      <c r="C26" s="1175" t="s">
        <v>219</v>
      </c>
      <c r="D26" s="1174" t="s">
        <v>1496</v>
      </c>
      <c r="E26" s="1174" t="s">
        <v>1497</v>
      </c>
      <c r="F26" s="1174" t="s">
        <v>1498</v>
      </c>
      <c r="G26" s="1174"/>
      <c r="H26" s="1174"/>
      <c r="I26" s="1174"/>
      <c r="J26" s="1174"/>
      <c r="K26" s="1174"/>
      <c r="L26" s="1174"/>
      <c r="M26" s="1174"/>
      <c r="N26" s="1174"/>
    </row>
    <row r="27" spans="1:14">
      <c r="A27" s="1183"/>
      <c r="B27" s="1174"/>
      <c r="C27" s="1175"/>
      <c r="D27" s="1174"/>
      <c r="E27" s="1174"/>
      <c r="F27" s="512" t="s">
        <v>224</v>
      </c>
      <c r="G27" s="512" t="s">
        <v>225</v>
      </c>
      <c r="H27" s="512" t="s">
        <v>226</v>
      </c>
      <c r="I27" s="512" t="s">
        <v>227</v>
      </c>
      <c r="J27" s="512" t="s">
        <v>228</v>
      </c>
      <c r="K27" s="512" t="s">
        <v>229</v>
      </c>
      <c r="L27" s="512" t="s">
        <v>1499</v>
      </c>
      <c r="M27" s="512" t="s">
        <v>230</v>
      </c>
      <c r="N27" s="512" t="s">
        <v>231</v>
      </c>
    </row>
    <row r="28" spans="1:14">
      <c r="A28" s="204" t="s">
        <v>232</v>
      </c>
      <c r="B28" s="204">
        <v>8000</v>
      </c>
      <c r="C28" s="204" t="s">
        <v>1500</v>
      </c>
      <c r="D28" s="597">
        <v>30.675519999999999</v>
      </c>
      <c r="E28" s="597">
        <v>30.668220000000002</v>
      </c>
      <c r="F28" s="597">
        <v>0</v>
      </c>
      <c r="G28" s="597">
        <v>2.759255</v>
      </c>
      <c r="H28" s="597">
        <v>10.505319999999999</v>
      </c>
      <c r="I28" s="597">
        <v>12.127485</v>
      </c>
      <c r="J28" s="597">
        <v>0</v>
      </c>
      <c r="K28" s="597">
        <v>1.7036450000000001</v>
      </c>
      <c r="L28" s="597">
        <v>0</v>
      </c>
      <c r="M28" s="207">
        <v>27.095705000000002</v>
      </c>
      <c r="N28" s="207">
        <v>88.351084608105722</v>
      </c>
    </row>
    <row r="29" spans="1:14">
      <c r="A29" s="204" t="s">
        <v>234</v>
      </c>
      <c r="B29" s="204">
        <v>7000</v>
      </c>
      <c r="C29" s="204" t="s">
        <v>1500</v>
      </c>
      <c r="D29" s="597">
        <v>4.2945728000000001</v>
      </c>
      <c r="E29" s="597">
        <v>0</v>
      </c>
      <c r="F29" s="597">
        <v>0</v>
      </c>
      <c r="G29" s="597">
        <v>0</v>
      </c>
      <c r="H29" s="597">
        <v>0</v>
      </c>
      <c r="I29" s="597">
        <v>0</v>
      </c>
      <c r="J29" s="597">
        <v>0</v>
      </c>
      <c r="K29" s="597">
        <v>0</v>
      </c>
      <c r="L29" s="597">
        <v>0</v>
      </c>
      <c r="M29" s="207">
        <v>0</v>
      </c>
      <c r="N29" s="207">
        <v>0</v>
      </c>
    </row>
    <row r="30" spans="1:14">
      <c r="A30" s="204" t="s">
        <v>235</v>
      </c>
      <c r="B30" s="204">
        <v>43000</v>
      </c>
      <c r="C30" s="204" t="s">
        <v>236</v>
      </c>
      <c r="D30" s="597">
        <v>0.43</v>
      </c>
      <c r="E30" s="597">
        <v>0.43</v>
      </c>
      <c r="F30" s="597">
        <v>0</v>
      </c>
      <c r="G30" s="597">
        <v>0</v>
      </c>
      <c r="H30" s="597">
        <v>0.17335</v>
      </c>
      <c r="I30" s="597">
        <v>0.05</v>
      </c>
      <c r="J30" s="597">
        <v>0.20665</v>
      </c>
      <c r="K30" s="597">
        <v>0</v>
      </c>
      <c r="L30" s="597">
        <v>0</v>
      </c>
      <c r="M30" s="207">
        <v>0.43</v>
      </c>
      <c r="N30" s="207">
        <v>100</v>
      </c>
    </row>
    <row r="31" spans="1:14">
      <c r="A31" s="204" t="s">
        <v>1501</v>
      </c>
      <c r="B31" s="204">
        <v>37000</v>
      </c>
      <c r="C31" s="204" t="s">
        <v>236</v>
      </c>
      <c r="D31" s="597">
        <v>0.34</v>
      </c>
      <c r="E31" s="597">
        <v>0.34</v>
      </c>
      <c r="F31" s="597">
        <v>0</v>
      </c>
      <c r="G31" s="597">
        <v>0</v>
      </c>
      <c r="H31" s="597">
        <v>0</v>
      </c>
      <c r="I31" s="597">
        <v>0.11914</v>
      </c>
      <c r="J31" s="597">
        <v>0.109</v>
      </c>
      <c r="K31" s="597">
        <v>0</v>
      </c>
      <c r="L31" s="597">
        <v>0</v>
      </c>
      <c r="M31" s="207">
        <v>0.22814000000000001</v>
      </c>
      <c r="N31" s="207">
        <v>67.099999999999994</v>
      </c>
    </row>
    <row r="32" spans="1:14">
      <c r="A32" s="204" t="s">
        <v>238</v>
      </c>
      <c r="B32" s="204">
        <v>1200</v>
      </c>
      <c r="C32" s="204" t="s">
        <v>1500</v>
      </c>
      <c r="D32" s="597">
        <v>4.6013279999999996</v>
      </c>
      <c r="E32" s="597">
        <v>4.60128</v>
      </c>
      <c r="F32" s="597">
        <v>0</v>
      </c>
      <c r="G32" s="597">
        <v>0</v>
      </c>
      <c r="H32" s="597">
        <v>1.30732</v>
      </c>
      <c r="I32" s="597">
        <v>1.2869999999999999</v>
      </c>
      <c r="J32" s="597">
        <v>0.76400000000000001</v>
      </c>
      <c r="K32" s="597">
        <v>0.1137</v>
      </c>
      <c r="L32" s="597">
        <v>0</v>
      </c>
      <c r="M32" s="207">
        <v>3.4720200000000001</v>
      </c>
      <c r="N32" s="207">
        <v>75.457698727310657</v>
      </c>
    </row>
    <row r="33" spans="1:14">
      <c r="A33" s="204" t="s">
        <v>1502</v>
      </c>
      <c r="B33" s="204">
        <v>565</v>
      </c>
      <c r="C33" s="204" t="s">
        <v>1500</v>
      </c>
      <c r="D33" s="597">
        <v>2.1664585999999999</v>
      </c>
      <c r="E33" s="597">
        <v>2.1664599999999998</v>
      </c>
      <c r="F33" s="597">
        <v>0</v>
      </c>
      <c r="G33" s="597">
        <v>0</v>
      </c>
      <c r="H33" s="597">
        <v>1.1042799999999999</v>
      </c>
      <c r="I33" s="597">
        <v>0.3</v>
      </c>
      <c r="J33" s="597">
        <v>0.76217999999999997</v>
      </c>
      <c r="K33" s="597">
        <v>0</v>
      </c>
      <c r="L33" s="597">
        <v>0</v>
      </c>
      <c r="M33" s="207">
        <v>2.1664599999999998</v>
      </c>
      <c r="N33" s="207">
        <v>100</v>
      </c>
    </row>
    <row r="34" spans="1:14">
      <c r="A34" s="204" t="s">
        <v>1503</v>
      </c>
      <c r="B34" s="204">
        <v>1000</v>
      </c>
      <c r="C34" s="204" t="s">
        <v>1500</v>
      </c>
      <c r="D34" s="597">
        <v>3.8344399999999998</v>
      </c>
      <c r="E34" s="597">
        <v>3.8344399999999998</v>
      </c>
      <c r="F34" s="597">
        <v>0</v>
      </c>
      <c r="G34" s="597">
        <v>0</v>
      </c>
      <c r="H34" s="597">
        <v>0</v>
      </c>
      <c r="I34" s="597">
        <v>0</v>
      </c>
      <c r="J34" s="597">
        <v>0</v>
      </c>
      <c r="K34" s="597">
        <v>2.5028999999999999</v>
      </c>
      <c r="L34" s="597">
        <v>0</v>
      </c>
      <c r="M34" s="207">
        <v>2.5028999999999999</v>
      </c>
      <c r="N34" s="207">
        <v>65.274199100781345</v>
      </c>
    </row>
    <row r="35" spans="1:14">
      <c r="A35" s="204" t="s">
        <v>607</v>
      </c>
      <c r="B35" s="204">
        <v>2750</v>
      </c>
      <c r="C35" s="204" t="s">
        <v>242</v>
      </c>
      <c r="D35" s="597">
        <v>1.75</v>
      </c>
      <c r="E35" s="597">
        <v>1.41631</v>
      </c>
      <c r="F35" s="597">
        <v>0</v>
      </c>
      <c r="G35" s="597">
        <v>0.27305499999999999</v>
      </c>
      <c r="H35" s="597">
        <v>5.8950000000000002E-2</v>
      </c>
      <c r="I35" s="597">
        <v>0.1028</v>
      </c>
      <c r="J35" s="597">
        <v>0.63739999999999997</v>
      </c>
      <c r="K35" s="597">
        <v>0.26164999999999999</v>
      </c>
      <c r="L35" s="597">
        <v>0</v>
      </c>
      <c r="M35" s="207">
        <v>1.3338549999999998</v>
      </c>
      <c r="N35" s="207">
        <v>94.178181330358456</v>
      </c>
    </row>
    <row r="36" spans="1:14">
      <c r="A36" s="204" t="s">
        <v>243</v>
      </c>
      <c r="B36" s="204">
        <v>10000</v>
      </c>
      <c r="C36" s="204" t="s">
        <v>244</v>
      </c>
      <c r="D36" s="597">
        <v>0</v>
      </c>
      <c r="E36" s="597">
        <v>0</v>
      </c>
      <c r="F36" s="597">
        <v>0</v>
      </c>
      <c r="G36" s="597">
        <v>0</v>
      </c>
      <c r="H36" s="597">
        <v>0</v>
      </c>
      <c r="I36" s="597">
        <v>0</v>
      </c>
      <c r="J36" s="597">
        <v>0</v>
      </c>
      <c r="K36" s="597">
        <v>0</v>
      </c>
      <c r="L36" s="597">
        <v>0</v>
      </c>
      <c r="M36" s="207">
        <v>0</v>
      </c>
      <c r="N36" s="207">
        <v>0</v>
      </c>
    </row>
    <row r="37" spans="1:14">
      <c r="A37" s="208" t="s">
        <v>230</v>
      </c>
      <c r="B37" s="208"/>
      <c r="C37" s="208"/>
      <c r="D37" s="209">
        <v>48.092319400000001</v>
      </c>
      <c r="E37" s="209">
        <v>43.456710000000008</v>
      </c>
      <c r="F37" s="209">
        <v>0</v>
      </c>
      <c r="G37" s="209">
        <v>3.0323099999999998</v>
      </c>
      <c r="H37" s="209">
        <v>13.149219999999998</v>
      </c>
      <c r="I37" s="209">
        <v>13.986425000000001</v>
      </c>
      <c r="J37" s="209">
        <v>2.4792300000000003</v>
      </c>
      <c r="K37" s="209">
        <v>4.5818949999999994</v>
      </c>
      <c r="L37" s="209">
        <v>0</v>
      </c>
      <c r="M37" s="209">
        <v>37.229079999999996</v>
      </c>
      <c r="N37" s="207"/>
    </row>
  </sheetData>
  <mergeCells count="37">
    <mergeCell ref="A4:C4"/>
    <mergeCell ref="C15:E15"/>
    <mergeCell ref="L17:M17"/>
    <mergeCell ref="L18:M18"/>
    <mergeCell ref="L19:M19"/>
    <mergeCell ref="A26:A27"/>
    <mergeCell ref="B26:B27"/>
    <mergeCell ref="C26:C27"/>
    <mergeCell ref="D26:D27"/>
    <mergeCell ref="E26:E27"/>
    <mergeCell ref="F26:N26"/>
    <mergeCell ref="B12:D12"/>
    <mergeCell ref="E12:G12"/>
    <mergeCell ref="H12:J12"/>
    <mergeCell ref="K12:M12"/>
    <mergeCell ref="B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19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3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10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10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10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10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10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10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10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10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10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10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10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10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10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10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10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10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10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10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10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10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10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10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10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10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10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10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10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10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10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10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10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10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10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10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10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10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10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10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10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10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10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10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10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10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10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10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10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10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10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10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10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10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10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10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10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10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10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10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10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10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10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10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10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10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142</v>
      </c>
      <c r="C3" s="1159"/>
      <c r="D3" s="1159"/>
      <c r="E3" s="1160" t="s">
        <v>1467</v>
      </c>
      <c r="F3" s="1160"/>
      <c r="G3" s="1161" t="s">
        <v>1576</v>
      </c>
      <c r="H3" s="1161"/>
      <c r="I3" s="1162" t="s">
        <v>5</v>
      </c>
      <c r="J3" s="1162"/>
      <c r="K3" s="509">
        <v>330.27100000000002</v>
      </c>
      <c r="L3" s="1160" t="s">
        <v>1469</v>
      </c>
      <c r="M3" s="1160"/>
      <c r="N3" s="509">
        <v>40</v>
      </c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1577</v>
      </c>
      <c r="C5" s="1159"/>
      <c r="D5" s="1159"/>
      <c r="E5" s="203" t="s">
        <v>1471</v>
      </c>
      <c r="G5" s="1159" t="s">
        <v>1578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1579</v>
      </c>
      <c r="C7" s="1159"/>
      <c r="D7" s="1159"/>
      <c r="E7" s="1165" t="s">
        <v>1475</v>
      </c>
      <c r="F7" s="1166"/>
      <c r="G7" s="1159" t="s">
        <v>1580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1581</v>
      </c>
      <c r="C10" s="1159"/>
      <c r="D10" s="1159" t="s">
        <v>1582</v>
      </c>
      <c r="E10" s="1159"/>
      <c r="F10" s="1159" t="s">
        <v>1583</v>
      </c>
      <c r="G10" s="1159"/>
      <c r="H10" s="1159" t="s">
        <v>1584</v>
      </c>
      <c r="I10" s="1159"/>
      <c r="J10" s="1159" t="s">
        <v>1585</v>
      </c>
      <c r="K10" s="1159"/>
      <c r="L10" s="1159" t="s">
        <v>1586</v>
      </c>
      <c r="M10" s="1159"/>
    </row>
    <row r="11" spans="1:14" ht="25.5" customHeight="1">
      <c r="A11" s="204" t="s">
        <v>840</v>
      </c>
      <c r="B11" s="1159" t="s">
        <v>1587</v>
      </c>
      <c r="C11" s="1159"/>
      <c r="D11" s="1176" t="s">
        <v>1588</v>
      </c>
      <c r="E11" s="1178"/>
      <c r="F11" s="1159" t="s">
        <v>1589</v>
      </c>
      <c r="G11" s="1159"/>
      <c r="H11" s="1159" t="s">
        <v>1590</v>
      </c>
      <c r="I11" s="1159"/>
      <c r="J11" s="1159" t="s">
        <v>1591</v>
      </c>
      <c r="K11" s="1159"/>
      <c r="L11" s="1159" t="s">
        <v>1592</v>
      </c>
      <c r="M11" s="1159"/>
    </row>
    <row r="12" spans="1:14" ht="25.5" customHeight="1">
      <c r="A12" s="204" t="s">
        <v>844</v>
      </c>
      <c r="B12" s="1159" t="s">
        <v>1593</v>
      </c>
      <c r="C12" s="1159"/>
      <c r="D12" s="1159"/>
      <c r="E12" s="1159"/>
      <c r="F12" s="1159" t="s">
        <v>1594</v>
      </c>
      <c r="G12" s="1159"/>
      <c r="H12" s="1159" t="s">
        <v>1590</v>
      </c>
      <c r="I12" s="1159"/>
      <c r="J12" s="1159" t="s">
        <v>1595</v>
      </c>
      <c r="K12" s="1159"/>
      <c r="L12" s="1159" t="s">
        <v>1592</v>
      </c>
      <c r="M12" s="1159"/>
    </row>
    <row r="13" spans="1:14" ht="25.5" customHeight="1">
      <c r="A13" s="204" t="s">
        <v>420</v>
      </c>
      <c r="B13" s="1159" t="s">
        <v>1596</v>
      </c>
      <c r="C13" s="1159"/>
      <c r="D13" s="1159" t="s">
        <v>1597</v>
      </c>
      <c r="E13" s="1159"/>
      <c r="F13" s="1159" t="s">
        <v>1594</v>
      </c>
      <c r="G13" s="1159"/>
      <c r="H13" s="1159" t="s">
        <v>1590</v>
      </c>
      <c r="I13" s="1159"/>
      <c r="J13" s="1159" t="s">
        <v>1598</v>
      </c>
      <c r="K13" s="1159"/>
      <c r="L13" s="1159" t="s">
        <v>1599</v>
      </c>
      <c r="M13" s="1159"/>
    </row>
    <row r="14" spans="1:14" ht="20.25" customHeight="1"/>
    <row r="15" spans="1:14" ht="20.25" customHeight="1">
      <c r="A15" s="203" t="s">
        <v>1489</v>
      </c>
      <c r="B15" s="509">
        <v>6</v>
      </c>
      <c r="C15" s="1170" t="s">
        <v>1490</v>
      </c>
      <c r="D15" s="1166"/>
      <c r="E15" s="1171"/>
      <c r="F15" s="509">
        <v>6</v>
      </c>
      <c r="G15" s="203" t="s">
        <v>1491</v>
      </c>
      <c r="H15" s="509">
        <v>11</v>
      </c>
      <c r="I15" s="203" t="s">
        <v>1492</v>
      </c>
      <c r="J15" s="509">
        <v>1</v>
      </c>
      <c r="K15" s="203" t="s">
        <v>1493</v>
      </c>
      <c r="L15" s="509">
        <v>1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88</v>
      </c>
      <c r="D17" s="203" t="s">
        <v>205</v>
      </c>
      <c r="E17" s="509">
        <v>42</v>
      </c>
      <c r="F17" s="203" t="s">
        <v>206</v>
      </c>
      <c r="G17" s="509">
        <v>0</v>
      </c>
      <c r="H17" s="203" t="s">
        <v>230</v>
      </c>
      <c r="I17" s="509">
        <v>130</v>
      </c>
      <c r="J17" s="203" t="s">
        <v>207</v>
      </c>
      <c r="K17" s="509">
        <v>46</v>
      </c>
      <c r="L17" s="1170" t="s">
        <v>855</v>
      </c>
      <c r="M17" s="1171"/>
      <c r="N17" s="509">
        <v>15</v>
      </c>
    </row>
    <row r="18" spans="1:14" ht="20.25" customHeight="1">
      <c r="A18" s="203" t="s">
        <v>209</v>
      </c>
      <c r="B18" s="203" t="s">
        <v>210</v>
      </c>
      <c r="C18" s="509">
        <v>217</v>
      </c>
      <c r="D18" s="203" t="s">
        <v>211</v>
      </c>
      <c r="E18" s="509">
        <v>56</v>
      </c>
      <c r="F18" s="203" t="s">
        <v>212</v>
      </c>
      <c r="G18" s="509">
        <v>0</v>
      </c>
      <c r="H18" s="203" t="s">
        <v>411</v>
      </c>
      <c r="I18" s="509">
        <v>273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127</v>
      </c>
      <c r="D19" s="203" t="s">
        <v>214</v>
      </c>
      <c r="E19" s="509">
        <v>51</v>
      </c>
      <c r="F19" s="203" t="s">
        <v>1494</v>
      </c>
      <c r="G19" s="509">
        <v>0</v>
      </c>
      <c r="H19" s="203" t="s">
        <v>410</v>
      </c>
      <c r="I19" s="509">
        <v>178</v>
      </c>
      <c r="K19" s="205"/>
      <c r="L19" s="1162"/>
      <c r="M19" s="1162"/>
      <c r="N19" s="205"/>
    </row>
    <row r="20" spans="1:14">
      <c r="A20" s="206" t="s">
        <v>216</v>
      </c>
      <c r="N20" s="205"/>
    </row>
    <row r="21" spans="1:14">
      <c r="N21" s="205"/>
    </row>
    <row r="22" spans="1:14">
      <c r="A22" s="1182" t="s">
        <v>217</v>
      </c>
      <c r="B22" s="1174" t="s">
        <v>1495</v>
      </c>
      <c r="C22" s="1175" t="s">
        <v>219</v>
      </c>
      <c r="D22" s="1174" t="s">
        <v>1496</v>
      </c>
      <c r="E22" s="1174" t="s">
        <v>1497</v>
      </c>
      <c r="F22" s="1174" t="s">
        <v>1498</v>
      </c>
      <c r="G22" s="1174"/>
      <c r="H22" s="1174"/>
      <c r="I22" s="1174"/>
      <c r="J22" s="1174"/>
      <c r="K22" s="1174"/>
      <c r="L22" s="1174"/>
      <c r="M22" s="1174"/>
      <c r="N22" s="1174"/>
    </row>
    <row r="23" spans="1:14">
      <c r="A23" s="1183"/>
      <c r="B23" s="1174"/>
      <c r="C23" s="1175"/>
      <c r="D23" s="1174"/>
      <c r="E23" s="1174"/>
      <c r="F23" s="512" t="s">
        <v>224</v>
      </c>
      <c r="G23" s="512" t="s">
        <v>225</v>
      </c>
      <c r="H23" s="512" t="s">
        <v>226</v>
      </c>
      <c r="I23" s="512" t="s">
        <v>227</v>
      </c>
      <c r="J23" s="512" t="s">
        <v>228</v>
      </c>
      <c r="K23" s="512" t="s">
        <v>229</v>
      </c>
      <c r="L23" s="512" t="s">
        <v>1499</v>
      </c>
      <c r="M23" s="512" t="s">
        <v>230</v>
      </c>
      <c r="N23" s="512" t="s">
        <v>231</v>
      </c>
    </row>
    <row r="24" spans="1:14">
      <c r="A24" s="204" t="s">
        <v>232</v>
      </c>
      <c r="B24" s="204">
        <v>8000</v>
      </c>
      <c r="C24" s="204" t="s">
        <v>1500</v>
      </c>
      <c r="D24" s="597">
        <v>26.421679999999999</v>
      </c>
      <c r="E24" s="597">
        <v>26.42379</v>
      </c>
      <c r="F24" s="597">
        <v>0</v>
      </c>
      <c r="G24" s="597">
        <v>4.2701149999999997</v>
      </c>
      <c r="H24" s="597">
        <v>8.4810499999999998</v>
      </c>
      <c r="I24" s="597">
        <v>10</v>
      </c>
      <c r="J24" s="597">
        <v>0.81357999999999997</v>
      </c>
      <c r="K24" s="597">
        <v>0.72079000000000004</v>
      </c>
      <c r="L24" s="597">
        <v>0</v>
      </c>
      <c r="M24" s="207">
        <v>24.285535000000003</v>
      </c>
      <c r="N24" s="207">
        <v>91.907841380816308</v>
      </c>
    </row>
    <row r="25" spans="1:14">
      <c r="A25" s="204" t="s">
        <v>234</v>
      </c>
      <c r="B25" s="204">
        <v>7000</v>
      </c>
      <c r="C25" s="204" t="s">
        <v>1500</v>
      </c>
      <c r="D25" s="597">
        <v>3.6990352</v>
      </c>
      <c r="E25" s="597">
        <v>2.8</v>
      </c>
      <c r="F25" s="597">
        <v>0</v>
      </c>
      <c r="G25" s="597">
        <v>0</v>
      </c>
      <c r="H25" s="597">
        <v>0</v>
      </c>
      <c r="I25" s="597">
        <v>0</v>
      </c>
      <c r="J25" s="597">
        <v>0.20751</v>
      </c>
      <c r="K25" s="597">
        <v>1.2565</v>
      </c>
      <c r="L25" s="597">
        <v>0</v>
      </c>
      <c r="M25" s="207">
        <v>1.46401</v>
      </c>
      <c r="N25" s="207">
        <v>52.286071428571432</v>
      </c>
    </row>
    <row r="26" spans="1:14">
      <c r="A26" s="204" t="s">
        <v>235</v>
      </c>
      <c r="B26" s="204">
        <v>43000</v>
      </c>
      <c r="C26" s="204" t="s">
        <v>236</v>
      </c>
      <c r="D26" s="597">
        <v>0.43</v>
      </c>
      <c r="E26" s="597">
        <v>0.43</v>
      </c>
      <c r="F26" s="597">
        <v>0</v>
      </c>
      <c r="G26" s="597">
        <v>0</v>
      </c>
      <c r="H26" s="597">
        <v>0</v>
      </c>
      <c r="I26" s="597">
        <v>0.1777</v>
      </c>
      <c r="J26" s="597">
        <v>0.25230000000000002</v>
      </c>
      <c r="K26" s="597">
        <v>7.6149999999999995E-2</v>
      </c>
      <c r="L26" s="597">
        <v>0</v>
      </c>
      <c r="M26" s="207">
        <v>0.5061500000000001</v>
      </c>
      <c r="N26" s="207">
        <v>117.7093023255814</v>
      </c>
    </row>
    <row r="27" spans="1:14">
      <c r="A27" s="204" t="s">
        <v>1501</v>
      </c>
      <c r="B27" s="204">
        <v>37000</v>
      </c>
      <c r="C27" s="204" t="s">
        <v>236</v>
      </c>
      <c r="D27" s="597">
        <v>0.34</v>
      </c>
      <c r="E27" s="597">
        <v>0.34</v>
      </c>
      <c r="F27" s="597">
        <v>0</v>
      </c>
      <c r="G27" s="597">
        <v>0</v>
      </c>
      <c r="H27" s="597">
        <v>0</v>
      </c>
      <c r="I27" s="597">
        <v>0.11914</v>
      </c>
      <c r="J27" s="597">
        <v>0.157</v>
      </c>
      <c r="K27" s="597">
        <v>0</v>
      </c>
      <c r="L27" s="597">
        <v>0</v>
      </c>
      <c r="M27" s="207">
        <v>0.27614</v>
      </c>
      <c r="N27" s="207">
        <v>81.21764705882353</v>
      </c>
    </row>
    <row r="28" spans="1:14">
      <c r="A28" s="204" t="s">
        <v>238</v>
      </c>
      <c r="B28" s="204">
        <v>1200</v>
      </c>
      <c r="C28" s="204" t="s">
        <v>1500</v>
      </c>
      <c r="D28" s="597">
        <v>3.9632520000000002</v>
      </c>
      <c r="E28" s="597">
        <v>3.9632399999999999</v>
      </c>
      <c r="F28" s="597">
        <v>0</v>
      </c>
      <c r="G28" s="597">
        <v>1.2878099999999999</v>
      </c>
      <c r="H28" s="597">
        <v>0.18225</v>
      </c>
      <c r="I28" s="597">
        <v>0.53349999999999997</v>
      </c>
      <c r="J28" s="597">
        <v>1.5315399999999999</v>
      </c>
      <c r="K28" s="597">
        <v>0.16846</v>
      </c>
      <c r="L28" s="597">
        <v>0</v>
      </c>
      <c r="M28" s="207">
        <v>3.70356</v>
      </c>
      <c r="N28" s="207">
        <v>93.447785145487032</v>
      </c>
    </row>
    <row r="29" spans="1:14">
      <c r="A29" s="204" t="s">
        <v>1502</v>
      </c>
      <c r="B29" s="204">
        <v>565</v>
      </c>
      <c r="C29" s="204" t="s">
        <v>1500</v>
      </c>
      <c r="D29" s="597">
        <v>1.8660311999999999</v>
      </c>
      <c r="E29" s="597">
        <v>2.0112100000000002</v>
      </c>
      <c r="F29" s="597">
        <v>0</v>
      </c>
      <c r="G29" s="597">
        <v>1.4999999999999999E-2</v>
      </c>
      <c r="H29" s="597">
        <v>1.99621</v>
      </c>
      <c r="I29" s="597">
        <v>0</v>
      </c>
      <c r="J29" s="597">
        <v>0</v>
      </c>
      <c r="K29" s="597">
        <v>0</v>
      </c>
      <c r="L29" s="597">
        <v>0</v>
      </c>
      <c r="M29" s="207">
        <v>2.0112100000000002</v>
      </c>
      <c r="N29" s="207">
        <v>100</v>
      </c>
    </row>
    <row r="30" spans="1:14">
      <c r="A30" s="204" t="s">
        <v>1503</v>
      </c>
      <c r="B30" s="204">
        <v>1000</v>
      </c>
      <c r="C30" s="204" t="s">
        <v>1500</v>
      </c>
      <c r="D30" s="597">
        <v>3.3027099999999998</v>
      </c>
      <c r="E30" s="597">
        <v>3.3027099999999998</v>
      </c>
      <c r="F30" s="597">
        <v>0</v>
      </c>
      <c r="G30" s="597">
        <v>0</v>
      </c>
      <c r="H30" s="597">
        <v>0</v>
      </c>
      <c r="I30" s="597">
        <v>0</v>
      </c>
      <c r="J30" s="597">
        <v>0.26500000000000001</v>
      </c>
      <c r="K30" s="597">
        <v>1.2786500000000001</v>
      </c>
      <c r="L30" s="597">
        <v>0</v>
      </c>
      <c r="M30" s="207">
        <v>1.54365</v>
      </c>
      <c r="N30" s="207">
        <v>46.73889018412153</v>
      </c>
    </row>
    <row r="31" spans="1:14">
      <c r="A31" s="204" t="s">
        <v>607</v>
      </c>
      <c r="B31" s="204">
        <v>2750</v>
      </c>
      <c r="C31" s="204" t="s">
        <v>242</v>
      </c>
      <c r="D31" s="597">
        <v>1.75</v>
      </c>
      <c r="E31" s="597">
        <v>1.4793099999999999</v>
      </c>
      <c r="F31" s="597">
        <v>0</v>
      </c>
      <c r="G31" s="597">
        <v>7.5399999999999995E-2</v>
      </c>
      <c r="H31" s="597">
        <v>0.23025000000000001</v>
      </c>
      <c r="I31" s="597">
        <v>0.47820000000000001</v>
      </c>
      <c r="J31" s="597">
        <v>0.33200000000000002</v>
      </c>
      <c r="K31" s="597">
        <v>0.54549999999999998</v>
      </c>
      <c r="L31" s="597">
        <v>0</v>
      </c>
      <c r="M31" s="207">
        <v>1.6613500000000001</v>
      </c>
      <c r="N31" s="207">
        <v>112.30573713420446</v>
      </c>
    </row>
    <row r="32" spans="1:14">
      <c r="A32" s="204" t="s">
        <v>243</v>
      </c>
      <c r="B32" s="204">
        <v>10000</v>
      </c>
      <c r="C32" s="204" t="s">
        <v>244</v>
      </c>
      <c r="D32" s="597">
        <v>0</v>
      </c>
      <c r="E32" s="597">
        <v>0</v>
      </c>
      <c r="F32" s="597">
        <v>0</v>
      </c>
      <c r="G32" s="597">
        <v>0</v>
      </c>
      <c r="H32" s="597">
        <v>0</v>
      </c>
      <c r="I32" s="597">
        <v>0</v>
      </c>
      <c r="J32" s="597">
        <v>0</v>
      </c>
      <c r="K32" s="597">
        <v>0</v>
      </c>
      <c r="L32" s="597">
        <v>0</v>
      </c>
      <c r="M32" s="207">
        <v>0</v>
      </c>
      <c r="N32" s="207">
        <v>0</v>
      </c>
    </row>
    <row r="33" spans="1:14">
      <c r="A33" s="208" t="s">
        <v>230</v>
      </c>
      <c r="B33" s="208"/>
      <c r="C33" s="208"/>
      <c r="D33" s="209">
        <v>41.772708399999992</v>
      </c>
      <c r="E33" s="209">
        <v>40.750259999999997</v>
      </c>
      <c r="F33" s="209">
        <v>0</v>
      </c>
      <c r="G33" s="209">
        <v>5.6483249999999998</v>
      </c>
      <c r="H33" s="209">
        <v>10.889759999999999</v>
      </c>
      <c r="I33" s="209">
        <v>11.308539999999999</v>
      </c>
      <c r="J33" s="209">
        <v>3.5589300000000001</v>
      </c>
      <c r="K33" s="209">
        <v>4.0460500000000001</v>
      </c>
      <c r="L33" s="209">
        <v>0</v>
      </c>
      <c r="M33" s="209">
        <v>35.451605000000008</v>
      </c>
      <c r="N33" s="207"/>
    </row>
  </sheetData>
  <mergeCells count="46">
    <mergeCell ref="A4:C4"/>
    <mergeCell ref="C15:E15"/>
    <mergeCell ref="L17:M17"/>
    <mergeCell ref="L18:M18"/>
    <mergeCell ref="L19:M19"/>
    <mergeCell ref="A22:A23"/>
    <mergeCell ref="B22:B23"/>
    <mergeCell ref="C22:C23"/>
    <mergeCell ref="D22:D23"/>
    <mergeCell ref="E22:E23"/>
    <mergeCell ref="F22:N22"/>
    <mergeCell ref="L13:M13"/>
    <mergeCell ref="B12:C12"/>
    <mergeCell ref="D12:E12"/>
    <mergeCell ref="F12:G12"/>
    <mergeCell ref="H12:I12"/>
    <mergeCell ref="J12:K12"/>
    <mergeCell ref="L12:M12"/>
    <mergeCell ref="B13:C13"/>
    <mergeCell ref="D13:E13"/>
    <mergeCell ref="F13:G13"/>
    <mergeCell ref="H13:I13"/>
    <mergeCell ref="J13:K13"/>
    <mergeCell ref="L10:M10"/>
    <mergeCell ref="B11:C11"/>
    <mergeCell ref="D11:E11"/>
    <mergeCell ref="F11:G11"/>
    <mergeCell ref="H11:I11"/>
    <mergeCell ref="J11:K11"/>
    <mergeCell ref="L11:M11"/>
    <mergeCell ref="B10:C10"/>
    <mergeCell ref="D10:E10"/>
    <mergeCell ref="F10:G10"/>
    <mergeCell ref="H10:I10"/>
    <mergeCell ref="J10:K10"/>
    <mergeCell ref="B5:D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19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3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3" width="7.85546875" style="203" customWidth="1"/>
    <col min="4" max="4" width="10.5703125" style="203" customWidth="1"/>
    <col min="5" max="5" width="11.140625" style="203" customWidth="1"/>
    <col min="6" max="6" width="13.42578125" style="203" customWidth="1"/>
    <col min="7" max="7" width="12.5703125" style="203" customWidth="1"/>
    <col min="8" max="14" width="11.42578125" style="203" customWidth="1"/>
    <col min="15" max="15" width="10" style="203" bestFit="1" customWidth="1"/>
    <col min="16" max="256" width="9.140625" style="203"/>
    <col min="257" max="257" width="34.42578125" style="203" customWidth="1"/>
    <col min="258" max="259" width="7.85546875" style="203" customWidth="1"/>
    <col min="260" max="260" width="10.5703125" style="203" customWidth="1"/>
    <col min="261" max="261" width="11.140625" style="203" customWidth="1"/>
    <col min="262" max="262" width="13.42578125" style="203" customWidth="1"/>
    <col min="263" max="263" width="12.5703125" style="203" customWidth="1"/>
    <col min="264" max="270" width="11.42578125" style="203" customWidth="1"/>
    <col min="271" max="271" width="10" style="203" bestFit="1" customWidth="1"/>
    <col min="272" max="512" width="9.140625" style="203"/>
    <col min="513" max="513" width="34.42578125" style="203" customWidth="1"/>
    <col min="514" max="515" width="7.85546875" style="203" customWidth="1"/>
    <col min="516" max="516" width="10.5703125" style="203" customWidth="1"/>
    <col min="517" max="517" width="11.140625" style="203" customWidth="1"/>
    <col min="518" max="518" width="13.42578125" style="203" customWidth="1"/>
    <col min="519" max="519" width="12.5703125" style="203" customWidth="1"/>
    <col min="520" max="526" width="11.42578125" style="203" customWidth="1"/>
    <col min="527" max="527" width="10" style="203" bestFit="1" customWidth="1"/>
    <col min="528" max="768" width="9.140625" style="203"/>
    <col min="769" max="769" width="34.42578125" style="203" customWidth="1"/>
    <col min="770" max="771" width="7.85546875" style="203" customWidth="1"/>
    <col min="772" max="772" width="10.5703125" style="203" customWidth="1"/>
    <col min="773" max="773" width="11.140625" style="203" customWidth="1"/>
    <col min="774" max="774" width="13.42578125" style="203" customWidth="1"/>
    <col min="775" max="775" width="12.5703125" style="203" customWidth="1"/>
    <col min="776" max="782" width="11.42578125" style="203" customWidth="1"/>
    <col min="783" max="783" width="10" style="203" bestFit="1" customWidth="1"/>
    <col min="784" max="1024" width="9.140625" style="203"/>
    <col min="1025" max="1025" width="34.42578125" style="203" customWidth="1"/>
    <col min="1026" max="1027" width="7.85546875" style="203" customWidth="1"/>
    <col min="1028" max="1028" width="10.5703125" style="203" customWidth="1"/>
    <col min="1029" max="1029" width="11.140625" style="203" customWidth="1"/>
    <col min="1030" max="1030" width="13.42578125" style="203" customWidth="1"/>
    <col min="1031" max="1031" width="12.5703125" style="203" customWidth="1"/>
    <col min="1032" max="1038" width="11.42578125" style="203" customWidth="1"/>
    <col min="1039" max="1039" width="10" style="203" bestFit="1" customWidth="1"/>
    <col min="1040" max="1280" width="9.140625" style="203"/>
    <col min="1281" max="1281" width="34.42578125" style="203" customWidth="1"/>
    <col min="1282" max="1283" width="7.85546875" style="203" customWidth="1"/>
    <col min="1284" max="1284" width="10.5703125" style="203" customWidth="1"/>
    <col min="1285" max="1285" width="11.140625" style="203" customWidth="1"/>
    <col min="1286" max="1286" width="13.42578125" style="203" customWidth="1"/>
    <col min="1287" max="1287" width="12.5703125" style="203" customWidth="1"/>
    <col min="1288" max="1294" width="11.42578125" style="203" customWidth="1"/>
    <col min="1295" max="1295" width="10" style="203" bestFit="1" customWidth="1"/>
    <col min="1296" max="1536" width="9.140625" style="203"/>
    <col min="1537" max="1537" width="34.42578125" style="203" customWidth="1"/>
    <col min="1538" max="1539" width="7.85546875" style="203" customWidth="1"/>
    <col min="1540" max="1540" width="10.5703125" style="203" customWidth="1"/>
    <col min="1541" max="1541" width="11.140625" style="203" customWidth="1"/>
    <col min="1542" max="1542" width="13.42578125" style="203" customWidth="1"/>
    <col min="1543" max="1543" width="12.5703125" style="203" customWidth="1"/>
    <col min="1544" max="1550" width="11.42578125" style="203" customWidth="1"/>
    <col min="1551" max="1551" width="10" style="203" bestFit="1" customWidth="1"/>
    <col min="1552" max="1792" width="9.140625" style="203"/>
    <col min="1793" max="1793" width="34.42578125" style="203" customWidth="1"/>
    <col min="1794" max="1795" width="7.85546875" style="203" customWidth="1"/>
    <col min="1796" max="1796" width="10.5703125" style="203" customWidth="1"/>
    <col min="1797" max="1797" width="11.140625" style="203" customWidth="1"/>
    <col min="1798" max="1798" width="13.42578125" style="203" customWidth="1"/>
    <col min="1799" max="1799" width="12.5703125" style="203" customWidth="1"/>
    <col min="1800" max="1806" width="11.42578125" style="203" customWidth="1"/>
    <col min="1807" max="1807" width="10" style="203" bestFit="1" customWidth="1"/>
    <col min="1808" max="2048" width="9.140625" style="203"/>
    <col min="2049" max="2049" width="34.42578125" style="203" customWidth="1"/>
    <col min="2050" max="2051" width="7.85546875" style="203" customWidth="1"/>
    <col min="2052" max="2052" width="10.5703125" style="203" customWidth="1"/>
    <col min="2053" max="2053" width="11.140625" style="203" customWidth="1"/>
    <col min="2054" max="2054" width="13.42578125" style="203" customWidth="1"/>
    <col min="2055" max="2055" width="12.5703125" style="203" customWidth="1"/>
    <col min="2056" max="2062" width="11.42578125" style="203" customWidth="1"/>
    <col min="2063" max="2063" width="10" style="203" bestFit="1" customWidth="1"/>
    <col min="2064" max="2304" width="9.140625" style="203"/>
    <col min="2305" max="2305" width="34.42578125" style="203" customWidth="1"/>
    <col min="2306" max="2307" width="7.85546875" style="203" customWidth="1"/>
    <col min="2308" max="2308" width="10.5703125" style="203" customWidth="1"/>
    <col min="2309" max="2309" width="11.140625" style="203" customWidth="1"/>
    <col min="2310" max="2310" width="13.42578125" style="203" customWidth="1"/>
    <col min="2311" max="2311" width="12.5703125" style="203" customWidth="1"/>
    <col min="2312" max="2318" width="11.42578125" style="203" customWidth="1"/>
    <col min="2319" max="2319" width="10" style="203" bestFit="1" customWidth="1"/>
    <col min="2320" max="2560" width="9.140625" style="203"/>
    <col min="2561" max="2561" width="34.42578125" style="203" customWidth="1"/>
    <col min="2562" max="2563" width="7.85546875" style="203" customWidth="1"/>
    <col min="2564" max="2564" width="10.5703125" style="203" customWidth="1"/>
    <col min="2565" max="2565" width="11.140625" style="203" customWidth="1"/>
    <col min="2566" max="2566" width="13.42578125" style="203" customWidth="1"/>
    <col min="2567" max="2567" width="12.5703125" style="203" customWidth="1"/>
    <col min="2568" max="2574" width="11.42578125" style="203" customWidth="1"/>
    <col min="2575" max="2575" width="10" style="203" bestFit="1" customWidth="1"/>
    <col min="2576" max="2816" width="9.140625" style="203"/>
    <col min="2817" max="2817" width="34.42578125" style="203" customWidth="1"/>
    <col min="2818" max="2819" width="7.85546875" style="203" customWidth="1"/>
    <col min="2820" max="2820" width="10.5703125" style="203" customWidth="1"/>
    <col min="2821" max="2821" width="11.140625" style="203" customWidth="1"/>
    <col min="2822" max="2822" width="13.42578125" style="203" customWidth="1"/>
    <col min="2823" max="2823" width="12.5703125" style="203" customWidth="1"/>
    <col min="2824" max="2830" width="11.42578125" style="203" customWidth="1"/>
    <col min="2831" max="2831" width="10" style="203" bestFit="1" customWidth="1"/>
    <col min="2832" max="3072" width="9.140625" style="203"/>
    <col min="3073" max="3073" width="34.42578125" style="203" customWidth="1"/>
    <col min="3074" max="3075" width="7.85546875" style="203" customWidth="1"/>
    <col min="3076" max="3076" width="10.5703125" style="203" customWidth="1"/>
    <col min="3077" max="3077" width="11.140625" style="203" customWidth="1"/>
    <col min="3078" max="3078" width="13.42578125" style="203" customWidth="1"/>
    <col min="3079" max="3079" width="12.5703125" style="203" customWidth="1"/>
    <col min="3080" max="3086" width="11.42578125" style="203" customWidth="1"/>
    <col min="3087" max="3087" width="10" style="203" bestFit="1" customWidth="1"/>
    <col min="3088" max="3328" width="9.140625" style="203"/>
    <col min="3329" max="3329" width="34.42578125" style="203" customWidth="1"/>
    <col min="3330" max="3331" width="7.85546875" style="203" customWidth="1"/>
    <col min="3332" max="3332" width="10.5703125" style="203" customWidth="1"/>
    <col min="3333" max="3333" width="11.140625" style="203" customWidth="1"/>
    <col min="3334" max="3334" width="13.42578125" style="203" customWidth="1"/>
    <col min="3335" max="3335" width="12.5703125" style="203" customWidth="1"/>
    <col min="3336" max="3342" width="11.42578125" style="203" customWidth="1"/>
    <col min="3343" max="3343" width="10" style="203" bestFit="1" customWidth="1"/>
    <col min="3344" max="3584" width="9.140625" style="203"/>
    <col min="3585" max="3585" width="34.42578125" style="203" customWidth="1"/>
    <col min="3586" max="3587" width="7.85546875" style="203" customWidth="1"/>
    <col min="3588" max="3588" width="10.5703125" style="203" customWidth="1"/>
    <col min="3589" max="3589" width="11.140625" style="203" customWidth="1"/>
    <col min="3590" max="3590" width="13.42578125" style="203" customWidth="1"/>
    <col min="3591" max="3591" width="12.5703125" style="203" customWidth="1"/>
    <col min="3592" max="3598" width="11.42578125" style="203" customWidth="1"/>
    <col min="3599" max="3599" width="10" style="203" bestFit="1" customWidth="1"/>
    <col min="3600" max="3840" width="9.140625" style="203"/>
    <col min="3841" max="3841" width="34.42578125" style="203" customWidth="1"/>
    <col min="3842" max="3843" width="7.85546875" style="203" customWidth="1"/>
    <col min="3844" max="3844" width="10.5703125" style="203" customWidth="1"/>
    <col min="3845" max="3845" width="11.140625" style="203" customWidth="1"/>
    <col min="3846" max="3846" width="13.42578125" style="203" customWidth="1"/>
    <col min="3847" max="3847" width="12.5703125" style="203" customWidth="1"/>
    <col min="3848" max="3854" width="11.42578125" style="203" customWidth="1"/>
    <col min="3855" max="3855" width="10" style="203" bestFit="1" customWidth="1"/>
    <col min="3856" max="4096" width="9.140625" style="203"/>
    <col min="4097" max="4097" width="34.42578125" style="203" customWidth="1"/>
    <col min="4098" max="4099" width="7.85546875" style="203" customWidth="1"/>
    <col min="4100" max="4100" width="10.5703125" style="203" customWidth="1"/>
    <col min="4101" max="4101" width="11.140625" style="203" customWidth="1"/>
    <col min="4102" max="4102" width="13.42578125" style="203" customWidth="1"/>
    <col min="4103" max="4103" width="12.5703125" style="203" customWidth="1"/>
    <col min="4104" max="4110" width="11.42578125" style="203" customWidth="1"/>
    <col min="4111" max="4111" width="10" style="203" bestFit="1" customWidth="1"/>
    <col min="4112" max="4352" width="9.140625" style="203"/>
    <col min="4353" max="4353" width="34.42578125" style="203" customWidth="1"/>
    <col min="4354" max="4355" width="7.85546875" style="203" customWidth="1"/>
    <col min="4356" max="4356" width="10.5703125" style="203" customWidth="1"/>
    <col min="4357" max="4357" width="11.140625" style="203" customWidth="1"/>
    <col min="4358" max="4358" width="13.42578125" style="203" customWidth="1"/>
    <col min="4359" max="4359" width="12.5703125" style="203" customWidth="1"/>
    <col min="4360" max="4366" width="11.42578125" style="203" customWidth="1"/>
    <col min="4367" max="4367" width="10" style="203" bestFit="1" customWidth="1"/>
    <col min="4368" max="4608" width="9.140625" style="203"/>
    <col min="4609" max="4609" width="34.42578125" style="203" customWidth="1"/>
    <col min="4610" max="4611" width="7.85546875" style="203" customWidth="1"/>
    <col min="4612" max="4612" width="10.5703125" style="203" customWidth="1"/>
    <col min="4613" max="4613" width="11.140625" style="203" customWidth="1"/>
    <col min="4614" max="4614" width="13.42578125" style="203" customWidth="1"/>
    <col min="4615" max="4615" width="12.5703125" style="203" customWidth="1"/>
    <col min="4616" max="4622" width="11.42578125" style="203" customWidth="1"/>
    <col min="4623" max="4623" width="10" style="203" bestFit="1" customWidth="1"/>
    <col min="4624" max="4864" width="9.140625" style="203"/>
    <col min="4865" max="4865" width="34.42578125" style="203" customWidth="1"/>
    <col min="4866" max="4867" width="7.85546875" style="203" customWidth="1"/>
    <col min="4868" max="4868" width="10.5703125" style="203" customWidth="1"/>
    <col min="4869" max="4869" width="11.140625" style="203" customWidth="1"/>
    <col min="4870" max="4870" width="13.42578125" style="203" customWidth="1"/>
    <col min="4871" max="4871" width="12.5703125" style="203" customWidth="1"/>
    <col min="4872" max="4878" width="11.42578125" style="203" customWidth="1"/>
    <col min="4879" max="4879" width="10" style="203" bestFit="1" customWidth="1"/>
    <col min="4880" max="5120" width="9.140625" style="203"/>
    <col min="5121" max="5121" width="34.42578125" style="203" customWidth="1"/>
    <col min="5122" max="5123" width="7.85546875" style="203" customWidth="1"/>
    <col min="5124" max="5124" width="10.5703125" style="203" customWidth="1"/>
    <col min="5125" max="5125" width="11.140625" style="203" customWidth="1"/>
    <col min="5126" max="5126" width="13.42578125" style="203" customWidth="1"/>
    <col min="5127" max="5127" width="12.5703125" style="203" customWidth="1"/>
    <col min="5128" max="5134" width="11.42578125" style="203" customWidth="1"/>
    <col min="5135" max="5135" width="10" style="203" bestFit="1" customWidth="1"/>
    <col min="5136" max="5376" width="9.140625" style="203"/>
    <col min="5377" max="5377" width="34.42578125" style="203" customWidth="1"/>
    <col min="5378" max="5379" width="7.85546875" style="203" customWidth="1"/>
    <col min="5380" max="5380" width="10.5703125" style="203" customWidth="1"/>
    <col min="5381" max="5381" width="11.140625" style="203" customWidth="1"/>
    <col min="5382" max="5382" width="13.42578125" style="203" customWidth="1"/>
    <col min="5383" max="5383" width="12.5703125" style="203" customWidth="1"/>
    <col min="5384" max="5390" width="11.42578125" style="203" customWidth="1"/>
    <col min="5391" max="5391" width="10" style="203" bestFit="1" customWidth="1"/>
    <col min="5392" max="5632" width="9.140625" style="203"/>
    <col min="5633" max="5633" width="34.42578125" style="203" customWidth="1"/>
    <col min="5634" max="5635" width="7.85546875" style="203" customWidth="1"/>
    <col min="5636" max="5636" width="10.5703125" style="203" customWidth="1"/>
    <col min="5637" max="5637" width="11.140625" style="203" customWidth="1"/>
    <col min="5638" max="5638" width="13.42578125" style="203" customWidth="1"/>
    <col min="5639" max="5639" width="12.5703125" style="203" customWidth="1"/>
    <col min="5640" max="5646" width="11.42578125" style="203" customWidth="1"/>
    <col min="5647" max="5647" width="10" style="203" bestFit="1" customWidth="1"/>
    <col min="5648" max="5888" width="9.140625" style="203"/>
    <col min="5889" max="5889" width="34.42578125" style="203" customWidth="1"/>
    <col min="5890" max="5891" width="7.85546875" style="203" customWidth="1"/>
    <col min="5892" max="5892" width="10.5703125" style="203" customWidth="1"/>
    <col min="5893" max="5893" width="11.140625" style="203" customWidth="1"/>
    <col min="5894" max="5894" width="13.42578125" style="203" customWidth="1"/>
    <col min="5895" max="5895" width="12.5703125" style="203" customWidth="1"/>
    <col min="5896" max="5902" width="11.42578125" style="203" customWidth="1"/>
    <col min="5903" max="5903" width="10" style="203" bestFit="1" customWidth="1"/>
    <col min="5904" max="6144" width="9.140625" style="203"/>
    <col min="6145" max="6145" width="34.42578125" style="203" customWidth="1"/>
    <col min="6146" max="6147" width="7.85546875" style="203" customWidth="1"/>
    <col min="6148" max="6148" width="10.5703125" style="203" customWidth="1"/>
    <col min="6149" max="6149" width="11.140625" style="203" customWidth="1"/>
    <col min="6150" max="6150" width="13.42578125" style="203" customWidth="1"/>
    <col min="6151" max="6151" width="12.5703125" style="203" customWidth="1"/>
    <col min="6152" max="6158" width="11.42578125" style="203" customWidth="1"/>
    <col min="6159" max="6159" width="10" style="203" bestFit="1" customWidth="1"/>
    <col min="6160" max="6400" width="9.140625" style="203"/>
    <col min="6401" max="6401" width="34.42578125" style="203" customWidth="1"/>
    <col min="6402" max="6403" width="7.85546875" style="203" customWidth="1"/>
    <col min="6404" max="6404" width="10.5703125" style="203" customWidth="1"/>
    <col min="6405" max="6405" width="11.140625" style="203" customWidth="1"/>
    <col min="6406" max="6406" width="13.42578125" style="203" customWidth="1"/>
    <col min="6407" max="6407" width="12.5703125" style="203" customWidth="1"/>
    <col min="6408" max="6414" width="11.42578125" style="203" customWidth="1"/>
    <col min="6415" max="6415" width="10" style="203" bestFit="1" customWidth="1"/>
    <col min="6416" max="6656" width="9.140625" style="203"/>
    <col min="6657" max="6657" width="34.42578125" style="203" customWidth="1"/>
    <col min="6658" max="6659" width="7.85546875" style="203" customWidth="1"/>
    <col min="6660" max="6660" width="10.5703125" style="203" customWidth="1"/>
    <col min="6661" max="6661" width="11.140625" style="203" customWidth="1"/>
    <col min="6662" max="6662" width="13.42578125" style="203" customWidth="1"/>
    <col min="6663" max="6663" width="12.5703125" style="203" customWidth="1"/>
    <col min="6664" max="6670" width="11.42578125" style="203" customWidth="1"/>
    <col min="6671" max="6671" width="10" style="203" bestFit="1" customWidth="1"/>
    <col min="6672" max="6912" width="9.140625" style="203"/>
    <col min="6913" max="6913" width="34.42578125" style="203" customWidth="1"/>
    <col min="6914" max="6915" width="7.85546875" style="203" customWidth="1"/>
    <col min="6916" max="6916" width="10.5703125" style="203" customWidth="1"/>
    <col min="6917" max="6917" width="11.140625" style="203" customWidth="1"/>
    <col min="6918" max="6918" width="13.42578125" style="203" customWidth="1"/>
    <col min="6919" max="6919" width="12.5703125" style="203" customWidth="1"/>
    <col min="6920" max="6926" width="11.42578125" style="203" customWidth="1"/>
    <col min="6927" max="6927" width="10" style="203" bestFit="1" customWidth="1"/>
    <col min="6928" max="7168" width="9.140625" style="203"/>
    <col min="7169" max="7169" width="34.42578125" style="203" customWidth="1"/>
    <col min="7170" max="7171" width="7.85546875" style="203" customWidth="1"/>
    <col min="7172" max="7172" width="10.5703125" style="203" customWidth="1"/>
    <col min="7173" max="7173" width="11.140625" style="203" customWidth="1"/>
    <col min="7174" max="7174" width="13.42578125" style="203" customWidth="1"/>
    <col min="7175" max="7175" width="12.5703125" style="203" customWidth="1"/>
    <col min="7176" max="7182" width="11.42578125" style="203" customWidth="1"/>
    <col min="7183" max="7183" width="10" style="203" bestFit="1" customWidth="1"/>
    <col min="7184" max="7424" width="9.140625" style="203"/>
    <col min="7425" max="7425" width="34.42578125" style="203" customWidth="1"/>
    <col min="7426" max="7427" width="7.85546875" style="203" customWidth="1"/>
    <col min="7428" max="7428" width="10.5703125" style="203" customWidth="1"/>
    <col min="7429" max="7429" width="11.140625" style="203" customWidth="1"/>
    <col min="7430" max="7430" width="13.42578125" style="203" customWidth="1"/>
    <col min="7431" max="7431" width="12.5703125" style="203" customWidth="1"/>
    <col min="7432" max="7438" width="11.42578125" style="203" customWidth="1"/>
    <col min="7439" max="7439" width="10" style="203" bestFit="1" customWidth="1"/>
    <col min="7440" max="7680" width="9.140625" style="203"/>
    <col min="7681" max="7681" width="34.42578125" style="203" customWidth="1"/>
    <col min="7682" max="7683" width="7.85546875" style="203" customWidth="1"/>
    <col min="7684" max="7684" width="10.5703125" style="203" customWidth="1"/>
    <col min="7685" max="7685" width="11.140625" style="203" customWidth="1"/>
    <col min="7686" max="7686" width="13.42578125" style="203" customWidth="1"/>
    <col min="7687" max="7687" width="12.5703125" style="203" customWidth="1"/>
    <col min="7688" max="7694" width="11.42578125" style="203" customWidth="1"/>
    <col min="7695" max="7695" width="10" style="203" bestFit="1" customWidth="1"/>
    <col min="7696" max="7936" width="9.140625" style="203"/>
    <col min="7937" max="7937" width="34.42578125" style="203" customWidth="1"/>
    <col min="7938" max="7939" width="7.85546875" style="203" customWidth="1"/>
    <col min="7940" max="7940" width="10.5703125" style="203" customWidth="1"/>
    <col min="7941" max="7941" width="11.140625" style="203" customWidth="1"/>
    <col min="7942" max="7942" width="13.42578125" style="203" customWidth="1"/>
    <col min="7943" max="7943" width="12.5703125" style="203" customWidth="1"/>
    <col min="7944" max="7950" width="11.42578125" style="203" customWidth="1"/>
    <col min="7951" max="7951" width="10" style="203" bestFit="1" customWidth="1"/>
    <col min="7952" max="8192" width="9.140625" style="203"/>
    <col min="8193" max="8193" width="34.42578125" style="203" customWidth="1"/>
    <col min="8194" max="8195" width="7.85546875" style="203" customWidth="1"/>
    <col min="8196" max="8196" width="10.5703125" style="203" customWidth="1"/>
    <col min="8197" max="8197" width="11.140625" style="203" customWidth="1"/>
    <col min="8198" max="8198" width="13.42578125" style="203" customWidth="1"/>
    <col min="8199" max="8199" width="12.5703125" style="203" customWidth="1"/>
    <col min="8200" max="8206" width="11.42578125" style="203" customWidth="1"/>
    <col min="8207" max="8207" width="10" style="203" bestFit="1" customWidth="1"/>
    <col min="8208" max="8448" width="9.140625" style="203"/>
    <col min="8449" max="8449" width="34.42578125" style="203" customWidth="1"/>
    <col min="8450" max="8451" width="7.85546875" style="203" customWidth="1"/>
    <col min="8452" max="8452" width="10.5703125" style="203" customWidth="1"/>
    <col min="8453" max="8453" width="11.140625" style="203" customWidth="1"/>
    <col min="8454" max="8454" width="13.42578125" style="203" customWidth="1"/>
    <col min="8455" max="8455" width="12.5703125" style="203" customWidth="1"/>
    <col min="8456" max="8462" width="11.42578125" style="203" customWidth="1"/>
    <col min="8463" max="8463" width="10" style="203" bestFit="1" customWidth="1"/>
    <col min="8464" max="8704" width="9.140625" style="203"/>
    <col min="8705" max="8705" width="34.42578125" style="203" customWidth="1"/>
    <col min="8706" max="8707" width="7.85546875" style="203" customWidth="1"/>
    <col min="8708" max="8708" width="10.5703125" style="203" customWidth="1"/>
    <col min="8709" max="8709" width="11.140625" style="203" customWidth="1"/>
    <col min="8710" max="8710" width="13.42578125" style="203" customWidth="1"/>
    <col min="8711" max="8711" width="12.5703125" style="203" customWidth="1"/>
    <col min="8712" max="8718" width="11.42578125" style="203" customWidth="1"/>
    <col min="8719" max="8719" width="10" style="203" bestFit="1" customWidth="1"/>
    <col min="8720" max="8960" width="9.140625" style="203"/>
    <col min="8961" max="8961" width="34.42578125" style="203" customWidth="1"/>
    <col min="8962" max="8963" width="7.85546875" style="203" customWidth="1"/>
    <col min="8964" max="8964" width="10.5703125" style="203" customWidth="1"/>
    <col min="8965" max="8965" width="11.140625" style="203" customWidth="1"/>
    <col min="8966" max="8966" width="13.42578125" style="203" customWidth="1"/>
    <col min="8967" max="8967" width="12.5703125" style="203" customWidth="1"/>
    <col min="8968" max="8974" width="11.42578125" style="203" customWidth="1"/>
    <col min="8975" max="8975" width="10" style="203" bestFit="1" customWidth="1"/>
    <col min="8976" max="9216" width="9.140625" style="203"/>
    <col min="9217" max="9217" width="34.42578125" style="203" customWidth="1"/>
    <col min="9218" max="9219" width="7.85546875" style="203" customWidth="1"/>
    <col min="9220" max="9220" width="10.5703125" style="203" customWidth="1"/>
    <col min="9221" max="9221" width="11.140625" style="203" customWidth="1"/>
    <col min="9222" max="9222" width="13.42578125" style="203" customWidth="1"/>
    <col min="9223" max="9223" width="12.5703125" style="203" customWidth="1"/>
    <col min="9224" max="9230" width="11.42578125" style="203" customWidth="1"/>
    <col min="9231" max="9231" width="10" style="203" bestFit="1" customWidth="1"/>
    <col min="9232" max="9472" width="9.140625" style="203"/>
    <col min="9473" max="9473" width="34.42578125" style="203" customWidth="1"/>
    <col min="9474" max="9475" width="7.85546875" style="203" customWidth="1"/>
    <col min="9476" max="9476" width="10.5703125" style="203" customWidth="1"/>
    <col min="9477" max="9477" width="11.140625" style="203" customWidth="1"/>
    <col min="9478" max="9478" width="13.42578125" style="203" customWidth="1"/>
    <col min="9479" max="9479" width="12.5703125" style="203" customWidth="1"/>
    <col min="9480" max="9486" width="11.42578125" style="203" customWidth="1"/>
    <col min="9487" max="9487" width="10" style="203" bestFit="1" customWidth="1"/>
    <col min="9488" max="9728" width="9.140625" style="203"/>
    <col min="9729" max="9729" width="34.42578125" style="203" customWidth="1"/>
    <col min="9730" max="9731" width="7.85546875" style="203" customWidth="1"/>
    <col min="9732" max="9732" width="10.5703125" style="203" customWidth="1"/>
    <col min="9733" max="9733" width="11.140625" style="203" customWidth="1"/>
    <col min="9734" max="9734" width="13.42578125" style="203" customWidth="1"/>
    <col min="9735" max="9735" width="12.5703125" style="203" customWidth="1"/>
    <col min="9736" max="9742" width="11.42578125" style="203" customWidth="1"/>
    <col min="9743" max="9743" width="10" style="203" bestFit="1" customWidth="1"/>
    <col min="9744" max="9984" width="9.140625" style="203"/>
    <col min="9985" max="9985" width="34.42578125" style="203" customWidth="1"/>
    <col min="9986" max="9987" width="7.85546875" style="203" customWidth="1"/>
    <col min="9988" max="9988" width="10.5703125" style="203" customWidth="1"/>
    <col min="9989" max="9989" width="11.140625" style="203" customWidth="1"/>
    <col min="9990" max="9990" width="13.42578125" style="203" customWidth="1"/>
    <col min="9991" max="9991" width="12.5703125" style="203" customWidth="1"/>
    <col min="9992" max="9998" width="11.42578125" style="203" customWidth="1"/>
    <col min="9999" max="9999" width="10" style="203" bestFit="1" customWidth="1"/>
    <col min="10000" max="10240" width="9.140625" style="203"/>
    <col min="10241" max="10241" width="34.42578125" style="203" customWidth="1"/>
    <col min="10242" max="10243" width="7.85546875" style="203" customWidth="1"/>
    <col min="10244" max="10244" width="10.5703125" style="203" customWidth="1"/>
    <col min="10245" max="10245" width="11.140625" style="203" customWidth="1"/>
    <col min="10246" max="10246" width="13.42578125" style="203" customWidth="1"/>
    <col min="10247" max="10247" width="12.5703125" style="203" customWidth="1"/>
    <col min="10248" max="10254" width="11.42578125" style="203" customWidth="1"/>
    <col min="10255" max="10255" width="10" style="203" bestFit="1" customWidth="1"/>
    <col min="10256" max="10496" width="9.140625" style="203"/>
    <col min="10497" max="10497" width="34.42578125" style="203" customWidth="1"/>
    <col min="10498" max="10499" width="7.85546875" style="203" customWidth="1"/>
    <col min="10500" max="10500" width="10.5703125" style="203" customWidth="1"/>
    <col min="10501" max="10501" width="11.140625" style="203" customWidth="1"/>
    <col min="10502" max="10502" width="13.42578125" style="203" customWidth="1"/>
    <col min="10503" max="10503" width="12.5703125" style="203" customWidth="1"/>
    <col min="10504" max="10510" width="11.42578125" style="203" customWidth="1"/>
    <col min="10511" max="10511" width="10" style="203" bestFit="1" customWidth="1"/>
    <col min="10512" max="10752" width="9.140625" style="203"/>
    <col min="10753" max="10753" width="34.42578125" style="203" customWidth="1"/>
    <col min="10754" max="10755" width="7.85546875" style="203" customWidth="1"/>
    <col min="10756" max="10756" width="10.5703125" style="203" customWidth="1"/>
    <col min="10757" max="10757" width="11.140625" style="203" customWidth="1"/>
    <col min="10758" max="10758" width="13.42578125" style="203" customWidth="1"/>
    <col min="10759" max="10759" width="12.5703125" style="203" customWidth="1"/>
    <col min="10760" max="10766" width="11.42578125" style="203" customWidth="1"/>
    <col min="10767" max="10767" width="10" style="203" bestFit="1" customWidth="1"/>
    <col min="10768" max="11008" width="9.140625" style="203"/>
    <col min="11009" max="11009" width="34.42578125" style="203" customWidth="1"/>
    <col min="11010" max="11011" width="7.85546875" style="203" customWidth="1"/>
    <col min="11012" max="11012" width="10.5703125" style="203" customWidth="1"/>
    <col min="11013" max="11013" width="11.140625" style="203" customWidth="1"/>
    <col min="11014" max="11014" width="13.42578125" style="203" customWidth="1"/>
    <col min="11015" max="11015" width="12.5703125" style="203" customWidth="1"/>
    <col min="11016" max="11022" width="11.42578125" style="203" customWidth="1"/>
    <col min="11023" max="11023" width="10" style="203" bestFit="1" customWidth="1"/>
    <col min="11024" max="11264" width="9.140625" style="203"/>
    <col min="11265" max="11265" width="34.42578125" style="203" customWidth="1"/>
    <col min="11266" max="11267" width="7.85546875" style="203" customWidth="1"/>
    <col min="11268" max="11268" width="10.5703125" style="203" customWidth="1"/>
    <col min="11269" max="11269" width="11.140625" style="203" customWidth="1"/>
    <col min="11270" max="11270" width="13.42578125" style="203" customWidth="1"/>
    <col min="11271" max="11271" width="12.5703125" style="203" customWidth="1"/>
    <col min="11272" max="11278" width="11.42578125" style="203" customWidth="1"/>
    <col min="11279" max="11279" width="10" style="203" bestFit="1" customWidth="1"/>
    <col min="11280" max="11520" width="9.140625" style="203"/>
    <col min="11521" max="11521" width="34.42578125" style="203" customWidth="1"/>
    <col min="11522" max="11523" width="7.85546875" style="203" customWidth="1"/>
    <col min="11524" max="11524" width="10.5703125" style="203" customWidth="1"/>
    <col min="11525" max="11525" width="11.140625" style="203" customWidth="1"/>
    <col min="11526" max="11526" width="13.42578125" style="203" customWidth="1"/>
    <col min="11527" max="11527" width="12.5703125" style="203" customWidth="1"/>
    <col min="11528" max="11534" width="11.42578125" style="203" customWidth="1"/>
    <col min="11535" max="11535" width="10" style="203" bestFit="1" customWidth="1"/>
    <col min="11536" max="11776" width="9.140625" style="203"/>
    <col min="11777" max="11777" width="34.42578125" style="203" customWidth="1"/>
    <col min="11778" max="11779" width="7.85546875" style="203" customWidth="1"/>
    <col min="11780" max="11780" width="10.5703125" style="203" customWidth="1"/>
    <col min="11781" max="11781" width="11.140625" style="203" customWidth="1"/>
    <col min="11782" max="11782" width="13.42578125" style="203" customWidth="1"/>
    <col min="11783" max="11783" width="12.5703125" style="203" customWidth="1"/>
    <col min="11784" max="11790" width="11.42578125" style="203" customWidth="1"/>
    <col min="11791" max="11791" width="10" style="203" bestFit="1" customWidth="1"/>
    <col min="11792" max="12032" width="9.140625" style="203"/>
    <col min="12033" max="12033" width="34.42578125" style="203" customWidth="1"/>
    <col min="12034" max="12035" width="7.85546875" style="203" customWidth="1"/>
    <col min="12036" max="12036" width="10.5703125" style="203" customWidth="1"/>
    <col min="12037" max="12037" width="11.140625" style="203" customWidth="1"/>
    <col min="12038" max="12038" width="13.42578125" style="203" customWidth="1"/>
    <col min="12039" max="12039" width="12.5703125" style="203" customWidth="1"/>
    <col min="12040" max="12046" width="11.42578125" style="203" customWidth="1"/>
    <col min="12047" max="12047" width="10" style="203" bestFit="1" customWidth="1"/>
    <col min="12048" max="12288" width="9.140625" style="203"/>
    <col min="12289" max="12289" width="34.42578125" style="203" customWidth="1"/>
    <col min="12290" max="12291" width="7.85546875" style="203" customWidth="1"/>
    <col min="12292" max="12292" width="10.5703125" style="203" customWidth="1"/>
    <col min="12293" max="12293" width="11.140625" style="203" customWidth="1"/>
    <col min="12294" max="12294" width="13.42578125" style="203" customWidth="1"/>
    <col min="12295" max="12295" width="12.5703125" style="203" customWidth="1"/>
    <col min="12296" max="12302" width="11.42578125" style="203" customWidth="1"/>
    <col min="12303" max="12303" width="10" style="203" bestFit="1" customWidth="1"/>
    <col min="12304" max="12544" width="9.140625" style="203"/>
    <col min="12545" max="12545" width="34.42578125" style="203" customWidth="1"/>
    <col min="12546" max="12547" width="7.85546875" style="203" customWidth="1"/>
    <col min="12548" max="12548" width="10.5703125" style="203" customWidth="1"/>
    <col min="12549" max="12549" width="11.140625" style="203" customWidth="1"/>
    <col min="12550" max="12550" width="13.42578125" style="203" customWidth="1"/>
    <col min="12551" max="12551" width="12.5703125" style="203" customWidth="1"/>
    <col min="12552" max="12558" width="11.42578125" style="203" customWidth="1"/>
    <col min="12559" max="12559" width="10" style="203" bestFit="1" customWidth="1"/>
    <col min="12560" max="12800" width="9.140625" style="203"/>
    <col min="12801" max="12801" width="34.42578125" style="203" customWidth="1"/>
    <col min="12802" max="12803" width="7.85546875" style="203" customWidth="1"/>
    <col min="12804" max="12804" width="10.5703125" style="203" customWidth="1"/>
    <col min="12805" max="12805" width="11.140625" style="203" customWidth="1"/>
    <col min="12806" max="12806" width="13.42578125" style="203" customWidth="1"/>
    <col min="12807" max="12807" width="12.5703125" style="203" customWidth="1"/>
    <col min="12808" max="12814" width="11.42578125" style="203" customWidth="1"/>
    <col min="12815" max="12815" width="10" style="203" bestFit="1" customWidth="1"/>
    <col min="12816" max="13056" width="9.140625" style="203"/>
    <col min="13057" max="13057" width="34.42578125" style="203" customWidth="1"/>
    <col min="13058" max="13059" width="7.85546875" style="203" customWidth="1"/>
    <col min="13060" max="13060" width="10.5703125" style="203" customWidth="1"/>
    <col min="13061" max="13061" width="11.140625" style="203" customWidth="1"/>
    <col min="13062" max="13062" width="13.42578125" style="203" customWidth="1"/>
    <col min="13063" max="13063" width="12.5703125" style="203" customWidth="1"/>
    <col min="13064" max="13070" width="11.42578125" style="203" customWidth="1"/>
    <col min="13071" max="13071" width="10" style="203" bestFit="1" customWidth="1"/>
    <col min="13072" max="13312" width="9.140625" style="203"/>
    <col min="13313" max="13313" width="34.42578125" style="203" customWidth="1"/>
    <col min="13314" max="13315" width="7.85546875" style="203" customWidth="1"/>
    <col min="13316" max="13316" width="10.5703125" style="203" customWidth="1"/>
    <col min="13317" max="13317" width="11.140625" style="203" customWidth="1"/>
    <col min="13318" max="13318" width="13.42578125" style="203" customWidth="1"/>
    <col min="13319" max="13319" width="12.5703125" style="203" customWidth="1"/>
    <col min="13320" max="13326" width="11.42578125" style="203" customWidth="1"/>
    <col min="13327" max="13327" width="10" style="203" bestFit="1" customWidth="1"/>
    <col min="13328" max="13568" width="9.140625" style="203"/>
    <col min="13569" max="13569" width="34.42578125" style="203" customWidth="1"/>
    <col min="13570" max="13571" width="7.85546875" style="203" customWidth="1"/>
    <col min="13572" max="13572" width="10.5703125" style="203" customWidth="1"/>
    <col min="13573" max="13573" width="11.140625" style="203" customWidth="1"/>
    <col min="13574" max="13574" width="13.42578125" style="203" customWidth="1"/>
    <col min="13575" max="13575" width="12.5703125" style="203" customWidth="1"/>
    <col min="13576" max="13582" width="11.42578125" style="203" customWidth="1"/>
    <col min="13583" max="13583" width="10" style="203" bestFit="1" customWidth="1"/>
    <col min="13584" max="13824" width="9.140625" style="203"/>
    <col min="13825" max="13825" width="34.42578125" style="203" customWidth="1"/>
    <col min="13826" max="13827" width="7.85546875" style="203" customWidth="1"/>
    <col min="13828" max="13828" width="10.5703125" style="203" customWidth="1"/>
    <col min="13829" max="13829" width="11.140625" style="203" customWidth="1"/>
    <col min="13830" max="13830" width="13.42578125" style="203" customWidth="1"/>
    <col min="13831" max="13831" width="12.5703125" style="203" customWidth="1"/>
    <col min="13832" max="13838" width="11.42578125" style="203" customWidth="1"/>
    <col min="13839" max="13839" width="10" style="203" bestFit="1" customWidth="1"/>
    <col min="13840" max="14080" width="9.140625" style="203"/>
    <col min="14081" max="14081" width="34.42578125" style="203" customWidth="1"/>
    <col min="14082" max="14083" width="7.85546875" style="203" customWidth="1"/>
    <col min="14084" max="14084" width="10.5703125" style="203" customWidth="1"/>
    <col min="14085" max="14085" width="11.140625" style="203" customWidth="1"/>
    <col min="14086" max="14086" width="13.42578125" style="203" customWidth="1"/>
    <col min="14087" max="14087" width="12.5703125" style="203" customWidth="1"/>
    <col min="14088" max="14094" width="11.42578125" style="203" customWidth="1"/>
    <col min="14095" max="14095" width="10" style="203" bestFit="1" customWidth="1"/>
    <col min="14096" max="14336" width="9.140625" style="203"/>
    <col min="14337" max="14337" width="34.42578125" style="203" customWidth="1"/>
    <col min="14338" max="14339" width="7.85546875" style="203" customWidth="1"/>
    <col min="14340" max="14340" width="10.5703125" style="203" customWidth="1"/>
    <col min="14341" max="14341" width="11.140625" style="203" customWidth="1"/>
    <col min="14342" max="14342" width="13.42578125" style="203" customWidth="1"/>
    <col min="14343" max="14343" width="12.5703125" style="203" customWidth="1"/>
    <col min="14344" max="14350" width="11.42578125" style="203" customWidth="1"/>
    <col min="14351" max="14351" width="10" style="203" bestFit="1" customWidth="1"/>
    <col min="14352" max="14592" width="9.140625" style="203"/>
    <col min="14593" max="14593" width="34.42578125" style="203" customWidth="1"/>
    <col min="14594" max="14595" width="7.85546875" style="203" customWidth="1"/>
    <col min="14596" max="14596" width="10.5703125" style="203" customWidth="1"/>
    <col min="14597" max="14597" width="11.140625" style="203" customWidth="1"/>
    <col min="14598" max="14598" width="13.42578125" style="203" customWidth="1"/>
    <col min="14599" max="14599" width="12.5703125" style="203" customWidth="1"/>
    <col min="14600" max="14606" width="11.42578125" style="203" customWidth="1"/>
    <col min="14607" max="14607" width="10" style="203" bestFit="1" customWidth="1"/>
    <col min="14608" max="14848" width="9.140625" style="203"/>
    <col min="14849" max="14849" width="34.42578125" style="203" customWidth="1"/>
    <col min="14850" max="14851" width="7.85546875" style="203" customWidth="1"/>
    <col min="14852" max="14852" width="10.5703125" style="203" customWidth="1"/>
    <col min="14853" max="14853" width="11.140625" style="203" customWidth="1"/>
    <col min="14854" max="14854" width="13.42578125" style="203" customWidth="1"/>
    <col min="14855" max="14855" width="12.5703125" style="203" customWidth="1"/>
    <col min="14856" max="14862" width="11.42578125" style="203" customWidth="1"/>
    <col min="14863" max="14863" width="10" style="203" bestFit="1" customWidth="1"/>
    <col min="14864" max="15104" width="9.140625" style="203"/>
    <col min="15105" max="15105" width="34.42578125" style="203" customWidth="1"/>
    <col min="15106" max="15107" width="7.85546875" style="203" customWidth="1"/>
    <col min="15108" max="15108" width="10.5703125" style="203" customWidth="1"/>
    <col min="15109" max="15109" width="11.140625" style="203" customWidth="1"/>
    <col min="15110" max="15110" width="13.42578125" style="203" customWidth="1"/>
    <col min="15111" max="15111" width="12.5703125" style="203" customWidth="1"/>
    <col min="15112" max="15118" width="11.42578125" style="203" customWidth="1"/>
    <col min="15119" max="15119" width="10" style="203" bestFit="1" customWidth="1"/>
    <col min="15120" max="15360" width="9.140625" style="203"/>
    <col min="15361" max="15361" width="34.42578125" style="203" customWidth="1"/>
    <col min="15362" max="15363" width="7.85546875" style="203" customWidth="1"/>
    <col min="15364" max="15364" width="10.5703125" style="203" customWidth="1"/>
    <col min="15365" max="15365" width="11.140625" style="203" customWidth="1"/>
    <col min="15366" max="15366" width="13.42578125" style="203" customWidth="1"/>
    <col min="15367" max="15367" width="12.5703125" style="203" customWidth="1"/>
    <col min="15368" max="15374" width="11.42578125" style="203" customWidth="1"/>
    <col min="15375" max="15375" width="10" style="203" bestFit="1" customWidth="1"/>
    <col min="15376" max="15616" width="9.140625" style="203"/>
    <col min="15617" max="15617" width="34.42578125" style="203" customWidth="1"/>
    <col min="15618" max="15619" width="7.85546875" style="203" customWidth="1"/>
    <col min="15620" max="15620" width="10.5703125" style="203" customWidth="1"/>
    <col min="15621" max="15621" width="11.140625" style="203" customWidth="1"/>
    <col min="15622" max="15622" width="13.42578125" style="203" customWidth="1"/>
    <col min="15623" max="15623" width="12.5703125" style="203" customWidth="1"/>
    <col min="15624" max="15630" width="11.42578125" style="203" customWidth="1"/>
    <col min="15631" max="15631" width="10" style="203" bestFit="1" customWidth="1"/>
    <col min="15632" max="15872" width="9.140625" style="203"/>
    <col min="15873" max="15873" width="34.42578125" style="203" customWidth="1"/>
    <col min="15874" max="15875" width="7.85546875" style="203" customWidth="1"/>
    <col min="15876" max="15876" width="10.5703125" style="203" customWidth="1"/>
    <col min="15877" max="15877" width="11.140625" style="203" customWidth="1"/>
    <col min="15878" max="15878" width="13.42578125" style="203" customWidth="1"/>
    <col min="15879" max="15879" width="12.5703125" style="203" customWidth="1"/>
    <col min="15880" max="15886" width="11.42578125" style="203" customWidth="1"/>
    <col min="15887" max="15887" width="10" style="203" bestFit="1" customWidth="1"/>
    <col min="15888" max="16128" width="9.140625" style="203"/>
    <col min="16129" max="16129" width="34.42578125" style="203" customWidth="1"/>
    <col min="16130" max="16131" width="7.85546875" style="203" customWidth="1"/>
    <col min="16132" max="16132" width="10.5703125" style="203" customWidth="1"/>
    <col min="16133" max="16133" width="11.140625" style="203" customWidth="1"/>
    <col min="16134" max="16134" width="13.42578125" style="203" customWidth="1"/>
    <col min="16135" max="16135" width="12.5703125" style="203" customWidth="1"/>
    <col min="16136" max="16142" width="11.42578125" style="203" customWidth="1"/>
    <col min="16143" max="16143" width="10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1600</v>
      </c>
      <c r="C3" s="1159"/>
      <c r="D3" s="1159"/>
      <c r="E3" s="1160" t="s">
        <v>1467</v>
      </c>
      <c r="F3" s="1160"/>
      <c r="G3" s="1161" t="s">
        <v>1601</v>
      </c>
      <c r="H3" s="1161"/>
      <c r="I3" s="1162" t="s">
        <v>5</v>
      </c>
      <c r="J3" s="1162"/>
      <c r="K3" s="509">
        <v>428.77600000000001</v>
      </c>
      <c r="L3" s="1160" t="s">
        <v>1469</v>
      </c>
      <c r="M3" s="1160"/>
      <c r="N3" s="509"/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1602</v>
      </c>
      <c r="C5" s="1159"/>
      <c r="D5" s="1159"/>
      <c r="E5" s="1163" t="s">
        <v>1471</v>
      </c>
      <c r="F5" s="1164"/>
      <c r="G5" s="1159" t="s">
        <v>1603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1604</v>
      </c>
      <c r="C7" s="1159"/>
      <c r="D7" s="1159"/>
      <c r="E7" s="1165" t="s">
        <v>1475</v>
      </c>
      <c r="F7" s="1166"/>
      <c r="G7" s="1159" t="s">
        <v>1605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1606</v>
      </c>
      <c r="C10" s="1159"/>
      <c r="D10" s="1159"/>
      <c r="E10" s="1176" t="s">
        <v>1607</v>
      </c>
      <c r="F10" s="1177"/>
      <c r="G10" s="1177"/>
      <c r="H10" s="1177"/>
      <c r="I10" s="1177"/>
      <c r="J10" s="1178"/>
      <c r="K10" s="1159"/>
      <c r="L10" s="1159"/>
      <c r="M10" s="1159"/>
    </row>
    <row r="11" spans="1:14" ht="25.5" customHeight="1">
      <c r="A11" s="204" t="s">
        <v>840</v>
      </c>
      <c r="B11" s="1176"/>
      <c r="C11" s="1177"/>
      <c r="D11" s="1178"/>
      <c r="E11" s="1176" t="s">
        <v>1608</v>
      </c>
      <c r="F11" s="1177"/>
      <c r="G11" s="1177"/>
      <c r="H11" s="1177"/>
      <c r="I11" s="1177"/>
      <c r="J11" s="1178"/>
      <c r="K11" s="1159"/>
      <c r="L11" s="1159"/>
      <c r="M11" s="1159"/>
    </row>
    <row r="12" spans="1:14" ht="25.5" customHeight="1">
      <c r="A12" s="204" t="s">
        <v>844</v>
      </c>
      <c r="B12" s="1176"/>
      <c r="C12" s="1177"/>
      <c r="D12" s="1178"/>
      <c r="E12" s="1167" t="s">
        <v>1609</v>
      </c>
      <c r="F12" s="1168"/>
      <c r="G12" s="1168"/>
      <c r="H12" s="1168"/>
      <c r="I12" s="1168"/>
      <c r="J12" s="1169"/>
      <c r="K12" s="1159"/>
      <c r="L12" s="1159"/>
      <c r="M12" s="1159"/>
    </row>
    <row r="13" spans="1:14" ht="25.5" customHeight="1">
      <c r="A13" s="204" t="s">
        <v>420</v>
      </c>
      <c r="B13" s="1159"/>
      <c r="C13" s="1159"/>
      <c r="D13" s="1159"/>
      <c r="E13" s="1176" t="s">
        <v>1602</v>
      </c>
      <c r="F13" s="1177"/>
      <c r="G13" s="1177"/>
      <c r="H13" s="1177"/>
      <c r="I13" s="1177"/>
      <c r="J13" s="1178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2</v>
      </c>
      <c r="C15" s="1170" t="s">
        <v>1490</v>
      </c>
      <c r="D15" s="1166"/>
      <c r="E15" s="1171"/>
      <c r="F15" s="509">
        <v>1</v>
      </c>
      <c r="G15" s="203" t="s">
        <v>1491</v>
      </c>
      <c r="H15" s="509">
        <v>12</v>
      </c>
      <c r="I15" s="203" t="s">
        <v>1492</v>
      </c>
      <c r="J15" s="509">
        <v>0</v>
      </c>
      <c r="K15" s="203" t="s">
        <v>1493</v>
      </c>
      <c r="L15" s="509">
        <v>3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25</v>
      </c>
      <c r="D17" s="203" t="s">
        <v>205</v>
      </c>
      <c r="E17" s="509">
        <v>130</v>
      </c>
      <c r="F17" s="203" t="s">
        <v>206</v>
      </c>
      <c r="G17" s="509">
        <v>32</v>
      </c>
      <c r="H17" s="203" t="s">
        <v>230</v>
      </c>
      <c r="I17" s="509">
        <v>187</v>
      </c>
      <c r="J17" s="203" t="s">
        <v>207</v>
      </c>
      <c r="K17" s="509">
        <v>106</v>
      </c>
      <c r="L17" s="1170" t="s">
        <v>855</v>
      </c>
      <c r="M17" s="1171"/>
      <c r="N17" s="509">
        <v>14</v>
      </c>
    </row>
    <row r="18" spans="1:14" ht="20.25" customHeight="1">
      <c r="A18" s="203" t="s">
        <v>209</v>
      </c>
      <c r="B18" s="203" t="s">
        <v>210</v>
      </c>
      <c r="C18" s="509">
        <v>83</v>
      </c>
      <c r="D18" s="203" t="s">
        <v>211</v>
      </c>
      <c r="E18" s="509">
        <v>293</v>
      </c>
      <c r="F18" s="203" t="s">
        <v>212</v>
      </c>
      <c r="G18" s="509">
        <v>80</v>
      </c>
      <c r="H18" s="203" t="s">
        <v>411</v>
      </c>
      <c r="I18" s="509">
        <v>456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74</v>
      </c>
      <c r="D19" s="203" t="s">
        <v>214</v>
      </c>
      <c r="E19" s="509">
        <v>283</v>
      </c>
      <c r="F19" s="203" t="s">
        <v>1494</v>
      </c>
      <c r="G19" s="509">
        <v>77</v>
      </c>
      <c r="H19" s="203" t="s">
        <v>410</v>
      </c>
      <c r="I19" s="509">
        <v>434</v>
      </c>
      <c r="K19" s="205"/>
      <c r="L19" s="1162"/>
      <c r="M19" s="1162"/>
      <c r="N19" s="205"/>
    </row>
    <row r="20" spans="1:14">
      <c r="A20" s="206" t="s">
        <v>216</v>
      </c>
      <c r="M20" s="210"/>
      <c r="N20" s="205"/>
    </row>
    <row r="21" spans="1:14">
      <c r="N21" s="205"/>
    </row>
    <row r="22" spans="1:14">
      <c r="A22" s="1182" t="s">
        <v>217</v>
      </c>
      <c r="B22" s="1174" t="s">
        <v>1495</v>
      </c>
      <c r="C22" s="1175" t="s">
        <v>219</v>
      </c>
      <c r="D22" s="1174" t="s">
        <v>1496</v>
      </c>
      <c r="E22" s="1174" t="s">
        <v>1497</v>
      </c>
      <c r="F22" s="1174" t="s">
        <v>1498</v>
      </c>
      <c r="G22" s="1174"/>
      <c r="H22" s="1174"/>
      <c r="I22" s="1174"/>
      <c r="J22" s="1174"/>
      <c r="K22" s="1174"/>
      <c r="L22" s="1174"/>
      <c r="M22" s="1174"/>
      <c r="N22" s="1174"/>
    </row>
    <row r="23" spans="1:14">
      <c r="A23" s="1183"/>
      <c r="B23" s="1174"/>
      <c r="C23" s="1175"/>
      <c r="D23" s="1174"/>
      <c r="E23" s="1174"/>
      <c r="F23" s="512" t="s">
        <v>224</v>
      </c>
      <c r="G23" s="512" t="s">
        <v>225</v>
      </c>
      <c r="H23" s="512" t="s">
        <v>226</v>
      </c>
      <c r="I23" s="512" t="s">
        <v>227</v>
      </c>
      <c r="J23" s="512" t="s">
        <v>228</v>
      </c>
      <c r="K23" s="512" t="s">
        <v>229</v>
      </c>
      <c r="L23" s="512" t="s">
        <v>1499</v>
      </c>
      <c r="M23" s="512" t="s">
        <v>230</v>
      </c>
      <c r="N23" s="512" t="s">
        <v>231</v>
      </c>
    </row>
    <row r="24" spans="1:14">
      <c r="A24" s="204" t="s">
        <v>232</v>
      </c>
      <c r="B24" s="204">
        <v>8000</v>
      </c>
      <c r="C24" s="204" t="s">
        <v>1500</v>
      </c>
      <c r="D24" s="597">
        <v>34.302079999999997</v>
      </c>
      <c r="E24" s="597">
        <v>34.299999999999997</v>
      </c>
      <c r="F24" s="597">
        <v>0</v>
      </c>
      <c r="G24" s="597">
        <v>3.4289399999999999</v>
      </c>
      <c r="H24" s="597">
        <v>13.824389999999999</v>
      </c>
      <c r="I24" s="597">
        <v>5.6551999999999998</v>
      </c>
      <c r="J24" s="597">
        <v>8.6116200000000003</v>
      </c>
      <c r="K24" s="597">
        <v>0</v>
      </c>
      <c r="L24" s="597">
        <v>0</v>
      </c>
      <c r="M24" s="207">
        <v>31.520150000000001</v>
      </c>
      <c r="N24" s="207">
        <v>91.89548104956269</v>
      </c>
    </row>
    <row r="25" spans="1:14">
      <c r="A25" s="204" t="s">
        <v>234</v>
      </c>
      <c r="B25" s="204">
        <v>7000</v>
      </c>
      <c r="C25" s="204" t="s">
        <v>1500</v>
      </c>
      <c r="D25" s="597">
        <v>4.8022912</v>
      </c>
      <c r="E25" s="597">
        <v>0</v>
      </c>
      <c r="F25" s="597">
        <v>0</v>
      </c>
      <c r="G25" s="597">
        <v>0</v>
      </c>
      <c r="H25" s="597">
        <v>0</v>
      </c>
      <c r="I25" s="597">
        <v>0</v>
      </c>
      <c r="J25" s="597">
        <v>0</v>
      </c>
      <c r="K25" s="597">
        <v>0</v>
      </c>
      <c r="L25" s="597">
        <v>0</v>
      </c>
      <c r="M25" s="207">
        <v>0</v>
      </c>
      <c r="N25" s="207">
        <v>0</v>
      </c>
    </row>
    <row r="26" spans="1:14">
      <c r="A26" s="204" t="s">
        <v>235</v>
      </c>
      <c r="B26" s="204">
        <v>43000</v>
      </c>
      <c r="C26" s="204" t="s">
        <v>236</v>
      </c>
      <c r="D26" s="597">
        <v>0.43</v>
      </c>
      <c r="E26" s="597">
        <v>0.43</v>
      </c>
      <c r="F26" s="597">
        <v>0</v>
      </c>
      <c r="G26" s="597">
        <v>0</v>
      </c>
      <c r="H26" s="597">
        <v>0</v>
      </c>
      <c r="I26" s="597">
        <v>0.15090000000000001</v>
      </c>
      <c r="J26" s="597">
        <v>0.1</v>
      </c>
      <c r="K26" s="597">
        <v>5.4100000000000002E-2</v>
      </c>
      <c r="L26" s="597">
        <v>0</v>
      </c>
      <c r="M26" s="207">
        <v>0.30499999999999999</v>
      </c>
      <c r="N26" s="207">
        <v>70.930232558139537</v>
      </c>
    </row>
    <row r="27" spans="1:14">
      <c r="A27" s="204" t="s">
        <v>1501</v>
      </c>
      <c r="B27" s="204">
        <v>37000</v>
      </c>
      <c r="C27" s="204" t="s">
        <v>236</v>
      </c>
      <c r="D27" s="597">
        <v>0.34</v>
      </c>
      <c r="E27" s="597">
        <v>0.34</v>
      </c>
      <c r="F27" s="597">
        <v>0</v>
      </c>
      <c r="G27" s="597">
        <v>0</v>
      </c>
      <c r="H27" s="597">
        <v>0</v>
      </c>
      <c r="I27" s="597">
        <v>0.11914</v>
      </c>
      <c r="J27" s="597">
        <v>2.9000000000000001E-2</v>
      </c>
      <c r="K27" s="597">
        <v>0</v>
      </c>
      <c r="L27" s="597">
        <v>0</v>
      </c>
      <c r="M27" s="207">
        <v>0.14813999999999999</v>
      </c>
      <c r="N27" s="207">
        <v>43.57058823529411</v>
      </c>
    </row>
    <row r="28" spans="1:14">
      <c r="A28" s="204" t="s">
        <v>238</v>
      </c>
      <c r="B28" s="204">
        <v>1200</v>
      </c>
      <c r="C28" s="204" t="s">
        <v>1500</v>
      </c>
      <c r="D28" s="597">
        <v>5.1453120000000006</v>
      </c>
      <c r="E28" s="597">
        <v>5.1452400000000003</v>
      </c>
      <c r="F28" s="597">
        <v>0</v>
      </c>
      <c r="G28" s="597">
        <v>0.50039999999999996</v>
      </c>
      <c r="H28" s="597">
        <v>0.54564999999999997</v>
      </c>
      <c r="I28" s="597">
        <v>0.216</v>
      </c>
      <c r="J28" s="597">
        <v>1.66</v>
      </c>
      <c r="K28" s="597">
        <v>0</v>
      </c>
      <c r="L28" s="597">
        <v>0</v>
      </c>
      <c r="M28" s="207">
        <v>2.9220499999999996</v>
      </c>
      <c r="N28" s="207">
        <v>56.79132557470593</v>
      </c>
    </row>
    <row r="29" spans="1:14">
      <c r="A29" s="204" t="s">
        <v>1502</v>
      </c>
      <c r="B29" s="204">
        <v>565</v>
      </c>
      <c r="C29" s="204" t="s">
        <v>1500</v>
      </c>
      <c r="D29" s="597">
        <v>2.4225843999999999</v>
      </c>
      <c r="E29" s="597">
        <v>2.2818200000000002</v>
      </c>
      <c r="F29" s="597">
        <v>0</v>
      </c>
      <c r="G29" s="597">
        <v>0.1</v>
      </c>
      <c r="H29" s="597">
        <v>0.28000000000000003</v>
      </c>
      <c r="I29" s="597">
        <v>1.9018200000000001</v>
      </c>
      <c r="J29" s="597">
        <v>0</v>
      </c>
      <c r="K29" s="597">
        <v>0</v>
      </c>
      <c r="L29" s="597">
        <v>0</v>
      </c>
      <c r="M29" s="207">
        <v>2.2818200000000002</v>
      </c>
      <c r="N29" s="207">
        <v>100</v>
      </c>
    </row>
    <row r="30" spans="1:14">
      <c r="A30" s="204" t="s">
        <v>1503</v>
      </c>
      <c r="B30" s="204">
        <v>1000</v>
      </c>
      <c r="C30" s="204" t="s">
        <v>1500</v>
      </c>
      <c r="D30" s="597">
        <v>4.2877599999999996</v>
      </c>
      <c r="E30" s="597">
        <v>4.2877599999999996</v>
      </c>
      <c r="F30" s="597">
        <v>0</v>
      </c>
      <c r="G30" s="597">
        <v>0</v>
      </c>
      <c r="H30" s="597">
        <v>0</v>
      </c>
      <c r="I30" s="597">
        <v>0</v>
      </c>
      <c r="J30" s="597">
        <v>0</v>
      </c>
      <c r="K30" s="597">
        <v>0</v>
      </c>
      <c r="L30" s="597">
        <v>0</v>
      </c>
      <c r="M30" s="207">
        <v>0</v>
      </c>
      <c r="N30" s="207">
        <v>0</v>
      </c>
    </row>
    <row r="31" spans="1:14">
      <c r="A31" s="204" t="s">
        <v>607</v>
      </c>
      <c r="B31" s="204">
        <v>2750</v>
      </c>
      <c r="C31" s="204" t="s">
        <v>242</v>
      </c>
      <c r="D31" s="597">
        <v>1.75</v>
      </c>
      <c r="E31" s="597">
        <v>1.5443499999999999</v>
      </c>
      <c r="F31" s="597">
        <v>0</v>
      </c>
      <c r="G31" s="597">
        <v>0.13413</v>
      </c>
      <c r="H31" s="597">
        <v>0.22600000000000001</v>
      </c>
      <c r="I31" s="597">
        <v>0.12744</v>
      </c>
      <c r="J31" s="597">
        <v>0.03</v>
      </c>
      <c r="K31" s="597">
        <v>0</v>
      </c>
      <c r="L31" s="597">
        <v>0</v>
      </c>
      <c r="M31" s="207">
        <v>0.51756999999999997</v>
      </c>
      <c r="N31" s="207">
        <v>33.51377602227474</v>
      </c>
    </row>
    <row r="32" spans="1:14">
      <c r="A32" s="204" t="s">
        <v>243</v>
      </c>
      <c r="B32" s="204">
        <v>10000</v>
      </c>
      <c r="C32" s="204" t="s">
        <v>244</v>
      </c>
      <c r="D32" s="597">
        <v>0</v>
      </c>
      <c r="E32" s="597">
        <v>0</v>
      </c>
      <c r="F32" s="597">
        <v>0</v>
      </c>
      <c r="G32" s="597">
        <v>0</v>
      </c>
      <c r="H32" s="597">
        <v>0</v>
      </c>
      <c r="I32" s="597">
        <v>0</v>
      </c>
      <c r="J32" s="597">
        <v>0</v>
      </c>
      <c r="K32" s="597">
        <v>0</v>
      </c>
      <c r="L32" s="597">
        <v>0</v>
      </c>
      <c r="M32" s="207">
        <v>0</v>
      </c>
      <c r="N32" s="207">
        <v>0</v>
      </c>
    </row>
    <row r="33" spans="1:14">
      <c r="A33" s="208" t="s">
        <v>230</v>
      </c>
      <c r="B33" s="208"/>
      <c r="C33" s="208"/>
      <c r="D33" s="209">
        <v>53.480027599999993</v>
      </c>
      <c r="E33" s="209">
        <v>48.329170000000005</v>
      </c>
      <c r="F33" s="209">
        <v>0</v>
      </c>
      <c r="G33" s="209">
        <v>4.1634700000000002</v>
      </c>
      <c r="H33" s="209">
        <v>14.87604</v>
      </c>
      <c r="I33" s="209">
        <v>8.1704999999999988</v>
      </c>
      <c r="J33" s="209">
        <v>10.430619999999999</v>
      </c>
      <c r="K33" s="209">
        <v>5.4100000000000002E-2</v>
      </c>
      <c r="L33" s="209">
        <v>0</v>
      </c>
      <c r="M33" s="209">
        <v>37.69473</v>
      </c>
      <c r="N33" s="207"/>
    </row>
  </sheetData>
  <mergeCells count="35">
    <mergeCell ref="A4:C4"/>
    <mergeCell ref="C15:E15"/>
    <mergeCell ref="L17:M17"/>
    <mergeCell ref="L18:M18"/>
    <mergeCell ref="L19:M19"/>
    <mergeCell ref="A22:A23"/>
    <mergeCell ref="B22:B23"/>
    <mergeCell ref="C22:C23"/>
    <mergeCell ref="D22:D23"/>
    <mergeCell ref="E22:E23"/>
    <mergeCell ref="F22:N22"/>
    <mergeCell ref="B12:D12"/>
    <mergeCell ref="E12:J12"/>
    <mergeCell ref="K12:M12"/>
    <mergeCell ref="B13:D13"/>
    <mergeCell ref="E13:J13"/>
    <mergeCell ref="K13:M13"/>
    <mergeCell ref="B10:D10"/>
    <mergeCell ref="E10:J10"/>
    <mergeCell ref="K10:M10"/>
    <mergeCell ref="B11:D11"/>
    <mergeCell ref="E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19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4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10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10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10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10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10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10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10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10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10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10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10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10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10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10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10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10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10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10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10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10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10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10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10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10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10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10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10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10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10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10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10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10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10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10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10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10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10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10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10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10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10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10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10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10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10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10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10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10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10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10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10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10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10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10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10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10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10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10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10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10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10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10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10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10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154</v>
      </c>
      <c r="C3" s="1159"/>
      <c r="D3" s="1159"/>
      <c r="E3" s="1160" t="s">
        <v>1467</v>
      </c>
      <c r="F3" s="1160"/>
      <c r="G3" s="1161" t="s">
        <v>1610</v>
      </c>
      <c r="H3" s="1161"/>
      <c r="I3" s="1162" t="s">
        <v>5</v>
      </c>
      <c r="J3" s="1162"/>
      <c r="K3" s="509">
        <v>271.52</v>
      </c>
      <c r="L3" s="1160" t="s">
        <v>1469</v>
      </c>
      <c r="M3" s="1160"/>
      <c r="N3" s="509">
        <v>43.44</v>
      </c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1611</v>
      </c>
      <c r="C5" s="1159"/>
      <c r="D5" s="1159"/>
      <c r="E5" s="1163" t="s">
        <v>1471</v>
      </c>
      <c r="F5" s="1164"/>
      <c r="G5" s="1159" t="s">
        <v>1516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1612</v>
      </c>
      <c r="C7" s="1159"/>
      <c r="D7" s="1159"/>
      <c r="E7" s="1165" t="s">
        <v>1475</v>
      </c>
      <c r="F7" s="1166"/>
      <c r="G7" s="1159" t="s">
        <v>1613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1240</v>
      </c>
      <c r="C10" s="1159"/>
      <c r="D10" s="1159"/>
      <c r="E10" s="1159" t="s">
        <v>1614</v>
      </c>
      <c r="F10" s="1159"/>
      <c r="G10" s="1159"/>
      <c r="H10" s="1159" t="s">
        <v>1615</v>
      </c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59" t="s">
        <v>1616</v>
      </c>
      <c r="C11" s="1159"/>
      <c r="D11" s="1159"/>
      <c r="E11" s="1159" t="s">
        <v>1617</v>
      </c>
      <c r="F11" s="1159"/>
      <c r="G11" s="1159"/>
      <c r="H11" s="1159" t="s">
        <v>1618</v>
      </c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67" t="s">
        <v>1619</v>
      </c>
      <c r="C12" s="1168"/>
      <c r="D12" s="1169"/>
      <c r="E12" s="1159" t="s">
        <v>1620</v>
      </c>
      <c r="F12" s="1159"/>
      <c r="G12" s="1159"/>
      <c r="H12" s="1159"/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59" t="s">
        <v>1621</v>
      </c>
      <c r="C13" s="1159"/>
      <c r="D13" s="1159"/>
      <c r="E13" s="1159" t="s">
        <v>1622</v>
      </c>
      <c r="F13" s="1159"/>
      <c r="G13" s="1159"/>
      <c r="H13" s="1159" t="s">
        <v>1623</v>
      </c>
      <c r="I13" s="1159"/>
      <c r="J13" s="1159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5</v>
      </c>
      <c r="C15" s="1170" t="s">
        <v>1490</v>
      </c>
      <c r="D15" s="1166"/>
      <c r="E15" s="1171"/>
      <c r="F15" s="509">
        <v>4</v>
      </c>
      <c r="G15" s="203" t="s">
        <v>1491</v>
      </c>
      <c r="H15" s="509">
        <v>4</v>
      </c>
      <c r="I15" s="203" t="s">
        <v>1492</v>
      </c>
      <c r="J15" s="509">
        <v>3</v>
      </c>
      <c r="K15" s="203" t="s">
        <v>1493</v>
      </c>
      <c r="L15" s="509">
        <v>8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70</v>
      </c>
      <c r="D17" s="203" t="s">
        <v>205</v>
      </c>
      <c r="E17" s="509">
        <v>0</v>
      </c>
      <c r="F17" s="203" t="s">
        <v>206</v>
      </c>
      <c r="G17" s="509">
        <v>0</v>
      </c>
      <c r="H17" s="203" t="s">
        <v>230</v>
      </c>
      <c r="I17" s="509">
        <v>70</v>
      </c>
      <c r="J17" s="203" t="s">
        <v>207</v>
      </c>
      <c r="K17" s="509">
        <v>21</v>
      </c>
      <c r="L17" s="1170" t="s">
        <v>855</v>
      </c>
      <c r="M17" s="1171"/>
      <c r="N17" s="509">
        <v>16</v>
      </c>
    </row>
    <row r="18" spans="1:14" ht="20.25" customHeight="1">
      <c r="A18" s="203" t="s">
        <v>209</v>
      </c>
      <c r="B18" s="203" t="s">
        <v>210</v>
      </c>
      <c r="C18" s="509">
        <v>138</v>
      </c>
      <c r="D18" s="203" t="s">
        <v>211</v>
      </c>
      <c r="E18" s="509">
        <v>0</v>
      </c>
      <c r="F18" s="203" t="s">
        <v>212</v>
      </c>
      <c r="G18" s="509">
        <v>0</v>
      </c>
      <c r="H18" s="203" t="s">
        <v>411</v>
      </c>
      <c r="I18" s="509">
        <v>0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150</v>
      </c>
      <c r="D19" s="203" t="s">
        <v>214</v>
      </c>
      <c r="E19" s="509">
        <v>0</v>
      </c>
      <c r="F19" s="203" t="s">
        <v>1494</v>
      </c>
      <c r="G19" s="509">
        <v>0</v>
      </c>
      <c r="H19" s="203" t="s">
        <v>410</v>
      </c>
      <c r="I19" s="509">
        <v>0</v>
      </c>
      <c r="K19" s="205"/>
      <c r="L19" s="1162"/>
      <c r="M19" s="1162"/>
      <c r="N19" s="205"/>
    </row>
    <row r="20" spans="1:14">
      <c r="A20" s="206" t="s">
        <v>216</v>
      </c>
      <c r="N20" s="205"/>
    </row>
    <row r="21" spans="1:14">
      <c r="N21" s="205"/>
    </row>
    <row r="22" spans="1:14">
      <c r="N22" s="205"/>
    </row>
    <row r="23" spans="1:14">
      <c r="A23" s="1182" t="s">
        <v>217</v>
      </c>
      <c r="B23" s="1174" t="s">
        <v>1495</v>
      </c>
      <c r="C23" s="1175" t="s">
        <v>219</v>
      </c>
      <c r="D23" s="1174" t="s">
        <v>1496</v>
      </c>
      <c r="E23" s="1174" t="s">
        <v>1497</v>
      </c>
      <c r="F23" s="1174" t="s">
        <v>1498</v>
      </c>
      <c r="G23" s="1174"/>
      <c r="H23" s="1174"/>
      <c r="I23" s="1174"/>
      <c r="J23" s="1174"/>
      <c r="K23" s="1174"/>
      <c r="L23" s="1174"/>
      <c r="M23" s="1174"/>
      <c r="N23" s="1174"/>
    </row>
    <row r="24" spans="1:14">
      <c r="A24" s="1183"/>
      <c r="B24" s="1174"/>
      <c r="C24" s="1175"/>
      <c r="D24" s="1174"/>
      <c r="E24" s="1174"/>
      <c r="F24" s="512" t="s">
        <v>224</v>
      </c>
      <c r="G24" s="512" t="s">
        <v>225</v>
      </c>
      <c r="H24" s="512" t="s">
        <v>226</v>
      </c>
      <c r="I24" s="512" t="s">
        <v>227</v>
      </c>
      <c r="J24" s="512" t="s">
        <v>228</v>
      </c>
      <c r="K24" s="512" t="s">
        <v>229</v>
      </c>
      <c r="L24" s="512" t="s">
        <v>1499</v>
      </c>
      <c r="M24" s="512" t="s">
        <v>230</v>
      </c>
      <c r="N24" s="512" t="s">
        <v>231</v>
      </c>
    </row>
    <row r="25" spans="1:14">
      <c r="A25" s="204" t="s">
        <v>232</v>
      </c>
      <c r="B25" s="204">
        <v>8000</v>
      </c>
      <c r="C25" s="204" t="s">
        <v>1500</v>
      </c>
      <c r="D25" s="597">
        <v>21.721599999999999</v>
      </c>
      <c r="E25" s="597">
        <v>21.72128</v>
      </c>
      <c r="F25" s="597">
        <v>0</v>
      </c>
      <c r="G25" s="597">
        <v>3.3201649999999998</v>
      </c>
      <c r="H25" s="597">
        <v>13.279909999999999</v>
      </c>
      <c r="I25" s="597">
        <v>3</v>
      </c>
      <c r="J25" s="597">
        <v>1.99</v>
      </c>
      <c r="K25" s="597">
        <v>0.27113999999999999</v>
      </c>
      <c r="L25" s="597">
        <v>0</v>
      </c>
      <c r="M25" s="207">
        <v>21.861214999999998</v>
      </c>
      <c r="N25" s="207">
        <v>100.64422999012947</v>
      </c>
    </row>
    <row r="26" spans="1:14">
      <c r="A26" s="204" t="s">
        <v>234</v>
      </c>
      <c r="B26" s="204">
        <v>7000</v>
      </c>
      <c r="C26" s="204" t="s">
        <v>1500</v>
      </c>
      <c r="D26" s="597">
        <v>3.0410240000000002</v>
      </c>
      <c r="E26" s="597">
        <v>3.0407999999999999</v>
      </c>
      <c r="F26" s="597">
        <v>0</v>
      </c>
      <c r="G26" s="597">
        <v>0</v>
      </c>
      <c r="H26" s="597">
        <v>0</v>
      </c>
      <c r="I26" s="597">
        <v>0</v>
      </c>
      <c r="J26" s="597">
        <v>1.84779</v>
      </c>
      <c r="K26" s="597">
        <v>1.1930099999999999</v>
      </c>
      <c r="L26" s="597">
        <v>0</v>
      </c>
      <c r="M26" s="207">
        <v>3.0407999999999999</v>
      </c>
      <c r="N26" s="207">
        <v>100</v>
      </c>
    </row>
    <row r="27" spans="1:14">
      <c r="A27" s="204" t="s">
        <v>235</v>
      </c>
      <c r="B27" s="204">
        <v>43000</v>
      </c>
      <c r="C27" s="204" t="s">
        <v>236</v>
      </c>
      <c r="D27" s="597">
        <v>0.43</v>
      </c>
      <c r="E27" s="597">
        <v>0.43</v>
      </c>
      <c r="F27" s="597">
        <v>0</v>
      </c>
      <c r="G27" s="597">
        <v>0</v>
      </c>
      <c r="H27" s="597">
        <v>0.17419999999999999</v>
      </c>
      <c r="I27" s="597">
        <v>6.59E-2</v>
      </c>
      <c r="J27" s="597">
        <v>0.18890000000000001</v>
      </c>
      <c r="K27" s="597">
        <v>7.2499999999999995E-2</v>
      </c>
      <c r="L27" s="597">
        <v>0</v>
      </c>
      <c r="M27" s="207">
        <v>0.50149999999999995</v>
      </c>
      <c r="N27" s="207">
        <v>116.62790697674417</v>
      </c>
    </row>
    <row r="28" spans="1:14">
      <c r="A28" s="204" t="s">
        <v>1501</v>
      </c>
      <c r="B28" s="204">
        <v>37000</v>
      </c>
      <c r="C28" s="204" t="s">
        <v>236</v>
      </c>
      <c r="D28" s="597">
        <v>0.34</v>
      </c>
      <c r="E28" s="597">
        <v>0.34</v>
      </c>
      <c r="F28" s="597">
        <v>0</v>
      </c>
      <c r="G28" s="597">
        <v>0</v>
      </c>
      <c r="H28" s="597">
        <v>0</v>
      </c>
      <c r="I28" s="597">
        <v>0.11914</v>
      </c>
      <c r="J28" s="597">
        <v>7.9000000000000001E-2</v>
      </c>
      <c r="K28" s="597">
        <v>0</v>
      </c>
      <c r="L28" s="597">
        <v>0</v>
      </c>
      <c r="M28" s="207">
        <v>0.19813999999999998</v>
      </c>
      <c r="N28" s="207">
        <v>58.276470588235284</v>
      </c>
    </row>
    <row r="29" spans="1:14">
      <c r="A29" s="204" t="s">
        <v>238</v>
      </c>
      <c r="B29" s="204">
        <v>1200</v>
      </c>
      <c r="C29" s="204" t="s">
        <v>1500</v>
      </c>
      <c r="D29" s="597">
        <v>3.2582399999999998</v>
      </c>
      <c r="E29" s="597">
        <v>3.2582399999999998</v>
      </c>
      <c r="F29" s="597">
        <v>0</v>
      </c>
      <c r="G29" s="597">
        <v>0.29482000000000003</v>
      </c>
      <c r="H29" s="597">
        <v>1.194</v>
      </c>
      <c r="I29" s="597">
        <v>1.30064</v>
      </c>
      <c r="J29" s="597">
        <v>0.18</v>
      </c>
      <c r="K29" s="597">
        <v>0.497</v>
      </c>
      <c r="L29" s="597">
        <v>0</v>
      </c>
      <c r="M29" s="207">
        <v>3.4664600000000001</v>
      </c>
      <c r="N29" s="207">
        <v>106.39056668630917</v>
      </c>
    </row>
    <row r="30" spans="1:14">
      <c r="A30" s="204" t="s">
        <v>1502</v>
      </c>
      <c r="B30" s="204">
        <v>565</v>
      </c>
      <c r="C30" s="204" t="s">
        <v>1500</v>
      </c>
      <c r="D30" s="597">
        <v>1.5340879999999999</v>
      </c>
      <c r="E30" s="597">
        <v>1.4740800000000001</v>
      </c>
      <c r="F30" s="597">
        <v>0</v>
      </c>
      <c r="G30" s="597">
        <v>0</v>
      </c>
      <c r="H30" s="597">
        <v>1.0628</v>
      </c>
      <c r="I30" s="597">
        <v>0.41127999999999998</v>
      </c>
      <c r="J30" s="597">
        <v>0</v>
      </c>
      <c r="K30" s="597">
        <v>0</v>
      </c>
      <c r="L30" s="597">
        <v>0</v>
      </c>
      <c r="M30" s="207">
        <v>1.4740799999999998</v>
      </c>
      <c r="N30" s="207">
        <v>99.999999999999986</v>
      </c>
    </row>
    <row r="31" spans="1:14">
      <c r="A31" s="204" t="s">
        <v>1503</v>
      </c>
      <c r="B31" s="204">
        <v>1000</v>
      </c>
      <c r="C31" s="204" t="s">
        <v>1500</v>
      </c>
      <c r="D31" s="597">
        <v>2.7151999999999998</v>
      </c>
      <c r="E31" s="597">
        <v>2.7151999999999998</v>
      </c>
      <c r="F31" s="597">
        <v>0</v>
      </c>
      <c r="G31" s="597">
        <v>0</v>
      </c>
      <c r="H31" s="597">
        <v>0</v>
      </c>
      <c r="I31" s="597">
        <v>0</v>
      </c>
      <c r="J31" s="597">
        <v>0.85</v>
      </c>
      <c r="K31" s="597">
        <v>0.35749999999999998</v>
      </c>
      <c r="L31" s="597">
        <v>0</v>
      </c>
      <c r="M31" s="207">
        <v>1.2075</v>
      </c>
      <c r="N31" s="207">
        <v>44.471862109605183</v>
      </c>
    </row>
    <row r="32" spans="1:14">
      <c r="A32" s="204" t="s">
        <v>607</v>
      </c>
      <c r="B32" s="204">
        <v>2750</v>
      </c>
      <c r="C32" s="204" t="s">
        <v>242</v>
      </c>
      <c r="D32" s="597">
        <v>1.75</v>
      </c>
      <c r="E32" s="597">
        <v>1.3970400000000001</v>
      </c>
      <c r="F32" s="597">
        <v>0</v>
      </c>
      <c r="G32" s="597">
        <v>0.13398499999999999</v>
      </c>
      <c r="H32" s="597">
        <v>0.35804999999999998</v>
      </c>
      <c r="I32" s="597">
        <v>0.32067000000000001</v>
      </c>
      <c r="J32" s="597">
        <v>0.2959</v>
      </c>
      <c r="K32" s="597">
        <v>0.27539999999999998</v>
      </c>
      <c r="L32" s="597">
        <v>0</v>
      </c>
      <c r="M32" s="207">
        <v>1.3840050000000002</v>
      </c>
      <c r="N32" s="207">
        <v>99.066955849510393</v>
      </c>
    </row>
    <row r="33" spans="1:14">
      <c r="A33" s="204" t="s">
        <v>243</v>
      </c>
      <c r="B33" s="204">
        <v>10000</v>
      </c>
      <c r="C33" s="204" t="s">
        <v>244</v>
      </c>
      <c r="D33" s="597">
        <v>0</v>
      </c>
      <c r="E33" s="597">
        <v>0</v>
      </c>
      <c r="F33" s="597">
        <v>0</v>
      </c>
      <c r="G33" s="597">
        <v>0</v>
      </c>
      <c r="H33" s="597">
        <v>0</v>
      </c>
      <c r="I33" s="597">
        <v>0</v>
      </c>
      <c r="J33" s="597">
        <v>0</v>
      </c>
      <c r="K33" s="597">
        <v>0</v>
      </c>
      <c r="L33" s="597">
        <v>0</v>
      </c>
      <c r="M33" s="207">
        <v>0</v>
      </c>
      <c r="N33" s="207">
        <v>0</v>
      </c>
    </row>
    <row r="34" spans="1:14">
      <c r="A34" s="208" t="s">
        <v>230</v>
      </c>
      <c r="B34" s="208"/>
      <c r="C34" s="208"/>
      <c r="D34" s="209">
        <v>34.790151999999999</v>
      </c>
      <c r="E34" s="209">
        <v>34.376640000000002</v>
      </c>
      <c r="F34" s="209">
        <v>0</v>
      </c>
      <c r="G34" s="209">
        <v>3.7489699999999999</v>
      </c>
      <c r="H34" s="209">
        <v>16.068960000000001</v>
      </c>
      <c r="I34" s="209">
        <v>5.2176299999999998</v>
      </c>
      <c r="J34" s="209">
        <v>5.4315899999999999</v>
      </c>
      <c r="K34" s="209">
        <v>2.66655</v>
      </c>
      <c r="L34" s="209">
        <v>0</v>
      </c>
      <c r="M34" s="209">
        <v>33.133699999999997</v>
      </c>
      <c r="N34" s="207"/>
    </row>
  </sheetData>
  <mergeCells count="39">
    <mergeCell ref="A4:C4"/>
    <mergeCell ref="C15:E15"/>
    <mergeCell ref="L17:M17"/>
    <mergeCell ref="L18:M18"/>
    <mergeCell ref="L19:M19"/>
    <mergeCell ref="A23:A24"/>
    <mergeCell ref="B23:B24"/>
    <mergeCell ref="C23:C24"/>
    <mergeCell ref="D23:D24"/>
    <mergeCell ref="E23:E24"/>
    <mergeCell ref="F23:N23"/>
    <mergeCell ref="B12:D12"/>
    <mergeCell ref="E12:G12"/>
    <mergeCell ref="H12:J12"/>
    <mergeCell ref="K12:M12"/>
    <mergeCell ref="B13:D13"/>
    <mergeCell ref="E13:G13"/>
    <mergeCell ref="H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5692</v>
      </c>
      <c r="F4" t="s">
        <v>171</v>
      </c>
      <c r="H4" t="s">
        <v>5693</v>
      </c>
      <c r="J4" t="s">
        <v>172</v>
      </c>
      <c r="K4">
        <v>551</v>
      </c>
      <c r="L4" t="s">
        <v>173</v>
      </c>
      <c r="N4">
        <v>80</v>
      </c>
    </row>
    <row r="6" spans="1:14">
      <c r="A6" t="s">
        <v>174</v>
      </c>
      <c r="B6" t="s">
        <v>354</v>
      </c>
      <c r="F6" t="s">
        <v>176</v>
      </c>
      <c r="H6" t="s">
        <v>355</v>
      </c>
    </row>
    <row r="8" spans="1:14">
      <c r="A8" t="s">
        <v>178</v>
      </c>
      <c r="B8" t="s">
        <v>356</v>
      </c>
      <c r="F8" t="s">
        <v>180</v>
      </c>
      <c r="H8" t="s">
        <v>5694</v>
      </c>
    </row>
    <row r="11" spans="1:14">
      <c r="A11" t="s">
        <v>182</v>
      </c>
      <c r="B11" t="s">
        <v>357</v>
      </c>
      <c r="E11" t="s">
        <v>358</v>
      </c>
      <c r="H11" t="s">
        <v>359</v>
      </c>
    </row>
    <row r="12" spans="1:14">
      <c r="A12" t="s">
        <v>187</v>
      </c>
      <c r="B12" t="s">
        <v>321</v>
      </c>
      <c r="E12" t="s">
        <v>360</v>
      </c>
      <c r="H12" t="s">
        <v>361</v>
      </c>
    </row>
    <row r="13" spans="1:14">
      <c r="A13" t="s">
        <v>192</v>
      </c>
      <c r="B13" t="s">
        <v>362</v>
      </c>
      <c r="E13" t="s">
        <v>363</v>
      </c>
      <c r="H13" t="s">
        <v>364</v>
      </c>
    </row>
    <row r="14" spans="1:14">
      <c r="A14" t="s">
        <v>197</v>
      </c>
    </row>
    <row r="16" spans="1:14">
      <c r="A16" t="s">
        <v>198</v>
      </c>
      <c r="B16">
        <v>6</v>
      </c>
      <c r="C16" t="s">
        <v>199</v>
      </c>
      <c r="F16">
        <v>3</v>
      </c>
      <c r="G16" t="s">
        <v>200</v>
      </c>
      <c r="H16">
        <v>16</v>
      </c>
      <c r="I16" t="s">
        <v>201</v>
      </c>
      <c r="J16">
        <v>2</v>
      </c>
      <c r="K16" t="s">
        <v>202</v>
      </c>
      <c r="L16">
        <v>25</v>
      </c>
    </row>
    <row r="18" spans="1:14">
      <c r="A18" t="s">
        <v>203</v>
      </c>
      <c r="B18" t="s">
        <v>204</v>
      </c>
      <c r="C18">
        <v>122</v>
      </c>
      <c r="D18" t="s">
        <v>205</v>
      </c>
      <c r="E18">
        <v>58</v>
      </c>
      <c r="F18" t="s">
        <v>206</v>
      </c>
      <c r="G18">
        <v>10</v>
      </c>
      <c r="H18" t="s">
        <v>207</v>
      </c>
      <c r="I18">
        <v>15</v>
      </c>
      <c r="J18" t="s">
        <v>208</v>
      </c>
    </row>
    <row r="19" spans="1:14">
      <c r="A19" t="s">
        <v>209</v>
      </c>
      <c r="B19" t="s">
        <v>210</v>
      </c>
      <c r="C19">
        <v>355</v>
      </c>
      <c r="D19" t="s">
        <v>211</v>
      </c>
      <c r="E19">
        <v>164</v>
      </c>
      <c r="F19" t="s">
        <v>212</v>
      </c>
      <c r="G19">
        <v>21</v>
      </c>
    </row>
    <row r="20" spans="1:14">
      <c r="B20" t="s">
        <v>213</v>
      </c>
      <c r="C20">
        <v>286</v>
      </c>
      <c r="D20" t="s">
        <v>214</v>
      </c>
      <c r="E20">
        <v>142</v>
      </c>
      <c r="F20" t="s">
        <v>215</v>
      </c>
      <c r="G20">
        <v>14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44.08</v>
      </c>
      <c r="E26">
        <v>44.08</v>
      </c>
      <c r="H26">
        <v>5.9995099999999999</v>
      </c>
      <c r="I26">
        <v>17.623390000000001</v>
      </c>
      <c r="J26">
        <v>9.01004</v>
      </c>
      <c r="K26">
        <v>4.9274699999999996</v>
      </c>
      <c r="L26">
        <v>5.1022800000000004</v>
      </c>
      <c r="M26">
        <f>+F26+G26+H26+I26+J26+K26+L26</f>
        <v>42.662690000000005</v>
      </c>
      <c r="N26">
        <f>+M26/E26*100</f>
        <v>96.784686932849382</v>
      </c>
    </row>
    <row r="27" spans="1:14">
      <c r="A27" t="s">
        <v>234</v>
      </c>
      <c r="B27">
        <v>7000</v>
      </c>
      <c r="C27" t="s">
        <v>233</v>
      </c>
      <c r="D27">
        <v>5.6</v>
      </c>
      <c r="E27">
        <v>5</v>
      </c>
      <c r="I27">
        <v>2.4874700000000001</v>
      </c>
      <c r="J27">
        <v>1.62981</v>
      </c>
      <c r="K27">
        <v>0.84518000000000004</v>
      </c>
      <c r="L27">
        <v>8.3320000000000005E-2</v>
      </c>
      <c r="M27">
        <f t="shared" ref="M27:M34" si="0">+F27+G27+H27+I27+J27+K27+L27</f>
        <v>5.0457799999999997</v>
      </c>
      <c r="N27">
        <f t="shared" ref="N27:N35" si="1">+M27/E27*100</f>
        <v>100.9156</v>
      </c>
    </row>
    <row r="28" spans="1:14">
      <c r="A28" t="s">
        <v>235</v>
      </c>
      <c r="B28">
        <v>43000</v>
      </c>
      <c r="C28" t="s">
        <v>236</v>
      </c>
      <c r="D28">
        <v>0.47</v>
      </c>
      <c r="E28">
        <v>0.43</v>
      </c>
      <c r="J28">
        <v>0.19500000000000001</v>
      </c>
      <c r="K28">
        <v>9.393E-2</v>
      </c>
      <c r="L28">
        <v>0.16127</v>
      </c>
      <c r="M28">
        <f t="shared" si="0"/>
        <v>0.45020000000000004</v>
      </c>
      <c r="N28">
        <f t="shared" si="1"/>
        <v>104.69767441860466</v>
      </c>
    </row>
    <row r="29" spans="1:14">
      <c r="A29" t="s">
        <v>237</v>
      </c>
      <c r="B29">
        <v>37000</v>
      </c>
      <c r="C29" t="s">
        <v>236</v>
      </c>
      <c r="D29">
        <f>37000/100000</f>
        <v>0.37</v>
      </c>
      <c r="E29">
        <v>0.34</v>
      </c>
      <c r="I29">
        <v>0.12784000000000001</v>
      </c>
      <c r="J29">
        <v>3.5000000000000003E-2</v>
      </c>
      <c r="K29">
        <v>0.12937000000000001</v>
      </c>
      <c r="M29">
        <f t="shared" si="0"/>
        <v>0.29221000000000003</v>
      </c>
      <c r="N29">
        <f t="shared" si="1"/>
        <v>85.944117647058832</v>
      </c>
    </row>
    <row r="30" spans="1:14">
      <c r="A30" t="s">
        <v>238</v>
      </c>
      <c r="B30">
        <v>1200</v>
      </c>
      <c r="C30" t="s">
        <v>233</v>
      </c>
      <c r="D30">
        <f>+K4*B30/100000</f>
        <v>6.6120000000000001</v>
      </c>
      <c r="E30">
        <v>6.6120000000000001</v>
      </c>
      <c r="I30">
        <f>0.488+1.7375</f>
        <v>2.2255000000000003</v>
      </c>
      <c r="J30">
        <f>0.8724+4.88365</f>
        <v>5.7560500000000001</v>
      </c>
      <c r="K30">
        <f>0.16948+1.65818</f>
        <v>1.8276600000000001</v>
      </c>
      <c r="L30">
        <v>-3.1972100000000001</v>
      </c>
      <c r="M30">
        <f t="shared" si="0"/>
        <v>6.6120000000000001</v>
      </c>
      <c r="N30">
        <f t="shared" si="1"/>
        <v>100</v>
      </c>
    </row>
    <row r="31" spans="1:14">
      <c r="A31" t="s">
        <v>239</v>
      </c>
      <c r="B31">
        <v>565</v>
      </c>
      <c r="C31" t="s">
        <v>233</v>
      </c>
      <c r="D31">
        <v>2.83</v>
      </c>
      <c r="E31">
        <v>2.75</v>
      </c>
      <c r="I31">
        <v>0.625</v>
      </c>
      <c r="K31">
        <v>2.125</v>
      </c>
      <c r="M31">
        <f t="shared" si="0"/>
        <v>2.75</v>
      </c>
      <c r="N31">
        <f t="shared" si="1"/>
        <v>100</v>
      </c>
    </row>
    <row r="32" spans="1:14">
      <c r="A32" t="s">
        <v>240</v>
      </c>
      <c r="B32">
        <v>1000</v>
      </c>
      <c r="C32" t="s">
        <v>233</v>
      </c>
      <c r="D32">
        <f>+K4*B32/100000</f>
        <v>5.51</v>
      </c>
      <c r="E32">
        <v>5.51</v>
      </c>
      <c r="I32">
        <v>9.1950000000000004E-2</v>
      </c>
      <c r="J32">
        <v>0.25702999999999998</v>
      </c>
      <c r="K32">
        <f>0.08764+0.08727</f>
        <v>0.17491000000000001</v>
      </c>
      <c r="L32">
        <f>0.024+0.19063</f>
        <v>0.21462999999999999</v>
      </c>
      <c r="M32">
        <f t="shared" si="0"/>
        <v>0.73851999999999995</v>
      </c>
      <c r="N32">
        <f t="shared" si="1"/>
        <v>13.403266787658803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v>1.28</v>
      </c>
      <c r="H33">
        <v>0.2722</v>
      </c>
      <c r="I33">
        <v>0.31023000000000001</v>
      </c>
      <c r="J33">
        <v>0.26819999999999999</v>
      </c>
      <c r="K33">
        <v>0.18035000000000001</v>
      </c>
      <c r="L33">
        <v>6.7500000000000004E-2</v>
      </c>
      <c r="M33">
        <f t="shared" si="0"/>
        <v>1.0984799999999999</v>
      </c>
      <c r="N33">
        <f t="shared" si="1"/>
        <v>85.818749999999994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67.881999999999991</v>
      </c>
      <c r="E35">
        <f t="shared" ref="E35:M35" si="2">SUM(E26:E34)</f>
        <v>66.00200000000001</v>
      </c>
      <c r="F35">
        <f t="shared" si="2"/>
        <v>0</v>
      </c>
      <c r="G35">
        <f t="shared" si="2"/>
        <v>0</v>
      </c>
      <c r="H35">
        <f t="shared" si="2"/>
        <v>6.2717099999999997</v>
      </c>
      <c r="I35">
        <f t="shared" si="2"/>
        <v>23.491380000000003</v>
      </c>
      <c r="J35">
        <f t="shared" si="2"/>
        <v>17.151130000000002</v>
      </c>
      <c r="K35">
        <f t="shared" si="2"/>
        <v>10.30387</v>
      </c>
      <c r="L35">
        <f t="shared" si="2"/>
        <v>2.4317899999999999</v>
      </c>
      <c r="M35">
        <f t="shared" si="2"/>
        <v>59.64988000000001</v>
      </c>
      <c r="N35">
        <f t="shared" si="1"/>
        <v>90.375867397957649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533</v>
      </c>
      <c r="H6" t="s">
        <v>437</v>
      </c>
      <c r="K6" t="s">
        <v>5717</v>
      </c>
      <c r="R6" t="s">
        <v>172</v>
      </c>
      <c r="T6">
        <v>515</v>
      </c>
      <c r="U6" t="s">
        <v>436</v>
      </c>
      <c r="W6">
        <v>40</v>
      </c>
    </row>
    <row r="9" spans="1:23">
      <c r="A9" t="s">
        <v>435</v>
      </c>
      <c r="D9" t="s">
        <v>532</v>
      </c>
      <c r="H9" t="s">
        <v>176</v>
      </c>
      <c r="K9" t="s">
        <v>531</v>
      </c>
    </row>
    <row r="12" spans="1:23">
      <c r="A12" t="s">
        <v>432</v>
      </c>
      <c r="H12" t="s">
        <v>431</v>
      </c>
      <c r="K12" t="s">
        <v>530</v>
      </c>
    </row>
    <row r="13" spans="1:23">
      <c r="H13" t="s">
        <v>429</v>
      </c>
    </row>
    <row r="17" spans="1:24">
      <c r="A17" t="s">
        <v>428</v>
      </c>
      <c r="D17" t="s">
        <v>529</v>
      </c>
      <c r="G17" t="s">
        <v>528</v>
      </c>
      <c r="K17" t="s">
        <v>527</v>
      </c>
    </row>
    <row r="18" spans="1:24">
      <c r="A18" t="s">
        <v>425</v>
      </c>
      <c r="D18" t="s">
        <v>526</v>
      </c>
      <c r="G18" t="s">
        <v>525</v>
      </c>
      <c r="K18" t="s">
        <v>522</v>
      </c>
    </row>
    <row r="19" spans="1:24">
      <c r="A19" t="s">
        <v>192</v>
      </c>
      <c r="D19" t="s">
        <v>524</v>
      </c>
      <c r="G19" t="s">
        <v>523</v>
      </c>
      <c r="K19" t="s">
        <v>522</v>
      </c>
      <c r="O19" t="s">
        <v>521</v>
      </c>
      <c r="R19" t="s">
        <v>505</v>
      </c>
    </row>
    <row r="20" spans="1:24">
      <c r="A20" t="s">
        <v>420</v>
      </c>
      <c r="G20" t="s">
        <v>419</v>
      </c>
      <c r="O20" t="s">
        <v>419</v>
      </c>
    </row>
    <row r="23" spans="1:24">
      <c r="A23" t="s">
        <v>198</v>
      </c>
      <c r="E23">
        <v>3</v>
      </c>
      <c r="G23" t="s">
        <v>418</v>
      </c>
      <c r="J23">
        <v>3</v>
      </c>
      <c r="L23" t="s">
        <v>200</v>
      </c>
      <c r="N23">
        <v>8</v>
      </c>
      <c r="S23" t="s">
        <v>417</v>
      </c>
      <c r="U23">
        <v>1</v>
      </c>
      <c r="W23" t="s">
        <v>202</v>
      </c>
      <c r="X23">
        <v>21</v>
      </c>
    </row>
    <row r="26" spans="1:24">
      <c r="A26" t="s">
        <v>416</v>
      </c>
      <c r="D26" t="s">
        <v>204</v>
      </c>
      <c r="E26">
        <v>102</v>
      </c>
      <c r="G26" t="s">
        <v>205</v>
      </c>
      <c r="H26">
        <v>16</v>
      </c>
      <c r="J26" t="s">
        <v>415</v>
      </c>
      <c r="K26">
        <v>0</v>
      </c>
      <c r="M26" t="s">
        <v>230</v>
      </c>
      <c r="N26">
        <f>E26+H26+K26</f>
        <v>118</v>
      </c>
      <c r="S26" t="s">
        <v>414</v>
      </c>
      <c r="T26">
        <v>72</v>
      </c>
      <c r="V26" t="s">
        <v>520</v>
      </c>
    </row>
    <row r="27" spans="1:24">
      <c r="A27" t="s">
        <v>412</v>
      </c>
      <c r="D27" t="s">
        <v>210</v>
      </c>
      <c r="E27">
        <v>209</v>
      </c>
      <c r="G27" t="s">
        <v>211</v>
      </c>
      <c r="H27">
        <v>35</v>
      </c>
      <c r="J27" t="s">
        <v>212</v>
      </c>
      <c r="K27">
        <v>0</v>
      </c>
      <c r="M27" t="s">
        <v>411</v>
      </c>
      <c r="N27">
        <f>E27+H27+K27</f>
        <v>244</v>
      </c>
    </row>
    <row r="28" spans="1:24">
      <c r="D28" t="s">
        <v>213</v>
      </c>
      <c r="E28">
        <v>248</v>
      </c>
      <c r="G28" t="s">
        <v>214</v>
      </c>
      <c r="H28">
        <v>40</v>
      </c>
      <c r="J28" t="s">
        <v>215</v>
      </c>
      <c r="K28">
        <v>0</v>
      </c>
      <c r="M28" t="s">
        <v>410</v>
      </c>
      <c r="N28">
        <f>E28+H28+K28</f>
        <v>288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41.2</v>
      </c>
      <c r="G37">
        <v>4120000</v>
      </c>
      <c r="J37">
        <f>63350-36593</f>
        <v>26757</v>
      </c>
      <c r="L37">
        <v>1677140</v>
      </c>
      <c r="N37">
        <v>1021119</v>
      </c>
      <c r="S37">
        <v>779704</v>
      </c>
      <c r="U37">
        <v>289027</v>
      </c>
      <c r="X37">
        <f t="shared" ref="X37:X45" si="0">J37+L37+N37+S37+U37+W37</f>
        <v>3793747</v>
      </c>
      <c r="Y37">
        <f t="shared" ref="Y37:Y44" si="1">X37*100/G37</f>
        <v>92.081237864077664</v>
      </c>
    </row>
    <row r="38" spans="1:25">
      <c r="A38" t="s">
        <v>234</v>
      </c>
      <c r="D38">
        <v>7000</v>
      </c>
      <c r="E38" t="str">
        <f>+E37</f>
        <v>Hectare</v>
      </c>
      <c r="F38">
        <v>2.8</v>
      </c>
      <c r="G38">
        <v>250000</v>
      </c>
      <c r="J38">
        <v>0</v>
      </c>
      <c r="L38">
        <v>42936</v>
      </c>
      <c r="N38">
        <v>121781</v>
      </c>
      <c r="S38">
        <v>85255</v>
      </c>
      <c r="U38">
        <v>0</v>
      </c>
      <c r="X38">
        <f t="shared" si="0"/>
        <v>249972</v>
      </c>
      <c r="Y38">
        <f t="shared" si="1"/>
        <v>99.988799999999998</v>
      </c>
    </row>
    <row r="39" spans="1:25">
      <c r="A39" t="s">
        <v>397</v>
      </c>
      <c r="D39">
        <v>86</v>
      </c>
      <c r="E39" t="str">
        <f>+E38</f>
        <v>Hectare</v>
      </c>
      <c r="F39">
        <v>0.44</v>
      </c>
      <c r="G39">
        <v>43000</v>
      </c>
      <c r="J39">
        <v>6440</v>
      </c>
      <c r="L39">
        <v>2730</v>
      </c>
      <c r="N39">
        <v>34800</v>
      </c>
      <c r="S39">
        <v>3900</v>
      </c>
      <c r="U39">
        <v>0</v>
      </c>
      <c r="X39">
        <f t="shared" si="0"/>
        <v>47870</v>
      </c>
      <c r="Y39">
        <f t="shared" si="1"/>
        <v>111.32558139534883</v>
      </c>
    </row>
    <row r="40" spans="1:25">
      <c r="A40" t="s">
        <v>396</v>
      </c>
      <c r="D40">
        <v>68</v>
      </c>
      <c r="E40" t="str">
        <f>+E39</f>
        <v>Hectare</v>
      </c>
      <c r="F40">
        <v>0.35</v>
      </c>
      <c r="G40">
        <v>34000</v>
      </c>
      <c r="J40">
        <v>0</v>
      </c>
      <c r="L40">
        <v>16109</v>
      </c>
      <c r="N40">
        <v>1898</v>
      </c>
      <c r="S40">
        <v>12937</v>
      </c>
      <c r="U40">
        <v>0</v>
      </c>
      <c r="X40">
        <f t="shared" si="0"/>
        <v>30944</v>
      </c>
      <c r="Y40">
        <f t="shared" si="1"/>
        <v>91.011764705882356</v>
      </c>
    </row>
    <row r="41" spans="1:25">
      <c r="A41" t="s">
        <v>238</v>
      </c>
      <c r="D41">
        <v>1200</v>
      </c>
      <c r="E41" t="str">
        <f>+E38</f>
        <v>Hectare</v>
      </c>
      <c r="F41">
        <v>6.18</v>
      </c>
      <c r="G41">
        <v>500000</v>
      </c>
      <c r="J41">
        <v>0</v>
      </c>
      <c r="L41">
        <v>24400</v>
      </c>
      <c r="N41">
        <v>3200</v>
      </c>
      <c r="S41">
        <v>196063</v>
      </c>
      <c r="U41">
        <v>247297</v>
      </c>
      <c r="X41">
        <f t="shared" si="0"/>
        <v>470960</v>
      </c>
      <c r="Y41">
        <f t="shared" si="1"/>
        <v>94.191999999999993</v>
      </c>
    </row>
    <row r="42" spans="1:25">
      <c r="A42" t="s">
        <v>395</v>
      </c>
      <c r="D42">
        <v>565</v>
      </c>
      <c r="E42" t="str">
        <f>+E38</f>
        <v>Hectare</v>
      </c>
      <c r="F42">
        <v>2.83</v>
      </c>
      <c r="G42">
        <v>235000</v>
      </c>
      <c r="J42">
        <v>0</v>
      </c>
      <c r="L42">
        <v>0</v>
      </c>
      <c r="N42">
        <v>30000</v>
      </c>
      <c r="S42">
        <v>205000</v>
      </c>
      <c r="X42">
        <f t="shared" si="0"/>
        <v>235000</v>
      </c>
      <c r="Y42">
        <f t="shared" si="1"/>
        <v>100</v>
      </c>
    </row>
    <row r="43" spans="1:25">
      <c r="A43" t="s">
        <v>240</v>
      </c>
      <c r="D43">
        <v>1000</v>
      </c>
      <c r="E43" t="str">
        <f>+E41</f>
        <v>Hectare</v>
      </c>
      <c r="F43">
        <v>5.15</v>
      </c>
      <c r="G43">
        <v>515000</v>
      </c>
      <c r="J43">
        <v>63910</v>
      </c>
      <c r="L43">
        <v>350</v>
      </c>
      <c r="N43">
        <v>77134</v>
      </c>
      <c r="S43">
        <v>48964</v>
      </c>
      <c r="U43">
        <v>293804</v>
      </c>
      <c r="X43">
        <f t="shared" si="0"/>
        <v>484162</v>
      </c>
      <c r="Y43">
        <f t="shared" si="1"/>
        <v>94.012038834951454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123750</v>
      </c>
      <c r="J44">
        <v>12289</v>
      </c>
      <c r="L44">
        <v>30520</v>
      </c>
      <c r="N44">
        <v>24050</v>
      </c>
      <c r="S44">
        <v>32198</v>
      </c>
      <c r="U44">
        <v>22000</v>
      </c>
      <c r="X44">
        <f t="shared" si="0"/>
        <v>121057</v>
      </c>
      <c r="Y44">
        <f t="shared" si="1"/>
        <v>97.823838383838378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61.36</v>
      </c>
      <c r="G46">
        <f>SUM(G37:G45)</f>
        <v>5820750</v>
      </c>
      <c r="J46">
        <f>SUM(J37:J45)</f>
        <v>109396</v>
      </c>
      <c r="L46">
        <f>SUM(L37:L45)</f>
        <v>1794185</v>
      </c>
      <c r="N46">
        <f>SUM(N37:N45)</f>
        <v>1313982</v>
      </c>
      <c r="S46">
        <f>SUM(S37:S45)</f>
        <v>1364021</v>
      </c>
      <c r="U46">
        <f>SUM(U37:U45)</f>
        <v>852128</v>
      </c>
      <c r="X46">
        <f>SUM(X37:X45)</f>
        <v>5433712</v>
      </c>
      <c r="Y46">
        <f>SUM(Y37:Y45)</f>
        <v>780.43526118409864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20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4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10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10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10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10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10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10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10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10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10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10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10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10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10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10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10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10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10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10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10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10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10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10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10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10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10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10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10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10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10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10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10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10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10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10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10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10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10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10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10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10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10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10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10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10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10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10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10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10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10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10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10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10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10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10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10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10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10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10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10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10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10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10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10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10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145</v>
      </c>
      <c r="C3" s="1159"/>
      <c r="D3" s="1159"/>
      <c r="E3" s="1160" t="s">
        <v>1467</v>
      </c>
      <c r="F3" s="1160"/>
      <c r="G3" s="1161" t="s">
        <v>1624</v>
      </c>
      <c r="H3" s="1161"/>
      <c r="I3" s="1162" t="s">
        <v>5</v>
      </c>
      <c r="J3" s="1162"/>
      <c r="K3" s="509">
        <v>630.27099999999996</v>
      </c>
      <c r="L3" s="1160" t="s">
        <v>1469</v>
      </c>
      <c r="M3" s="1160"/>
      <c r="N3" s="509"/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1625</v>
      </c>
      <c r="C5" s="1159"/>
      <c r="D5" s="1159"/>
      <c r="E5" s="1163" t="s">
        <v>1471</v>
      </c>
      <c r="F5" s="1164"/>
      <c r="G5" s="1159" t="s">
        <v>1596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1579</v>
      </c>
      <c r="C7" s="1159"/>
      <c r="D7" s="1159"/>
      <c r="E7" s="1165" t="s">
        <v>1475</v>
      </c>
      <c r="F7" s="1166"/>
      <c r="G7" s="1159" t="s">
        <v>1580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1626</v>
      </c>
      <c r="C10" s="1159"/>
      <c r="D10" s="1159"/>
      <c r="E10" s="1159" t="s">
        <v>1627</v>
      </c>
      <c r="F10" s="1159"/>
      <c r="G10" s="1159"/>
      <c r="H10" s="1159" t="s">
        <v>1628</v>
      </c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59" t="s">
        <v>1629</v>
      </c>
      <c r="C11" s="1159"/>
      <c r="D11" s="1159"/>
      <c r="E11" s="1159" t="s">
        <v>1579</v>
      </c>
      <c r="F11" s="1159"/>
      <c r="G11" s="1159"/>
      <c r="H11" s="1159" t="s">
        <v>1630</v>
      </c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59" t="s">
        <v>1631</v>
      </c>
      <c r="C12" s="1159"/>
      <c r="D12" s="1159"/>
      <c r="E12" s="1159" t="s">
        <v>1632</v>
      </c>
      <c r="F12" s="1159"/>
      <c r="G12" s="1159"/>
      <c r="H12" s="1159" t="s">
        <v>1633</v>
      </c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59" t="s">
        <v>1629</v>
      </c>
      <c r="C13" s="1159"/>
      <c r="D13" s="1159"/>
      <c r="E13" s="1159" t="s">
        <v>1625</v>
      </c>
      <c r="F13" s="1159"/>
      <c r="G13" s="1159"/>
      <c r="H13" s="1159" t="s">
        <v>1634</v>
      </c>
      <c r="I13" s="1159"/>
      <c r="J13" s="1159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3</v>
      </c>
      <c r="C15" s="1170" t="s">
        <v>1490</v>
      </c>
      <c r="D15" s="1166"/>
      <c r="E15" s="1171"/>
      <c r="F15" s="509">
        <v>3</v>
      </c>
      <c r="G15" s="203" t="s">
        <v>1491</v>
      </c>
      <c r="H15" s="509">
        <v>4</v>
      </c>
      <c r="I15" s="203" t="s">
        <v>1492</v>
      </c>
      <c r="J15" s="509">
        <v>0</v>
      </c>
      <c r="K15" s="203" t="s">
        <v>1493</v>
      </c>
      <c r="L15" s="509">
        <v>1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70</v>
      </c>
      <c r="D17" s="203" t="s">
        <v>205</v>
      </c>
      <c r="E17" s="509">
        <v>3</v>
      </c>
      <c r="F17" s="203" t="s">
        <v>206</v>
      </c>
      <c r="G17" s="509">
        <v>1</v>
      </c>
      <c r="H17" s="203" t="s">
        <v>230</v>
      </c>
      <c r="I17" s="509">
        <v>74</v>
      </c>
      <c r="J17" s="203" t="s">
        <v>207</v>
      </c>
      <c r="K17" s="509">
        <v>16</v>
      </c>
      <c r="L17" s="1170" t="s">
        <v>855</v>
      </c>
      <c r="M17" s="1171"/>
      <c r="N17" s="509">
        <v>10</v>
      </c>
    </row>
    <row r="18" spans="1:14" ht="20.25" customHeight="1">
      <c r="A18" s="203" t="s">
        <v>209</v>
      </c>
      <c r="B18" s="203" t="s">
        <v>210</v>
      </c>
      <c r="C18" s="509">
        <v>158</v>
      </c>
      <c r="D18" s="203" t="s">
        <v>211</v>
      </c>
      <c r="E18" s="509">
        <v>11</v>
      </c>
      <c r="F18" s="203" t="s">
        <v>212</v>
      </c>
      <c r="G18" s="509">
        <v>4</v>
      </c>
      <c r="H18" s="203" t="s">
        <v>411</v>
      </c>
      <c r="I18" s="509">
        <v>173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173</v>
      </c>
      <c r="D19" s="203" t="s">
        <v>214</v>
      </c>
      <c r="E19" s="509">
        <v>5</v>
      </c>
      <c r="F19" s="203" t="s">
        <v>1494</v>
      </c>
      <c r="G19" s="509">
        <v>3</v>
      </c>
      <c r="H19" s="203" t="s">
        <v>410</v>
      </c>
      <c r="I19" s="509">
        <v>181</v>
      </c>
      <c r="K19" s="205"/>
      <c r="L19" s="1162"/>
      <c r="M19" s="1162"/>
      <c r="N19" s="205"/>
    </row>
    <row r="20" spans="1:14" ht="20.25" customHeight="1"/>
    <row r="21" spans="1:14">
      <c r="A21" s="206" t="s">
        <v>216</v>
      </c>
      <c r="N21" s="205"/>
    </row>
    <row r="22" spans="1:14">
      <c r="N22" s="205"/>
    </row>
    <row r="23" spans="1:14">
      <c r="A23" s="1182" t="s">
        <v>217</v>
      </c>
      <c r="B23" s="1174" t="s">
        <v>1495</v>
      </c>
      <c r="C23" s="1175" t="s">
        <v>219</v>
      </c>
      <c r="D23" s="1174" t="s">
        <v>1496</v>
      </c>
      <c r="E23" s="1174" t="s">
        <v>1497</v>
      </c>
      <c r="F23" s="1174" t="s">
        <v>1498</v>
      </c>
      <c r="G23" s="1174"/>
      <c r="H23" s="1174"/>
      <c r="I23" s="1174"/>
      <c r="J23" s="1174"/>
      <c r="K23" s="1174"/>
      <c r="L23" s="1174"/>
      <c r="M23" s="1174"/>
      <c r="N23" s="1174"/>
    </row>
    <row r="24" spans="1:14">
      <c r="A24" s="1183"/>
      <c r="B24" s="1174"/>
      <c r="C24" s="1175"/>
      <c r="D24" s="1174"/>
      <c r="E24" s="1174"/>
      <c r="F24" s="512" t="s">
        <v>224</v>
      </c>
      <c r="G24" s="512" t="s">
        <v>225</v>
      </c>
      <c r="H24" s="512" t="s">
        <v>226</v>
      </c>
      <c r="I24" s="512" t="s">
        <v>227</v>
      </c>
      <c r="J24" s="512" t="s">
        <v>228</v>
      </c>
      <c r="K24" s="512" t="s">
        <v>229</v>
      </c>
      <c r="L24" s="512" t="s">
        <v>1499</v>
      </c>
      <c r="M24" s="512" t="s">
        <v>230</v>
      </c>
      <c r="N24" s="512" t="s">
        <v>231</v>
      </c>
    </row>
    <row r="25" spans="1:14">
      <c r="A25" s="204" t="s">
        <v>232</v>
      </c>
      <c r="B25" s="204">
        <v>8000</v>
      </c>
      <c r="C25" s="204" t="s">
        <v>1500</v>
      </c>
      <c r="D25" s="597">
        <v>50.421680000000002</v>
      </c>
      <c r="E25" s="597">
        <v>50.423789999999997</v>
      </c>
      <c r="F25" s="597">
        <v>0</v>
      </c>
      <c r="G25" s="597">
        <v>1.8659300000000001</v>
      </c>
      <c r="H25" s="597">
        <v>14.45712</v>
      </c>
      <c r="I25" s="597">
        <v>17.5</v>
      </c>
      <c r="J25" s="597">
        <v>8.5</v>
      </c>
      <c r="K25" s="597">
        <v>0.49460999999999999</v>
      </c>
      <c r="L25" s="597">
        <v>0</v>
      </c>
      <c r="M25" s="597">
        <v>42.817659999999997</v>
      </c>
      <c r="N25" s="207">
        <v>84.915592421751711</v>
      </c>
    </row>
    <row r="26" spans="1:14">
      <c r="A26" s="204" t="s">
        <v>234</v>
      </c>
      <c r="B26" s="204">
        <v>7000</v>
      </c>
      <c r="C26" s="204" t="s">
        <v>1500</v>
      </c>
      <c r="D26" s="597">
        <v>7.0590352000000003</v>
      </c>
      <c r="E26" s="597">
        <v>0</v>
      </c>
      <c r="F26" s="597">
        <v>0</v>
      </c>
      <c r="G26" s="597">
        <v>0</v>
      </c>
      <c r="H26" s="597">
        <v>0</v>
      </c>
      <c r="I26" s="597">
        <v>0</v>
      </c>
      <c r="J26" s="597">
        <v>0</v>
      </c>
      <c r="K26" s="597">
        <v>0</v>
      </c>
      <c r="L26" s="597">
        <v>0</v>
      </c>
      <c r="M26" s="597">
        <v>0</v>
      </c>
      <c r="N26" s="207">
        <v>0</v>
      </c>
    </row>
    <row r="27" spans="1:14">
      <c r="A27" s="204" t="s">
        <v>235</v>
      </c>
      <c r="B27" s="204">
        <v>43000</v>
      </c>
      <c r="C27" s="204" t="s">
        <v>236</v>
      </c>
      <c r="D27" s="597">
        <v>0.43</v>
      </c>
      <c r="E27" s="597">
        <v>0.43</v>
      </c>
      <c r="F27" s="597">
        <v>0</v>
      </c>
      <c r="G27" s="597">
        <v>0</v>
      </c>
      <c r="H27" s="597">
        <v>4.0800000000000003E-2</v>
      </c>
      <c r="I27" s="597">
        <v>0.1313</v>
      </c>
      <c r="J27" s="597">
        <v>2.98E-2</v>
      </c>
      <c r="K27" s="597">
        <v>0</v>
      </c>
      <c r="L27" s="597">
        <v>0</v>
      </c>
      <c r="M27" s="597">
        <v>0.2019</v>
      </c>
      <c r="N27" s="207">
        <v>46.95348837209302</v>
      </c>
    </row>
    <row r="28" spans="1:14">
      <c r="A28" s="204" t="s">
        <v>1501</v>
      </c>
      <c r="B28" s="204">
        <v>37000</v>
      </c>
      <c r="C28" s="204" t="s">
        <v>236</v>
      </c>
      <c r="D28" s="597">
        <v>0.34</v>
      </c>
      <c r="E28" s="597">
        <v>0.34</v>
      </c>
      <c r="F28" s="597">
        <v>0</v>
      </c>
      <c r="G28" s="597">
        <v>0</v>
      </c>
      <c r="H28" s="597">
        <v>0</v>
      </c>
      <c r="I28" s="597">
        <v>0.11914</v>
      </c>
      <c r="J28" s="597">
        <v>9.1499999999999998E-2</v>
      </c>
      <c r="K28" s="597">
        <v>0</v>
      </c>
      <c r="L28" s="597">
        <v>0</v>
      </c>
      <c r="M28" s="597">
        <v>0.21063999999999999</v>
      </c>
      <c r="N28" s="207">
        <v>61.952941176470574</v>
      </c>
    </row>
    <row r="29" spans="1:14">
      <c r="A29" s="204" t="s">
        <v>238</v>
      </c>
      <c r="B29" s="204">
        <v>1200</v>
      </c>
      <c r="C29" s="204" t="s">
        <v>1500</v>
      </c>
      <c r="D29" s="597">
        <v>7.5632519999999994</v>
      </c>
      <c r="E29" s="597">
        <v>7.5632400000000004</v>
      </c>
      <c r="F29" s="597">
        <v>0</v>
      </c>
      <c r="G29" s="597">
        <v>1.15194</v>
      </c>
      <c r="H29" s="597">
        <v>0.28827999999999998</v>
      </c>
      <c r="I29" s="597">
        <v>2.165</v>
      </c>
      <c r="J29" s="597">
        <v>3.3331599999999999</v>
      </c>
      <c r="K29" s="597">
        <v>0.18623999999999999</v>
      </c>
      <c r="L29" s="597">
        <v>0</v>
      </c>
      <c r="M29" s="597">
        <v>7.1246200000000002</v>
      </c>
      <c r="N29" s="207">
        <v>94.200633590894896</v>
      </c>
    </row>
    <row r="30" spans="1:14">
      <c r="A30" s="204" t="s">
        <v>1502</v>
      </c>
      <c r="B30" s="204">
        <v>565</v>
      </c>
      <c r="C30" s="204" t="s">
        <v>1500</v>
      </c>
      <c r="D30" s="597">
        <v>3.5610312</v>
      </c>
      <c r="E30" s="597">
        <v>3.5610200000000001</v>
      </c>
      <c r="F30" s="597">
        <v>0</v>
      </c>
      <c r="G30" s="597">
        <v>0</v>
      </c>
      <c r="H30" s="597">
        <v>1.3252999999999999</v>
      </c>
      <c r="I30" s="597">
        <v>0.1</v>
      </c>
      <c r="J30" s="597">
        <v>2.1357200000000001</v>
      </c>
      <c r="K30" s="597">
        <v>0</v>
      </c>
      <c r="L30" s="597">
        <v>0</v>
      </c>
      <c r="M30" s="597">
        <v>3.5610200000000001</v>
      </c>
      <c r="N30" s="207">
        <v>100</v>
      </c>
    </row>
    <row r="31" spans="1:14">
      <c r="A31" s="204" t="s">
        <v>1503</v>
      </c>
      <c r="B31" s="204">
        <v>1000</v>
      </c>
      <c r="C31" s="204" t="s">
        <v>1500</v>
      </c>
      <c r="D31" s="597">
        <v>6.3027100000000003</v>
      </c>
      <c r="E31" s="597">
        <v>6.3026600000000004</v>
      </c>
      <c r="F31" s="597">
        <v>0</v>
      </c>
      <c r="G31" s="597">
        <v>0</v>
      </c>
      <c r="H31" s="597">
        <v>0</v>
      </c>
      <c r="I31" s="597">
        <v>0</v>
      </c>
      <c r="J31" s="597">
        <v>0</v>
      </c>
      <c r="K31" s="597">
        <v>0.73180000000000001</v>
      </c>
      <c r="L31" s="597">
        <v>0</v>
      </c>
      <c r="M31" s="597">
        <v>0.73180000000000001</v>
      </c>
      <c r="N31" s="207">
        <v>11.610970606061567</v>
      </c>
    </row>
    <row r="32" spans="1:14">
      <c r="A32" s="204" t="s">
        <v>607</v>
      </c>
      <c r="B32" s="204">
        <v>2750</v>
      </c>
      <c r="C32" s="204" t="s">
        <v>242</v>
      </c>
      <c r="D32" s="597">
        <v>1.75</v>
      </c>
      <c r="E32" s="597">
        <v>1.60958</v>
      </c>
      <c r="F32" s="597">
        <v>0</v>
      </c>
      <c r="G32" s="597">
        <v>0.22575999999999999</v>
      </c>
      <c r="H32" s="597">
        <v>0.30946000000000001</v>
      </c>
      <c r="I32" s="597">
        <v>0.4259</v>
      </c>
      <c r="J32" s="597">
        <v>0.43386999999999998</v>
      </c>
      <c r="K32" s="597">
        <v>6.123E-2</v>
      </c>
      <c r="L32" s="597">
        <v>0</v>
      </c>
      <c r="M32" s="597">
        <v>1.4562200000000001</v>
      </c>
      <c r="N32" s="207">
        <v>90.472048608953898</v>
      </c>
    </row>
    <row r="33" spans="1:14">
      <c r="A33" s="204" t="s">
        <v>243</v>
      </c>
      <c r="B33" s="204">
        <v>10000</v>
      </c>
      <c r="C33" s="204" t="s">
        <v>244</v>
      </c>
      <c r="D33" s="597">
        <v>0</v>
      </c>
      <c r="E33" s="597">
        <v>0</v>
      </c>
      <c r="F33" s="597">
        <v>0</v>
      </c>
      <c r="G33" s="597">
        <v>0</v>
      </c>
      <c r="H33" s="597">
        <v>0</v>
      </c>
      <c r="I33" s="597">
        <v>0</v>
      </c>
      <c r="J33" s="597">
        <v>0</v>
      </c>
      <c r="K33" s="597">
        <v>0</v>
      </c>
      <c r="L33" s="597">
        <v>0</v>
      </c>
      <c r="M33" s="597">
        <v>0</v>
      </c>
      <c r="N33" s="597">
        <v>0</v>
      </c>
    </row>
    <row r="34" spans="1:14">
      <c r="A34" s="208" t="s">
        <v>230</v>
      </c>
      <c r="B34" s="208"/>
      <c r="C34" s="208"/>
      <c r="D34" s="209">
        <v>77.427708400000014</v>
      </c>
      <c r="E34" s="209">
        <v>70.230289999999997</v>
      </c>
      <c r="F34" s="209">
        <v>0</v>
      </c>
      <c r="G34" s="209">
        <v>3.2436300000000005</v>
      </c>
      <c r="H34" s="209">
        <v>16.420960000000001</v>
      </c>
      <c r="I34" s="209">
        <v>20.44134</v>
      </c>
      <c r="J34" s="209">
        <v>14.524049999999999</v>
      </c>
      <c r="K34" s="209">
        <v>1.4738799999999999</v>
      </c>
      <c r="L34" s="209">
        <v>0</v>
      </c>
      <c r="M34" s="209">
        <v>56.103859999999997</v>
      </c>
      <c r="N34" s="207"/>
    </row>
  </sheetData>
  <mergeCells count="39">
    <mergeCell ref="A4:C4"/>
    <mergeCell ref="C15:E15"/>
    <mergeCell ref="L17:M17"/>
    <mergeCell ref="L18:M18"/>
    <mergeCell ref="L19:M19"/>
    <mergeCell ref="A23:A24"/>
    <mergeCell ref="B23:B24"/>
    <mergeCell ref="C23:C24"/>
    <mergeCell ref="D23:D24"/>
    <mergeCell ref="E23:E24"/>
    <mergeCell ref="F23:N23"/>
    <mergeCell ref="B12:D12"/>
    <mergeCell ref="E12:G12"/>
    <mergeCell ref="H12:J12"/>
    <mergeCell ref="K12:M12"/>
    <mergeCell ref="B13:D13"/>
    <mergeCell ref="E13:G13"/>
    <mergeCell ref="H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20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4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10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10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10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10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10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10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10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10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10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10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10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10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10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10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10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10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10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10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10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10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10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10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10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10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10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10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10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10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10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10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10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10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10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10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10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10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10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10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10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10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10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10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10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10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10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10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10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10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10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10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10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10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10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10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10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10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10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10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10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10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10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10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10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10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146</v>
      </c>
      <c r="C3" s="1159"/>
      <c r="D3" s="1159"/>
      <c r="E3" s="1160" t="s">
        <v>1467</v>
      </c>
      <c r="F3" s="1160"/>
      <c r="G3" s="1161" t="s">
        <v>1635</v>
      </c>
      <c r="H3" s="1161"/>
      <c r="I3" s="1162" t="s">
        <v>5</v>
      </c>
      <c r="J3" s="1162"/>
      <c r="K3" s="509">
        <v>381.40800000000002</v>
      </c>
      <c r="L3" s="1160" t="s">
        <v>1469</v>
      </c>
      <c r="M3" s="1160"/>
      <c r="N3" s="509">
        <v>60</v>
      </c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1636</v>
      </c>
      <c r="C5" s="1159"/>
      <c r="D5" s="1159"/>
      <c r="E5" s="1163" t="s">
        <v>1471</v>
      </c>
      <c r="F5" s="1164"/>
      <c r="G5" s="1159" t="s">
        <v>1637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1638</v>
      </c>
      <c r="C7" s="1159"/>
      <c r="D7" s="1159"/>
      <c r="E7" s="1165" t="s">
        <v>1475</v>
      </c>
      <c r="F7" s="1166"/>
      <c r="G7" s="1159" t="s">
        <v>1639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1640</v>
      </c>
      <c r="C10" s="1159"/>
      <c r="D10" s="1159"/>
      <c r="E10" s="1159" t="s">
        <v>1641</v>
      </c>
      <c r="F10" s="1159"/>
      <c r="G10" s="1159"/>
      <c r="H10" s="1159" t="s">
        <v>1642</v>
      </c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59" t="s">
        <v>1643</v>
      </c>
      <c r="C11" s="1159"/>
      <c r="D11" s="1159"/>
      <c r="E11" s="1159" t="s">
        <v>804</v>
      </c>
      <c r="F11" s="1159"/>
      <c r="G11" s="1159"/>
      <c r="H11" s="1159" t="s">
        <v>1644</v>
      </c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59" t="s">
        <v>1645</v>
      </c>
      <c r="C12" s="1159"/>
      <c r="D12" s="1159"/>
      <c r="E12" s="1167" t="s">
        <v>1646</v>
      </c>
      <c r="F12" s="1168"/>
      <c r="G12" s="1169"/>
      <c r="H12" s="1159" t="s">
        <v>1644</v>
      </c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59"/>
      <c r="C13" s="1159"/>
      <c r="D13" s="1159"/>
      <c r="E13" s="1159" t="s">
        <v>1636</v>
      </c>
      <c r="F13" s="1159"/>
      <c r="G13" s="1159"/>
      <c r="H13" s="1159"/>
      <c r="I13" s="1159"/>
      <c r="J13" s="1159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3</v>
      </c>
      <c r="C15" s="1170" t="s">
        <v>1490</v>
      </c>
      <c r="D15" s="1166"/>
      <c r="E15" s="1171"/>
      <c r="F15" s="509">
        <v>3</v>
      </c>
      <c r="G15" s="203" t="s">
        <v>1491</v>
      </c>
      <c r="H15" s="509">
        <v>18</v>
      </c>
      <c r="I15" s="203" t="s">
        <v>1492</v>
      </c>
      <c r="J15" s="509">
        <v>2</v>
      </c>
      <c r="K15" s="203" t="s">
        <v>1493</v>
      </c>
      <c r="L15" s="509">
        <v>10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32</v>
      </c>
      <c r="D17" s="203" t="s">
        <v>205</v>
      </c>
      <c r="E17" s="509">
        <v>90</v>
      </c>
      <c r="F17" s="203" t="s">
        <v>206</v>
      </c>
      <c r="G17" s="509">
        <v>20</v>
      </c>
      <c r="H17" s="203" t="s">
        <v>230</v>
      </c>
      <c r="I17" s="509">
        <v>142</v>
      </c>
      <c r="J17" s="203" t="s">
        <v>207</v>
      </c>
      <c r="K17" s="509">
        <v>74</v>
      </c>
      <c r="L17" s="1170" t="s">
        <v>855</v>
      </c>
      <c r="M17" s="1171"/>
      <c r="N17" s="509">
        <v>11</v>
      </c>
    </row>
    <row r="18" spans="1:14" ht="20.25" customHeight="1">
      <c r="A18" s="203" t="s">
        <v>209</v>
      </c>
      <c r="B18" s="203" t="s">
        <v>210</v>
      </c>
      <c r="C18" s="509">
        <v>56</v>
      </c>
      <c r="D18" s="203" t="s">
        <v>211</v>
      </c>
      <c r="E18" s="509">
        <v>227</v>
      </c>
      <c r="F18" s="203" t="s">
        <v>212</v>
      </c>
      <c r="G18" s="509">
        <v>60</v>
      </c>
      <c r="H18" s="203" t="s">
        <v>411</v>
      </c>
      <c r="I18" s="509">
        <v>345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70</v>
      </c>
      <c r="D19" s="203" t="s">
        <v>214</v>
      </c>
      <c r="E19" s="509">
        <v>249</v>
      </c>
      <c r="F19" s="203" t="s">
        <v>1494</v>
      </c>
      <c r="G19" s="509">
        <v>54</v>
      </c>
      <c r="H19" s="203" t="s">
        <v>410</v>
      </c>
      <c r="I19" s="509">
        <v>374</v>
      </c>
      <c r="K19" s="205"/>
      <c r="L19" s="1162"/>
      <c r="M19" s="1162"/>
      <c r="N19" s="205"/>
    </row>
    <row r="20" spans="1:14" ht="20.25" customHeight="1"/>
    <row r="21" spans="1:14">
      <c r="A21" s="206" t="s">
        <v>216</v>
      </c>
      <c r="N21" s="205"/>
    </row>
    <row r="22" spans="1:14">
      <c r="N22" s="205"/>
    </row>
    <row r="23" spans="1:14">
      <c r="A23" s="1182" t="s">
        <v>217</v>
      </c>
      <c r="B23" s="1174" t="s">
        <v>1495</v>
      </c>
      <c r="C23" s="1175" t="s">
        <v>219</v>
      </c>
      <c r="D23" s="1174" t="s">
        <v>1496</v>
      </c>
      <c r="E23" s="1174" t="s">
        <v>1497</v>
      </c>
      <c r="F23" s="1174" t="s">
        <v>1498</v>
      </c>
      <c r="G23" s="1174"/>
      <c r="H23" s="1174"/>
      <c r="I23" s="1174"/>
      <c r="J23" s="1174"/>
      <c r="K23" s="1174"/>
      <c r="L23" s="1174"/>
      <c r="M23" s="1174"/>
      <c r="N23" s="1174"/>
    </row>
    <row r="24" spans="1:14">
      <c r="A24" s="1183"/>
      <c r="B24" s="1174"/>
      <c r="C24" s="1175"/>
      <c r="D24" s="1174"/>
      <c r="E24" s="1174"/>
      <c r="F24" s="512" t="s">
        <v>224</v>
      </c>
      <c r="G24" s="512" t="s">
        <v>225</v>
      </c>
      <c r="H24" s="512" t="s">
        <v>226</v>
      </c>
      <c r="I24" s="512" t="s">
        <v>227</v>
      </c>
      <c r="J24" s="512" t="s">
        <v>228</v>
      </c>
      <c r="K24" s="512" t="s">
        <v>229</v>
      </c>
      <c r="L24" s="512" t="s">
        <v>1499</v>
      </c>
      <c r="M24" s="512" t="s">
        <v>230</v>
      </c>
      <c r="N24" s="512" t="s">
        <v>231</v>
      </c>
    </row>
    <row r="25" spans="1:14">
      <c r="A25" s="204" t="s">
        <v>232</v>
      </c>
      <c r="B25" s="204">
        <v>8000</v>
      </c>
      <c r="C25" s="204" t="s">
        <v>1500</v>
      </c>
      <c r="D25" s="597">
        <v>30.512640000000001</v>
      </c>
      <c r="E25" s="597">
        <v>30.509709999999998</v>
      </c>
      <c r="F25" s="597">
        <v>0</v>
      </c>
      <c r="G25" s="597">
        <v>2.5606100000000001</v>
      </c>
      <c r="H25" s="597">
        <v>11.413645000000001</v>
      </c>
      <c r="I25" s="597">
        <v>10.8</v>
      </c>
      <c r="J25" s="597">
        <v>5.0389299999999997</v>
      </c>
      <c r="K25" s="597">
        <v>3.5455E-2</v>
      </c>
      <c r="L25" s="597">
        <v>0</v>
      </c>
      <c r="M25" s="207">
        <v>29.848640000000003</v>
      </c>
      <c r="N25" s="207">
        <v>97.833247185895914</v>
      </c>
    </row>
    <row r="26" spans="1:14">
      <c r="A26" s="204" t="s">
        <v>234</v>
      </c>
      <c r="B26" s="204">
        <v>7000</v>
      </c>
      <c r="C26" s="204" t="s">
        <v>1500</v>
      </c>
      <c r="D26" s="597">
        <v>4.2717695999999998</v>
      </c>
      <c r="E26" s="597">
        <v>4.2511000000000001</v>
      </c>
      <c r="F26" s="597">
        <v>0</v>
      </c>
      <c r="G26" s="597">
        <v>0</v>
      </c>
      <c r="H26" s="597">
        <v>0</v>
      </c>
      <c r="I26" s="597">
        <v>0</v>
      </c>
      <c r="J26" s="597">
        <v>1.60866</v>
      </c>
      <c r="K26" s="597">
        <v>2.4300000000000002</v>
      </c>
      <c r="L26" s="597">
        <v>0</v>
      </c>
      <c r="M26" s="207">
        <v>4.0386600000000001</v>
      </c>
      <c r="N26" s="207">
        <v>95.002705182188137</v>
      </c>
    </row>
    <row r="27" spans="1:14">
      <c r="A27" s="204" t="s">
        <v>235</v>
      </c>
      <c r="B27" s="204">
        <v>43000</v>
      </c>
      <c r="C27" s="204" t="s">
        <v>236</v>
      </c>
      <c r="D27" s="597">
        <v>0.43</v>
      </c>
      <c r="E27" s="597">
        <v>0.43</v>
      </c>
      <c r="F27" s="597">
        <v>0</v>
      </c>
      <c r="G27" s="597">
        <v>0</v>
      </c>
      <c r="H27" s="597">
        <v>0.17515</v>
      </c>
      <c r="I27" s="597">
        <v>0</v>
      </c>
      <c r="J27" s="597">
        <v>0.1</v>
      </c>
      <c r="K27" s="597">
        <v>0.23400000000000001</v>
      </c>
      <c r="L27" s="597">
        <v>0</v>
      </c>
      <c r="M27" s="207">
        <v>0.50914999999999999</v>
      </c>
      <c r="N27" s="207">
        <v>118.40697674418605</v>
      </c>
    </row>
    <row r="28" spans="1:14">
      <c r="A28" s="204" t="s">
        <v>1501</v>
      </c>
      <c r="B28" s="204">
        <v>37000</v>
      </c>
      <c r="C28" s="204" t="s">
        <v>236</v>
      </c>
      <c r="D28" s="597">
        <v>0.34</v>
      </c>
      <c r="E28" s="597">
        <v>0.34</v>
      </c>
      <c r="F28" s="597">
        <v>0</v>
      </c>
      <c r="G28" s="597">
        <v>0</v>
      </c>
      <c r="H28" s="597">
        <v>0</v>
      </c>
      <c r="I28" s="597">
        <v>0.11914</v>
      </c>
      <c r="J28" s="597">
        <v>0.17899999999999999</v>
      </c>
      <c r="K28" s="597">
        <v>7.1859999999999993E-2</v>
      </c>
      <c r="L28" s="597">
        <v>0</v>
      </c>
      <c r="M28" s="207">
        <v>0.36999999999999994</v>
      </c>
      <c r="N28" s="207">
        <v>108.82352941176467</v>
      </c>
    </row>
    <row r="29" spans="1:14">
      <c r="A29" s="204" t="s">
        <v>238</v>
      </c>
      <c r="B29" s="204">
        <v>1200</v>
      </c>
      <c r="C29" s="204" t="s">
        <v>1500</v>
      </c>
      <c r="D29" s="597">
        <v>4.5768959999999996</v>
      </c>
      <c r="E29" s="597">
        <v>4.5768000000000004</v>
      </c>
      <c r="F29" s="597">
        <v>0</v>
      </c>
      <c r="G29" s="597">
        <v>1.5425</v>
      </c>
      <c r="H29" s="597">
        <v>0</v>
      </c>
      <c r="I29" s="597">
        <v>2.91134</v>
      </c>
      <c r="J29" s="597">
        <v>0.1</v>
      </c>
      <c r="K29" s="597">
        <v>0.25399500000000003</v>
      </c>
      <c r="L29" s="597">
        <v>0</v>
      </c>
      <c r="M29" s="207">
        <v>4.807834999999999</v>
      </c>
      <c r="N29" s="207">
        <v>105.04795927285437</v>
      </c>
    </row>
    <row r="30" spans="1:14">
      <c r="A30" s="204" t="s">
        <v>1502</v>
      </c>
      <c r="B30" s="204">
        <v>565</v>
      </c>
      <c r="C30" s="204" t="s">
        <v>1500</v>
      </c>
      <c r="D30" s="597">
        <v>2.1549551999999998</v>
      </c>
      <c r="E30" s="597">
        <v>2.1549499999999999</v>
      </c>
      <c r="F30" s="597">
        <v>0</v>
      </c>
      <c r="G30" s="597">
        <v>0</v>
      </c>
      <c r="H30" s="597">
        <v>0.35064000000000001</v>
      </c>
      <c r="I30" s="597">
        <v>1.65507</v>
      </c>
      <c r="J30" s="597">
        <v>0.14924000000000001</v>
      </c>
      <c r="K30" s="597">
        <v>0</v>
      </c>
      <c r="L30" s="597">
        <v>0</v>
      </c>
      <c r="M30" s="207">
        <v>2.1549499999999999</v>
      </c>
      <c r="N30" s="207">
        <v>100</v>
      </c>
    </row>
    <row r="31" spans="1:14">
      <c r="A31" s="204" t="s">
        <v>1503</v>
      </c>
      <c r="B31" s="204">
        <v>1000</v>
      </c>
      <c r="C31" s="204" t="s">
        <v>1500</v>
      </c>
      <c r="D31" s="597">
        <v>3.8140800000000001</v>
      </c>
      <c r="E31" s="597">
        <v>3.8140800000000001</v>
      </c>
      <c r="F31" s="597">
        <v>0</v>
      </c>
      <c r="G31" s="597">
        <v>0</v>
      </c>
      <c r="H31" s="597">
        <v>0</v>
      </c>
      <c r="I31" s="597">
        <v>0</v>
      </c>
      <c r="J31" s="597">
        <v>0</v>
      </c>
      <c r="K31" s="597">
        <v>1.21445</v>
      </c>
      <c r="L31" s="597">
        <v>0</v>
      </c>
      <c r="M31" s="207">
        <v>1.21445</v>
      </c>
      <c r="N31" s="207">
        <v>31.841230388455404</v>
      </c>
    </row>
    <row r="32" spans="1:14">
      <c r="A32" s="204" t="s">
        <v>607</v>
      </c>
      <c r="B32" s="204">
        <v>2750</v>
      </c>
      <c r="C32" s="204" t="s">
        <v>242</v>
      </c>
      <c r="D32" s="597">
        <v>1.75</v>
      </c>
      <c r="E32" s="597">
        <v>1.46431</v>
      </c>
      <c r="F32" s="597">
        <v>0</v>
      </c>
      <c r="G32" s="597">
        <v>0.2787</v>
      </c>
      <c r="H32" s="597">
        <v>0.31646000000000002</v>
      </c>
      <c r="I32" s="597">
        <v>0.323515</v>
      </c>
      <c r="J32" s="597">
        <v>0.17734</v>
      </c>
      <c r="K32" s="597">
        <v>0.58194000000000001</v>
      </c>
      <c r="L32" s="597">
        <v>0</v>
      </c>
      <c r="M32" s="207">
        <v>1.6779549999999999</v>
      </c>
      <c r="N32" s="207">
        <v>114.59014826095566</v>
      </c>
    </row>
    <row r="33" spans="1:14">
      <c r="A33" s="204" t="s">
        <v>243</v>
      </c>
      <c r="B33" s="204">
        <v>10000</v>
      </c>
      <c r="C33" s="204" t="s">
        <v>244</v>
      </c>
      <c r="D33" s="597">
        <v>0</v>
      </c>
      <c r="E33" s="597">
        <v>0</v>
      </c>
      <c r="F33" s="597">
        <v>0</v>
      </c>
      <c r="G33" s="597">
        <v>0</v>
      </c>
      <c r="H33" s="597">
        <v>0</v>
      </c>
      <c r="I33" s="597">
        <v>0</v>
      </c>
      <c r="J33" s="597">
        <v>0</v>
      </c>
      <c r="K33" s="597">
        <v>0</v>
      </c>
      <c r="L33" s="597">
        <v>0</v>
      </c>
      <c r="M33" s="207">
        <v>0</v>
      </c>
      <c r="N33" s="207">
        <v>0</v>
      </c>
    </row>
    <row r="34" spans="1:14">
      <c r="A34" s="208" t="s">
        <v>230</v>
      </c>
      <c r="B34" s="208"/>
      <c r="C34" s="208"/>
      <c r="D34" s="209">
        <v>47.850340799999998</v>
      </c>
      <c r="E34" s="209">
        <v>47.540950000000002</v>
      </c>
      <c r="F34" s="209">
        <v>0</v>
      </c>
      <c r="G34" s="209">
        <v>4.3818099999999998</v>
      </c>
      <c r="H34" s="209">
        <v>12.255895000000001</v>
      </c>
      <c r="I34" s="209">
        <v>15.809065</v>
      </c>
      <c r="J34" s="209">
        <v>7.3531699999999987</v>
      </c>
      <c r="K34" s="209">
        <v>4.8217000000000008</v>
      </c>
      <c r="L34" s="209">
        <v>0</v>
      </c>
      <c r="M34" s="209">
        <v>44.621639999999999</v>
      </c>
      <c r="N34" s="207"/>
    </row>
  </sheetData>
  <mergeCells count="39">
    <mergeCell ref="A4:C4"/>
    <mergeCell ref="C15:E15"/>
    <mergeCell ref="L17:M17"/>
    <mergeCell ref="L18:M18"/>
    <mergeCell ref="L19:M19"/>
    <mergeCell ref="A23:A24"/>
    <mergeCell ref="B23:B24"/>
    <mergeCell ref="C23:C24"/>
    <mergeCell ref="D23:D24"/>
    <mergeCell ref="E23:E24"/>
    <mergeCell ref="F23:N23"/>
    <mergeCell ref="B12:D12"/>
    <mergeCell ref="E12:G12"/>
    <mergeCell ref="H12:J12"/>
    <mergeCell ref="K12:M12"/>
    <mergeCell ref="B13:D13"/>
    <mergeCell ref="E13:G13"/>
    <mergeCell ref="H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20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4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10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10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10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10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10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10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10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10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10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10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10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10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10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10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10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10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10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10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10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10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10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10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10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10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10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10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10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10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10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10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10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10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10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10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10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10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10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10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10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10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10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10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10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10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10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10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10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10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10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10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10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10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10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10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10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10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10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10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10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10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10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10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10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10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147</v>
      </c>
      <c r="C3" s="1159"/>
      <c r="D3" s="1159"/>
      <c r="E3" s="1160" t="s">
        <v>1467</v>
      </c>
      <c r="F3" s="1160"/>
      <c r="G3" s="1184" t="s">
        <v>1647</v>
      </c>
      <c r="H3" s="1185"/>
      <c r="I3" s="1162" t="s">
        <v>5</v>
      </c>
      <c r="J3" s="1162"/>
      <c r="K3" s="509">
        <v>264.37400000000002</v>
      </c>
      <c r="L3" s="1160" t="s">
        <v>1469</v>
      </c>
      <c r="M3" s="1160"/>
      <c r="N3" s="509"/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1648</v>
      </c>
      <c r="C5" s="1159"/>
      <c r="D5" s="1159"/>
      <c r="E5" s="1163" t="s">
        <v>1471</v>
      </c>
      <c r="F5" s="1164"/>
      <c r="G5" s="1159" t="s">
        <v>1649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1650</v>
      </c>
      <c r="C7" s="1159"/>
      <c r="D7" s="1159"/>
      <c r="E7" s="1165" t="s">
        <v>1475</v>
      </c>
      <c r="F7" s="1166"/>
      <c r="G7" s="1159" t="s">
        <v>1613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1651</v>
      </c>
      <c r="C10" s="1159"/>
      <c r="D10" s="1159"/>
      <c r="E10" s="1159" t="s">
        <v>1652</v>
      </c>
      <c r="F10" s="1159"/>
      <c r="G10" s="1159"/>
      <c r="H10" s="1159" t="s">
        <v>1653</v>
      </c>
      <c r="I10" s="1159"/>
      <c r="J10" s="1159"/>
      <c r="K10" s="1159" t="s">
        <v>1654</v>
      </c>
      <c r="L10" s="1159"/>
      <c r="M10" s="1159"/>
    </row>
    <row r="11" spans="1:14" ht="25.5" customHeight="1">
      <c r="A11" s="204" t="s">
        <v>840</v>
      </c>
      <c r="B11" s="1159" t="s">
        <v>1655</v>
      </c>
      <c r="C11" s="1159"/>
      <c r="D11" s="1159"/>
      <c r="E11" s="1159" t="s">
        <v>1656</v>
      </c>
      <c r="F11" s="1159"/>
      <c r="G11" s="1159"/>
      <c r="H11" s="1159" t="s">
        <v>1657</v>
      </c>
      <c r="I11" s="1159"/>
      <c r="J11" s="1159"/>
      <c r="K11" s="1159" t="s">
        <v>1658</v>
      </c>
      <c r="L11" s="1159"/>
      <c r="M11" s="1159"/>
    </row>
    <row r="12" spans="1:14" ht="25.5" customHeight="1">
      <c r="A12" s="204" t="s">
        <v>844</v>
      </c>
      <c r="B12" s="1159" t="s">
        <v>1659</v>
      </c>
      <c r="C12" s="1159"/>
      <c r="D12" s="1159"/>
      <c r="E12" s="1159"/>
      <c r="F12" s="1159"/>
      <c r="G12" s="1159"/>
      <c r="H12" s="1159" t="s">
        <v>1660</v>
      </c>
      <c r="I12" s="1159"/>
      <c r="J12" s="1159"/>
      <c r="K12" s="1159" t="s">
        <v>1661</v>
      </c>
      <c r="L12" s="1159"/>
      <c r="M12" s="1159"/>
    </row>
    <row r="13" spans="1:14" ht="25.5" customHeight="1">
      <c r="A13" s="204" t="s">
        <v>420</v>
      </c>
      <c r="B13" s="1159" t="s">
        <v>1662</v>
      </c>
      <c r="C13" s="1159"/>
      <c r="D13" s="1159"/>
      <c r="E13" s="1159" t="s">
        <v>1663</v>
      </c>
      <c r="F13" s="1159"/>
      <c r="G13" s="1159"/>
      <c r="H13" s="1159" t="s">
        <v>1664</v>
      </c>
      <c r="I13" s="1159"/>
      <c r="J13" s="1159"/>
      <c r="K13" s="1159" t="s">
        <v>1665</v>
      </c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5</v>
      </c>
      <c r="C15" s="1170" t="s">
        <v>1490</v>
      </c>
      <c r="D15" s="1166"/>
      <c r="E15" s="1171"/>
      <c r="F15" s="509">
        <v>4</v>
      </c>
      <c r="G15" s="203" t="s">
        <v>1491</v>
      </c>
      <c r="H15" s="509">
        <v>5</v>
      </c>
      <c r="I15" s="203" t="s">
        <v>1492</v>
      </c>
      <c r="J15" s="509">
        <v>0</v>
      </c>
      <c r="K15" s="203" t="s">
        <v>1493</v>
      </c>
      <c r="L15" s="509">
        <v>2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62</v>
      </c>
      <c r="D17" s="203" t="s">
        <v>205</v>
      </c>
      <c r="E17" s="509">
        <v>0</v>
      </c>
      <c r="F17" s="203" t="s">
        <v>206</v>
      </c>
      <c r="G17" s="509">
        <v>0</v>
      </c>
      <c r="H17" s="203" t="s">
        <v>230</v>
      </c>
      <c r="I17" s="509">
        <v>62</v>
      </c>
      <c r="J17" s="203" t="s">
        <v>207</v>
      </c>
      <c r="K17" s="509">
        <v>10</v>
      </c>
      <c r="L17" s="1170" t="s">
        <v>855</v>
      </c>
      <c r="M17" s="1171"/>
      <c r="N17" s="509">
        <v>14</v>
      </c>
    </row>
    <row r="18" spans="1:14" ht="20.25" customHeight="1">
      <c r="A18" s="203" t="s">
        <v>209</v>
      </c>
      <c r="B18" s="203" t="s">
        <v>210</v>
      </c>
      <c r="C18" s="509">
        <v>151</v>
      </c>
      <c r="D18" s="203" t="s">
        <v>211</v>
      </c>
      <c r="E18" s="509">
        <v>0</v>
      </c>
      <c r="F18" s="203" t="s">
        <v>212</v>
      </c>
      <c r="G18" s="509">
        <v>0</v>
      </c>
      <c r="H18" s="203" t="s">
        <v>411</v>
      </c>
      <c r="I18" s="509">
        <v>151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141</v>
      </c>
      <c r="D19" s="203" t="s">
        <v>214</v>
      </c>
      <c r="E19" s="509">
        <v>0</v>
      </c>
      <c r="F19" s="203" t="s">
        <v>1494</v>
      </c>
      <c r="G19" s="509">
        <v>0</v>
      </c>
      <c r="H19" s="203" t="s">
        <v>410</v>
      </c>
      <c r="I19" s="509">
        <v>141</v>
      </c>
      <c r="K19" s="205"/>
      <c r="L19" s="1162"/>
      <c r="M19" s="1162"/>
      <c r="N19" s="205"/>
    </row>
    <row r="20" spans="1:14">
      <c r="N20" s="205"/>
    </row>
    <row r="21" spans="1:14">
      <c r="A21" s="206" t="s">
        <v>216</v>
      </c>
      <c r="N21" s="205"/>
    </row>
    <row r="22" spans="1:14">
      <c r="N22" s="205"/>
    </row>
    <row r="23" spans="1:14">
      <c r="A23" s="1182" t="s">
        <v>217</v>
      </c>
      <c r="B23" s="1174" t="s">
        <v>1495</v>
      </c>
      <c r="C23" s="1175" t="s">
        <v>219</v>
      </c>
      <c r="D23" s="1174" t="s">
        <v>1496</v>
      </c>
      <c r="E23" s="1174" t="s">
        <v>1497</v>
      </c>
      <c r="F23" s="1174" t="s">
        <v>1498</v>
      </c>
      <c r="G23" s="1174"/>
      <c r="H23" s="1174"/>
      <c r="I23" s="1174"/>
      <c r="J23" s="1174"/>
      <c r="K23" s="1174"/>
      <c r="L23" s="1174"/>
      <c r="M23" s="1174"/>
      <c r="N23" s="1174"/>
    </row>
    <row r="24" spans="1:14">
      <c r="A24" s="1183"/>
      <c r="B24" s="1174"/>
      <c r="C24" s="1175"/>
      <c r="D24" s="1174"/>
      <c r="E24" s="1174"/>
      <c r="F24" s="512" t="s">
        <v>224</v>
      </c>
      <c r="G24" s="512" t="s">
        <v>225</v>
      </c>
      <c r="H24" s="512" t="s">
        <v>226</v>
      </c>
      <c r="I24" s="512" t="s">
        <v>227</v>
      </c>
      <c r="J24" s="512" t="s">
        <v>228</v>
      </c>
      <c r="K24" s="512" t="s">
        <v>229</v>
      </c>
      <c r="L24" s="512" t="s">
        <v>1499</v>
      </c>
      <c r="M24" s="512" t="s">
        <v>230</v>
      </c>
      <c r="N24" s="512" t="s">
        <v>231</v>
      </c>
    </row>
    <row r="25" spans="1:14">
      <c r="A25" s="204" t="s">
        <v>232</v>
      </c>
      <c r="B25" s="204">
        <v>8000</v>
      </c>
      <c r="C25" s="204" t="s">
        <v>1500</v>
      </c>
      <c r="D25" s="597">
        <v>21.149920000000002</v>
      </c>
      <c r="E25" s="597">
        <v>21.14124</v>
      </c>
      <c r="F25" s="597">
        <v>0</v>
      </c>
      <c r="G25" s="597">
        <v>3.8509799999999998</v>
      </c>
      <c r="H25" s="597">
        <v>12.605511000000002</v>
      </c>
      <c r="I25" s="597">
        <v>3.5</v>
      </c>
      <c r="J25" s="597">
        <v>0.6</v>
      </c>
      <c r="K25" s="597">
        <v>0.4</v>
      </c>
      <c r="L25" s="597">
        <v>0</v>
      </c>
      <c r="M25" s="597">
        <v>20.956491</v>
      </c>
      <c r="N25" s="207">
        <v>99.126120322175993</v>
      </c>
    </row>
    <row r="26" spans="1:14">
      <c r="A26" s="204" t="s">
        <v>234</v>
      </c>
      <c r="B26" s="204">
        <v>7000</v>
      </c>
      <c r="C26" s="204" t="s">
        <v>1500</v>
      </c>
      <c r="D26" s="597">
        <v>3.172488</v>
      </c>
      <c r="E26" s="597">
        <v>3.1724399999999999</v>
      </c>
      <c r="F26" s="597">
        <v>0</v>
      </c>
      <c r="G26" s="597">
        <v>0</v>
      </c>
      <c r="H26" s="597">
        <v>0</v>
      </c>
      <c r="I26" s="597">
        <v>0</v>
      </c>
      <c r="J26" s="597">
        <v>0</v>
      </c>
      <c r="K26" s="597">
        <v>0</v>
      </c>
      <c r="L26" s="597">
        <v>0</v>
      </c>
      <c r="M26" s="597">
        <v>0</v>
      </c>
      <c r="N26" s="207">
        <v>0</v>
      </c>
    </row>
    <row r="27" spans="1:14">
      <c r="A27" s="204" t="s">
        <v>235</v>
      </c>
      <c r="B27" s="204">
        <v>43000</v>
      </c>
      <c r="C27" s="204" t="s">
        <v>236</v>
      </c>
      <c r="D27" s="597">
        <v>0.43</v>
      </c>
      <c r="E27" s="597">
        <v>0.43</v>
      </c>
      <c r="F27" s="597">
        <v>0</v>
      </c>
      <c r="G27" s="597">
        <v>0</v>
      </c>
      <c r="H27" s="597">
        <v>2.9700000000000001E-2</v>
      </c>
      <c r="I27" s="597">
        <v>0.14754999999999999</v>
      </c>
      <c r="J27" s="597">
        <v>6.3500000000000001E-2</v>
      </c>
      <c r="K27" s="597">
        <v>0</v>
      </c>
      <c r="L27" s="597">
        <v>0</v>
      </c>
      <c r="M27" s="597">
        <v>0.24074999999999999</v>
      </c>
      <c r="N27" s="207">
        <v>55.988372093023251</v>
      </c>
    </row>
    <row r="28" spans="1:14">
      <c r="A28" s="204" t="s">
        <v>1501</v>
      </c>
      <c r="B28" s="204">
        <v>37000</v>
      </c>
      <c r="C28" s="204" t="s">
        <v>236</v>
      </c>
      <c r="D28" s="597">
        <v>0.34</v>
      </c>
      <c r="E28" s="597">
        <v>0.34</v>
      </c>
      <c r="F28" s="597">
        <v>0</v>
      </c>
      <c r="G28" s="597">
        <v>0</v>
      </c>
      <c r="H28" s="597">
        <v>0</v>
      </c>
      <c r="I28" s="597">
        <v>0.11914</v>
      </c>
      <c r="J28" s="597">
        <v>2.9000000000000001E-2</v>
      </c>
      <c r="K28" s="597">
        <v>0.16500000000000001</v>
      </c>
      <c r="L28" s="597">
        <v>0</v>
      </c>
      <c r="M28" s="597">
        <v>0.31313999999999997</v>
      </c>
      <c r="N28" s="207">
        <v>92.09999999999998</v>
      </c>
    </row>
    <row r="29" spans="1:14">
      <c r="A29" s="204" t="s">
        <v>238</v>
      </c>
      <c r="B29" s="204">
        <v>1200</v>
      </c>
      <c r="C29" s="204" t="s">
        <v>1500</v>
      </c>
      <c r="D29" s="597">
        <v>2.9609888</v>
      </c>
      <c r="E29" s="597">
        <v>0</v>
      </c>
      <c r="F29" s="597">
        <v>0</v>
      </c>
      <c r="G29" s="597">
        <v>0.83157499999999995</v>
      </c>
      <c r="H29" s="597">
        <v>0.66864999999999997</v>
      </c>
      <c r="I29" s="597">
        <v>0.64200000000000002</v>
      </c>
      <c r="J29" s="597">
        <v>0.81962000000000002</v>
      </c>
      <c r="K29" s="597">
        <v>0</v>
      </c>
      <c r="L29" s="597">
        <v>0</v>
      </c>
      <c r="M29" s="597">
        <v>2.9618449999999998</v>
      </c>
      <c r="N29" s="207">
        <v>0</v>
      </c>
    </row>
    <row r="30" spans="1:14">
      <c r="A30" s="204" t="s">
        <v>1502</v>
      </c>
      <c r="B30" s="204">
        <v>565</v>
      </c>
      <c r="C30" s="204" t="s">
        <v>1500</v>
      </c>
      <c r="D30" s="597">
        <v>1.4937130999999999</v>
      </c>
      <c r="E30" s="597">
        <v>1.4937100000000001</v>
      </c>
      <c r="F30" s="597">
        <v>0</v>
      </c>
      <c r="G30" s="597">
        <v>0</v>
      </c>
      <c r="H30" s="597">
        <v>0.47532000000000002</v>
      </c>
      <c r="I30" s="597">
        <v>0.2</v>
      </c>
      <c r="J30" s="597">
        <v>0</v>
      </c>
      <c r="K30" s="597">
        <v>0.81838999999999995</v>
      </c>
      <c r="L30" s="597">
        <v>0</v>
      </c>
      <c r="M30" s="597">
        <v>1.4937100000000001</v>
      </c>
      <c r="N30" s="207">
        <v>100</v>
      </c>
    </row>
    <row r="31" spans="1:14">
      <c r="A31" s="204" t="s">
        <v>1503</v>
      </c>
      <c r="B31" s="204">
        <v>1000</v>
      </c>
      <c r="C31" s="204" t="s">
        <v>1500</v>
      </c>
      <c r="D31" s="597">
        <v>2.6437400000000002</v>
      </c>
      <c r="E31" s="597">
        <v>2.6437400000000002</v>
      </c>
      <c r="F31" s="597">
        <v>0</v>
      </c>
      <c r="G31" s="597">
        <v>0</v>
      </c>
      <c r="H31" s="597">
        <v>0</v>
      </c>
      <c r="I31" s="597">
        <v>0</v>
      </c>
      <c r="J31" s="597">
        <v>0.1235</v>
      </c>
      <c r="K31" s="597">
        <v>1.4595499999999999</v>
      </c>
      <c r="L31" s="597">
        <v>0</v>
      </c>
      <c r="M31" s="597">
        <v>1.5830500000000001</v>
      </c>
      <c r="N31" s="207">
        <v>59.879186304250794</v>
      </c>
    </row>
    <row r="32" spans="1:14">
      <c r="A32" s="204" t="s">
        <v>607</v>
      </c>
      <c r="B32" s="204">
        <v>2750</v>
      </c>
      <c r="C32" s="204" t="s">
        <v>242</v>
      </c>
      <c r="D32" s="597">
        <v>1.75</v>
      </c>
      <c r="E32" s="597">
        <v>1.41631</v>
      </c>
      <c r="F32" s="597">
        <v>0</v>
      </c>
      <c r="G32" s="597">
        <v>7.4999999999999997E-2</v>
      </c>
      <c r="H32" s="597">
        <v>0.30280000000000001</v>
      </c>
      <c r="I32" s="597">
        <v>0.38277</v>
      </c>
      <c r="J32" s="597">
        <v>0.1736</v>
      </c>
      <c r="K32" s="597">
        <v>0.23530400000000001</v>
      </c>
      <c r="L32" s="597">
        <v>0</v>
      </c>
      <c r="M32" s="597">
        <v>1.1694739999999999</v>
      </c>
      <c r="N32" s="207">
        <v>82.571894571103783</v>
      </c>
    </row>
    <row r="33" spans="1:14">
      <c r="A33" s="204" t="s">
        <v>243</v>
      </c>
      <c r="B33" s="204">
        <v>10000</v>
      </c>
      <c r="C33" s="204" t="s">
        <v>244</v>
      </c>
      <c r="D33" s="597">
        <v>0</v>
      </c>
      <c r="E33" s="597">
        <v>0</v>
      </c>
      <c r="F33" s="597">
        <v>0</v>
      </c>
      <c r="G33" s="597">
        <v>0</v>
      </c>
      <c r="H33" s="597">
        <v>0</v>
      </c>
      <c r="I33" s="597">
        <v>0</v>
      </c>
      <c r="J33" s="597">
        <v>0</v>
      </c>
      <c r="K33" s="597">
        <v>0</v>
      </c>
      <c r="L33" s="597">
        <v>0</v>
      </c>
      <c r="M33" s="597">
        <v>0</v>
      </c>
      <c r="N33" s="207">
        <v>0</v>
      </c>
    </row>
    <row r="34" spans="1:14">
      <c r="A34" s="208" t="s">
        <v>230</v>
      </c>
      <c r="B34" s="208"/>
      <c r="C34" s="208"/>
      <c r="D34" s="209">
        <v>33.940849900000003</v>
      </c>
      <c r="E34" s="209">
        <v>30.637439999999998</v>
      </c>
      <c r="F34" s="209">
        <v>0</v>
      </c>
      <c r="G34" s="209">
        <v>4.757555</v>
      </c>
      <c r="H34" s="209">
        <v>14.081981000000001</v>
      </c>
      <c r="I34" s="209">
        <v>4.99146</v>
      </c>
      <c r="J34" s="209">
        <v>1.8092199999999998</v>
      </c>
      <c r="K34" s="209">
        <v>3.0782439999999998</v>
      </c>
      <c r="L34" s="209">
        <v>0</v>
      </c>
      <c r="M34" s="209">
        <v>28.71846</v>
      </c>
      <c r="N34" s="207"/>
    </row>
  </sheetData>
  <mergeCells count="39">
    <mergeCell ref="A4:C4"/>
    <mergeCell ref="C15:E15"/>
    <mergeCell ref="L17:M17"/>
    <mergeCell ref="L18:M18"/>
    <mergeCell ref="L19:M19"/>
    <mergeCell ref="A23:A24"/>
    <mergeCell ref="B23:B24"/>
    <mergeCell ref="C23:C24"/>
    <mergeCell ref="D23:D24"/>
    <mergeCell ref="E23:E24"/>
    <mergeCell ref="F23:N23"/>
    <mergeCell ref="B12:D12"/>
    <mergeCell ref="E12:G12"/>
    <mergeCell ref="H12:J12"/>
    <mergeCell ref="K12:M12"/>
    <mergeCell ref="B13:D13"/>
    <mergeCell ref="E13:G13"/>
    <mergeCell ref="H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20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9.42578125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9.42578125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9.42578125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9.42578125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9.42578125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9.42578125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9.42578125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9.42578125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9.42578125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9.42578125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9.42578125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9.42578125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9.42578125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9.42578125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9.42578125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9.42578125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9.42578125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9.42578125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9.42578125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9.42578125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9.42578125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9.42578125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9.42578125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9.42578125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9.42578125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9.42578125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9.42578125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9.42578125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9.42578125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9.42578125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9.42578125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9.42578125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9.42578125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9.42578125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9.42578125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9.42578125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9.42578125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9.42578125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9.42578125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9.42578125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9.42578125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9.42578125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9.42578125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9.42578125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9.42578125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9.42578125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9.42578125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9.42578125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9.42578125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9.42578125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9.42578125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9.42578125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9.42578125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9.42578125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9.42578125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9.42578125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9.42578125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9.42578125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9.42578125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9.42578125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9.42578125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9.42578125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9.42578125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9.42578125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148</v>
      </c>
      <c r="C3" s="1159"/>
      <c r="D3" s="1159"/>
      <c r="E3" s="1160" t="s">
        <v>1467</v>
      </c>
      <c r="F3" s="1160"/>
      <c r="G3" s="1161" t="s">
        <v>1666</v>
      </c>
      <c r="H3" s="1161"/>
      <c r="I3" s="1162" t="s">
        <v>5</v>
      </c>
      <c r="J3" s="1162"/>
      <c r="K3" s="509">
        <v>354.11200000000002</v>
      </c>
      <c r="L3" s="1160" t="s">
        <v>1469</v>
      </c>
      <c r="M3" s="1160"/>
      <c r="N3" s="509"/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1667</v>
      </c>
      <c r="C5" s="1159"/>
      <c r="D5" s="1159"/>
      <c r="E5" s="1163" t="s">
        <v>1471</v>
      </c>
      <c r="F5" s="1164"/>
      <c r="G5" s="1159" t="s">
        <v>1668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1669</v>
      </c>
      <c r="C7" s="1159"/>
      <c r="D7" s="1159"/>
      <c r="E7" s="1165" t="s">
        <v>1475</v>
      </c>
      <c r="F7" s="1166"/>
      <c r="G7" s="1159" t="s">
        <v>1670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1671</v>
      </c>
      <c r="C10" s="1159"/>
      <c r="D10" s="1159"/>
      <c r="E10" s="1159" t="s">
        <v>1672</v>
      </c>
      <c r="F10" s="1159"/>
      <c r="G10" s="1159"/>
      <c r="H10" s="1159"/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59" t="s">
        <v>1673</v>
      </c>
      <c r="C11" s="1159"/>
      <c r="D11" s="1159"/>
      <c r="E11" s="1159" t="s">
        <v>1674</v>
      </c>
      <c r="F11" s="1159"/>
      <c r="G11" s="1159"/>
      <c r="H11" s="1159"/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59" t="s">
        <v>1675</v>
      </c>
      <c r="C12" s="1159"/>
      <c r="D12" s="1159"/>
      <c r="E12" s="1167" t="s">
        <v>1676</v>
      </c>
      <c r="F12" s="1168"/>
      <c r="G12" s="1169"/>
      <c r="H12" s="1159"/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59" t="s">
        <v>1677</v>
      </c>
      <c r="C13" s="1159"/>
      <c r="D13" s="1159"/>
      <c r="E13" s="1159" t="s">
        <v>1678</v>
      </c>
      <c r="F13" s="1159"/>
      <c r="G13" s="1159"/>
      <c r="H13" s="1159"/>
      <c r="I13" s="1159"/>
      <c r="J13" s="1159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3</v>
      </c>
      <c r="C15" s="1170" t="s">
        <v>1490</v>
      </c>
      <c r="D15" s="1166"/>
      <c r="E15" s="1171"/>
      <c r="F15" s="509">
        <v>2</v>
      </c>
      <c r="G15" s="203" t="s">
        <v>1491</v>
      </c>
      <c r="H15" s="509">
        <v>5</v>
      </c>
      <c r="I15" s="203" t="s">
        <v>1492</v>
      </c>
      <c r="J15" s="509">
        <v>0</v>
      </c>
      <c r="K15" s="203" t="s">
        <v>1493</v>
      </c>
      <c r="L15" s="509">
        <v>1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54</v>
      </c>
      <c r="D17" s="203" t="s">
        <v>205</v>
      </c>
      <c r="E17" s="509">
        <v>2</v>
      </c>
      <c r="F17" s="203" t="s">
        <v>206</v>
      </c>
      <c r="G17" s="509">
        <v>0</v>
      </c>
      <c r="H17" s="203" t="s">
        <v>230</v>
      </c>
      <c r="I17" s="509">
        <v>56</v>
      </c>
      <c r="J17" s="203" t="s">
        <v>207</v>
      </c>
      <c r="K17" s="509">
        <v>12</v>
      </c>
      <c r="L17" s="1170" t="s">
        <v>855</v>
      </c>
      <c r="M17" s="1171"/>
      <c r="N17" s="509">
        <v>9</v>
      </c>
    </row>
    <row r="18" spans="1:14" ht="20.25" customHeight="1">
      <c r="A18" s="203" t="s">
        <v>209</v>
      </c>
      <c r="B18" s="203" t="s">
        <v>210</v>
      </c>
      <c r="C18" s="509">
        <v>50</v>
      </c>
      <c r="D18" s="203" t="s">
        <v>211</v>
      </c>
      <c r="E18" s="509">
        <v>4</v>
      </c>
      <c r="F18" s="203" t="s">
        <v>212</v>
      </c>
      <c r="G18" s="509"/>
      <c r="H18" s="203" t="s">
        <v>411</v>
      </c>
      <c r="I18" s="509">
        <v>54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57</v>
      </c>
      <c r="D19" s="203" t="s">
        <v>214</v>
      </c>
      <c r="E19" s="509">
        <v>4</v>
      </c>
      <c r="F19" s="203" t="s">
        <v>1494</v>
      </c>
      <c r="G19" s="509"/>
      <c r="H19" s="203" t="s">
        <v>410</v>
      </c>
      <c r="I19" s="509">
        <v>61</v>
      </c>
      <c r="K19" s="205"/>
      <c r="L19" s="1162"/>
      <c r="M19" s="1162"/>
      <c r="N19" s="205"/>
    </row>
    <row r="20" spans="1:14">
      <c r="N20" s="205"/>
    </row>
    <row r="21" spans="1:14">
      <c r="N21" s="205"/>
    </row>
    <row r="22" spans="1:14">
      <c r="A22" s="206" t="s">
        <v>216</v>
      </c>
      <c r="N22" s="205"/>
    </row>
    <row r="23" spans="1:14">
      <c r="N23" s="205"/>
    </row>
    <row r="24" spans="1:14">
      <c r="A24" s="1182" t="s">
        <v>217</v>
      </c>
      <c r="B24" s="1174" t="s">
        <v>1495</v>
      </c>
      <c r="C24" s="1175" t="s">
        <v>219</v>
      </c>
      <c r="D24" s="1174" t="s">
        <v>1496</v>
      </c>
      <c r="E24" s="1174" t="s">
        <v>1497</v>
      </c>
      <c r="F24" s="1174" t="s">
        <v>1498</v>
      </c>
      <c r="G24" s="1174"/>
      <c r="H24" s="1174"/>
      <c r="I24" s="1174"/>
      <c r="J24" s="1174"/>
      <c r="K24" s="1174"/>
      <c r="L24" s="1174"/>
      <c r="M24" s="1174"/>
      <c r="N24" s="1174"/>
    </row>
    <row r="25" spans="1:14">
      <c r="A25" s="1183"/>
      <c r="B25" s="1174"/>
      <c r="C25" s="1175"/>
      <c r="D25" s="1174"/>
      <c r="E25" s="1174"/>
      <c r="F25" s="512" t="s">
        <v>224</v>
      </c>
      <c r="G25" s="512" t="s">
        <v>225</v>
      </c>
      <c r="H25" s="512" t="s">
        <v>226</v>
      </c>
      <c r="I25" s="512" t="s">
        <v>227</v>
      </c>
      <c r="J25" s="512" t="s">
        <v>228</v>
      </c>
      <c r="K25" s="512" t="s">
        <v>229</v>
      </c>
      <c r="L25" s="512" t="s">
        <v>1499</v>
      </c>
      <c r="M25" s="512" t="s">
        <v>230</v>
      </c>
      <c r="N25" s="512" t="s">
        <v>231</v>
      </c>
    </row>
    <row r="26" spans="1:14">
      <c r="A26" s="204" t="s">
        <v>232</v>
      </c>
      <c r="B26" s="204">
        <v>8000</v>
      </c>
      <c r="C26" s="204" t="s">
        <v>1500</v>
      </c>
      <c r="D26" s="597">
        <v>28.328959999999999</v>
      </c>
      <c r="E26" s="597">
        <v>28.31757</v>
      </c>
      <c r="F26" s="597">
        <v>0</v>
      </c>
      <c r="G26" s="597">
        <v>2.49363</v>
      </c>
      <c r="H26" s="597">
        <v>11.71594</v>
      </c>
      <c r="I26" s="597">
        <v>9.6999999999999993</v>
      </c>
      <c r="J26" s="597">
        <v>4</v>
      </c>
      <c r="K26" s="597">
        <v>0.82152000000000003</v>
      </c>
      <c r="L26" s="597">
        <v>0</v>
      </c>
      <c r="M26" s="207">
        <v>28.731089999999998</v>
      </c>
      <c r="N26" s="207">
        <v>101.46029479224381</v>
      </c>
    </row>
    <row r="27" spans="1:14">
      <c r="A27" s="204" t="s">
        <v>234</v>
      </c>
      <c r="B27" s="204">
        <v>7000</v>
      </c>
      <c r="C27" s="204" t="s">
        <v>1500</v>
      </c>
      <c r="D27" s="597">
        <v>3.9660544</v>
      </c>
      <c r="E27" s="597">
        <v>0</v>
      </c>
      <c r="F27" s="597">
        <v>0</v>
      </c>
      <c r="G27" s="597">
        <v>0</v>
      </c>
      <c r="H27" s="597">
        <v>0</v>
      </c>
      <c r="I27" s="597">
        <v>0</v>
      </c>
      <c r="J27" s="597">
        <v>0</v>
      </c>
      <c r="K27" s="597">
        <v>0</v>
      </c>
      <c r="L27" s="597">
        <v>0</v>
      </c>
      <c r="M27" s="207">
        <v>0</v>
      </c>
      <c r="N27" s="207">
        <v>0</v>
      </c>
    </row>
    <row r="28" spans="1:14">
      <c r="A28" s="204" t="s">
        <v>235</v>
      </c>
      <c r="B28" s="204">
        <v>43000</v>
      </c>
      <c r="C28" s="204" t="s">
        <v>236</v>
      </c>
      <c r="D28" s="597">
        <v>0.43</v>
      </c>
      <c r="E28" s="597">
        <v>0.43</v>
      </c>
      <c r="F28" s="597">
        <v>0</v>
      </c>
      <c r="G28" s="597">
        <v>0</v>
      </c>
      <c r="H28" s="597">
        <v>0.17724999999999999</v>
      </c>
      <c r="I28" s="597">
        <v>0.12765000000000001</v>
      </c>
      <c r="J28" s="597">
        <v>7.4700000000000003E-2</v>
      </c>
      <c r="K28" s="597">
        <v>5.04E-2</v>
      </c>
      <c r="L28" s="597">
        <v>0</v>
      </c>
      <c r="M28" s="207">
        <v>0.43</v>
      </c>
      <c r="N28" s="207">
        <v>100</v>
      </c>
    </row>
    <row r="29" spans="1:14">
      <c r="A29" s="204" t="s">
        <v>1501</v>
      </c>
      <c r="B29" s="204">
        <v>37000</v>
      </c>
      <c r="C29" s="204" t="s">
        <v>236</v>
      </c>
      <c r="D29" s="597">
        <v>0.34</v>
      </c>
      <c r="E29" s="597">
        <v>0.34</v>
      </c>
      <c r="F29" s="597">
        <v>0</v>
      </c>
      <c r="G29" s="597">
        <v>0</v>
      </c>
      <c r="H29" s="597">
        <v>0</v>
      </c>
      <c r="I29" s="597">
        <v>0.11914</v>
      </c>
      <c r="J29" s="597">
        <v>0.11104</v>
      </c>
      <c r="K29" s="597">
        <v>5.5960000000000003E-2</v>
      </c>
      <c r="L29" s="597">
        <v>0</v>
      </c>
      <c r="M29" s="207">
        <v>0.28614000000000001</v>
      </c>
      <c r="N29" s="207">
        <v>84.158823529411762</v>
      </c>
    </row>
    <row r="30" spans="1:14">
      <c r="A30" s="204" t="s">
        <v>238</v>
      </c>
      <c r="B30" s="204">
        <v>1200</v>
      </c>
      <c r="C30" s="204" t="s">
        <v>1500</v>
      </c>
      <c r="D30" s="597">
        <v>4.2493440000000007</v>
      </c>
      <c r="E30" s="597">
        <v>4.24932</v>
      </c>
      <c r="F30" s="597">
        <v>0</v>
      </c>
      <c r="G30" s="597">
        <v>0.90429000000000004</v>
      </c>
      <c r="H30" s="597">
        <v>0.53166999999999998</v>
      </c>
      <c r="I30" s="597">
        <v>2.5820500000000002</v>
      </c>
      <c r="J30" s="597">
        <v>0.84491000000000005</v>
      </c>
      <c r="K30" s="597">
        <v>0</v>
      </c>
      <c r="L30" s="597">
        <v>0</v>
      </c>
      <c r="M30" s="207">
        <v>4.8629200000000008</v>
      </c>
      <c r="N30" s="207">
        <v>114.43995745201588</v>
      </c>
    </row>
    <row r="31" spans="1:14">
      <c r="A31" s="204" t="s">
        <v>1502</v>
      </c>
      <c r="B31" s="204">
        <v>565</v>
      </c>
      <c r="C31" s="204" t="s">
        <v>1500</v>
      </c>
      <c r="D31" s="597">
        <v>2.0007328000000002</v>
      </c>
      <c r="E31" s="597">
        <v>2.0007299999999999</v>
      </c>
      <c r="F31" s="597">
        <v>0</v>
      </c>
      <c r="G31" s="597">
        <v>0</v>
      </c>
      <c r="H31" s="597">
        <v>0.75724000000000002</v>
      </c>
      <c r="I31" s="597">
        <v>0.05</v>
      </c>
      <c r="J31" s="597">
        <v>1.1934899999999999</v>
      </c>
      <c r="K31" s="597">
        <v>0</v>
      </c>
      <c r="L31" s="597">
        <v>0</v>
      </c>
      <c r="M31" s="207">
        <v>2.0007299999999999</v>
      </c>
      <c r="N31" s="207">
        <v>100</v>
      </c>
    </row>
    <row r="32" spans="1:14">
      <c r="A32" s="204" t="s">
        <v>1503</v>
      </c>
      <c r="B32" s="204">
        <v>1000</v>
      </c>
      <c r="C32" s="204" t="s">
        <v>1500</v>
      </c>
      <c r="D32" s="597">
        <v>3.5411199999999998</v>
      </c>
      <c r="E32" s="597">
        <v>3.5411199999999998</v>
      </c>
      <c r="F32" s="597">
        <v>0</v>
      </c>
      <c r="G32" s="597">
        <v>0</v>
      </c>
      <c r="H32" s="597">
        <v>0</v>
      </c>
      <c r="I32" s="597">
        <v>0</v>
      </c>
      <c r="J32" s="597">
        <v>0.96</v>
      </c>
      <c r="K32" s="597">
        <v>0.85807</v>
      </c>
      <c r="L32" s="597">
        <v>0</v>
      </c>
      <c r="M32" s="207">
        <v>1.8180700000000001</v>
      </c>
      <c r="N32" s="207">
        <v>51.341665913609255</v>
      </c>
    </row>
    <row r="33" spans="1:14">
      <c r="A33" s="204" t="s">
        <v>607</v>
      </c>
      <c r="B33" s="204">
        <v>2750</v>
      </c>
      <c r="C33" s="204" t="s">
        <v>242</v>
      </c>
      <c r="D33" s="597">
        <v>1.75</v>
      </c>
      <c r="E33" s="597">
        <v>1.4793099999999999</v>
      </c>
      <c r="F33" s="597">
        <v>0</v>
      </c>
      <c r="G33" s="597">
        <v>0.24184</v>
      </c>
      <c r="H33" s="597">
        <v>0.28188000000000002</v>
      </c>
      <c r="I33" s="597">
        <v>0.37896999999999997</v>
      </c>
      <c r="J33" s="597">
        <v>0.28336</v>
      </c>
      <c r="K33" s="597">
        <v>0.15414</v>
      </c>
      <c r="L33" s="597">
        <v>0</v>
      </c>
      <c r="M33" s="207">
        <v>1.34019</v>
      </c>
      <c r="N33" s="207">
        <v>90.595615523453503</v>
      </c>
    </row>
    <row r="34" spans="1:14">
      <c r="A34" s="204" t="s">
        <v>243</v>
      </c>
      <c r="B34" s="204">
        <v>10000</v>
      </c>
      <c r="C34" s="204" t="s">
        <v>244</v>
      </c>
      <c r="D34" s="597">
        <v>0</v>
      </c>
      <c r="E34" s="597">
        <v>0</v>
      </c>
      <c r="F34" s="597">
        <v>0</v>
      </c>
      <c r="G34" s="597">
        <v>0</v>
      </c>
      <c r="H34" s="597">
        <v>0</v>
      </c>
      <c r="I34" s="597">
        <v>0</v>
      </c>
      <c r="J34" s="597">
        <v>0</v>
      </c>
      <c r="K34" s="597">
        <v>0</v>
      </c>
      <c r="L34" s="597">
        <v>0</v>
      </c>
      <c r="M34" s="207">
        <v>0</v>
      </c>
      <c r="N34" s="207">
        <v>0</v>
      </c>
    </row>
    <row r="35" spans="1:14">
      <c r="A35" s="208" t="s">
        <v>230</v>
      </c>
      <c r="B35" s="208"/>
      <c r="C35" s="208"/>
      <c r="D35" s="209">
        <v>44.606211199999997</v>
      </c>
      <c r="E35" s="209">
        <v>40.358049999999999</v>
      </c>
      <c r="F35" s="209">
        <v>0</v>
      </c>
      <c r="G35" s="209">
        <v>3.6397599999999999</v>
      </c>
      <c r="H35" s="209">
        <v>13.463979999999999</v>
      </c>
      <c r="I35" s="209">
        <v>12.95781</v>
      </c>
      <c r="J35" s="209">
        <v>7.4675000000000002</v>
      </c>
      <c r="K35" s="209">
        <v>1.9400900000000001</v>
      </c>
      <c r="L35" s="209">
        <v>0</v>
      </c>
      <c r="M35" s="209">
        <v>39.469139999999996</v>
      </c>
      <c r="N35" s="207"/>
    </row>
  </sheetData>
  <mergeCells count="39">
    <mergeCell ref="A4:C4"/>
    <mergeCell ref="C15:E15"/>
    <mergeCell ref="L17:M17"/>
    <mergeCell ref="L18:M18"/>
    <mergeCell ref="L19:M19"/>
    <mergeCell ref="A24:A25"/>
    <mergeCell ref="B24:B25"/>
    <mergeCell ref="C24:C25"/>
    <mergeCell ref="D24:D25"/>
    <mergeCell ref="E24:E25"/>
    <mergeCell ref="F24:N24"/>
    <mergeCell ref="B12:D12"/>
    <mergeCell ref="E12:G12"/>
    <mergeCell ref="H12:J12"/>
    <mergeCell ref="K12:M12"/>
    <mergeCell ref="B13:D13"/>
    <mergeCell ref="E13:G13"/>
    <mergeCell ref="H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20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34"/>
  <sheetViews>
    <sheetView workbookViewId="0">
      <selection activeCell="A4" sqref="A4:C4"/>
    </sheetView>
  </sheetViews>
  <sheetFormatPr defaultRowHeight="12.75"/>
  <cols>
    <col min="1" max="1" width="34.42578125" style="203" customWidth="1"/>
    <col min="2" max="2" width="9.140625" style="203"/>
    <col min="3" max="3" width="9.85546875" style="203" customWidth="1"/>
    <col min="4" max="4" width="10.7109375" style="203" customWidth="1"/>
    <col min="5" max="5" width="11.140625" style="203" customWidth="1"/>
    <col min="6" max="14" width="11.42578125" style="203" customWidth="1"/>
    <col min="15" max="15" width="9.42578125" style="203" bestFit="1" customWidth="1"/>
    <col min="16" max="256" width="9.140625" style="203"/>
    <col min="257" max="257" width="34.42578125" style="203" customWidth="1"/>
    <col min="258" max="258" width="9.140625" style="203"/>
    <col min="259" max="259" width="9.85546875" style="203" customWidth="1"/>
    <col min="260" max="260" width="10.7109375" style="203" customWidth="1"/>
    <col min="261" max="261" width="11.140625" style="203" customWidth="1"/>
    <col min="262" max="270" width="11.42578125" style="203" customWidth="1"/>
    <col min="271" max="271" width="9.42578125" style="203" bestFit="1" customWidth="1"/>
    <col min="272" max="512" width="9.140625" style="203"/>
    <col min="513" max="513" width="34.42578125" style="203" customWidth="1"/>
    <col min="514" max="514" width="9.140625" style="203"/>
    <col min="515" max="515" width="9.85546875" style="203" customWidth="1"/>
    <col min="516" max="516" width="10.7109375" style="203" customWidth="1"/>
    <col min="517" max="517" width="11.140625" style="203" customWidth="1"/>
    <col min="518" max="526" width="11.42578125" style="203" customWidth="1"/>
    <col min="527" max="527" width="9.42578125" style="203" bestFit="1" customWidth="1"/>
    <col min="528" max="768" width="9.140625" style="203"/>
    <col min="769" max="769" width="34.42578125" style="203" customWidth="1"/>
    <col min="770" max="770" width="9.140625" style="203"/>
    <col min="771" max="771" width="9.85546875" style="203" customWidth="1"/>
    <col min="772" max="772" width="10.7109375" style="203" customWidth="1"/>
    <col min="773" max="773" width="11.140625" style="203" customWidth="1"/>
    <col min="774" max="782" width="11.42578125" style="203" customWidth="1"/>
    <col min="783" max="783" width="9.42578125" style="203" bestFit="1" customWidth="1"/>
    <col min="784" max="1024" width="9.140625" style="203"/>
    <col min="1025" max="1025" width="34.42578125" style="203" customWidth="1"/>
    <col min="1026" max="1026" width="9.140625" style="203"/>
    <col min="1027" max="1027" width="9.85546875" style="203" customWidth="1"/>
    <col min="1028" max="1028" width="10.7109375" style="203" customWidth="1"/>
    <col min="1029" max="1029" width="11.140625" style="203" customWidth="1"/>
    <col min="1030" max="1038" width="11.42578125" style="203" customWidth="1"/>
    <col min="1039" max="1039" width="9.42578125" style="203" bestFit="1" customWidth="1"/>
    <col min="1040" max="1280" width="9.140625" style="203"/>
    <col min="1281" max="1281" width="34.42578125" style="203" customWidth="1"/>
    <col min="1282" max="1282" width="9.140625" style="203"/>
    <col min="1283" max="1283" width="9.85546875" style="203" customWidth="1"/>
    <col min="1284" max="1284" width="10.7109375" style="203" customWidth="1"/>
    <col min="1285" max="1285" width="11.140625" style="203" customWidth="1"/>
    <col min="1286" max="1294" width="11.42578125" style="203" customWidth="1"/>
    <col min="1295" max="1295" width="9.42578125" style="203" bestFit="1" customWidth="1"/>
    <col min="1296" max="1536" width="9.140625" style="203"/>
    <col min="1537" max="1537" width="34.42578125" style="203" customWidth="1"/>
    <col min="1538" max="1538" width="9.140625" style="203"/>
    <col min="1539" max="1539" width="9.85546875" style="203" customWidth="1"/>
    <col min="1540" max="1540" width="10.7109375" style="203" customWidth="1"/>
    <col min="1541" max="1541" width="11.140625" style="203" customWidth="1"/>
    <col min="1542" max="1550" width="11.42578125" style="203" customWidth="1"/>
    <col min="1551" max="1551" width="9.42578125" style="203" bestFit="1" customWidth="1"/>
    <col min="1552" max="1792" width="9.140625" style="203"/>
    <col min="1793" max="1793" width="34.42578125" style="203" customWidth="1"/>
    <col min="1794" max="1794" width="9.140625" style="203"/>
    <col min="1795" max="1795" width="9.85546875" style="203" customWidth="1"/>
    <col min="1796" max="1796" width="10.7109375" style="203" customWidth="1"/>
    <col min="1797" max="1797" width="11.140625" style="203" customWidth="1"/>
    <col min="1798" max="1806" width="11.42578125" style="203" customWidth="1"/>
    <col min="1807" max="1807" width="9.42578125" style="203" bestFit="1" customWidth="1"/>
    <col min="1808" max="2048" width="9.140625" style="203"/>
    <col min="2049" max="2049" width="34.42578125" style="203" customWidth="1"/>
    <col min="2050" max="2050" width="9.140625" style="203"/>
    <col min="2051" max="2051" width="9.85546875" style="203" customWidth="1"/>
    <col min="2052" max="2052" width="10.7109375" style="203" customWidth="1"/>
    <col min="2053" max="2053" width="11.140625" style="203" customWidth="1"/>
    <col min="2054" max="2062" width="11.42578125" style="203" customWidth="1"/>
    <col min="2063" max="2063" width="9.42578125" style="203" bestFit="1" customWidth="1"/>
    <col min="2064" max="2304" width="9.140625" style="203"/>
    <col min="2305" max="2305" width="34.42578125" style="203" customWidth="1"/>
    <col min="2306" max="2306" width="9.140625" style="203"/>
    <col min="2307" max="2307" width="9.85546875" style="203" customWidth="1"/>
    <col min="2308" max="2308" width="10.7109375" style="203" customWidth="1"/>
    <col min="2309" max="2309" width="11.140625" style="203" customWidth="1"/>
    <col min="2310" max="2318" width="11.42578125" style="203" customWidth="1"/>
    <col min="2319" max="2319" width="9.42578125" style="203" bestFit="1" customWidth="1"/>
    <col min="2320" max="2560" width="9.140625" style="203"/>
    <col min="2561" max="2561" width="34.42578125" style="203" customWidth="1"/>
    <col min="2562" max="2562" width="9.140625" style="203"/>
    <col min="2563" max="2563" width="9.85546875" style="203" customWidth="1"/>
    <col min="2564" max="2564" width="10.7109375" style="203" customWidth="1"/>
    <col min="2565" max="2565" width="11.140625" style="203" customWidth="1"/>
    <col min="2566" max="2574" width="11.42578125" style="203" customWidth="1"/>
    <col min="2575" max="2575" width="9.42578125" style="203" bestFit="1" customWidth="1"/>
    <col min="2576" max="2816" width="9.140625" style="203"/>
    <col min="2817" max="2817" width="34.42578125" style="203" customWidth="1"/>
    <col min="2818" max="2818" width="9.140625" style="203"/>
    <col min="2819" max="2819" width="9.85546875" style="203" customWidth="1"/>
    <col min="2820" max="2820" width="10.7109375" style="203" customWidth="1"/>
    <col min="2821" max="2821" width="11.140625" style="203" customWidth="1"/>
    <col min="2822" max="2830" width="11.42578125" style="203" customWidth="1"/>
    <col min="2831" max="2831" width="9.42578125" style="203" bestFit="1" customWidth="1"/>
    <col min="2832" max="3072" width="9.140625" style="203"/>
    <col min="3073" max="3073" width="34.42578125" style="203" customWidth="1"/>
    <col min="3074" max="3074" width="9.140625" style="203"/>
    <col min="3075" max="3075" width="9.85546875" style="203" customWidth="1"/>
    <col min="3076" max="3076" width="10.7109375" style="203" customWidth="1"/>
    <col min="3077" max="3077" width="11.140625" style="203" customWidth="1"/>
    <col min="3078" max="3086" width="11.42578125" style="203" customWidth="1"/>
    <col min="3087" max="3087" width="9.42578125" style="203" bestFit="1" customWidth="1"/>
    <col min="3088" max="3328" width="9.140625" style="203"/>
    <col min="3329" max="3329" width="34.42578125" style="203" customWidth="1"/>
    <col min="3330" max="3330" width="9.140625" style="203"/>
    <col min="3331" max="3331" width="9.85546875" style="203" customWidth="1"/>
    <col min="3332" max="3332" width="10.7109375" style="203" customWidth="1"/>
    <col min="3333" max="3333" width="11.140625" style="203" customWidth="1"/>
    <col min="3334" max="3342" width="11.42578125" style="203" customWidth="1"/>
    <col min="3343" max="3343" width="9.42578125" style="203" bestFit="1" customWidth="1"/>
    <col min="3344" max="3584" width="9.140625" style="203"/>
    <col min="3585" max="3585" width="34.42578125" style="203" customWidth="1"/>
    <col min="3586" max="3586" width="9.140625" style="203"/>
    <col min="3587" max="3587" width="9.85546875" style="203" customWidth="1"/>
    <col min="3588" max="3588" width="10.7109375" style="203" customWidth="1"/>
    <col min="3589" max="3589" width="11.140625" style="203" customWidth="1"/>
    <col min="3590" max="3598" width="11.42578125" style="203" customWidth="1"/>
    <col min="3599" max="3599" width="9.42578125" style="203" bestFit="1" customWidth="1"/>
    <col min="3600" max="3840" width="9.140625" style="203"/>
    <col min="3841" max="3841" width="34.42578125" style="203" customWidth="1"/>
    <col min="3842" max="3842" width="9.140625" style="203"/>
    <col min="3843" max="3843" width="9.85546875" style="203" customWidth="1"/>
    <col min="3844" max="3844" width="10.7109375" style="203" customWidth="1"/>
    <col min="3845" max="3845" width="11.140625" style="203" customWidth="1"/>
    <col min="3846" max="3854" width="11.42578125" style="203" customWidth="1"/>
    <col min="3855" max="3855" width="9.42578125" style="203" bestFit="1" customWidth="1"/>
    <col min="3856" max="4096" width="9.140625" style="203"/>
    <col min="4097" max="4097" width="34.42578125" style="203" customWidth="1"/>
    <col min="4098" max="4098" width="9.140625" style="203"/>
    <col min="4099" max="4099" width="9.85546875" style="203" customWidth="1"/>
    <col min="4100" max="4100" width="10.7109375" style="203" customWidth="1"/>
    <col min="4101" max="4101" width="11.140625" style="203" customWidth="1"/>
    <col min="4102" max="4110" width="11.42578125" style="203" customWidth="1"/>
    <col min="4111" max="4111" width="9.42578125" style="203" bestFit="1" customWidth="1"/>
    <col min="4112" max="4352" width="9.140625" style="203"/>
    <col min="4353" max="4353" width="34.42578125" style="203" customWidth="1"/>
    <col min="4354" max="4354" width="9.140625" style="203"/>
    <col min="4355" max="4355" width="9.85546875" style="203" customWidth="1"/>
    <col min="4356" max="4356" width="10.7109375" style="203" customWidth="1"/>
    <col min="4357" max="4357" width="11.140625" style="203" customWidth="1"/>
    <col min="4358" max="4366" width="11.42578125" style="203" customWidth="1"/>
    <col min="4367" max="4367" width="9.42578125" style="203" bestFit="1" customWidth="1"/>
    <col min="4368" max="4608" width="9.140625" style="203"/>
    <col min="4609" max="4609" width="34.42578125" style="203" customWidth="1"/>
    <col min="4610" max="4610" width="9.140625" style="203"/>
    <col min="4611" max="4611" width="9.85546875" style="203" customWidth="1"/>
    <col min="4612" max="4612" width="10.7109375" style="203" customWidth="1"/>
    <col min="4613" max="4613" width="11.140625" style="203" customWidth="1"/>
    <col min="4614" max="4622" width="11.42578125" style="203" customWidth="1"/>
    <col min="4623" max="4623" width="9.42578125" style="203" bestFit="1" customWidth="1"/>
    <col min="4624" max="4864" width="9.140625" style="203"/>
    <col min="4865" max="4865" width="34.42578125" style="203" customWidth="1"/>
    <col min="4866" max="4866" width="9.140625" style="203"/>
    <col min="4867" max="4867" width="9.85546875" style="203" customWidth="1"/>
    <col min="4868" max="4868" width="10.7109375" style="203" customWidth="1"/>
    <col min="4869" max="4869" width="11.140625" style="203" customWidth="1"/>
    <col min="4870" max="4878" width="11.42578125" style="203" customWidth="1"/>
    <col min="4879" max="4879" width="9.42578125" style="203" bestFit="1" customWidth="1"/>
    <col min="4880" max="5120" width="9.140625" style="203"/>
    <col min="5121" max="5121" width="34.42578125" style="203" customWidth="1"/>
    <col min="5122" max="5122" width="9.140625" style="203"/>
    <col min="5123" max="5123" width="9.85546875" style="203" customWidth="1"/>
    <col min="5124" max="5124" width="10.7109375" style="203" customWidth="1"/>
    <col min="5125" max="5125" width="11.140625" style="203" customWidth="1"/>
    <col min="5126" max="5134" width="11.42578125" style="203" customWidth="1"/>
    <col min="5135" max="5135" width="9.42578125" style="203" bestFit="1" customWidth="1"/>
    <col min="5136" max="5376" width="9.140625" style="203"/>
    <col min="5377" max="5377" width="34.42578125" style="203" customWidth="1"/>
    <col min="5378" max="5378" width="9.140625" style="203"/>
    <col min="5379" max="5379" width="9.85546875" style="203" customWidth="1"/>
    <col min="5380" max="5380" width="10.7109375" style="203" customWidth="1"/>
    <col min="5381" max="5381" width="11.140625" style="203" customWidth="1"/>
    <col min="5382" max="5390" width="11.42578125" style="203" customWidth="1"/>
    <col min="5391" max="5391" width="9.42578125" style="203" bestFit="1" customWidth="1"/>
    <col min="5392" max="5632" width="9.140625" style="203"/>
    <col min="5633" max="5633" width="34.42578125" style="203" customWidth="1"/>
    <col min="5634" max="5634" width="9.140625" style="203"/>
    <col min="5635" max="5635" width="9.85546875" style="203" customWidth="1"/>
    <col min="5636" max="5636" width="10.7109375" style="203" customWidth="1"/>
    <col min="5637" max="5637" width="11.140625" style="203" customWidth="1"/>
    <col min="5638" max="5646" width="11.42578125" style="203" customWidth="1"/>
    <col min="5647" max="5647" width="9.42578125" style="203" bestFit="1" customWidth="1"/>
    <col min="5648" max="5888" width="9.140625" style="203"/>
    <col min="5889" max="5889" width="34.42578125" style="203" customWidth="1"/>
    <col min="5890" max="5890" width="9.140625" style="203"/>
    <col min="5891" max="5891" width="9.85546875" style="203" customWidth="1"/>
    <col min="5892" max="5892" width="10.7109375" style="203" customWidth="1"/>
    <col min="5893" max="5893" width="11.140625" style="203" customWidth="1"/>
    <col min="5894" max="5902" width="11.42578125" style="203" customWidth="1"/>
    <col min="5903" max="5903" width="9.42578125" style="203" bestFit="1" customWidth="1"/>
    <col min="5904" max="6144" width="9.140625" style="203"/>
    <col min="6145" max="6145" width="34.42578125" style="203" customWidth="1"/>
    <col min="6146" max="6146" width="9.140625" style="203"/>
    <col min="6147" max="6147" width="9.85546875" style="203" customWidth="1"/>
    <col min="6148" max="6148" width="10.7109375" style="203" customWidth="1"/>
    <col min="6149" max="6149" width="11.140625" style="203" customWidth="1"/>
    <col min="6150" max="6158" width="11.42578125" style="203" customWidth="1"/>
    <col min="6159" max="6159" width="9.42578125" style="203" bestFit="1" customWidth="1"/>
    <col min="6160" max="6400" width="9.140625" style="203"/>
    <col min="6401" max="6401" width="34.42578125" style="203" customWidth="1"/>
    <col min="6402" max="6402" width="9.140625" style="203"/>
    <col min="6403" max="6403" width="9.85546875" style="203" customWidth="1"/>
    <col min="6404" max="6404" width="10.7109375" style="203" customWidth="1"/>
    <col min="6405" max="6405" width="11.140625" style="203" customWidth="1"/>
    <col min="6406" max="6414" width="11.42578125" style="203" customWidth="1"/>
    <col min="6415" max="6415" width="9.42578125" style="203" bestFit="1" customWidth="1"/>
    <col min="6416" max="6656" width="9.140625" style="203"/>
    <col min="6657" max="6657" width="34.42578125" style="203" customWidth="1"/>
    <col min="6658" max="6658" width="9.140625" style="203"/>
    <col min="6659" max="6659" width="9.85546875" style="203" customWidth="1"/>
    <col min="6660" max="6660" width="10.7109375" style="203" customWidth="1"/>
    <col min="6661" max="6661" width="11.140625" style="203" customWidth="1"/>
    <col min="6662" max="6670" width="11.42578125" style="203" customWidth="1"/>
    <col min="6671" max="6671" width="9.42578125" style="203" bestFit="1" customWidth="1"/>
    <col min="6672" max="6912" width="9.140625" style="203"/>
    <col min="6913" max="6913" width="34.42578125" style="203" customWidth="1"/>
    <col min="6914" max="6914" width="9.140625" style="203"/>
    <col min="6915" max="6915" width="9.85546875" style="203" customWidth="1"/>
    <col min="6916" max="6916" width="10.7109375" style="203" customWidth="1"/>
    <col min="6917" max="6917" width="11.140625" style="203" customWidth="1"/>
    <col min="6918" max="6926" width="11.42578125" style="203" customWidth="1"/>
    <col min="6927" max="6927" width="9.42578125" style="203" bestFit="1" customWidth="1"/>
    <col min="6928" max="7168" width="9.140625" style="203"/>
    <col min="7169" max="7169" width="34.42578125" style="203" customWidth="1"/>
    <col min="7170" max="7170" width="9.140625" style="203"/>
    <col min="7171" max="7171" width="9.85546875" style="203" customWidth="1"/>
    <col min="7172" max="7172" width="10.7109375" style="203" customWidth="1"/>
    <col min="7173" max="7173" width="11.140625" style="203" customWidth="1"/>
    <col min="7174" max="7182" width="11.42578125" style="203" customWidth="1"/>
    <col min="7183" max="7183" width="9.42578125" style="203" bestFit="1" customWidth="1"/>
    <col min="7184" max="7424" width="9.140625" style="203"/>
    <col min="7425" max="7425" width="34.42578125" style="203" customWidth="1"/>
    <col min="7426" max="7426" width="9.140625" style="203"/>
    <col min="7427" max="7427" width="9.85546875" style="203" customWidth="1"/>
    <col min="7428" max="7428" width="10.7109375" style="203" customWidth="1"/>
    <col min="7429" max="7429" width="11.140625" style="203" customWidth="1"/>
    <col min="7430" max="7438" width="11.42578125" style="203" customWidth="1"/>
    <col min="7439" max="7439" width="9.42578125" style="203" bestFit="1" customWidth="1"/>
    <col min="7440" max="7680" width="9.140625" style="203"/>
    <col min="7681" max="7681" width="34.42578125" style="203" customWidth="1"/>
    <col min="7682" max="7682" width="9.140625" style="203"/>
    <col min="7683" max="7683" width="9.85546875" style="203" customWidth="1"/>
    <col min="7684" max="7684" width="10.7109375" style="203" customWidth="1"/>
    <col min="7685" max="7685" width="11.140625" style="203" customWidth="1"/>
    <col min="7686" max="7694" width="11.42578125" style="203" customWidth="1"/>
    <col min="7695" max="7695" width="9.42578125" style="203" bestFit="1" customWidth="1"/>
    <col min="7696" max="7936" width="9.140625" style="203"/>
    <col min="7937" max="7937" width="34.42578125" style="203" customWidth="1"/>
    <col min="7938" max="7938" width="9.140625" style="203"/>
    <col min="7939" max="7939" width="9.85546875" style="203" customWidth="1"/>
    <col min="7940" max="7940" width="10.7109375" style="203" customWidth="1"/>
    <col min="7941" max="7941" width="11.140625" style="203" customWidth="1"/>
    <col min="7942" max="7950" width="11.42578125" style="203" customWidth="1"/>
    <col min="7951" max="7951" width="9.42578125" style="203" bestFit="1" customWidth="1"/>
    <col min="7952" max="8192" width="9.140625" style="203"/>
    <col min="8193" max="8193" width="34.42578125" style="203" customWidth="1"/>
    <col min="8194" max="8194" width="9.140625" style="203"/>
    <col min="8195" max="8195" width="9.85546875" style="203" customWidth="1"/>
    <col min="8196" max="8196" width="10.7109375" style="203" customWidth="1"/>
    <col min="8197" max="8197" width="11.140625" style="203" customWidth="1"/>
    <col min="8198" max="8206" width="11.42578125" style="203" customWidth="1"/>
    <col min="8207" max="8207" width="9.42578125" style="203" bestFit="1" customWidth="1"/>
    <col min="8208" max="8448" width="9.140625" style="203"/>
    <col min="8449" max="8449" width="34.42578125" style="203" customWidth="1"/>
    <col min="8450" max="8450" width="9.140625" style="203"/>
    <col min="8451" max="8451" width="9.85546875" style="203" customWidth="1"/>
    <col min="8452" max="8452" width="10.7109375" style="203" customWidth="1"/>
    <col min="8453" max="8453" width="11.140625" style="203" customWidth="1"/>
    <col min="8454" max="8462" width="11.42578125" style="203" customWidth="1"/>
    <col min="8463" max="8463" width="9.42578125" style="203" bestFit="1" customWidth="1"/>
    <col min="8464" max="8704" width="9.140625" style="203"/>
    <col min="8705" max="8705" width="34.42578125" style="203" customWidth="1"/>
    <col min="8706" max="8706" width="9.140625" style="203"/>
    <col min="8707" max="8707" width="9.85546875" style="203" customWidth="1"/>
    <col min="8708" max="8708" width="10.7109375" style="203" customWidth="1"/>
    <col min="8709" max="8709" width="11.140625" style="203" customWidth="1"/>
    <col min="8710" max="8718" width="11.42578125" style="203" customWidth="1"/>
    <col min="8719" max="8719" width="9.42578125" style="203" bestFit="1" customWidth="1"/>
    <col min="8720" max="8960" width="9.140625" style="203"/>
    <col min="8961" max="8961" width="34.42578125" style="203" customWidth="1"/>
    <col min="8962" max="8962" width="9.140625" style="203"/>
    <col min="8963" max="8963" width="9.85546875" style="203" customWidth="1"/>
    <col min="8964" max="8964" width="10.7109375" style="203" customWidth="1"/>
    <col min="8965" max="8965" width="11.140625" style="203" customWidth="1"/>
    <col min="8966" max="8974" width="11.42578125" style="203" customWidth="1"/>
    <col min="8975" max="8975" width="9.42578125" style="203" bestFit="1" customWidth="1"/>
    <col min="8976" max="9216" width="9.140625" style="203"/>
    <col min="9217" max="9217" width="34.42578125" style="203" customWidth="1"/>
    <col min="9218" max="9218" width="9.140625" style="203"/>
    <col min="9219" max="9219" width="9.85546875" style="203" customWidth="1"/>
    <col min="9220" max="9220" width="10.7109375" style="203" customWidth="1"/>
    <col min="9221" max="9221" width="11.140625" style="203" customWidth="1"/>
    <col min="9222" max="9230" width="11.42578125" style="203" customWidth="1"/>
    <col min="9231" max="9231" width="9.42578125" style="203" bestFit="1" customWidth="1"/>
    <col min="9232" max="9472" width="9.140625" style="203"/>
    <col min="9473" max="9473" width="34.42578125" style="203" customWidth="1"/>
    <col min="9474" max="9474" width="9.140625" style="203"/>
    <col min="9475" max="9475" width="9.85546875" style="203" customWidth="1"/>
    <col min="9476" max="9476" width="10.7109375" style="203" customWidth="1"/>
    <col min="9477" max="9477" width="11.140625" style="203" customWidth="1"/>
    <col min="9478" max="9486" width="11.42578125" style="203" customWidth="1"/>
    <col min="9487" max="9487" width="9.42578125" style="203" bestFit="1" customWidth="1"/>
    <col min="9488" max="9728" width="9.140625" style="203"/>
    <col min="9729" max="9729" width="34.42578125" style="203" customWidth="1"/>
    <col min="9730" max="9730" width="9.140625" style="203"/>
    <col min="9731" max="9731" width="9.85546875" style="203" customWidth="1"/>
    <col min="9732" max="9732" width="10.7109375" style="203" customWidth="1"/>
    <col min="9733" max="9733" width="11.140625" style="203" customWidth="1"/>
    <col min="9734" max="9742" width="11.42578125" style="203" customWidth="1"/>
    <col min="9743" max="9743" width="9.42578125" style="203" bestFit="1" customWidth="1"/>
    <col min="9744" max="9984" width="9.140625" style="203"/>
    <col min="9985" max="9985" width="34.42578125" style="203" customWidth="1"/>
    <col min="9986" max="9986" width="9.140625" style="203"/>
    <col min="9987" max="9987" width="9.85546875" style="203" customWidth="1"/>
    <col min="9988" max="9988" width="10.7109375" style="203" customWidth="1"/>
    <col min="9989" max="9989" width="11.140625" style="203" customWidth="1"/>
    <col min="9990" max="9998" width="11.42578125" style="203" customWidth="1"/>
    <col min="9999" max="9999" width="9.42578125" style="203" bestFit="1" customWidth="1"/>
    <col min="10000" max="10240" width="9.140625" style="203"/>
    <col min="10241" max="10241" width="34.42578125" style="203" customWidth="1"/>
    <col min="10242" max="10242" width="9.140625" style="203"/>
    <col min="10243" max="10243" width="9.85546875" style="203" customWidth="1"/>
    <col min="10244" max="10244" width="10.7109375" style="203" customWidth="1"/>
    <col min="10245" max="10245" width="11.140625" style="203" customWidth="1"/>
    <col min="10246" max="10254" width="11.42578125" style="203" customWidth="1"/>
    <col min="10255" max="10255" width="9.42578125" style="203" bestFit="1" customWidth="1"/>
    <col min="10256" max="10496" width="9.140625" style="203"/>
    <col min="10497" max="10497" width="34.42578125" style="203" customWidth="1"/>
    <col min="10498" max="10498" width="9.140625" style="203"/>
    <col min="10499" max="10499" width="9.85546875" style="203" customWidth="1"/>
    <col min="10500" max="10500" width="10.7109375" style="203" customWidth="1"/>
    <col min="10501" max="10501" width="11.140625" style="203" customWidth="1"/>
    <col min="10502" max="10510" width="11.42578125" style="203" customWidth="1"/>
    <col min="10511" max="10511" width="9.42578125" style="203" bestFit="1" customWidth="1"/>
    <col min="10512" max="10752" width="9.140625" style="203"/>
    <col min="10753" max="10753" width="34.42578125" style="203" customWidth="1"/>
    <col min="10754" max="10754" width="9.140625" style="203"/>
    <col min="10755" max="10755" width="9.85546875" style="203" customWidth="1"/>
    <col min="10756" max="10756" width="10.7109375" style="203" customWidth="1"/>
    <col min="10757" max="10757" width="11.140625" style="203" customWidth="1"/>
    <col min="10758" max="10766" width="11.42578125" style="203" customWidth="1"/>
    <col min="10767" max="10767" width="9.42578125" style="203" bestFit="1" customWidth="1"/>
    <col min="10768" max="11008" width="9.140625" style="203"/>
    <col min="11009" max="11009" width="34.42578125" style="203" customWidth="1"/>
    <col min="11010" max="11010" width="9.140625" style="203"/>
    <col min="11011" max="11011" width="9.85546875" style="203" customWidth="1"/>
    <col min="11012" max="11012" width="10.7109375" style="203" customWidth="1"/>
    <col min="11013" max="11013" width="11.140625" style="203" customWidth="1"/>
    <col min="11014" max="11022" width="11.42578125" style="203" customWidth="1"/>
    <col min="11023" max="11023" width="9.42578125" style="203" bestFit="1" customWidth="1"/>
    <col min="11024" max="11264" width="9.140625" style="203"/>
    <col min="11265" max="11265" width="34.42578125" style="203" customWidth="1"/>
    <col min="11266" max="11266" width="9.140625" style="203"/>
    <col min="11267" max="11267" width="9.85546875" style="203" customWidth="1"/>
    <col min="11268" max="11268" width="10.7109375" style="203" customWidth="1"/>
    <col min="11269" max="11269" width="11.140625" style="203" customWidth="1"/>
    <col min="11270" max="11278" width="11.42578125" style="203" customWidth="1"/>
    <col min="11279" max="11279" width="9.42578125" style="203" bestFit="1" customWidth="1"/>
    <col min="11280" max="11520" width="9.140625" style="203"/>
    <col min="11521" max="11521" width="34.42578125" style="203" customWidth="1"/>
    <col min="11522" max="11522" width="9.140625" style="203"/>
    <col min="11523" max="11523" width="9.85546875" style="203" customWidth="1"/>
    <col min="11524" max="11524" width="10.7109375" style="203" customWidth="1"/>
    <col min="11525" max="11525" width="11.140625" style="203" customWidth="1"/>
    <col min="11526" max="11534" width="11.42578125" style="203" customWidth="1"/>
    <col min="11535" max="11535" width="9.42578125" style="203" bestFit="1" customWidth="1"/>
    <col min="11536" max="11776" width="9.140625" style="203"/>
    <col min="11777" max="11777" width="34.42578125" style="203" customWidth="1"/>
    <col min="11778" max="11778" width="9.140625" style="203"/>
    <col min="11779" max="11779" width="9.85546875" style="203" customWidth="1"/>
    <col min="11780" max="11780" width="10.7109375" style="203" customWidth="1"/>
    <col min="11781" max="11781" width="11.140625" style="203" customWidth="1"/>
    <col min="11782" max="11790" width="11.42578125" style="203" customWidth="1"/>
    <col min="11791" max="11791" width="9.42578125" style="203" bestFit="1" customWidth="1"/>
    <col min="11792" max="12032" width="9.140625" style="203"/>
    <col min="12033" max="12033" width="34.42578125" style="203" customWidth="1"/>
    <col min="12034" max="12034" width="9.140625" style="203"/>
    <col min="12035" max="12035" width="9.85546875" style="203" customWidth="1"/>
    <col min="12036" max="12036" width="10.7109375" style="203" customWidth="1"/>
    <col min="12037" max="12037" width="11.140625" style="203" customWidth="1"/>
    <col min="12038" max="12046" width="11.42578125" style="203" customWidth="1"/>
    <col min="12047" max="12047" width="9.42578125" style="203" bestFit="1" customWidth="1"/>
    <col min="12048" max="12288" width="9.140625" style="203"/>
    <col min="12289" max="12289" width="34.42578125" style="203" customWidth="1"/>
    <col min="12290" max="12290" width="9.140625" style="203"/>
    <col min="12291" max="12291" width="9.85546875" style="203" customWidth="1"/>
    <col min="12292" max="12292" width="10.7109375" style="203" customWidth="1"/>
    <col min="12293" max="12293" width="11.140625" style="203" customWidth="1"/>
    <col min="12294" max="12302" width="11.42578125" style="203" customWidth="1"/>
    <col min="12303" max="12303" width="9.42578125" style="203" bestFit="1" customWidth="1"/>
    <col min="12304" max="12544" width="9.140625" style="203"/>
    <col min="12545" max="12545" width="34.42578125" style="203" customWidth="1"/>
    <col min="12546" max="12546" width="9.140625" style="203"/>
    <col min="12547" max="12547" width="9.85546875" style="203" customWidth="1"/>
    <col min="12548" max="12548" width="10.7109375" style="203" customWidth="1"/>
    <col min="12549" max="12549" width="11.140625" style="203" customWidth="1"/>
    <col min="12550" max="12558" width="11.42578125" style="203" customWidth="1"/>
    <col min="12559" max="12559" width="9.42578125" style="203" bestFit="1" customWidth="1"/>
    <col min="12560" max="12800" width="9.140625" style="203"/>
    <col min="12801" max="12801" width="34.42578125" style="203" customWidth="1"/>
    <col min="12802" max="12802" width="9.140625" style="203"/>
    <col min="12803" max="12803" width="9.85546875" style="203" customWidth="1"/>
    <col min="12804" max="12804" width="10.7109375" style="203" customWidth="1"/>
    <col min="12805" max="12805" width="11.140625" style="203" customWidth="1"/>
    <col min="12806" max="12814" width="11.42578125" style="203" customWidth="1"/>
    <col min="12815" max="12815" width="9.42578125" style="203" bestFit="1" customWidth="1"/>
    <col min="12816" max="13056" width="9.140625" style="203"/>
    <col min="13057" max="13057" width="34.42578125" style="203" customWidth="1"/>
    <col min="13058" max="13058" width="9.140625" style="203"/>
    <col min="13059" max="13059" width="9.85546875" style="203" customWidth="1"/>
    <col min="13060" max="13060" width="10.7109375" style="203" customWidth="1"/>
    <col min="13061" max="13061" width="11.140625" style="203" customWidth="1"/>
    <col min="13062" max="13070" width="11.42578125" style="203" customWidth="1"/>
    <col min="13071" max="13071" width="9.42578125" style="203" bestFit="1" customWidth="1"/>
    <col min="13072" max="13312" width="9.140625" style="203"/>
    <col min="13313" max="13313" width="34.42578125" style="203" customWidth="1"/>
    <col min="13314" max="13314" width="9.140625" style="203"/>
    <col min="13315" max="13315" width="9.85546875" style="203" customWidth="1"/>
    <col min="13316" max="13316" width="10.7109375" style="203" customWidth="1"/>
    <col min="13317" max="13317" width="11.140625" style="203" customWidth="1"/>
    <col min="13318" max="13326" width="11.42578125" style="203" customWidth="1"/>
    <col min="13327" max="13327" width="9.42578125" style="203" bestFit="1" customWidth="1"/>
    <col min="13328" max="13568" width="9.140625" style="203"/>
    <col min="13569" max="13569" width="34.42578125" style="203" customWidth="1"/>
    <col min="13570" max="13570" width="9.140625" style="203"/>
    <col min="13571" max="13571" width="9.85546875" style="203" customWidth="1"/>
    <col min="13572" max="13572" width="10.7109375" style="203" customWidth="1"/>
    <col min="13573" max="13573" width="11.140625" style="203" customWidth="1"/>
    <col min="13574" max="13582" width="11.42578125" style="203" customWidth="1"/>
    <col min="13583" max="13583" width="9.42578125" style="203" bestFit="1" customWidth="1"/>
    <col min="13584" max="13824" width="9.140625" style="203"/>
    <col min="13825" max="13825" width="34.42578125" style="203" customWidth="1"/>
    <col min="13826" max="13826" width="9.140625" style="203"/>
    <col min="13827" max="13827" width="9.85546875" style="203" customWidth="1"/>
    <col min="13828" max="13828" width="10.7109375" style="203" customWidth="1"/>
    <col min="13829" max="13829" width="11.140625" style="203" customWidth="1"/>
    <col min="13830" max="13838" width="11.42578125" style="203" customWidth="1"/>
    <col min="13839" max="13839" width="9.42578125" style="203" bestFit="1" customWidth="1"/>
    <col min="13840" max="14080" width="9.140625" style="203"/>
    <col min="14081" max="14081" width="34.42578125" style="203" customWidth="1"/>
    <col min="14082" max="14082" width="9.140625" style="203"/>
    <col min="14083" max="14083" width="9.85546875" style="203" customWidth="1"/>
    <col min="14084" max="14084" width="10.7109375" style="203" customWidth="1"/>
    <col min="14085" max="14085" width="11.140625" style="203" customWidth="1"/>
    <col min="14086" max="14094" width="11.42578125" style="203" customWidth="1"/>
    <col min="14095" max="14095" width="9.42578125" style="203" bestFit="1" customWidth="1"/>
    <col min="14096" max="14336" width="9.140625" style="203"/>
    <col min="14337" max="14337" width="34.42578125" style="203" customWidth="1"/>
    <col min="14338" max="14338" width="9.140625" style="203"/>
    <col min="14339" max="14339" width="9.85546875" style="203" customWidth="1"/>
    <col min="14340" max="14340" width="10.7109375" style="203" customWidth="1"/>
    <col min="14341" max="14341" width="11.140625" style="203" customWidth="1"/>
    <col min="14342" max="14350" width="11.42578125" style="203" customWidth="1"/>
    <col min="14351" max="14351" width="9.42578125" style="203" bestFit="1" customWidth="1"/>
    <col min="14352" max="14592" width="9.140625" style="203"/>
    <col min="14593" max="14593" width="34.42578125" style="203" customWidth="1"/>
    <col min="14594" max="14594" width="9.140625" style="203"/>
    <col min="14595" max="14595" width="9.85546875" style="203" customWidth="1"/>
    <col min="14596" max="14596" width="10.7109375" style="203" customWidth="1"/>
    <col min="14597" max="14597" width="11.140625" style="203" customWidth="1"/>
    <col min="14598" max="14606" width="11.42578125" style="203" customWidth="1"/>
    <col min="14607" max="14607" width="9.42578125" style="203" bestFit="1" customWidth="1"/>
    <col min="14608" max="14848" width="9.140625" style="203"/>
    <col min="14849" max="14849" width="34.42578125" style="203" customWidth="1"/>
    <col min="14850" max="14850" width="9.140625" style="203"/>
    <col min="14851" max="14851" width="9.85546875" style="203" customWidth="1"/>
    <col min="14852" max="14852" width="10.7109375" style="203" customWidth="1"/>
    <col min="14853" max="14853" width="11.140625" style="203" customWidth="1"/>
    <col min="14854" max="14862" width="11.42578125" style="203" customWidth="1"/>
    <col min="14863" max="14863" width="9.42578125" style="203" bestFit="1" customWidth="1"/>
    <col min="14864" max="15104" width="9.140625" style="203"/>
    <col min="15105" max="15105" width="34.42578125" style="203" customWidth="1"/>
    <col min="15106" max="15106" width="9.140625" style="203"/>
    <col min="15107" max="15107" width="9.85546875" style="203" customWidth="1"/>
    <col min="15108" max="15108" width="10.7109375" style="203" customWidth="1"/>
    <col min="15109" max="15109" width="11.140625" style="203" customWidth="1"/>
    <col min="15110" max="15118" width="11.42578125" style="203" customWidth="1"/>
    <col min="15119" max="15119" width="9.42578125" style="203" bestFit="1" customWidth="1"/>
    <col min="15120" max="15360" width="9.140625" style="203"/>
    <col min="15361" max="15361" width="34.42578125" style="203" customWidth="1"/>
    <col min="15362" max="15362" width="9.140625" style="203"/>
    <col min="15363" max="15363" width="9.85546875" style="203" customWidth="1"/>
    <col min="15364" max="15364" width="10.7109375" style="203" customWidth="1"/>
    <col min="15365" max="15365" width="11.140625" style="203" customWidth="1"/>
    <col min="15366" max="15374" width="11.42578125" style="203" customWidth="1"/>
    <col min="15375" max="15375" width="9.42578125" style="203" bestFit="1" customWidth="1"/>
    <col min="15376" max="15616" width="9.140625" style="203"/>
    <col min="15617" max="15617" width="34.42578125" style="203" customWidth="1"/>
    <col min="15618" max="15618" width="9.140625" style="203"/>
    <col min="15619" max="15619" width="9.85546875" style="203" customWidth="1"/>
    <col min="15620" max="15620" width="10.7109375" style="203" customWidth="1"/>
    <col min="15621" max="15621" width="11.140625" style="203" customWidth="1"/>
    <col min="15622" max="15630" width="11.42578125" style="203" customWidth="1"/>
    <col min="15631" max="15631" width="9.42578125" style="203" bestFit="1" customWidth="1"/>
    <col min="15632" max="15872" width="9.140625" style="203"/>
    <col min="15873" max="15873" width="34.42578125" style="203" customWidth="1"/>
    <col min="15874" max="15874" width="9.140625" style="203"/>
    <col min="15875" max="15875" width="9.85546875" style="203" customWidth="1"/>
    <col min="15876" max="15876" width="10.7109375" style="203" customWidth="1"/>
    <col min="15877" max="15877" width="11.140625" style="203" customWidth="1"/>
    <col min="15878" max="15886" width="11.42578125" style="203" customWidth="1"/>
    <col min="15887" max="15887" width="9.42578125" style="203" bestFit="1" customWidth="1"/>
    <col min="15888" max="16128" width="9.140625" style="203"/>
    <col min="16129" max="16129" width="34.42578125" style="203" customWidth="1"/>
    <col min="16130" max="16130" width="9.140625" style="203"/>
    <col min="16131" max="16131" width="9.85546875" style="203" customWidth="1"/>
    <col min="16132" max="16132" width="10.7109375" style="203" customWidth="1"/>
    <col min="16133" max="16133" width="11.140625" style="203" customWidth="1"/>
    <col min="16134" max="16142" width="11.42578125" style="203" customWidth="1"/>
    <col min="16143" max="16143" width="9.42578125" style="203" bestFit="1" customWidth="1"/>
    <col min="16144" max="16384" width="9.140625" style="203"/>
  </cols>
  <sheetData>
    <row r="1" spans="1:14" ht="38.25" customHeight="1">
      <c r="A1" s="1158" t="s">
        <v>1464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3" spans="1:14" ht="20.25" customHeight="1">
      <c r="A3" s="203" t="s">
        <v>1465</v>
      </c>
      <c r="B3" s="1159" t="s">
        <v>149</v>
      </c>
      <c r="C3" s="1159"/>
      <c r="D3" s="1159"/>
      <c r="E3" s="1160" t="s">
        <v>1467</v>
      </c>
      <c r="F3" s="1160"/>
      <c r="G3" s="1161" t="s">
        <v>1679</v>
      </c>
      <c r="H3" s="1161"/>
      <c r="I3" s="1162" t="s">
        <v>5</v>
      </c>
      <c r="J3" s="1162"/>
      <c r="K3" s="509">
        <v>436.05599999999998</v>
      </c>
      <c r="L3" s="1160" t="s">
        <v>1469</v>
      </c>
      <c r="M3" s="1160"/>
      <c r="N3" s="509">
        <v>69</v>
      </c>
    </row>
    <row r="4" spans="1:14" ht="20.25" customHeight="1">
      <c r="A4" s="808" t="s">
        <v>4176</v>
      </c>
      <c r="B4" s="808"/>
      <c r="C4" s="808"/>
    </row>
    <row r="5" spans="1:14" ht="20.25" customHeight="1">
      <c r="A5" s="203" t="s">
        <v>832</v>
      </c>
      <c r="B5" s="1159" t="s">
        <v>1680</v>
      </c>
      <c r="C5" s="1159"/>
      <c r="D5" s="1159"/>
      <c r="E5" s="1163" t="s">
        <v>1471</v>
      </c>
      <c r="F5" s="1164"/>
      <c r="G5" s="1159" t="s">
        <v>1681</v>
      </c>
      <c r="H5" s="1159"/>
      <c r="I5" s="1159"/>
      <c r="J5" s="1159"/>
    </row>
    <row r="6" spans="1:14" ht="20.25" customHeight="1"/>
    <row r="7" spans="1:14" ht="20.25" customHeight="1">
      <c r="A7" s="203" t="s">
        <v>1473</v>
      </c>
      <c r="B7" s="1159" t="s">
        <v>1682</v>
      </c>
      <c r="C7" s="1159"/>
      <c r="D7" s="1159"/>
      <c r="E7" s="1165" t="s">
        <v>1475</v>
      </c>
      <c r="F7" s="1166"/>
      <c r="G7" s="1159" t="s">
        <v>1683</v>
      </c>
      <c r="H7" s="1159"/>
      <c r="I7" s="1159"/>
      <c r="J7" s="1159"/>
      <c r="K7" s="1159"/>
    </row>
    <row r="8" spans="1:14" ht="20.25" customHeight="1">
      <c r="E8" s="1166"/>
      <c r="F8" s="1166"/>
      <c r="G8" s="1159"/>
      <c r="H8" s="1159"/>
      <c r="I8" s="1159"/>
      <c r="J8" s="1159"/>
      <c r="K8" s="1159"/>
    </row>
    <row r="9" spans="1:14" ht="20.25" customHeight="1"/>
    <row r="10" spans="1:14" ht="25.5" customHeight="1">
      <c r="A10" s="204" t="s">
        <v>1477</v>
      </c>
      <c r="B10" s="1159" t="s">
        <v>1684</v>
      </c>
      <c r="C10" s="1159"/>
      <c r="D10" s="1159"/>
      <c r="E10" s="1159" t="s">
        <v>1685</v>
      </c>
      <c r="F10" s="1159"/>
      <c r="G10" s="1159"/>
      <c r="H10" s="1159" t="s">
        <v>1686</v>
      </c>
      <c r="I10" s="1159"/>
      <c r="J10" s="1159"/>
      <c r="K10" s="1159"/>
      <c r="L10" s="1159"/>
      <c r="M10" s="1159"/>
    </row>
    <row r="11" spans="1:14" ht="25.5" customHeight="1">
      <c r="A11" s="204" t="s">
        <v>840</v>
      </c>
      <c r="B11" s="1159" t="s">
        <v>1687</v>
      </c>
      <c r="C11" s="1159"/>
      <c r="D11" s="1159"/>
      <c r="E11" s="1159" t="s">
        <v>1688</v>
      </c>
      <c r="F11" s="1159"/>
      <c r="G11" s="1159"/>
      <c r="H11" s="1159" t="s">
        <v>500</v>
      </c>
      <c r="I11" s="1159"/>
      <c r="J11" s="1159"/>
      <c r="K11" s="1159"/>
      <c r="L11" s="1159"/>
      <c r="M11" s="1159"/>
    </row>
    <row r="12" spans="1:14" ht="25.5" customHeight="1">
      <c r="A12" s="204" t="s">
        <v>844</v>
      </c>
      <c r="B12" s="1167" t="s">
        <v>1689</v>
      </c>
      <c r="C12" s="1168"/>
      <c r="D12" s="1169"/>
      <c r="E12" s="1159" t="s">
        <v>1688</v>
      </c>
      <c r="F12" s="1159"/>
      <c r="G12" s="1159"/>
      <c r="H12" s="1159" t="s">
        <v>500</v>
      </c>
      <c r="I12" s="1159"/>
      <c r="J12" s="1159"/>
      <c r="K12" s="1159"/>
      <c r="L12" s="1159"/>
      <c r="M12" s="1159"/>
    </row>
    <row r="13" spans="1:14" ht="25.5" customHeight="1">
      <c r="A13" s="204" t="s">
        <v>420</v>
      </c>
      <c r="B13" s="1159" t="s">
        <v>1690</v>
      </c>
      <c r="C13" s="1159"/>
      <c r="D13" s="1159"/>
      <c r="E13" s="1176" t="s">
        <v>1691</v>
      </c>
      <c r="F13" s="1177"/>
      <c r="G13" s="1177"/>
      <c r="H13" s="1177"/>
      <c r="I13" s="1177"/>
      <c r="J13" s="1178"/>
      <c r="K13" s="1159"/>
      <c r="L13" s="1159"/>
      <c r="M13" s="1159"/>
    </row>
    <row r="14" spans="1:14" ht="20.25" customHeight="1"/>
    <row r="15" spans="1:14" ht="20.25" customHeight="1">
      <c r="A15" s="203" t="s">
        <v>1489</v>
      </c>
      <c r="B15" s="509">
        <v>3</v>
      </c>
      <c r="C15" s="1170" t="s">
        <v>1490</v>
      </c>
      <c r="D15" s="1166"/>
      <c r="E15" s="1171"/>
      <c r="F15" s="509">
        <v>3</v>
      </c>
      <c r="G15" s="203" t="s">
        <v>1491</v>
      </c>
      <c r="H15" s="509">
        <v>5</v>
      </c>
      <c r="I15" s="203" t="s">
        <v>1492</v>
      </c>
      <c r="J15" s="509">
        <v>2</v>
      </c>
      <c r="K15" s="203" t="s">
        <v>1493</v>
      </c>
      <c r="L15" s="509">
        <v>4</v>
      </c>
    </row>
    <row r="16" spans="1:14" ht="20.25" customHeight="1"/>
    <row r="17" spans="1:14" ht="20.25" customHeight="1">
      <c r="A17" s="203" t="s">
        <v>646</v>
      </c>
      <c r="B17" s="203" t="s">
        <v>204</v>
      </c>
      <c r="C17" s="509">
        <v>44</v>
      </c>
      <c r="D17" s="203" t="s">
        <v>205</v>
      </c>
      <c r="E17" s="509">
        <v>2</v>
      </c>
      <c r="F17" s="203" t="s">
        <v>206</v>
      </c>
      <c r="G17" s="509">
        <v>0</v>
      </c>
      <c r="H17" s="203" t="s">
        <v>230</v>
      </c>
      <c r="I17" s="509">
        <v>46</v>
      </c>
      <c r="J17" s="203" t="s">
        <v>207</v>
      </c>
      <c r="K17" s="509">
        <v>11</v>
      </c>
      <c r="L17" s="1170" t="s">
        <v>855</v>
      </c>
      <c r="M17" s="1171"/>
      <c r="N17" s="509">
        <v>10</v>
      </c>
    </row>
    <row r="18" spans="1:14" ht="20.25" customHeight="1">
      <c r="A18" s="203" t="s">
        <v>209</v>
      </c>
      <c r="B18" s="203" t="s">
        <v>210</v>
      </c>
      <c r="C18" s="509">
        <v>107</v>
      </c>
      <c r="D18" s="203" t="s">
        <v>211</v>
      </c>
      <c r="E18" s="509">
        <v>5</v>
      </c>
      <c r="F18" s="203" t="s">
        <v>212</v>
      </c>
      <c r="G18" s="509">
        <v>0</v>
      </c>
      <c r="H18" s="203" t="s">
        <v>411</v>
      </c>
      <c r="I18" s="509">
        <v>111</v>
      </c>
      <c r="K18" s="205"/>
      <c r="L18" s="1162"/>
      <c r="M18" s="1162"/>
      <c r="N18" s="205"/>
    </row>
    <row r="19" spans="1:14" ht="20.25" customHeight="1">
      <c r="B19" s="203" t="s">
        <v>213</v>
      </c>
      <c r="C19" s="509">
        <v>117</v>
      </c>
      <c r="D19" s="203" t="s">
        <v>214</v>
      </c>
      <c r="E19" s="509">
        <v>8</v>
      </c>
      <c r="F19" s="203" t="s">
        <v>1494</v>
      </c>
      <c r="G19" s="509">
        <v>0</v>
      </c>
      <c r="H19" s="203" t="s">
        <v>410</v>
      </c>
      <c r="I19" s="509">
        <v>128</v>
      </c>
      <c r="K19" s="205"/>
      <c r="L19" s="1162"/>
      <c r="M19" s="1162"/>
      <c r="N19" s="205"/>
    </row>
    <row r="20" spans="1:14">
      <c r="A20" s="206" t="s">
        <v>216</v>
      </c>
      <c r="N20" s="205"/>
    </row>
    <row r="21" spans="1:14">
      <c r="N21" s="205"/>
    </row>
    <row r="22" spans="1:14">
      <c r="N22" s="205"/>
    </row>
    <row r="23" spans="1:14" ht="12.75" customHeight="1">
      <c r="A23" s="1182" t="s">
        <v>217</v>
      </c>
      <c r="B23" s="1174" t="s">
        <v>1495</v>
      </c>
      <c r="C23" s="1175" t="s">
        <v>219</v>
      </c>
      <c r="D23" s="1174" t="s">
        <v>1496</v>
      </c>
      <c r="E23" s="1174" t="s">
        <v>1497</v>
      </c>
      <c r="F23" s="1174" t="s">
        <v>1498</v>
      </c>
      <c r="G23" s="1174"/>
      <c r="H23" s="1174"/>
      <c r="I23" s="1174"/>
      <c r="J23" s="1174"/>
      <c r="K23" s="1174"/>
      <c r="L23" s="1174"/>
      <c r="M23" s="1174"/>
      <c r="N23" s="1174"/>
    </row>
    <row r="24" spans="1:14">
      <c r="A24" s="1183"/>
      <c r="B24" s="1174"/>
      <c r="C24" s="1175"/>
      <c r="D24" s="1174"/>
      <c r="E24" s="1174"/>
      <c r="F24" s="512" t="s">
        <v>224</v>
      </c>
      <c r="G24" s="512" t="s">
        <v>225</v>
      </c>
      <c r="H24" s="512" t="s">
        <v>226</v>
      </c>
      <c r="I24" s="512" t="s">
        <v>227</v>
      </c>
      <c r="J24" s="512" t="s">
        <v>228</v>
      </c>
      <c r="K24" s="512" t="s">
        <v>229</v>
      </c>
      <c r="L24" s="512" t="s">
        <v>1499</v>
      </c>
      <c r="M24" s="512" t="s">
        <v>230</v>
      </c>
      <c r="N24" s="512" t="s">
        <v>231</v>
      </c>
    </row>
    <row r="25" spans="1:14">
      <c r="A25" s="204" t="s">
        <v>232</v>
      </c>
      <c r="B25" s="204">
        <v>8000</v>
      </c>
      <c r="C25" s="204" t="s">
        <v>1500</v>
      </c>
      <c r="D25" s="597">
        <v>34.884480000000003</v>
      </c>
      <c r="E25" s="597">
        <v>34.884779999999999</v>
      </c>
      <c r="F25" s="597">
        <v>0</v>
      </c>
      <c r="G25" s="597">
        <v>2.9513199999999999</v>
      </c>
      <c r="H25" s="597">
        <v>17.083390000000001</v>
      </c>
      <c r="I25" s="597">
        <v>13.25</v>
      </c>
      <c r="J25" s="597">
        <v>1.45</v>
      </c>
      <c r="K25" s="597">
        <v>1.5356399999999999</v>
      </c>
      <c r="L25" s="597">
        <v>0</v>
      </c>
      <c r="M25" s="207">
        <v>36.270350000000008</v>
      </c>
      <c r="N25" s="207">
        <v>103.97184674806607</v>
      </c>
    </row>
    <row r="26" spans="1:14">
      <c r="A26" s="204" t="s">
        <v>234</v>
      </c>
      <c r="B26" s="204">
        <v>7000</v>
      </c>
      <c r="C26" s="204" t="s">
        <v>1500</v>
      </c>
      <c r="D26" s="597">
        <v>4.8838271999999998</v>
      </c>
      <c r="E26" s="597">
        <v>4.83</v>
      </c>
      <c r="F26" s="597">
        <v>0</v>
      </c>
      <c r="G26" s="597">
        <v>0</v>
      </c>
      <c r="H26" s="597">
        <v>0</v>
      </c>
      <c r="I26" s="597">
        <v>0</v>
      </c>
      <c r="J26" s="597">
        <v>1.2718499999999999</v>
      </c>
      <c r="K26" s="597">
        <v>3.5581499999999999</v>
      </c>
      <c r="L26" s="597">
        <v>0</v>
      </c>
      <c r="M26" s="207">
        <v>4.83</v>
      </c>
      <c r="N26" s="207">
        <v>100</v>
      </c>
    </row>
    <row r="27" spans="1:14">
      <c r="A27" s="204" t="s">
        <v>235</v>
      </c>
      <c r="B27" s="204">
        <v>43000</v>
      </c>
      <c r="C27" s="204" t="s">
        <v>236</v>
      </c>
      <c r="D27" s="597">
        <v>0.43</v>
      </c>
      <c r="E27" s="597">
        <v>0.43</v>
      </c>
      <c r="F27" s="597">
        <v>0</v>
      </c>
      <c r="G27" s="597">
        <v>0</v>
      </c>
      <c r="H27" s="597">
        <v>0</v>
      </c>
      <c r="I27" s="597">
        <v>0.17349999999999999</v>
      </c>
      <c r="J27" s="597">
        <v>6.5000000000000002E-2</v>
      </c>
      <c r="K27" s="597">
        <v>0.14149999999999999</v>
      </c>
      <c r="L27" s="597">
        <v>0</v>
      </c>
      <c r="M27" s="207">
        <v>0.38</v>
      </c>
      <c r="N27" s="207">
        <v>88.372093023255815</v>
      </c>
    </row>
    <row r="28" spans="1:14">
      <c r="A28" s="204" t="s">
        <v>1501</v>
      </c>
      <c r="B28" s="204">
        <v>37000</v>
      </c>
      <c r="C28" s="204" t="s">
        <v>236</v>
      </c>
      <c r="D28" s="597">
        <v>0.34</v>
      </c>
      <c r="E28" s="597">
        <v>0.34</v>
      </c>
      <c r="F28" s="597">
        <v>0</v>
      </c>
      <c r="G28" s="597">
        <v>0</v>
      </c>
      <c r="H28" s="597">
        <v>0</v>
      </c>
      <c r="I28" s="597">
        <v>0.11914</v>
      </c>
      <c r="J28" s="597">
        <v>2.9000000000000001E-2</v>
      </c>
      <c r="K28" s="597">
        <v>0</v>
      </c>
      <c r="L28" s="597">
        <v>0</v>
      </c>
      <c r="M28" s="207">
        <v>0.14813999999999999</v>
      </c>
      <c r="N28" s="207">
        <v>43.57058823529411</v>
      </c>
    </row>
    <row r="29" spans="1:14">
      <c r="A29" s="204" t="s">
        <v>238</v>
      </c>
      <c r="B29" s="204">
        <v>1200</v>
      </c>
      <c r="C29" s="204" t="s">
        <v>1500</v>
      </c>
      <c r="D29" s="597">
        <v>5.232672</v>
      </c>
      <c r="E29" s="597">
        <v>5.2325999999999997</v>
      </c>
      <c r="F29" s="597">
        <v>0</v>
      </c>
      <c r="G29" s="597">
        <v>1.2607299999999999</v>
      </c>
      <c r="H29" s="597">
        <v>0.16791</v>
      </c>
      <c r="I29" s="597">
        <v>0</v>
      </c>
      <c r="J29" s="597">
        <v>0</v>
      </c>
      <c r="K29" s="597">
        <v>0.10324999999999999</v>
      </c>
      <c r="L29" s="597">
        <v>0</v>
      </c>
      <c r="M29" s="207">
        <v>1.53189</v>
      </c>
      <c r="N29" s="207">
        <v>29.275885792913659</v>
      </c>
    </row>
    <row r="30" spans="1:14">
      <c r="A30" s="204" t="s">
        <v>1502</v>
      </c>
      <c r="B30" s="204">
        <v>565</v>
      </c>
      <c r="C30" s="204" t="s">
        <v>1500</v>
      </c>
      <c r="D30" s="597">
        <v>2.4637164</v>
      </c>
      <c r="E30" s="597">
        <v>2.4637199999999999</v>
      </c>
      <c r="F30" s="597">
        <v>0</v>
      </c>
      <c r="G30" s="597">
        <v>0.1</v>
      </c>
      <c r="H30" s="597">
        <v>2.2637200000000002</v>
      </c>
      <c r="I30" s="597">
        <v>0.1</v>
      </c>
      <c r="J30" s="597">
        <v>0</v>
      </c>
      <c r="K30" s="597">
        <v>0</v>
      </c>
      <c r="L30" s="597">
        <v>0</v>
      </c>
      <c r="M30" s="207">
        <v>2.4637200000000004</v>
      </c>
      <c r="N30" s="207">
        <v>100.00000000000003</v>
      </c>
    </row>
    <row r="31" spans="1:14">
      <c r="A31" s="204" t="s">
        <v>1503</v>
      </c>
      <c r="B31" s="204">
        <v>1000</v>
      </c>
      <c r="C31" s="204" t="s">
        <v>1500</v>
      </c>
      <c r="D31" s="597">
        <v>4.3605600000000004</v>
      </c>
      <c r="E31" s="597">
        <v>4.3605600000000004</v>
      </c>
      <c r="F31" s="597">
        <v>0</v>
      </c>
      <c r="G31" s="597">
        <v>0</v>
      </c>
      <c r="H31" s="597">
        <v>0</v>
      </c>
      <c r="I31" s="597">
        <v>0</v>
      </c>
      <c r="J31" s="597">
        <v>0</v>
      </c>
      <c r="K31" s="597">
        <v>0.83835000000000004</v>
      </c>
      <c r="L31" s="597">
        <v>0</v>
      </c>
      <c r="M31" s="207">
        <v>0.83835000000000004</v>
      </c>
      <c r="N31" s="207">
        <v>19.225741647861742</v>
      </c>
    </row>
    <row r="32" spans="1:14">
      <c r="A32" s="204" t="s">
        <v>607</v>
      </c>
      <c r="B32" s="204">
        <v>2750</v>
      </c>
      <c r="C32" s="204" t="s">
        <v>242</v>
      </c>
      <c r="D32" s="597">
        <v>1.75</v>
      </c>
      <c r="E32" s="597">
        <v>1.43354</v>
      </c>
      <c r="F32" s="597">
        <v>0</v>
      </c>
      <c r="G32" s="597">
        <v>0.22262000000000001</v>
      </c>
      <c r="H32" s="597">
        <v>0.23139999999999999</v>
      </c>
      <c r="I32" s="597">
        <v>0.31881999999999999</v>
      </c>
      <c r="J32" s="597">
        <v>0.27</v>
      </c>
      <c r="K32" s="597">
        <v>0.36425000000000002</v>
      </c>
      <c r="L32" s="597">
        <v>0</v>
      </c>
      <c r="M32" s="207">
        <v>1.40709</v>
      </c>
      <c r="N32" s="207">
        <v>98.154917197985398</v>
      </c>
    </row>
    <row r="33" spans="1:14">
      <c r="A33" s="204" t="s">
        <v>243</v>
      </c>
      <c r="B33" s="204">
        <v>10000</v>
      </c>
      <c r="C33" s="204" t="s">
        <v>244</v>
      </c>
      <c r="D33" s="597">
        <v>0</v>
      </c>
      <c r="E33" s="597">
        <v>0</v>
      </c>
      <c r="F33" s="597">
        <v>0</v>
      </c>
      <c r="G33" s="597">
        <v>0</v>
      </c>
      <c r="H33" s="597">
        <v>0</v>
      </c>
      <c r="I33" s="597">
        <v>0</v>
      </c>
      <c r="J33" s="597">
        <v>0</v>
      </c>
      <c r="K33" s="597">
        <v>0</v>
      </c>
      <c r="L33" s="597">
        <v>0</v>
      </c>
      <c r="M33" s="597">
        <v>0</v>
      </c>
      <c r="N33" s="597">
        <v>0</v>
      </c>
    </row>
    <row r="34" spans="1:14">
      <c r="A34" s="208" t="s">
        <v>230</v>
      </c>
      <c r="B34" s="208"/>
      <c r="C34" s="208"/>
      <c r="D34" s="209">
        <v>54.345255600000009</v>
      </c>
      <c r="E34" s="209">
        <v>53.975200000000001</v>
      </c>
      <c r="F34" s="209">
        <v>0</v>
      </c>
      <c r="G34" s="209">
        <v>4.5346699999999993</v>
      </c>
      <c r="H34" s="209">
        <v>19.746420000000001</v>
      </c>
      <c r="I34" s="209">
        <v>13.961460000000001</v>
      </c>
      <c r="J34" s="209">
        <v>3.0858499999999998</v>
      </c>
      <c r="K34" s="209">
        <v>6.5411400000000004</v>
      </c>
      <c r="L34" s="209">
        <v>0</v>
      </c>
      <c r="M34" s="209">
        <v>47.869540000000001</v>
      </c>
      <c r="N34" s="207"/>
    </row>
  </sheetData>
  <mergeCells count="38">
    <mergeCell ref="A4:C4"/>
    <mergeCell ref="C15:E15"/>
    <mergeCell ref="L17:M17"/>
    <mergeCell ref="L18:M18"/>
    <mergeCell ref="L19:M19"/>
    <mergeCell ref="A23:A24"/>
    <mergeCell ref="B23:B24"/>
    <mergeCell ref="C23:C24"/>
    <mergeCell ref="D23:D24"/>
    <mergeCell ref="E23:E24"/>
    <mergeCell ref="F23:N23"/>
    <mergeCell ref="B12:D12"/>
    <mergeCell ref="E12:G12"/>
    <mergeCell ref="H12:J12"/>
    <mergeCell ref="K12:M12"/>
    <mergeCell ref="B13:D13"/>
    <mergeCell ref="E13:J13"/>
    <mergeCell ref="K13:M13"/>
    <mergeCell ref="B10:D10"/>
    <mergeCell ref="E10:G10"/>
    <mergeCell ref="H10:J10"/>
    <mergeCell ref="K10:M10"/>
    <mergeCell ref="B11:D11"/>
    <mergeCell ref="E11:G11"/>
    <mergeCell ref="H11:J11"/>
    <mergeCell ref="K11:M11"/>
    <mergeCell ref="B5:D5"/>
    <mergeCell ref="E5:F5"/>
    <mergeCell ref="G5:J5"/>
    <mergeCell ref="B7:D7"/>
    <mergeCell ref="E7:F8"/>
    <mergeCell ref="G7:K8"/>
    <mergeCell ref="A1:N1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80" orientation="landscape" r:id="rId1"/>
</worksheet>
</file>

<file path=xl/worksheets/sheet20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8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8.42578125" style="557" customWidth="1"/>
    <col min="3" max="3" width="7.5703125" style="557" customWidth="1"/>
    <col min="4" max="4" width="9.5703125" style="557" customWidth="1"/>
    <col min="5" max="5" width="9" style="557" customWidth="1"/>
    <col min="6" max="6" width="7.85546875" style="557" customWidth="1"/>
    <col min="7" max="7" width="8.28515625" style="557" customWidth="1"/>
    <col min="8" max="8" width="8.5703125" style="557" customWidth="1"/>
    <col min="9" max="9" width="9.7109375" style="557" customWidth="1"/>
    <col min="10" max="10" width="8.85546875" style="557" customWidth="1"/>
    <col min="11" max="11" width="10.140625" style="557" customWidth="1"/>
    <col min="12" max="12" width="7.28515625" style="557" customWidth="1"/>
    <col min="13" max="13" width="9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8.42578125" style="557" customWidth="1"/>
    <col min="259" max="259" width="7.5703125" style="557" customWidth="1"/>
    <col min="260" max="260" width="9.5703125" style="557" customWidth="1"/>
    <col min="261" max="261" width="9" style="557" customWidth="1"/>
    <col min="262" max="262" width="7.85546875" style="557" customWidth="1"/>
    <col min="263" max="263" width="8.28515625" style="557" customWidth="1"/>
    <col min="264" max="264" width="8.5703125" style="557" customWidth="1"/>
    <col min="265" max="265" width="9.7109375" style="557" customWidth="1"/>
    <col min="266" max="266" width="8.85546875" style="557" customWidth="1"/>
    <col min="267" max="267" width="10.140625" style="557" customWidth="1"/>
    <col min="268" max="268" width="7.28515625" style="557" customWidth="1"/>
    <col min="269" max="269" width="9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8.42578125" style="557" customWidth="1"/>
    <col min="515" max="515" width="7.5703125" style="557" customWidth="1"/>
    <col min="516" max="516" width="9.5703125" style="557" customWidth="1"/>
    <col min="517" max="517" width="9" style="557" customWidth="1"/>
    <col min="518" max="518" width="7.85546875" style="557" customWidth="1"/>
    <col min="519" max="519" width="8.28515625" style="557" customWidth="1"/>
    <col min="520" max="520" width="8.5703125" style="557" customWidth="1"/>
    <col min="521" max="521" width="9.7109375" style="557" customWidth="1"/>
    <col min="522" max="522" width="8.85546875" style="557" customWidth="1"/>
    <col min="523" max="523" width="10.140625" style="557" customWidth="1"/>
    <col min="524" max="524" width="7.28515625" style="557" customWidth="1"/>
    <col min="525" max="525" width="9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8.42578125" style="557" customWidth="1"/>
    <col min="771" max="771" width="7.5703125" style="557" customWidth="1"/>
    <col min="772" max="772" width="9.5703125" style="557" customWidth="1"/>
    <col min="773" max="773" width="9" style="557" customWidth="1"/>
    <col min="774" max="774" width="7.85546875" style="557" customWidth="1"/>
    <col min="775" max="775" width="8.28515625" style="557" customWidth="1"/>
    <col min="776" max="776" width="8.5703125" style="557" customWidth="1"/>
    <col min="777" max="777" width="9.7109375" style="557" customWidth="1"/>
    <col min="778" max="778" width="8.85546875" style="557" customWidth="1"/>
    <col min="779" max="779" width="10.140625" style="557" customWidth="1"/>
    <col min="780" max="780" width="7.28515625" style="557" customWidth="1"/>
    <col min="781" max="781" width="9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8.42578125" style="557" customWidth="1"/>
    <col min="1027" max="1027" width="7.5703125" style="557" customWidth="1"/>
    <col min="1028" max="1028" width="9.5703125" style="557" customWidth="1"/>
    <col min="1029" max="1029" width="9" style="557" customWidth="1"/>
    <col min="1030" max="1030" width="7.85546875" style="557" customWidth="1"/>
    <col min="1031" max="1031" width="8.28515625" style="557" customWidth="1"/>
    <col min="1032" max="1032" width="8.5703125" style="557" customWidth="1"/>
    <col min="1033" max="1033" width="9.7109375" style="557" customWidth="1"/>
    <col min="1034" max="1034" width="8.85546875" style="557" customWidth="1"/>
    <col min="1035" max="1035" width="10.140625" style="557" customWidth="1"/>
    <col min="1036" max="1036" width="7.28515625" style="557" customWidth="1"/>
    <col min="1037" max="1037" width="9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8.42578125" style="557" customWidth="1"/>
    <col min="1283" max="1283" width="7.5703125" style="557" customWidth="1"/>
    <col min="1284" max="1284" width="9.5703125" style="557" customWidth="1"/>
    <col min="1285" max="1285" width="9" style="557" customWidth="1"/>
    <col min="1286" max="1286" width="7.85546875" style="557" customWidth="1"/>
    <col min="1287" max="1287" width="8.28515625" style="557" customWidth="1"/>
    <col min="1288" max="1288" width="8.5703125" style="557" customWidth="1"/>
    <col min="1289" max="1289" width="9.7109375" style="557" customWidth="1"/>
    <col min="1290" max="1290" width="8.85546875" style="557" customWidth="1"/>
    <col min="1291" max="1291" width="10.140625" style="557" customWidth="1"/>
    <col min="1292" max="1292" width="7.28515625" style="557" customWidth="1"/>
    <col min="1293" max="1293" width="9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8.42578125" style="557" customWidth="1"/>
    <col min="1539" max="1539" width="7.5703125" style="557" customWidth="1"/>
    <col min="1540" max="1540" width="9.5703125" style="557" customWidth="1"/>
    <col min="1541" max="1541" width="9" style="557" customWidth="1"/>
    <col min="1542" max="1542" width="7.85546875" style="557" customWidth="1"/>
    <col min="1543" max="1543" width="8.28515625" style="557" customWidth="1"/>
    <col min="1544" max="1544" width="8.5703125" style="557" customWidth="1"/>
    <col min="1545" max="1545" width="9.7109375" style="557" customWidth="1"/>
    <col min="1546" max="1546" width="8.85546875" style="557" customWidth="1"/>
    <col min="1547" max="1547" width="10.140625" style="557" customWidth="1"/>
    <col min="1548" max="1548" width="7.28515625" style="557" customWidth="1"/>
    <col min="1549" max="1549" width="9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8.42578125" style="557" customWidth="1"/>
    <col min="1795" max="1795" width="7.5703125" style="557" customWidth="1"/>
    <col min="1796" max="1796" width="9.5703125" style="557" customWidth="1"/>
    <col min="1797" max="1797" width="9" style="557" customWidth="1"/>
    <col min="1798" max="1798" width="7.85546875" style="557" customWidth="1"/>
    <col min="1799" max="1799" width="8.28515625" style="557" customWidth="1"/>
    <col min="1800" max="1800" width="8.5703125" style="557" customWidth="1"/>
    <col min="1801" max="1801" width="9.7109375" style="557" customWidth="1"/>
    <col min="1802" max="1802" width="8.85546875" style="557" customWidth="1"/>
    <col min="1803" max="1803" width="10.140625" style="557" customWidth="1"/>
    <col min="1804" max="1804" width="7.28515625" style="557" customWidth="1"/>
    <col min="1805" max="1805" width="9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8.42578125" style="557" customWidth="1"/>
    <col min="2051" max="2051" width="7.5703125" style="557" customWidth="1"/>
    <col min="2052" max="2052" width="9.5703125" style="557" customWidth="1"/>
    <col min="2053" max="2053" width="9" style="557" customWidth="1"/>
    <col min="2054" max="2054" width="7.85546875" style="557" customWidth="1"/>
    <col min="2055" max="2055" width="8.28515625" style="557" customWidth="1"/>
    <col min="2056" max="2056" width="8.5703125" style="557" customWidth="1"/>
    <col min="2057" max="2057" width="9.7109375" style="557" customWidth="1"/>
    <col min="2058" max="2058" width="8.85546875" style="557" customWidth="1"/>
    <col min="2059" max="2059" width="10.140625" style="557" customWidth="1"/>
    <col min="2060" max="2060" width="7.28515625" style="557" customWidth="1"/>
    <col min="2061" max="2061" width="9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8.42578125" style="557" customWidth="1"/>
    <col min="2307" max="2307" width="7.5703125" style="557" customWidth="1"/>
    <col min="2308" max="2308" width="9.5703125" style="557" customWidth="1"/>
    <col min="2309" max="2309" width="9" style="557" customWidth="1"/>
    <col min="2310" max="2310" width="7.85546875" style="557" customWidth="1"/>
    <col min="2311" max="2311" width="8.28515625" style="557" customWidth="1"/>
    <col min="2312" max="2312" width="8.5703125" style="557" customWidth="1"/>
    <col min="2313" max="2313" width="9.7109375" style="557" customWidth="1"/>
    <col min="2314" max="2314" width="8.85546875" style="557" customWidth="1"/>
    <col min="2315" max="2315" width="10.140625" style="557" customWidth="1"/>
    <col min="2316" max="2316" width="7.28515625" style="557" customWidth="1"/>
    <col min="2317" max="2317" width="9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8.42578125" style="557" customWidth="1"/>
    <col min="2563" max="2563" width="7.5703125" style="557" customWidth="1"/>
    <col min="2564" max="2564" width="9.5703125" style="557" customWidth="1"/>
    <col min="2565" max="2565" width="9" style="557" customWidth="1"/>
    <col min="2566" max="2566" width="7.85546875" style="557" customWidth="1"/>
    <col min="2567" max="2567" width="8.28515625" style="557" customWidth="1"/>
    <col min="2568" max="2568" width="8.5703125" style="557" customWidth="1"/>
    <col min="2569" max="2569" width="9.7109375" style="557" customWidth="1"/>
    <col min="2570" max="2570" width="8.85546875" style="557" customWidth="1"/>
    <col min="2571" max="2571" width="10.140625" style="557" customWidth="1"/>
    <col min="2572" max="2572" width="7.28515625" style="557" customWidth="1"/>
    <col min="2573" max="2573" width="9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8.42578125" style="557" customWidth="1"/>
    <col min="2819" max="2819" width="7.5703125" style="557" customWidth="1"/>
    <col min="2820" max="2820" width="9.5703125" style="557" customWidth="1"/>
    <col min="2821" max="2821" width="9" style="557" customWidth="1"/>
    <col min="2822" max="2822" width="7.85546875" style="557" customWidth="1"/>
    <col min="2823" max="2823" width="8.28515625" style="557" customWidth="1"/>
    <col min="2824" max="2824" width="8.5703125" style="557" customWidth="1"/>
    <col min="2825" max="2825" width="9.7109375" style="557" customWidth="1"/>
    <col min="2826" max="2826" width="8.85546875" style="557" customWidth="1"/>
    <col min="2827" max="2827" width="10.140625" style="557" customWidth="1"/>
    <col min="2828" max="2828" width="7.28515625" style="557" customWidth="1"/>
    <col min="2829" max="2829" width="9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8.42578125" style="557" customWidth="1"/>
    <col min="3075" max="3075" width="7.5703125" style="557" customWidth="1"/>
    <col min="3076" max="3076" width="9.5703125" style="557" customWidth="1"/>
    <col min="3077" max="3077" width="9" style="557" customWidth="1"/>
    <col min="3078" max="3078" width="7.85546875" style="557" customWidth="1"/>
    <col min="3079" max="3079" width="8.28515625" style="557" customWidth="1"/>
    <col min="3080" max="3080" width="8.5703125" style="557" customWidth="1"/>
    <col min="3081" max="3081" width="9.7109375" style="557" customWidth="1"/>
    <col min="3082" max="3082" width="8.85546875" style="557" customWidth="1"/>
    <col min="3083" max="3083" width="10.140625" style="557" customWidth="1"/>
    <col min="3084" max="3084" width="7.28515625" style="557" customWidth="1"/>
    <col min="3085" max="3085" width="9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8.42578125" style="557" customWidth="1"/>
    <col min="3331" max="3331" width="7.5703125" style="557" customWidth="1"/>
    <col min="3332" max="3332" width="9.5703125" style="557" customWidth="1"/>
    <col min="3333" max="3333" width="9" style="557" customWidth="1"/>
    <col min="3334" max="3334" width="7.85546875" style="557" customWidth="1"/>
    <col min="3335" max="3335" width="8.28515625" style="557" customWidth="1"/>
    <col min="3336" max="3336" width="8.5703125" style="557" customWidth="1"/>
    <col min="3337" max="3337" width="9.7109375" style="557" customWidth="1"/>
    <col min="3338" max="3338" width="8.85546875" style="557" customWidth="1"/>
    <col min="3339" max="3339" width="10.140625" style="557" customWidth="1"/>
    <col min="3340" max="3340" width="7.28515625" style="557" customWidth="1"/>
    <col min="3341" max="3341" width="9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8.42578125" style="557" customWidth="1"/>
    <col min="3587" max="3587" width="7.5703125" style="557" customWidth="1"/>
    <col min="3588" max="3588" width="9.5703125" style="557" customWidth="1"/>
    <col min="3589" max="3589" width="9" style="557" customWidth="1"/>
    <col min="3590" max="3590" width="7.85546875" style="557" customWidth="1"/>
    <col min="3591" max="3591" width="8.28515625" style="557" customWidth="1"/>
    <col min="3592" max="3592" width="8.5703125" style="557" customWidth="1"/>
    <col min="3593" max="3593" width="9.7109375" style="557" customWidth="1"/>
    <col min="3594" max="3594" width="8.85546875" style="557" customWidth="1"/>
    <col min="3595" max="3595" width="10.140625" style="557" customWidth="1"/>
    <col min="3596" max="3596" width="7.28515625" style="557" customWidth="1"/>
    <col min="3597" max="3597" width="9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8.42578125" style="557" customWidth="1"/>
    <col min="3843" max="3843" width="7.5703125" style="557" customWidth="1"/>
    <col min="3844" max="3844" width="9.5703125" style="557" customWidth="1"/>
    <col min="3845" max="3845" width="9" style="557" customWidth="1"/>
    <col min="3846" max="3846" width="7.85546875" style="557" customWidth="1"/>
    <col min="3847" max="3847" width="8.28515625" style="557" customWidth="1"/>
    <col min="3848" max="3848" width="8.5703125" style="557" customWidth="1"/>
    <col min="3849" max="3849" width="9.7109375" style="557" customWidth="1"/>
    <col min="3850" max="3850" width="8.85546875" style="557" customWidth="1"/>
    <col min="3851" max="3851" width="10.140625" style="557" customWidth="1"/>
    <col min="3852" max="3852" width="7.28515625" style="557" customWidth="1"/>
    <col min="3853" max="3853" width="9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8.42578125" style="557" customWidth="1"/>
    <col min="4099" max="4099" width="7.5703125" style="557" customWidth="1"/>
    <col min="4100" max="4100" width="9.5703125" style="557" customWidth="1"/>
    <col min="4101" max="4101" width="9" style="557" customWidth="1"/>
    <col min="4102" max="4102" width="7.85546875" style="557" customWidth="1"/>
    <col min="4103" max="4103" width="8.28515625" style="557" customWidth="1"/>
    <col min="4104" max="4104" width="8.5703125" style="557" customWidth="1"/>
    <col min="4105" max="4105" width="9.7109375" style="557" customWidth="1"/>
    <col min="4106" max="4106" width="8.85546875" style="557" customWidth="1"/>
    <col min="4107" max="4107" width="10.140625" style="557" customWidth="1"/>
    <col min="4108" max="4108" width="7.28515625" style="557" customWidth="1"/>
    <col min="4109" max="4109" width="9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8.42578125" style="557" customWidth="1"/>
    <col min="4355" max="4355" width="7.5703125" style="557" customWidth="1"/>
    <col min="4356" max="4356" width="9.5703125" style="557" customWidth="1"/>
    <col min="4357" max="4357" width="9" style="557" customWidth="1"/>
    <col min="4358" max="4358" width="7.85546875" style="557" customWidth="1"/>
    <col min="4359" max="4359" width="8.28515625" style="557" customWidth="1"/>
    <col min="4360" max="4360" width="8.5703125" style="557" customWidth="1"/>
    <col min="4361" max="4361" width="9.7109375" style="557" customWidth="1"/>
    <col min="4362" max="4362" width="8.85546875" style="557" customWidth="1"/>
    <col min="4363" max="4363" width="10.140625" style="557" customWidth="1"/>
    <col min="4364" max="4364" width="7.28515625" style="557" customWidth="1"/>
    <col min="4365" max="4365" width="9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8.42578125" style="557" customWidth="1"/>
    <col min="4611" max="4611" width="7.5703125" style="557" customWidth="1"/>
    <col min="4612" max="4612" width="9.5703125" style="557" customWidth="1"/>
    <col min="4613" max="4613" width="9" style="557" customWidth="1"/>
    <col min="4614" max="4614" width="7.85546875" style="557" customWidth="1"/>
    <col min="4615" max="4615" width="8.28515625" style="557" customWidth="1"/>
    <col min="4616" max="4616" width="8.5703125" style="557" customWidth="1"/>
    <col min="4617" max="4617" width="9.7109375" style="557" customWidth="1"/>
    <col min="4618" max="4618" width="8.85546875" style="557" customWidth="1"/>
    <col min="4619" max="4619" width="10.140625" style="557" customWidth="1"/>
    <col min="4620" max="4620" width="7.28515625" style="557" customWidth="1"/>
    <col min="4621" max="4621" width="9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8.42578125" style="557" customWidth="1"/>
    <col min="4867" max="4867" width="7.5703125" style="557" customWidth="1"/>
    <col min="4868" max="4868" width="9.5703125" style="557" customWidth="1"/>
    <col min="4869" max="4869" width="9" style="557" customWidth="1"/>
    <col min="4870" max="4870" width="7.85546875" style="557" customWidth="1"/>
    <col min="4871" max="4871" width="8.28515625" style="557" customWidth="1"/>
    <col min="4872" max="4872" width="8.5703125" style="557" customWidth="1"/>
    <col min="4873" max="4873" width="9.7109375" style="557" customWidth="1"/>
    <col min="4874" max="4874" width="8.85546875" style="557" customWidth="1"/>
    <col min="4875" max="4875" width="10.140625" style="557" customWidth="1"/>
    <col min="4876" max="4876" width="7.28515625" style="557" customWidth="1"/>
    <col min="4877" max="4877" width="9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8.42578125" style="557" customWidth="1"/>
    <col min="5123" max="5123" width="7.5703125" style="557" customWidth="1"/>
    <col min="5124" max="5124" width="9.5703125" style="557" customWidth="1"/>
    <col min="5125" max="5125" width="9" style="557" customWidth="1"/>
    <col min="5126" max="5126" width="7.85546875" style="557" customWidth="1"/>
    <col min="5127" max="5127" width="8.28515625" style="557" customWidth="1"/>
    <col min="5128" max="5128" width="8.5703125" style="557" customWidth="1"/>
    <col min="5129" max="5129" width="9.7109375" style="557" customWidth="1"/>
    <col min="5130" max="5130" width="8.85546875" style="557" customWidth="1"/>
    <col min="5131" max="5131" width="10.140625" style="557" customWidth="1"/>
    <col min="5132" max="5132" width="7.28515625" style="557" customWidth="1"/>
    <col min="5133" max="5133" width="9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8.42578125" style="557" customWidth="1"/>
    <col min="5379" max="5379" width="7.5703125" style="557" customWidth="1"/>
    <col min="5380" max="5380" width="9.5703125" style="557" customWidth="1"/>
    <col min="5381" max="5381" width="9" style="557" customWidth="1"/>
    <col min="5382" max="5382" width="7.85546875" style="557" customWidth="1"/>
    <col min="5383" max="5383" width="8.28515625" style="557" customWidth="1"/>
    <col min="5384" max="5384" width="8.5703125" style="557" customWidth="1"/>
    <col min="5385" max="5385" width="9.7109375" style="557" customWidth="1"/>
    <col min="5386" max="5386" width="8.85546875" style="557" customWidth="1"/>
    <col min="5387" max="5387" width="10.140625" style="557" customWidth="1"/>
    <col min="5388" max="5388" width="7.28515625" style="557" customWidth="1"/>
    <col min="5389" max="5389" width="9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8.42578125" style="557" customWidth="1"/>
    <col min="5635" max="5635" width="7.5703125" style="557" customWidth="1"/>
    <col min="5636" max="5636" width="9.5703125" style="557" customWidth="1"/>
    <col min="5637" max="5637" width="9" style="557" customWidth="1"/>
    <col min="5638" max="5638" width="7.85546875" style="557" customWidth="1"/>
    <col min="5639" max="5639" width="8.28515625" style="557" customWidth="1"/>
    <col min="5640" max="5640" width="8.5703125" style="557" customWidth="1"/>
    <col min="5641" max="5641" width="9.7109375" style="557" customWidth="1"/>
    <col min="5642" max="5642" width="8.85546875" style="557" customWidth="1"/>
    <col min="5643" max="5643" width="10.140625" style="557" customWidth="1"/>
    <col min="5644" max="5644" width="7.28515625" style="557" customWidth="1"/>
    <col min="5645" max="5645" width="9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8.42578125" style="557" customWidth="1"/>
    <col min="5891" max="5891" width="7.5703125" style="557" customWidth="1"/>
    <col min="5892" max="5892" width="9.5703125" style="557" customWidth="1"/>
    <col min="5893" max="5893" width="9" style="557" customWidth="1"/>
    <col min="5894" max="5894" width="7.85546875" style="557" customWidth="1"/>
    <col min="5895" max="5895" width="8.28515625" style="557" customWidth="1"/>
    <col min="5896" max="5896" width="8.5703125" style="557" customWidth="1"/>
    <col min="5897" max="5897" width="9.7109375" style="557" customWidth="1"/>
    <col min="5898" max="5898" width="8.85546875" style="557" customWidth="1"/>
    <col min="5899" max="5899" width="10.140625" style="557" customWidth="1"/>
    <col min="5900" max="5900" width="7.28515625" style="557" customWidth="1"/>
    <col min="5901" max="5901" width="9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8.42578125" style="557" customWidth="1"/>
    <col min="6147" max="6147" width="7.5703125" style="557" customWidth="1"/>
    <col min="6148" max="6148" width="9.5703125" style="557" customWidth="1"/>
    <col min="6149" max="6149" width="9" style="557" customWidth="1"/>
    <col min="6150" max="6150" width="7.85546875" style="557" customWidth="1"/>
    <col min="6151" max="6151" width="8.28515625" style="557" customWidth="1"/>
    <col min="6152" max="6152" width="8.5703125" style="557" customWidth="1"/>
    <col min="6153" max="6153" width="9.7109375" style="557" customWidth="1"/>
    <col min="6154" max="6154" width="8.85546875" style="557" customWidth="1"/>
    <col min="6155" max="6155" width="10.140625" style="557" customWidth="1"/>
    <col min="6156" max="6156" width="7.28515625" style="557" customWidth="1"/>
    <col min="6157" max="6157" width="9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8.42578125" style="557" customWidth="1"/>
    <col min="6403" max="6403" width="7.5703125" style="557" customWidth="1"/>
    <col min="6404" max="6404" width="9.5703125" style="557" customWidth="1"/>
    <col min="6405" max="6405" width="9" style="557" customWidth="1"/>
    <col min="6406" max="6406" width="7.85546875" style="557" customWidth="1"/>
    <col min="6407" max="6407" width="8.28515625" style="557" customWidth="1"/>
    <col min="6408" max="6408" width="8.5703125" style="557" customWidth="1"/>
    <col min="6409" max="6409" width="9.7109375" style="557" customWidth="1"/>
    <col min="6410" max="6410" width="8.85546875" style="557" customWidth="1"/>
    <col min="6411" max="6411" width="10.140625" style="557" customWidth="1"/>
    <col min="6412" max="6412" width="7.28515625" style="557" customWidth="1"/>
    <col min="6413" max="6413" width="9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8.42578125" style="557" customWidth="1"/>
    <col min="6659" max="6659" width="7.5703125" style="557" customWidth="1"/>
    <col min="6660" max="6660" width="9.5703125" style="557" customWidth="1"/>
    <col min="6661" max="6661" width="9" style="557" customWidth="1"/>
    <col min="6662" max="6662" width="7.85546875" style="557" customWidth="1"/>
    <col min="6663" max="6663" width="8.28515625" style="557" customWidth="1"/>
    <col min="6664" max="6664" width="8.5703125" style="557" customWidth="1"/>
    <col min="6665" max="6665" width="9.7109375" style="557" customWidth="1"/>
    <col min="6666" max="6666" width="8.85546875" style="557" customWidth="1"/>
    <col min="6667" max="6667" width="10.140625" style="557" customWidth="1"/>
    <col min="6668" max="6668" width="7.28515625" style="557" customWidth="1"/>
    <col min="6669" max="6669" width="9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8.42578125" style="557" customWidth="1"/>
    <col min="6915" max="6915" width="7.5703125" style="557" customWidth="1"/>
    <col min="6916" max="6916" width="9.5703125" style="557" customWidth="1"/>
    <col min="6917" max="6917" width="9" style="557" customWidth="1"/>
    <col min="6918" max="6918" width="7.85546875" style="557" customWidth="1"/>
    <col min="6919" max="6919" width="8.28515625" style="557" customWidth="1"/>
    <col min="6920" max="6920" width="8.5703125" style="557" customWidth="1"/>
    <col min="6921" max="6921" width="9.7109375" style="557" customWidth="1"/>
    <col min="6922" max="6922" width="8.85546875" style="557" customWidth="1"/>
    <col min="6923" max="6923" width="10.140625" style="557" customWidth="1"/>
    <col min="6924" max="6924" width="7.28515625" style="557" customWidth="1"/>
    <col min="6925" max="6925" width="9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8.42578125" style="557" customWidth="1"/>
    <col min="7171" max="7171" width="7.5703125" style="557" customWidth="1"/>
    <col min="7172" max="7172" width="9.5703125" style="557" customWidth="1"/>
    <col min="7173" max="7173" width="9" style="557" customWidth="1"/>
    <col min="7174" max="7174" width="7.85546875" style="557" customWidth="1"/>
    <col min="7175" max="7175" width="8.28515625" style="557" customWidth="1"/>
    <col min="7176" max="7176" width="8.5703125" style="557" customWidth="1"/>
    <col min="7177" max="7177" width="9.7109375" style="557" customWidth="1"/>
    <col min="7178" max="7178" width="8.85546875" style="557" customWidth="1"/>
    <col min="7179" max="7179" width="10.140625" style="557" customWidth="1"/>
    <col min="7180" max="7180" width="7.28515625" style="557" customWidth="1"/>
    <col min="7181" max="7181" width="9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8.42578125" style="557" customWidth="1"/>
    <col min="7427" max="7427" width="7.5703125" style="557" customWidth="1"/>
    <col min="7428" max="7428" width="9.5703125" style="557" customWidth="1"/>
    <col min="7429" max="7429" width="9" style="557" customWidth="1"/>
    <col min="7430" max="7430" width="7.85546875" style="557" customWidth="1"/>
    <col min="7431" max="7431" width="8.28515625" style="557" customWidth="1"/>
    <col min="7432" max="7432" width="8.5703125" style="557" customWidth="1"/>
    <col min="7433" max="7433" width="9.7109375" style="557" customWidth="1"/>
    <col min="7434" max="7434" width="8.85546875" style="557" customWidth="1"/>
    <col min="7435" max="7435" width="10.140625" style="557" customWidth="1"/>
    <col min="7436" max="7436" width="7.28515625" style="557" customWidth="1"/>
    <col min="7437" max="7437" width="9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8.42578125" style="557" customWidth="1"/>
    <col min="7683" max="7683" width="7.5703125" style="557" customWidth="1"/>
    <col min="7684" max="7684" width="9.5703125" style="557" customWidth="1"/>
    <col min="7685" max="7685" width="9" style="557" customWidth="1"/>
    <col min="7686" max="7686" width="7.85546875" style="557" customWidth="1"/>
    <col min="7687" max="7687" width="8.28515625" style="557" customWidth="1"/>
    <col min="7688" max="7688" width="8.5703125" style="557" customWidth="1"/>
    <col min="7689" max="7689" width="9.7109375" style="557" customWidth="1"/>
    <col min="7690" max="7690" width="8.85546875" style="557" customWidth="1"/>
    <col min="7691" max="7691" width="10.140625" style="557" customWidth="1"/>
    <col min="7692" max="7692" width="7.28515625" style="557" customWidth="1"/>
    <col min="7693" max="7693" width="9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8.42578125" style="557" customWidth="1"/>
    <col min="7939" max="7939" width="7.5703125" style="557" customWidth="1"/>
    <col min="7940" max="7940" width="9.5703125" style="557" customWidth="1"/>
    <col min="7941" max="7941" width="9" style="557" customWidth="1"/>
    <col min="7942" max="7942" width="7.85546875" style="557" customWidth="1"/>
    <col min="7943" max="7943" width="8.28515625" style="557" customWidth="1"/>
    <col min="7944" max="7944" width="8.5703125" style="557" customWidth="1"/>
    <col min="7945" max="7945" width="9.7109375" style="557" customWidth="1"/>
    <col min="7946" max="7946" width="8.85546875" style="557" customWidth="1"/>
    <col min="7947" max="7947" width="10.140625" style="557" customWidth="1"/>
    <col min="7948" max="7948" width="7.28515625" style="557" customWidth="1"/>
    <col min="7949" max="7949" width="9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8.42578125" style="557" customWidth="1"/>
    <col min="8195" max="8195" width="7.5703125" style="557" customWidth="1"/>
    <col min="8196" max="8196" width="9.5703125" style="557" customWidth="1"/>
    <col min="8197" max="8197" width="9" style="557" customWidth="1"/>
    <col min="8198" max="8198" width="7.85546875" style="557" customWidth="1"/>
    <col min="8199" max="8199" width="8.28515625" style="557" customWidth="1"/>
    <col min="8200" max="8200" width="8.5703125" style="557" customWidth="1"/>
    <col min="8201" max="8201" width="9.7109375" style="557" customWidth="1"/>
    <col min="8202" max="8202" width="8.85546875" style="557" customWidth="1"/>
    <col min="8203" max="8203" width="10.140625" style="557" customWidth="1"/>
    <col min="8204" max="8204" width="7.28515625" style="557" customWidth="1"/>
    <col min="8205" max="8205" width="9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8.42578125" style="557" customWidth="1"/>
    <col min="8451" max="8451" width="7.5703125" style="557" customWidth="1"/>
    <col min="8452" max="8452" width="9.5703125" style="557" customWidth="1"/>
    <col min="8453" max="8453" width="9" style="557" customWidth="1"/>
    <col min="8454" max="8454" width="7.85546875" style="557" customWidth="1"/>
    <col min="8455" max="8455" width="8.28515625" style="557" customWidth="1"/>
    <col min="8456" max="8456" width="8.5703125" style="557" customWidth="1"/>
    <col min="8457" max="8457" width="9.7109375" style="557" customWidth="1"/>
    <col min="8458" max="8458" width="8.85546875" style="557" customWidth="1"/>
    <col min="8459" max="8459" width="10.140625" style="557" customWidth="1"/>
    <col min="8460" max="8460" width="7.28515625" style="557" customWidth="1"/>
    <col min="8461" max="8461" width="9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8.42578125" style="557" customWidth="1"/>
    <col min="8707" max="8707" width="7.5703125" style="557" customWidth="1"/>
    <col min="8708" max="8708" width="9.5703125" style="557" customWidth="1"/>
    <col min="8709" max="8709" width="9" style="557" customWidth="1"/>
    <col min="8710" max="8710" width="7.85546875" style="557" customWidth="1"/>
    <col min="8711" max="8711" width="8.28515625" style="557" customWidth="1"/>
    <col min="8712" max="8712" width="8.5703125" style="557" customWidth="1"/>
    <col min="8713" max="8713" width="9.7109375" style="557" customWidth="1"/>
    <col min="8714" max="8714" width="8.85546875" style="557" customWidth="1"/>
    <col min="8715" max="8715" width="10.140625" style="557" customWidth="1"/>
    <col min="8716" max="8716" width="7.28515625" style="557" customWidth="1"/>
    <col min="8717" max="8717" width="9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8.42578125" style="557" customWidth="1"/>
    <col min="8963" max="8963" width="7.5703125" style="557" customWidth="1"/>
    <col min="8964" max="8964" width="9.5703125" style="557" customWidth="1"/>
    <col min="8965" max="8965" width="9" style="557" customWidth="1"/>
    <col min="8966" max="8966" width="7.85546875" style="557" customWidth="1"/>
    <col min="8967" max="8967" width="8.28515625" style="557" customWidth="1"/>
    <col min="8968" max="8968" width="8.5703125" style="557" customWidth="1"/>
    <col min="8969" max="8969" width="9.7109375" style="557" customWidth="1"/>
    <col min="8970" max="8970" width="8.85546875" style="557" customWidth="1"/>
    <col min="8971" max="8971" width="10.140625" style="557" customWidth="1"/>
    <col min="8972" max="8972" width="7.28515625" style="557" customWidth="1"/>
    <col min="8973" max="8973" width="9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8.42578125" style="557" customWidth="1"/>
    <col min="9219" max="9219" width="7.5703125" style="557" customWidth="1"/>
    <col min="9220" max="9220" width="9.5703125" style="557" customWidth="1"/>
    <col min="9221" max="9221" width="9" style="557" customWidth="1"/>
    <col min="9222" max="9222" width="7.85546875" style="557" customWidth="1"/>
    <col min="9223" max="9223" width="8.28515625" style="557" customWidth="1"/>
    <col min="9224" max="9224" width="8.5703125" style="557" customWidth="1"/>
    <col min="9225" max="9225" width="9.7109375" style="557" customWidth="1"/>
    <col min="9226" max="9226" width="8.85546875" style="557" customWidth="1"/>
    <col min="9227" max="9227" width="10.140625" style="557" customWidth="1"/>
    <col min="9228" max="9228" width="7.28515625" style="557" customWidth="1"/>
    <col min="9229" max="9229" width="9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8.42578125" style="557" customWidth="1"/>
    <col min="9475" max="9475" width="7.5703125" style="557" customWidth="1"/>
    <col min="9476" max="9476" width="9.5703125" style="557" customWidth="1"/>
    <col min="9477" max="9477" width="9" style="557" customWidth="1"/>
    <col min="9478" max="9478" width="7.85546875" style="557" customWidth="1"/>
    <col min="9479" max="9479" width="8.28515625" style="557" customWidth="1"/>
    <col min="9480" max="9480" width="8.5703125" style="557" customWidth="1"/>
    <col min="9481" max="9481" width="9.7109375" style="557" customWidth="1"/>
    <col min="9482" max="9482" width="8.85546875" style="557" customWidth="1"/>
    <col min="9483" max="9483" width="10.140625" style="557" customWidth="1"/>
    <col min="9484" max="9484" width="7.28515625" style="557" customWidth="1"/>
    <col min="9485" max="9485" width="9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8.42578125" style="557" customWidth="1"/>
    <col min="9731" max="9731" width="7.5703125" style="557" customWidth="1"/>
    <col min="9732" max="9732" width="9.5703125" style="557" customWidth="1"/>
    <col min="9733" max="9733" width="9" style="557" customWidth="1"/>
    <col min="9734" max="9734" width="7.85546875" style="557" customWidth="1"/>
    <col min="9735" max="9735" width="8.28515625" style="557" customWidth="1"/>
    <col min="9736" max="9736" width="8.5703125" style="557" customWidth="1"/>
    <col min="9737" max="9737" width="9.7109375" style="557" customWidth="1"/>
    <col min="9738" max="9738" width="8.85546875" style="557" customWidth="1"/>
    <col min="9739" max="9739" width="10.140625" style="557" customWidth="1"/>
    <col min="9740" max="9740" width="7.28515625" style="557" customWidth="1"/>
    <col min="9741" max="9741" width="9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8.42578125" style="557" customWidth="1"/>
    <col min="9987" max="9987" width="7.5703125" style="557" customWidth="1"/>
    <col min="9988" max="9988" width="9.5703125" style="557" customWidth="1"/>
    <col min="9989" max="9989" width="9" style="557" customWidth="1"/>
    <col min="9990" max="9990" width="7.85546875" style="557" customWidth="1"/>
    <col min="9991" max="9991" width="8.28515625" style="557" customWidth="1"/>
    <col min="9992" max="9992" width="8.5703125" style="557" customWidth="1"/>
    <col min="9993" max="9993" width="9.7109375" style="557" customWidth="1"/>
    <col min="9994" max="9994" width="8.85546875" style="557" customWidth="1"/>
    <col min="9995" max="9995" width="10.140625" style="557" customWidth="1"/>
    <col min="9996" max="9996" width="7.28515625" style="557" customWidth="1"/>
    <col min="9997" max="9997" width="9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8.42578125" style="557" customWidth="1"/>
    <col min="10243" max="10243" width="7.5703125" style="557" customWidth="1"/>
    <col min="10244" max="10244" width="9.5703125" style="557" customWidth="1"/>
    <col min="10245" max="10245" width="9" style="557" customWidth="1"/>
    <col min="10246" max="10246" width="7.85546875" style="557" customWidth="1"/>
    <col min="10247" max="10247" width="8.28515625" style="557" customWidth="1"/>
    <col min="10248" max="10248" width="8.5703125" style="557" customWidth="1"/>
    <col min="10249" max="10249" width="9.7109375" style="557" customWidth="1"/>
    <col min="10250" max="10250" width="8.85546875" style="557" customWidth="1"/>
    <col min="10251" max="10251" width="10.140625" style="557" customWidth="1"/>
    <col min="10252" max="10252" width="7.28515625" style="557" customWidth="1"/>
    <col min="10253" max="10253" width="9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8.42578125" style="557" customWidth="1"/>
    <col min="10499" max="10499" width="7.5703125" style="557" customWidth="1"/>
    <col min="10500" max="10500" width="9.5703125" style="557" customWidth="1"/>
    <col min="10501" max="10501" width="9" style="557" customWidth="1"/>
    <col min="10502" max="10502" width="7.85546875" style="557" customWidth="1"/>
    <col min="10503" max="10503" width="8.28515625" style="557" customWidth="1"/>
    <col min="10504" max="10504" width="8.5703125" style="557" customWidth="1"/>
    <col min="10505" max="10505" width="9.7109375" style="557" customWidth="1"/>
    <col min="10506" max="10506" width="8.85546875" style="557" customWidth="1"/>
    <col min="10507" max="10507" width="10.140625" style="557" customWidth="1"/>
    <col min="10508" max="10508" width="7.28515625" style="557" customWidth="1"/>
    <col min="10509" max="10509" width="9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8.42578125" style="557" customWidth="1"/>
    <col min="10755" max="10755" width="7.5703125" style="557" customWidth="1"/>
    <col min="10756" max="10756" width="9.5703125" style="557" customWidth="1"/>
    <col min="10757" max="10757" width="9" style="557" customWidth="1"/>
    <col min="10758" max="10758" width="7.85546875" style="557" customWidth="1"/>
    <col min="10759" max="10759" width="8.28515625" style="557" customWidth="1"/>
    <col min="10760" max="10760" width="8.5703125" style="557" customWidth="1"/>
    <col min="10761" max="10761" width="9.7109375" style="557" customWidth="1"/>
    <col min="10762" max="10762" width="8.85546875" style="557" customWidth="1"/>
    <col min="10763" max="10763" width="10.140625" style="557" customWidth="1"/>
    <col min="10764" max="10764" width="7.28515625" style="557" customWidth="1"/>
    <col min="10765" max="10765" width="9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8.42578125" style="557" customWidth="1"/>
    <col min="11011" max="11011" width="7.5703125" style="557" customWidth="1"/>
    <col min="11012" max="11012" width="9.5703125" style="557" customWidth="1"/>
    <col min="11013" max="11013" width="9" style="557" customWidth="1"/>
    <col min="11014" max="11014" width="7.85546875" style="557" customWidth="1"/>
    <col min="11015" max="11015" width="8.28515625" style="557" customWidth="1"/>
    <col min="11016" max="11016" width="8.5703125" style="557" customWidth="1"/>
    <col min="11017" max="11017" width="9.7109375" style="557" customWidth="1"/>
    <col min="11018" max="11018" width="8.85546875" style="557" customWidth="1"/>
    <col min="11019" max="11019" width="10.140625" style="557" customWidth="1"/>
    <col min="11020" max="11020" width="7.28515625" style="557" customWidth="1"/>
    <col min="11021" max="11021" width="9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8.42578125" style="557" customWidth="1"/>
    <col min="11267" max="11267" width="7.5703125" style="557" customWidth="1"/>
    <col min="11268" max="11268" width="9.5703125" style="557" customWidth="1"/>
    <col min="11269" max="11269" width="9" style="557" customWidth="1"/>
    <col min="11270" max="11270" width="7.85546875" style="557" customWidth="1"/>
    <col min="11271" max="11271" width="8.28515625" style="557" customWidth="1"/>
    <col min="11272" max="11272" width="8.5703125" style="557" customWidth="1"/>
    <col min="11273" max="11273" width="9.7109375" style="557" customWidth="1"/>
    <col min="11274" max="11274" width="8.85546875" style="557" customWidth="1"/>
    <col min="11275" max="11275" width="10.140625" style="557" customWidth="1"/>
    <col min="11276" max="11276" width="7.28515625" style="557" customWidth="1"/>
    <col min="11277" max="11277" width="9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8.42578125" style="557" customWidth="1"/>
    <col min="11523" max="11523" width="7.5703125" style="557" customWidth="1"/>
    <col min="11524" max="11524" width="9.5703125" style="557" customWidth="1"/>
    <col min="11525" max="11525" width="9" style="557" customWidth="1"/>
    <col min="11526" max="11526" width="7.85546875" style="557" customWidth="1"/>
    <col min="11527" max="11527" width="8.28515625" style="557" customWidth="1"/>
    <col min="11528" max="11528" width="8.5703125" style="557" customWidth="1"/>
    <col min="11529" max="11529" width="9.7109375" style="557" customWidth="1"/>
    <col min="11530" max="11530" width="8.85546875" style="557" customWidth="1"/>
    <col min="11531" max="11531" width="10.140625" style="557" customWidth="1"/>
    <col min="11532" max="11532" width="7.28515625" style="557" customWidth="1"/>
    <col min="11533" max="11533" width="9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8.42578125" style="557" customWidth="1"/>
    <col min="11779" max="11779" width="7.5703125" style="557" customWidth="1"/>
    <col min="11780" max="11780" width="9.5703125" style="557" customWidth="1"/>
    <col min="11781" max="11781" width="9" style="557" customWidth="1"/>
    <col min="11782" max="11782" width="7.85546875" style="557" customWidth="1"/>
    <col min="11783" max="11783" width="8.28515625" style="557" customWidth="1"/>
    <col min="11784" max="11784" width="8.5703125" style="557" customWidth="1"/>
    <col min="11785" max="11785" width="9.7109375" style="557" customWidth="1"/>
    <col min="11786" max="11786" width="8.85546875" style="557" customWidth="1"/>
    <col min="11787" max="11787" width="10.140625" style="557" customWidth="1"/>
    <col min="11788" max="11788" width="7.28515625" style="557" customWidth="1"/>
    <col min="11789" max="11789" width="9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8.42578125" style="557" customWidth="1"/>
    <col min="12035" max="12035" width="7.5703125" style="557" customWidth="1"/>
    <col min="12036" max="12036" width="9.5703125" style="557" customWidth="1"/>
    <col min="12037" max="12037" width="9" style="557" customWidth="1"/>
    <col min="12038" max="12038" width="7.85546875" style="557" customWidth="1"/>
    <col min="12039" max="12039" width="8.28515625" style="557" customWidth="1"/>
    <col min="12040" max="12040" width="8.5703125" style="557" customWidth="1"/>
    <col min="12041" max="12041" width="9.7109375" style="557" customWidth="1"/>
    <col min="12042" max="12042" width="8.85546875" style="557" customWidth="1"/>
    <col min="12043" max="12043" width="10.140625" style="557" customWidth="1"/>
    <col min="12044" max="12044" width="7.28515625" style="557" customWidth="1"/>
    <col min="12045" max="12045" width="9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8.42578125" style="557" customWidth="1"/>
    <col min="12291" max="12291" width="7.5703125" style="557" customWidth="1"/>
    <col min="12292" max="12292" width="9.5703125" style="557" customWidth="1"/>
    <col min="12293" max="12293" width="9" style="557" customWidth="1"/>
    <col min="12294" max="12294" width="7.85546875" style="557" customWidth="1"/>
    <col min="12295" max="12295" width="8.28515625" style="557" customWidth="1"/>
    <col min="12296" max="12296" width="8.5703125" style="557" customWidth="1"/>
    <col min="12297" max="12297" width="9.7109375" style="557" customWidth="1"/>
    <col min="12298" max="12298" width="8.85546875" style="557" customWidth="1"/>
    <col min="12299" max="12299" width="10.140625" style="557" customWidth="1"/>
    <col min="12300" max="12300" width="7.28515625" style="557" customWidth="1"/>
    <col min="12301" max="12301" width="9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8.42578125" style="557" customWidth="1"/>
    <col min="12547" max="12547" width="7.5703125" style="557" customWidth="1"/>
    <col min="12548" max="12548" width="9.5703125" style="557" customWidth="1"/>
    <col min="12549" max="12549" width="9" style="557" customWidth="1"/>
    <col min="12550" max="12550" width="7.85546875" style="557" customWidth="1"/>
    <col min="12551" max="12551" width="8.28515625" style="557" customWidth="1"/>
    <col min="12552" max="12552" width="8.5703125" style="557" customWidth="1"/>
    <col min="12553" max="12553" width="9.7109375" style="557" customWidth="1"/>
    <col min="12554" max="12554" width="8.85546875" style="557" customWidth="1"/>
    <col min="12555" max="12555" width="10.140625" style="557" customWidth="1"/>
    <col min="12556" max="12556" width="7.28515625" style="557" customWidth="1"/>
    <col min="12557" max="12557" width="9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8.42578125" style="557" customWidth="1"/>
    <col min="12803" max="12803" width="7.5703125" style="557" customWidth="1"/>
    <col min="12804" max="12804" width="9.5703125" style="557" customWidth="1"/>
    <col min="12805" max="12805" width="9" style="557" customWidth="1"/>
    <col min="12806" max="12806" width="7.85546875" style="557" customWidth="1"/>
    <col min="12807" max="12807" width="8.28515625" style="557" customWidth="1"/>
    <col min="12808" max="12808" width="8.5703125" style="557" customWidth="1"/>
    <col min="12809" max="12809" width="9.7109375" style="557" customWidth="1"/>
    <col min="12810" max="12810" width="8.85546875" style="557" customWidth="1"/>
    <col min="12811" max="12811" width="10.140625" style="557" customWidth="1"/>
    <col min="12812" max="12812" width="7.28515625" style="557" customWidth="1"/>
    <col min="12813" max="12813" width="9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8.42578125" style="557" customWidth="1"/>
    <col min="13059" max="13059" width="7.5703125" style="557" customWidth="1"/>
    <col min="13060" max="13060" width="9.5703125" style="557" customWidth="1"/>
    <col min="13061" max="13061" width="9" style="557" customWidth="1"/>
    <col min="13062" max="13062" width="7.85546875" style="557" customWidth="1"/>
    <col min="13063" max="13063" width="8.28515625" style="557" customWidth="1"/>
    <col min="13064" max="13064" width="8.5703125" style="557" customWidth="1"/>
    <col min="13065" max="13065" width="9.7109375" style="557" customWidth="1"/>
    <col min="13066" max="13066" width="8.85546875" style="557" customWidth="1"/>
    <col min="13067" max="13067" width="10.140625" style="557" customWidth="1"/>
    <col min="13068" max="13068" width="7.28515625" style="557" customWidth="1"/>
    <col min="13069" max="13069" width="9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8.42578125" style="557" customWidth="1"/>
    <col min="13315" max="13315" width="7.5703125" style="557" customWidth="1"/>
    <col min="13316" max="13316" width="9.5703125" style="557" customWidth="1"/>
    <col min="13317" max="13317" width="9" style="557" customWidth="1"/>
    <col min="13318" max="13318" width="7.85546875" style="557" customWidth="1"/>
    <col min="13319" max="13319" width="8.28515625" style="557" customWidth="1"/>
    <col min="13320" max="13320" width="8.5703125" style="557" customWidth="1"/>
    <col min="13321" max="13321" width="9.7109375" style="557" customWidth="1"/>
    <col min="13322" max="13322" width="8.85546875" style="557" customWidth="1"/>
    <col min="13323" max="13323" width="10.140625" style="557" customWidth="1"/>
    <col min="13324" max="13324" width="7.28515625" style="557" customWidth="1"/>
    <col min="13325" max="13325" width="9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8.42578125" style="557" customWidth="1"/>
    <col min="13571" max="13571" width="7.5703125" style="557" customWidth="1"/>
    <col min="13572" max="13572" width="9.5703125" style="557" customWidth="1"/>
    <col min="13573" max="13573" width="9" style="557" customWidth="1"/>
    <col min="13574" max="13574" width="7.85546875" style="557" customWidth="1"/>
    <col min="13575" max="13575" width="8.28515625" style="557" customWidth="1"/>
    <col min="13576" max="13576" width="8.5703125" style="557" customWidth="1"/>
    <col min="13577" max="13577" width="9.7109375" style="557" customWidth="1"/>
    <col min="13578" max="13578" width="8.85546875" style="557" customWidth="1"/>
    <col min="13579" max="13579" width="10.140625" style="557" customWidth="1"/>
    <col min="13580" max="13580" width="7.28515625" style="557" customWidth="1"/>
    <col min="13581" max="13581" width="9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8.42578125" style="557" customWidth="1"/>
    <col min="13827" max="13827" width="7.5703125" style="557" customWidth="1"/>
    <col min="13828" max="13828" width="9.5703125" style="557" customWidth="1"/>
    <col min="13829" max="13829" width="9" style="557" customWidth="1"/>
    <col min="13830" max="13830" width="7.85546875" style="557" customWidth="1"/>
    <col min="13831" max="13831" width="8.28515625" style="557" customWidth="1"/>
    <col min="13832" max="13832" width="8.5703125" style="557" customWidth="1"/>
    <col min="13833" max="13833" width="9.7109375" style="557" customWidth="1"/>
    <col min="13834" max="13834" width="8.85546875" style="557" customWidth="1"/>
    <col min="13835" max="13835" width="10.140625" style="557" customWidth="1"/>
    <col min="13836" max="13836" width="7.28515625" style="557" customWidth="1"/>
    <col min="13837" max="13837" width="9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8.42578125" style="557" customWidth="1"/>
    <col min="14083" max="14083" width="7.5703125" style="557" customWidth="1"/>
    <col min="14084" max="14084" width="9.5703125" style="557" customWidth="1"/>
    <col min="14085" max="14085" width="9" style="557" customWidth="1"/>
    <col min="14086" max="14086" width="7.85546875" style="557" customWidth="1"/>
    <col min="14087" max="14087" width="8.28515625" style="557" customWidth="1"/>
    <col min="14088" max="14088" width="8.5703125" style="557" customWidth="1"/>
    <col min="14089" max="14089" width="9.7109375" style="557" customWidth="1"/>
    <col min="14090" max="14090" width="8.85546875" style="557" customWidth="1"/>
    <col min="14091" max="14091" width="10.140625" style="557" customWidth="1"/>
    <col min="14092" max="14092" width="7.28515625" style="557" customWidth="1"/>
    <col min="14093" max="14093" width="9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8.42578125" style="557" customWidth="1"/>
    <col min="14339" max="14339" width="7.5703125" style="557" customWidth="1"/>
    <col min="14340" max="14340" width="9.5703125" style="557" customWidth="1"/>
    <col min="14341" max="14341" width="9" style="557" customWidth="1"/>
    <col min="14342" max="14342" width="7.85546875" style="557" customWidth="1"/>
    <col min="14343" max="14343" width="8.28515625" style="557" customWidth="1"/>
    <col min="14344" max="14344" width="8.5703125" style="557" customWidth="1"/>
    <col min="14345" max="14345" width="9.7109375" style="557" customWidth="1"/>
    <col min="14346" max="14346" width="8.85546875" style="557" customWidth="1"/>
    <col min="14347" max="14347" width="10.140625" style="557" customWidth="1"/>
    <col min="14348" max="14348" width="7.28515625" style="557" customWidth="1"/>
    <col min="14349" max="14349" width="9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8.42578125" style="557" customWidth="1"/>
    <col min="14595" max="14595" width="7.5703125" style="557" customWidth="1"/>
    <col min="14596" max="14596" width="9.5703125" style="557" customWidth="1"/>
    <col min="14597" max="14597" width="9" style="557" customWidth="1"/>
    <col min="14598" max="14598" width="7.85546875" style="557" customWidth="1"/>
    <col min="14599" max="14599" width="8.28515625" style="557" customWidth="1"/>
    <col min="14600" max="14600" width="8.5703125" style="557" customWidth="1"/>
    <col min="14601" max="14601" width="9.7109375" style="557" customWidth="1"/>
    <col min="14602" max="14602" width="8.85546875" style="557" customWidth="1"/>
    <col min="14603" max="14603" width="10.140625" style="557" customWidth="1"/>
    <col min="14604" max="14604" width="7.28515625" style="557" customWidth="1"/>
    <col min="14605" max="14605" width="9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8.42578125" style="557" customWidth="1"/>
    <col min="14851" max="14851" width="7.5703125" style="557" customWidth="1"/>
    <col min="14852" max="14852" width="9.5703125" style="557" customWidth="1"/>
    <col min="14853" max="14853" width="9" style="557" customWidth="1"/>
    <col min="14854" max="14854" width="7.85546875" style="557" customWidth="1"/>
    <col min="14855" max="14855" width="8.28515625" style="557" customWidth="1"/>
    <col min="14856" max="14856" width="8.5703125" style="557" customWidth="1"/>
    <col min="14857" max="14857" width="9.7109375" style="557" customWidth="1"/>
    <col min="14858" max="14858" width="8.85546875" style="557" customWidth="1"/>
    <col min="14859" max="14859" width="10.140625" style="557" customWidth="1"/>
    <col min="14860" max="14860" width="7.28515625" style="557" customWidth="1"/>
    <col min="14861" max="14861" width="9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8.42578125" style="557" customWidth="1"/>
    <col min="15107" max="15107" width="7.5703125" style="557" customWidth="1"/>
    <col min="15108" max="15108" width="9.5703125" style="557" customWidth="1"/>
    <col min="15109" max="15109" width="9" style="557" customWidth="1"/>
    <col min="15110" max="15110" width="7.85546875" style="557" customWidth="1"/>
    <col min="15111" max="15111" width="8.28515625" style="557" customWidth="1"/>
    <col min="15112" max="15112" width="8.5703125" style="557" customWidth="1"/>
    <col min="15113" max="15113" width="9.7109375" style="557" customWidth="1"/>
    <col min="15114" max="15114" width="8.85546875" style="557" customWidth="1"/>
    <col min="15115" max="15115" width="10.140625" style="557" customWidth="1"/>
    <col min="15116" max="15116" width="7.28515625" style="557" customWidth="1"/>
    <col min="15117" max="15117" width="9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8.42578125" style="557" customWidth="1"/>
    <col min="15363" max="15363" width="7.5703125" style="557" customWidth="1"/>
    <col min="15364" max="15364" width="9.5703125" style="557" customWidth="1"/>
    <col min="15365" max="15365" width="9" style="557" customWidth="1"/>
    <col min="15366" max="15366" width="7.85546875" style="557" customWidth="1"/>
    <col min="15367" max="15367" width="8.28515625" style="557" customWidth="1"/>
    <col min="15368" max="15368" width="8.5703125" style="557" customWidth="1"/>
    <col min="15369" max="15369" width="9.7109375" style="557" customWidth="1"/>
    <col min="15370" max="15370" width="8.85546875" style="557" customWidth="1"/>
    <col min="15371" max="15371" width="10.140625" style="557" customWidth="1"/>
    <col min="15372" max="15372" width="7.28515625" style="557" customWidth="1"/>
    <col min="15373" max="15373" width="9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8.42578125" style="557" customWidth="1"/>
    <col min="15619" max="15619" width="7.5703125" style="557" customWidth="1"/>
    <col min="15620" max="15620" width="9.5703125" style="557" customWidth="1"/>
    <col min="15621" max="15621" width="9" style="557" customWidth="1"/>
    <col min="15622" max="15622" width="7.85546875" style="557" customWidth="1"/>
    <col min="15623" max="15623" width="8.28515625" style="557" customWidth="1"/>
    <col min="15624" max="15624" width="8.5703125" style="557" customWidth="1"/>
    <col min="15625" max="15625" width="9.7109375" style="557" customWidth="1"/>
    <col min="15626" max="15626" width="8.85546875" style="557" customWidth="1"/>
    <col min="15627" max="15627" width="10.140625" style="557" customWidth="1"/>
    <col min="15628" max="15628" width="7.28515625" style="557" customWidth="1"/>
    <col min="15629" max="15629" width="9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8.42578125" style="557" customWidth="1"/>
    <col min="15875" max="15875" width="7.5703125" style="557" customWidth="1"/>
    <col min="15876" max="15876" width="9.5703125" style="557" customWidth="1"/>
    <col min="15877" max="15877" width="9" style="557" customWidth="1"/>
    <col min="15878" max="15878" width="7.85546875" style="557" customWidth="1"/>
    <col min="15879" max="15879" width="8.28515625" style="557" customWidth="1"/>
    <col min="15880" max="15880" width="8.5703125" style="557" customWidth="1"/>
    <col min="15881" max="15881" width="9.7109375" style="557" customWidth="1"/>
    <col min="15882" max="15882" width="8.85546875" style="557" customWidth="1"/>
    <col min="15883" max="15883" width="10.140625" style="557" customWidth="1"/>
    <col min="15884" max="15884" width="7.28515625" style="557" customWidth="1"/>
    <col min="15885" max="15885" width="9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8.42578125" style="557" customWidth="1"/>
    <col min="16131" max="16131" width="7.5703125" style="557" customWidth="1"/>
    <col min="16132" max="16132" width="9.5703125" style="557" customWidth="1"/>
    <col min="16133" max="16133" width="9" style="557" customWidth="1"/>
    <col min="16134" max="16134" width="7.85546875" style="557" customWidth="1"/>
    <col min="16135" max="16135" width="8.28515625" style="557" customWidth="1"/>
    <col min="16136" max="16136" width="8.5703125" style="557" customWidth="1"/>
    <col min="16137" max="16137" width="9.7109375" style="557" customWidth="1"/>
    <col min="16138" max="16138" width="8.85546875" style="557" customWidth="1"/>
    <col min="16139" max="16139" width="10.140625" style="557" customWidth="1"/>
    <col min="16140" max="16140" width="7.28515625" style="557" customWidth="1"/>
    <col min="16141" max="16141" width="9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187" t="s">
        <v>152</v>
      </c>
      <c r="C3" s="1188"/>
      <c r="D3" s="1188"/>
      <c r="E3" s="1189"/>
      <c r="F3" s="558" t="s">
        <v>171</v>
      </c>
      <c r="H3" s="1190" t="s">
        <v>1693</v>
      </c>
      <c r="I3" s="1190"/>
      <c r="J3" s="558" t="s">
        <v>172</v>
      </c>
      <c r="K3" s="559">
        <v>482.55</v>
      </c>
      <c r="L3" s="558" t="s">
        <v>436</v>
      </c>
      <c r="N3" s="559">
        <v>77.2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1694</v>
      </c>
      <c r="C5" s="1192"/>
      <c r="D5" s="1192"/>
      <c r="E5" s="1193"/>
      <c r="F5" s="558" t="s">
        <v>176</v>
      </c>
      <c r="H5" s="1191" t="s">
        <v>1695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199" t="s">
        <v>1698</v>
      </c>
      <c r="C10" s="1199"/>
      <c r="D10" s="1199" t="s">
        <v>1699</v>
      </c>
      <c r="E10" s="1199"/>
      <c r="F10" s="1199"/>
      <c r="G10" s="1199" t="s">
        <v>1700</v>
      </c>
      <c r="H10" s="1199"/>
      <c r="I10" s="1199"/>
      <c r="J10" s="1199" t="s">
        <v>1701</v>
      </c>
      <c r="K10" s="1199"/>
      <c r="L10" s="1199"/>
      <c r="M10" s="1199"/>
    </row>
    <row r="11" spans="1:14" s="561" customFormat="1" ht="20.100000000000001" customHeight="1">
      <c r="A11" s="560" t="s">
        <v>1702</v>
      </c>
      <c r="B11" s="1199" t="s">
        <v>1703</v>
      </c>
      <c r="C11" s="1199"/>
      <c r="D11" s="1199" t="s">
        <v>1704</v>
      </c>
      <c r="E11" s="1199"/>
      <c r="F11" s="1199"/>
      <c r="G11" s="1199" t="s">
        <v>1705</v>
      </c>
      <c r="H11" s="1199"/>
      <c r="I11" s="1199"/>
      <c r="J11" s="1199" t="s">
        <v>1706</v>
      </c>
      <c r="K11" s="1199"/>
      <c r="L11" s="1199"/>
      <c r="M11" s="1199"/>
    </row>
    <row r="12" spans="1:14" s="561" customFormat="1" ht="26.25" customHeight="1">
      <c r="A12" s="560" t="s">
        <v>1707</v>
      </c>
      <c r="B12" s="1199" t="s">
        <v>1708</v>
      </c>
      <c r="C12" s="1199"/>
      <c r="D12" s="1199" t="s">
        <v>1709</v>
      </c>
      <c r="E12" s="1199"/>
      <c r="F12" s="1199"/>
      <c r="G12" s="1199" t="s">
        <v>1710</v>
      </c>
      <c r="H12" s="1199"/>
      <c r="I12" s="1199"/>
      <c r="J12" s="1199" t="s">
        <v>1711</v>
      </c>
      <c r="K12" s="1199"/>
      <c r="L12" s="1199"/>
      <c r="M12" s="1199"/>
    </row>
    <row r="13" spans="1:14" s="561" customFormat="1" ht="20.100000000000001" customHeight="1">
      <c r="A13" s="560" t="s">
        <v>197</v>
      </c>
      <c r="B13" s="1199"/>
      <c r="C13" s="1199"/>
      <c r="D13" s="1199"/>
      <c r="E13" s="1199"/>
      <c r="F13" s="1199"/>
      <c r="G13" s="1199"/>
      <c r="H13" s="1199"/>
      <c r="I13" s="1199"/>
      <c r="J13" s="1199"/>
      <c r="K13" s="1199"/>
      <c r="L13" s="1199"/>
      <c r="M13" s="1199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4</v>
      </c>
      <c r="C15" s="1203" t="s">
        <v>1490</v>
      </c>
      <c r="D15" s="1197"/>
      <c r="E15" s="1197"/>
      <c r="F15" s="563">
        <v>4</v>
      </c>
      <c r="G15" s="562" t="s">
        <v>1712</v>
      </c>
      <c r="H15" s="563">
        <v>28</v>
      </c>
      <c r="I15" s="562" t="s">
        <v>1492</v>
      </c>
      <c r="J15" s="563">
        <v>2</v>
      </c>
      <c r="K15" s="562" t="s">
        <v>1386</v>
      </c>
      <c r="L15" s="563">
        <v>16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127</v>
      </c>
      <c r="D17" s="562" t="s">
        <v>205</v>
      </c>
      <c r="E17" s="564">
        <v>219</v>
      </c>
      <c r="F17" s="562" t="s">
        <v>206</v>
      </c>
      <c r="G17" s="564"/>
      <c r="H17" s="562" t="s">
        <v>230</v>
      </c>
      <c r="I17" s="564">
        <v>346</v>
      </c>
      <c r="J17" s="562" t="s">
        <v>207</v>
      </c>
      <c r="K17" s="564">
        <v>21</v>
      </c>
      <c r="L17" s="1203" t="s">
        <v>1360</v>
      </c>
      <c r="M17" s="1204"/>
      <c r="N17" s="564">
        <v>7</v>
      </c>
    </row>
    <row r="18" spans="1:14" s="562" customFormat="1" ht="25.5">
      <c r="A18" s="562" t="s">
        <v>209</v>
      </c>
      <c r="B18" s="562" t="s">
        <v>210</v>
      </c>
      <c r="C18" s="564">
        <v>241</v>
      </c>
      <c r="D18" s="562" t="s">
        <v>211</v>
      </c>
      <c r="E18" s="564">
        <v>561</v>
      </c>
      <c r="F18" s="562" t="s">
        <v>212</v>
      </c>
      <c r="G18" s="564"/>
      <c r="H18" s="562" t="s">
        <v>411</v>
      </c>
      <c r="I18" s="564">
        <v>802</v>
      </c>
    </row>
    <row r="19" spans="1:14" s="562" customFormat="1" ht="13.5" customHeight="1">
      <c r="B19" s="562" t="s">
        <v>213</v>
      </c>
      <c r="C19" s="564">
        <v>267</v>
      </c>
      <c r="D19" s="562" t="s">
        <v>214</v>
      </c>
      <c r="E19" s="564">
        <v>534</v>
      </c>
      <c r="F19" s="562" t="s">
        <v>215</v>
      </c>
      <c r="G19" s="564"/>
      <c r="H19" s="562" t="s">
        <v>410</v>
      </c>
      <c r="I19" s="564">
        <v>801</v>
      </c>
    </row>
    <row r="20" spans="1:14" s="562" customFormat="1">
      <c r="G20" s="565"/>
    </row>
    <row r="22" spans="1:14">
      <c r="D22" s="566"/>
      <c r="E22" s="566"/>
      <c r="F22" s="566"/>
    </row>
    <row r="23" spans="1:14">
      <c r="A23" s="567" t="s">
        <v>216</v>
      </c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562"/>
      <c r="B24" s="561"/>
      <c r="C24" s="561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1"/>
    </row>
    <row r="25" spans="1:14">
      <c r="A25" s="1205" t="s">
        <v>217</v>
      </c>
      <c r="B25" s="1205" t="s">
        <v>218</v>
      </c>
      <c r="C25" s="1205" t="s">
        <v>219</v>
      </c>
      <c r="D25" s="1205" t="s">
        <v>1363</v>
      </c>
      <c r="E25" s="1205" t="s">
        <v>1713</v>
      </c>
      <c r="F25" s="1200" t="s">
        <v>1714</v>
      </c>
      <c r="G25" s="1201"/>
      <c r="H25" s="1201"/>
      <c r="I25" s="1201"/>
      <c r="J25" s="1201"/>
      <c r="K25" s="1201"/>
      <c r="L25" s="1201"/>
      <c r="M25" s="1201"/>
      <c r="N25" s="1202"/>
    </row>
    <row r="26" spans="1:14" ht="25.5">
      <c r="A26" s="1206"/>
      <c r="B26" s="1206"/>
      <c r="C26" s="1206"/>
      <c r="D26" s="1206"/>
      <c r="E26" s="1206"/>
      <c r="F26" s="568" t="s">
        <v>224</v>
      </c>
      <c r="G26" s="568" t="s">
        <v>225</v>
      </c>
      <c r="H26" s="568" t="s">
        <v>226</v>
      </c>
      <c r="I26" s="568" t="s">
        <v>227</v>
      </c>
      <c r="J26" s="568" t="s">
        <v>228</v>
      </c>
      <c r="K26" s="568" t="s">
        <v>229</v>
      </c>
      <c r="L26" s="568" t="s">
        <v>1499</v>
      </c>
      <c r="M26" s="569" t="s">
        <v>230</v>
      </c>
      <c r="N26" s="569" t="s">
        <v>231</v>
      </c>
    </row>
    <row r="27" spans="1:14">
      <c r="A27" s="560" t="s">
        <v>232</v>
      </c>
      <c r="B27" s="564">
        <v>8000</v>
      </c>
      <c r="C27" s="560" t="s">
        <v>233</v>
      </c>
      <c r="D27" s="570">
        <v>38.603999999999999</v>
      </c>
      <c r="E27" s="570">
        <v>38.6</v>
      </c>
      <c r="F27" s="571">
        <v>0</v>
      </c>
      <c r="G27" s="571">
        <v>0</v>
      </c>
      <c r="H27" s="570">
        <v>5.06623</v>
      </c>
      <c r="I27" s="570">
        <v>10.130879999999999</v>
      </c>
      <c r="J27" s="570">
        <v>21.22175</v>
      </c>
      <c r="K27" s="570">
        <v>2.8733</v>
      </c>
      <c r="L27" s="571">
        <v>0</v>
      </c>
      <c r="M27" s="570">
        <v>39.292160000000003</v>
      </c>
      <c r="N27" s="570">
        <v>101.79316062176167</v>
      </c>
    </row>
    <row r="28" spans="1:14">
      <c r="A28" s="560" t="s">
        <v>1715</v>
      </c>
      <c r="B28" s="564">
        <v>7000</v>
      </c>
      <c r="C28" s="560" t="s">
        <v>233</v>
      </c>
      <c r="D28" s="570">
        <v>5.40456</v>
      </c>
      <c r="E28" s="570">
        <v>2.1259999999999999</v>
      </c>
      <c r="F28" s="571">
        <v>0</v>
      </c>
      <c r="G28" s="571">
        <v>0</v>
      </c>
      <c r="H28" s="570">
        <v>0</v>
      </c>
      <c r="I28" s="570">
        <v>0</v>
      </c>
      <c r="J28" s="570">
        <v>1.2915000000000001</v>
      </c>
      <c r="K28" s="570">
        <v>0</v>
      </c>
      <c r="L28" s="571">
        <v>0</v>
      </c>
      <c r="M28" s="570">
        <v>1.2915000000000001</v>
      </c>
      <c r="N28" s="570">
        <v>60.747883349012234</v>
      </c>
    </row>
    <row r="29" spans="1:14">
      <c r="A29" s="560" t="s">
        <v>235</v>
      </c>
      <c r="B29" s="564">
        <v>43000</v>
      </c>
      <c r="C29" s="560" t="s">
        <v>236</v>
      </c>
      <c r="D29" s="570">
        <v>0.43</v>
      </c>
      <c r="E29" s="570">
        <v>0.43</v>
      </c>
      <c r="F29" s="571">
        <v>0</v>
      </c>
      <c r="G29" s="571">
        <v>0</v>
      </c>
      <c r="H29" s="570">
        <v>0.21729999999999999</v>
      </c>
      <c r="I29" s="570">
        <v>2.205E-2</v>
      </c>
      <c r="J29" s="570">
        <v>0.14365</v>
      </c>
      <c r="K29" s="570">
        <v>0.15</v>
      </c>
      <c r="L29" s="571">
        <v>0</v>
      </c>
      <c r="M29" s="570">
        <v>0.53300000000000003</v>
      </c>
      <c r="N29" s="570">
        <v>123.95348837209303</v>
      </c>
    </row>
    <row r="30" spans="1:14">
      <c r="A30" s="560" t="s">
        <v>396</v>
      </c>
      <c r="B30" s="564">
        <v>34000</v>
      </c>
      <c r="C30" s="560" t="s">
        <v>236</v>
      </c>
      <c r="D30" s="570">
        <v>0.34</v>
      </c>
      <c r="E30" s="570">
        <v>0.34</v>
      </c>
      <c r="F30" s="571">
        <v>0</v>
      </c>
      <c r="G30" s="571">
        <v>0</v>
      </c>
      <c r="H30" s="570">
        <v>0</v>
      </c>
      <c r="I30" s="570">
        <v>0.11914</v>
      </c>
      <c r="J30" s="570">
        <v>0.20285</v>
      </c>
      <c r="K30" s="570">
        <v>0</v>
      </c>
      <c r="L30" s="571">
        <v>0</v>
      </c>
      <c r="M30" s="570">
        <v>0.32199</v>
      </c>
      <c r="N30" s="570">
        <v>94.702941176470574</v>
      </c>
    </row>
    <row r="31" spans="1:14">
      <c r="A31" s="560" t="s">
        <v>238</v>
      </c>
      <c r="B31" s="564">
        <v>1200</v>
      </c>
      <c r="C31" s="560" t="s">
        <v>233</v>
      </c>
      <c r="D31" s="570">
        <v>5.7906000000000004</v>
      </c>
      <c r="E31" s="570">
        <v>5.8406000000000002</v>
      </c>
      <c r="F31" s="571">
        <v>0</v>
      </c>
      <c r="G31" s="571">
        <v>0</v>
      </c>
      <c r="H31" s="570">
        <v>1.06985</v>
      </c>
      <c r="I31" s="570">
        <v>1.6465399999999999</v>
      </c>
      <c r="J31" s="570">
        <v>0.85385</v>
      </c>
      <c r="K31" s="570">
        <v>0</v>
      </c>
      <c r="L31" s="571">
        <v>0</v>
      </c>
      <c r="M31" s="570">
        <v>3.5702400000000001</v>
      </c>
      <c r="N31" s="570">
        <v>61.127966304831695</v>
      </c>
    </row>
    <row r="32" spans="1:14">
      <c r="A32" s="560" t="s">
        <v>667</v>
      </c>
      <c r="B32" s="564">
        <v>565</v>
      </c>
      <c r="C32" s="560" t="s">
        <v>233</v>
      </c>
      <c r="D32" s="570">
        <v>2.7263999999999999</v>
      </c>
      <c r="E32" s="570">
        <v>2.7263999999999999</v>
      </c>
      <c r="F32" s="571">
        <v>0</v>
      </c>
      <c r="G32" s="571">
        <v>0</v>
      </c>
      <c r="H32" s="570">
        <v>2.7263999999999999</v>
      </c>
      <c r="I32" s="570">
        <v>0</v>
      </c>
      <c r="J32" s="570">
        <v>0</v>
      </c>
      <c r="K32" s="570">
        <v>0</v>
      </c>
      <c r="L32" s="571">
        <v>0</v>
      </c>
      <c r="M32" s="570">
        <v>2.7263999999999999</v>
      </c>
      <c r="N32" s="570">
        <v>100</v>
      </c>
    </row>
    <row r="33" spans="1:14">
      <c r="A33" s="560" t="s">
        <v>240</v>
      </c>
      <c r="B33" s="564">
        <v>1000</v>
      </c>
      <c r="C33" s="560" t="s">
        <v>233</v>
      </c>
      <c r="D33" s="570">
        <v>4.8254999999999999</v>
      </c>
      <c r="E33" s="570">
        <v>4.8254999999999999</v>
      </c>
      <c r="F33" s="571">
        <v>0</v>
      </c>
      <c r="G33" s="571">
        <v>0</v>
      </c>
      <c r="H33" s="570">
        <v>0</v>
      </c>
      <c r="I33" s="570">
        <v>0</v>
      </c>
      <c r="J33" s="570">
        <v>0</v>
      </c>
      <c r="K33" s="570">
        <v>3.2481499999999999</v>
      </c>
      <c r="L33" s="571">
        <v>0</v>
      </c>
      <c r="M33" s="570">
        <v>3.2481499999999999</v>
      </c>
      <c r="N33" s="570">
        <v>67.312195627396122</v>
      </c>
    </row>
    <row r="34" spans="1:14">
      <c r="A34" s="560" t="s">
        <v>394</v>
      </c>
      <c r="B34" s="564">
        <v>2750</v>
      </c>
      <c r="C34" s="560" t="s">
        <v>1716</v>
      </c>
      <c r="D34" s="570">
        <v>1.75</v>
      </c>
      <c r="E34" s="570">
        <v>1.2375</v>
      </c>
      <c r="F34" s="571">
        <v>0</v>
      </c>
      <c r="G34" s="571">
        <v>0</v>
      </c>
      <c r="H34" s="570">
        <v>0.16500000000000001</v>
      </c>
      <c r="I34" s="570">
        <v>0.39900000000000002</v>
      </c>
      <c r="J34" s="570">
        <v>0.32850000000000001</v>
      </c>
      <c r="K34" s="570">
        <v>0.18</v>
      </c>
      <c r="L34" s="571">
        <v>0</v>
      </c>
      <c r="M34" s="570">
        <v>1.0725</v>
      </c>
      <c r="N34" s="570">
        <v>86.666666666666671</v>
      </c>
    </row>
    <row r="35" spans="1:14">
      <c r="A35" s="560" t="s">
        <v>1717</v>
      </c>
      <c r="B35" s="564">
        <v>10000</v>
      </c>
      <c r="C35" s="560" t="s">
        <v>244</v>
      </c>
      <c r="D35" s="570">
        <v>0</v>
      </c>
      <c r="E35" s="570">
        <v>0</v>
      </c>
      <c r="F35" s="571">
        <v>0</v>
      </c>
      <c r="G35" s="571">
        <v>0</v>
      </c>
      <c r="H35" s="570">
        <v>0</v>
      </c>
      <c r="I35" s="570">
        <v>0</v>
      </c>
      <c r="J35" s="570">
        <v>0</v>
      </c>
      <c r="K35" s="570">
        <v>0</v>
      </c>
      <c r="L35" s="571">
        <v>0</v>
      </c>
      <c r="M35" s="570">
        <v>0</v>
      </c>
      <c r="N35" s="570">
        <v>0</v>
      </c>
    </row>
    <row r="36" spans="1:14">
      <c r="A36" s="572" t="s">
        <v>230</v>
      </c>
      <c r="B36" s="564"/>
      <c r="C36" s="560"/>
      <c r="D36" s="573">
        <v>59.871059999999993</v>
      </c>
      <c r="E36" s="573">
        <v>56.125999999999998</v>
      </c>
      <c r="F36" s="573">
        <v>0</v>
      </c>
      <c r="G36" s="573">
        <v>0</v>
      </c>
      <c r="H36" s="573">
        <v>9.2447800000000004</v>
      </c>
      <c r="I36" s="573">
        <v>12.31761</v>
      </c>
      <c r="J36" s="573">
        <v>24.042100000000001</v>
      </c>
      <c r="K36" s="573">
        <v>6.4514499999999995</v>
      </c>
      <c r="L36" s="573">
        <v>0</v>
      </c>
      <c r="M36" s="573">
        <v>52.05594</v>
      </c>
      <c r="N36" s="573"/>
    </row>
    <row r="37" spans="1:14">
      <c r="I37" s="574"/>
      <c r="J37" s="566"/>
    </row>
    <row r="38" spans="1:14">
      <c r="I38" s="566"/>
      <c r="J38" s="566"/>
    </row>
  </sheetData>
  <mergeCells count="34">
    <mergeCell ref="A25:A26"/>
    <mergeCell ref="B25:B26"/>
    <mergeCell ref="C25:C26"/>
    <mergeCell ref="D25:D26"/>
    <mergeCell ref="E25:E26"/>
    <mergeCell ref="F25:N25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9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8.42578125" style="557" customWidth="1"/>
    <col min="3" max="3" width="7.570312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8.42578125" style="557" customWidth="1"/>
    <col min="259" max="259" width="7.570312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8.42578125" style="557" customWidth="1"/>
    <col min="515" max="515" width="7.570312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8.42578125" style="557" customWidth="1"/>
    <col min="771" max="771" width="7.570312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8.42578125" style="557" customWidth="1"/>
    <col min="1027" max="1027" width="7.570312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8.42578125" style="557" customWidth="1"/>
    <col min="1283" max="1283" width="7.570312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8.42578125" style="557" customWidth="1"/>
    <col min="1539" max="1539" width="7.570312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8.42578125" style="557" customWidth="1"/>
    <col min="1795" max="1795" width="7.570312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8.42578125" style="557" customWidth="1"/>
    <col min="2051" max="2051" width="7.570312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8.42578125" style="557" customWidth="1"/>
    <col min="2307" max="2307" width="7.570312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8.42578125" style="557" customWidth="1"/>
    <col min="2563" max="2563" width="7.570312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8.42578125" style="557" customWidth="1"/>
    <col min="2819" max="2819" width="7.570312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8.42578125" style="557" customWidth="1"/>
    <col min="3075" max="3075" width="7.570312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8.42578125" style="557" customWidth="1"/>
    <col min="3331" max="3331" width="7.570312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8.42578125" style="557" customWidth="1"/>
    <col min="3587" max="3587" width="7.570312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8.42578125" style="557" customWidth="1"/>
    <col min="3843" max="3843" width="7.570312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8.42578125" style="557" customWidth="1"/>
    <col min="4099" max="4099" width="7.570312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8.42578125" style="557" customWidth="1"/>
    <col min="4355" max="4355" width="7.570312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8.42578125" style="557" customWidth="1"/>
    <col min="4611" max="4611" width="7.570312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8.42578125" style="557" customWidth="1"/>
    <col min="4867" max="4867" width="7.570312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8.42578125" style="557" customWidth="1"/>
    <col min="5123" max="5123" width="7.570312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8.42578125" style="557" customWidth="1"/>
    <col min="5379" max="5379" width="7.570312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8.42578125" style="557" customWidth="1"/>
    <col min="5635" max="5635" width="7.570312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8.42578125" style="557" customWidth="1"/>
    <col min="5891" max="5891" width="7.570312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8.42578125" style="557" customWidth="1"/>
    <col min="6147" max="6147" width="7.570312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8.42578125" style="557" customWidth="1"/>
    <col min="6403" max="6403" width="7.570312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8.42578125" style="557" customWidth="1"/>
    <col min="6659" max="6659" width="7.570312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8.42578125" style="557" customWidth="1"/>
    <col min="6915" max="6915" width="7.570312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8.42578125" style="557" customWidth="1"/>
    <col min="7171" max="7171" width="7.570312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8.42578125" style="557" customWidth="1"/>
    <col min="7427" max="7427" width="7.570312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8.42578125" style="557" customWidth="1"/>
    <col min="7683" max="7683" width="7.570312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8.42578125" style="557" customWidth="1"/>
    <col min="7939" max="7939" width="7.570312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8.42578125" style="557" customWidth="1"/>
    <col min="8195" max="8195" width="7.570312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8.42578125" style="557" customWidth="1"/>
    <col min="8451" max="8451" width="7.570312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8.42578125" style="557" customWidth="1"/>
    <col min="8707" max="8707" width="7.570312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8.42578125" style="557" customWidth="1"/>
    <col min="8963" max="8963" width="7.570312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8.42578125" style="557" customWidth="1"/>
    <col min="9219" max="9219" width="7.570312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8.42578125" style="557" customWidth="1"/>
    <col min="9475" max="9475" width="7.570312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8.42578125" style="557" customWidth="1"/>
    <col min="9731" max="9731" width="7.570312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8.42578125" style="557" customWidth="1"/>
    <col min="9987" max="9987" width="7.570312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8.42578125" style="557" customWidth="1"/>
    <col min="10243" max="10243" width="7.570312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8.42578125" style="557" customWidth="1"/>
    <col min="10499" max="10499" width="7.570312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8.42578125" style="557" customWidth="1"/>
    <col min="10755" max="10755" width="7.570312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8.42578125" style="557" customWidth="1"/>
    <col min="11011" max="11011" width="7.570312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8.42578125" style="557" customWidth="1"/>
    <col min="11267" max="11267" width="7.570312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8.42578125" style="557" customWidth="1"/>
    <col min="11523" max="11523" width="7.570312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8.42578125" style="557" customWidth="1"/>
    <col min="11779" max="11779" width="7.570312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8.42578125" style="557" customWidth="1"/>
    <col min="12035" max="12035" width="7.570312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8.42578125" style="557" customWidth="1"/>
    <col min="12291" max="12291" width="7.570312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8.42578125" style="557" customWidth="1"/>
    <col min="12547" max="12547" width="7.570312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8.42578125" style="557" customWidth="1"/>
    <col min="12803" max="12803" width="7.570312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8.42578125" style="557" customWidth="1"/>
    <col min="13059" max="13059" width="7.570312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8.42578125" style="557" customWidth="1"/>
    <col min="13315" max="13315" width="7.570312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8.42578125" style="557" customWidth="1"/>
    <col min="13571" max="13571" width="7.570312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8.42578125" style="557" customWidth="1"/>
    <col min="13827" max="13827" width="7.570312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8.42578125" style="557" customWidth="1"/>
    <col min="14083" max="14083" width="7.570312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8.42578125" style="557" customWidth="1"/>
    <col min="14339" max="14339" width="7.570312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8.42578125" style="557" customWidth="1"/>
    <col min="14595" max="14595" width="7.570312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8.42578125" style="557" customWidth="1"/>
    <col min="14851" max="14851" width="7.570312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8.42578125" style="557" customWidth="1"/>
    <col min="15107" max="15107" width="7.570312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8.42578125" style="557" customWidth="1"/>
    <col min="15363" max="15363" width="7.570312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8.42578125" style="557" customWidth="1"/>
    <col min="15619" max="15619" width="7.570312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8.42578125" style="557" customWidth="1"/>
    <col min="15875" max="15875" width="7.570312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8.42578125" style="557" customWidth="1"/>
    <col min="16131" max="16131" width="7.570312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1718</v>
      </c>
      <c r="C3" s="1207"/>
      <c r="D3" s="1207"/>
      <c r="E3" s="1207"/>
      <c r="F3" s="558" t="s">
        <v>171</v>
      </c>
      <c r="H3" s="1190" t="s">
        <v>1719</v>
      </c>
      <c r="I3" s="1190"/>
      <c r="J3" s="558" t="s">
        <v>172</v>
      </c>
      <c r="K3" s="559">
        <v>230</v>
      </c>
      <c r="L3" s="558" t="s">
        <v>436</v>
      </c>
      <c r="N3" s="559">
        <v>36.799999999999997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1720</v>
      </c>
      <c r="C5" s="1192"/>
      <c r="D5" s="1192"/>
      <c r="E5" s="1193"/>
      <c r="F5" s="558" t="s">
        <v>176</v>
      </c>
      <c r="H5" s="1191" t="s">
        <v>1721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208" t="s">
        <v>1722</v>
      </c>
      <c r="C10" s="1208"/>
      <c r="D10" s="1208" t="s">
        <v>1723</v>
      </c>
      <c r="E10" s="1208"/>
      <c r="F10" s="1208"/>
      <c r="G10" s="1208"/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/>
      <c r="C11" s="1208"/>
      <c r="D11" s="1208"/>
      <c r="E11" s="1208"/>
      <c r="F11" s="1208"/>
      <c r="G11" s="1208"/>
      <c r="H11" s="1208"/>
      <c r="I11" s="1208"/>
      <c r="J11" s="1208"/>
      <c r="K11" s="1208"/>
      <c r="L11" s="1208"/>
      <c r="M11" s="1208"/>
    </row>
    <row r="12" spans="1:14" s="561" customFormat="1" ht="24" customHeight="1">
      <c r="A12" s="560" t="s">
        <v>1707</v>
      </c>
      <c r="B12" s="1208" t="s">
        <v>1724</v>
      </c>
      <c r="C12" s="1208"/>
      <c r="D12" s="1208" t="s">
        <v>1725</v>
      </c>
      <c r="E12" s="1208"/>
      <c r="F12" s="1208"/>
      <c r="G12" s="1208" t="s">
        <v>1726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2</v>
      </c>
      <c r="C15" s="1203" t="s">
        <v>1490</v>
      </c>
      <c r="D15" s="1197"/>
      <c r="E15" s="1197"/>
      <c r="F15" s="563">
        <v>2</v>
      </c>
      <c r="G15" s="562" t="s">
        <v>1712</v>
      </c>
      <c r="H15" s="563">
        <v>6</v>
      </c>
      <c r="I15" s="562" t="s">
        <v>1492</v>
      </c>
      <c r="J15" s="563">
        <v>2</v>
      </c>
      <c r="K15" s="562" t="s">
        <v>1386</v>
      </c>
      <c r="L15" s="563">
        <v>9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199</v>
      </c>
      <c r="D17" s="562" t="s">
        <v>205</v>
      </c>
      <c r="E17" s="564">
        <v>2</v>
      </c>
      <c r="F17" s="562" t="s">
        <v>206</v>
      </c>
      <c r="G17" s="564">
        <v>2</v>
      </c>
      <c r="H17" s="562" t="s">
        <v>230</v>
      </c>
      <c r="I17" s="564">
        <v>203</v>
      </c>
      <c r="J17" s="562" t="s">
        <v>207</v>
      </c>
      <c r="K17" s="564">
        <v>8</v>
      </c>
      <c r="L17" s="1203" t="s">
        <v>1360</v>
      </c>
      <c r="M17" s="1204"/>
      <c r="N17" s="564">
        <v>6</v>
      </c>
    </row>
    <row r="18" spans="1:14" s="562" customFormat="1">
      <c r="A18" s="562" t="s">
        <v>209</v>
      </c>
      <c r="B18" s="562" t="s">
        <v>210</v>
      </c>
      <c r="C18" s="564">
        <v>509</v>
      </c>
      <c r="D18" s="562" t="s">
        <v>211</v>
      </c>
      <c r="E18" s="564">
        <v>4</v>
      </c>
      <c r="F18" s="562" t="s">
        <v>212</v>
      </c>
      <c r="G18" s="564">
        <v>7</v>
      </c>
      <c r="H18" s="562" t="s">
        <v>411</v>
      </c>
      <c r="I18" s="564">
        <v>520</v>
      </c>
    </row>
    <row r="19" spans="1:14" s="562" customFormat="1" ht="13.5" customHeight="1">
      <c r="B19" s="562" t="s">
        <v>213</v>
      </c>
      <c r="C19" s="564">
        <v>502</v>
      </c>
      <c r="D19" s="562" t="s">
        <v>214</v>
      </c>
      <c r="E19" s="564">
        <v>4</v>
      </c>
      <c r="F19" s="562" t="s">
        <v>215</v>
      </c>
      <c r="G19" s="564">
        <v>5</v>
      </c>
      <c r="H19" s="562" t="s">
        <v>410</v>
      </c>
      <c r="I19" s="564">
        <v>511</v>
      </c>
    </row>
    <row r="20" spans="1:14" s="562" customFormat="1">
      <c r="G20" s="565"/>
    </row>
    <row r="23" spans="1:14" ht="15.75" customHeight="1">
      <c r="A23" s="567" t="s">
        <v>216</v>
      </c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562"/>
      <c r="B24" s="561"/>
      <c r="C24" s="561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1"/>
    </row>
    <row r="25" spans="1:14">
      <c r="A25" s="1205" t="s">
        <v>217</v>
      </c>
      <c r="B25" s="1205" t="s">
        <v>218</v>
      </c>
      <c r="C25" s="1205" t="s">
        <v>219</v>
      </c>
      <c r="D25" s="1205" t="s">
        <v>1363</v>
      </c>
      <c r="E25" s="1205" t="s">
        <v>1713</v>
      </c>
      <c r="F25" s="1200" t="s">
        <v>1714</v>
      </c>
      <c r="G25" s="1201"/>
      <c r="H25" s="1201"/>
      <c r="I25" s="1201"/>
      <c r="J25" s="1201"/>
      <c r="K25" s="1201"/>
      <c r="L25" s="1201"/>
      <c r="M25" s="1201"/>
      <c r="N25" s="1202"/>
    </row>
    <row r="26" spans="1:14" ht="25.5">
      <c r="A26" s="1206"/>
      <c r="B26" s="1206"/>
      <c r="C26" s="1206"/>
      <c r="D26" s="1206"/>
      <c r="E26" s="1206"/>
      <c r="F26" s="568" t="s">
        <v>224</v>
      </c>
      <c r="G26" s="568" t="s">
        <v>225</v>
      </c>
      <c r="H26" s="568" t="s">
        <v>226</v>
      </c>
      <c r="I26" s="568" t="s">
        <v>227</v>
      </c>
      <c r="J26" s="568" t="s">
        <v>228</v>
      </c>
      <c r="K26" s="568" t="s">
        <v>229</v>
      </c>
      <c r="L26" s="568" t="s">
        <v>1499</v>
      </c>
      <c r="M26" s="569" t="s">
        <v>230</v>
      </c>
      <c r="N26" s="569" t="s">
        <v>231</v>
      </c>
    </row>
    <row r="27" spans="1:14">
      <c r="A27" s="560" t="s">
        <v>232</v>
      </c>
      <c r="B27" s="564">
        <v>8000</v>
      </c>
      <c r="C27" s="560" t="s">
        <v>233</v>
      </c>
      <c r="D27" s="570">
        <v>18.399999999999999</v>
      </c>
      <c r="E27" s="576">
        <v>18.399999999999999</v>
      </c>
      <c r="F27" s="577">
        <v>0</v>
      </c>
      <c r="G27" s="577">
        <v>0</v>
      </c>
      <c r="H27" s="570">
        <v>8.1963200000000001</v>
      </c>
      <c r="I27" s="570">
        <v>6.68316</v>
      </c>
      <c r="J27" s="570">
        <v>2.2484000000000002</v>
      </c>
      <c r="K27" s="570">
        <v>0.13950000000000001</v>
      </c>
      <c r="L27" s="577">
        <v>0</v>
      </c>
      <c r="M27" s="570">
        <v>17.267379999999999</v>
      </c>
      <c r="N27" s="570">
        <v>93.844456521739133</v>
      </c>
    </row>
    <row r="28" spans="1:14">
      <c r="A28" s="560" t="s">
        <v>1715</v>
      </c>
      <c r="B28" s="564">
        <v>7000</v>
      </c>
      <c r="C28" s="560" t="s">
        <v>233</v>
      </c>
      <c r="D28" s="570">
        <v>2.5760000000000001</v>
      </c>
      <c r="E28" s="576">
        <v>2.5760000000000001</v>
      </c>
      <c r="F28" s="577">
        <v>0</v>
      </c>
      <c r="G28" s="577">
        <v>0</v>
      </c>
      <c r="H28" s="570">
        <v>0</v>
      </c>
      <c r="I28" s="570">
        <v>0</v>
      </c>
      <c r="J28" s="570">
        <v>0.33660000000000001</v>
      </c>
      <c r="K28" s="570">
        <v>1.9911000000000001</v>
      </c>
      <c r="L28" s="577">
        <v>0</v>
      </c>
      <c r="M28" s="570">
        <v>2.3277000000000001</v>
      </c>
      <c r="N28" s="570">
        <v>90.36102484472049</v>
      </c>
    </row>
    <row r="29" spans="1:14">
      <c r="A29" s="560" t="s">
        <v>235</v>
      </c>
      <c r="B29" s="564">
        <v>43000</v>
      </c>
      <c r="C29" s="560" t="s">
        <v>236</v>
      </c>
      <c r="D29" s="570">
        <v>0.43</v>
      </c>
      <c r="E29" s="576">
        <v>0.43</v>
      </c>
      <c r="F29" s="577">
        <v>0</v>
      </c>
      <c r="G29" s="577">
        <v>0</v>
      </c>
      <c r="H29" s="570">
        <v>0.17549999999999999</v>
      </c>
      <c r="I29" s="570">
        <v>0.24279999999999999</v>
      </c>
      <c r="J29" s="570">
        <v>0.11899999999999999</v>
      </c>
      <c r="K29" s="570">
        <v>5.2499999999999998E-2</v>
      </c>
      <c r="L29" s="577">
        <v>0</v>
      </c>
      <c r="M29" s="570">
        <v>0.58979999999999999</v>
      </c>
      <c r="N29" s="570">
        <v>137.16279069767441</v>
      </c>
    </row>
    <row r="30" spans="1:14">
      <c r="A30" s="560" t="s">
        <v>396</v>
      </c>
      <c r="B30" s="564">
        <v>34000</v>
      </c>
      <c r="C30" s="560" t="s">
        <v>236</v>
      </c>
      <c r="D30" s="570">
        <v>0.34</v>
      </c>
      <c r="E30" s="576">
        <v>0.34</v>
      </c>
      <c r="F30" s="577">
        <v>0</v>
      </c>
      <c r="G30" s="577">
        <v>0</v>
      </c>
      <c r="H30" s="570">
        <v>0</v>
      </c>
      <c r="I30" s="570">
        <v>0.11914</v>
      </c>
      <c r="J30" s="570">
        <v>4.086E-2</v>
      </c>
      <c r="K30" s="570">
        <v>0.05</v>
      </c>
      <c r="L30" s="577">
        <v>0</v>
      </c>
      <c r="M30" s="570">
        <v>0.21</v>
      </c>
      <c r="N30" s="570">
        <v>61.764705882352935</v>
      </c>
    </row>
    <row r="31" spans="1:14">
      <c r="A31" s="560" t="s">
        <v>238</v>
      </c>
      <c r="B31" s="564">
        <v>1200</v>
      </c>
      <c r="C31" s="560" t="s">
        <v>233</v>
      </c>
      <c r="D31" s="570">
        <v>2.76</v>
      </c>
      <c r="E31" s="576">
        <v>2.9372199999999999</v>
      </c>
      <c r="F31" s="577">
        <v>0</v>
      </c>
      <c r="G31" s="577">
        <v>0</v>
      </c>
      <c r="H31" s="570">
        <v>0.95084000000000002</v>
      </c>
      <c r="I31" s="570">
        <v>1.60476</v>
      </c>
      <c r="J31" s="570">
        <v>0.04</v>
      </c>
      <c r="K31" s="570">
        <v>0</v>
      </c>
      <c r="L31" s="577">
        <v>0</v>
      </c>
      <c r="M31" s="570">
        <v>2.5956000000000001</v>
      </c>
      <c r="N31" s="570">
        <v>88.369274347852738</v>
      </c>
    </row>
    <row r="32" spans="1:14">
      <c r="A32" s="560" t="s">
        <v>667</v>
      </c>
      <c r="B32" s="564">
        <v>565</v>
      </c>
      <c r="C32" s="560" t="s">
        <v>233</v>
      </c>
      <c r="D32" s="570">
        <v>1.2995000000000001</v>
      </c>
      <c r="E32" s="576">
        <v>1.2995000000000001</v>
      </c>
      <c r="F32" s="577">
        <v>0</v>
      </c>
      <c r="G32" s="577">
        <v>0</v>
      </c>
      <c r="H32" s="570">
        <v>0</v>
      </c>
      <c r="I32" s="570">
        <v>1.2995000000000001</v>
      </c>
      <c r="J32" s="570">
        <v>0</v>
      </c>
      <c r="K32" s="570">
        <v>0</v>
      </c>
      <c r="L32" s="577">
        <v>0</v>
      </c>
      <c r="M32" s="570">
        <v>1.2995000000000001</v>
      </c>
      <c r="N32" s="570">
        <v>100</v>
      </c>
    </row>
    <row r="33" spans="1:14">
      <c r="A33" s="560" t="s">
        <v>240</v>
      </c>
      <c r="B33" s="564">
        <v>1000</v>
      </c>
      <c r="C33" s="560" t="s">
        <v>233</v>
      </c>
      <c r="D33" s="570">
        <v>2.2999999999999998</v>
      </c>
      <c r="E33" s="576">
        <v>2.1727799999999999</v>
      </c>
      <c r="F33" s="577">
        <v>0</v>
      </c>
      <c r="G33" s="577">
        <v>0</v>
      </c>
      <c r="H33" s="570">
        <v>0</v>
      </c>
      <c r="I33" s="570">
        <v>0</v>
      </c>
      <c r="J33" s="570">
        <v>0</v>
      </c>
      <c r="K33" s="570">
        <v>1.7501500000000001</v>
      </c>
      <c r="L33" s="577">
        <v>0</v>
      </c>
      <c r="M33" s="570">
        <v>1.7501500000000001</v>
      </c>
      <c r="N33" s="570">
        <v>80.548882077338718</v>
      </c>
    </row>
    <row r="34" spans="1:14">
      <c r="A34" s="560" t="s">
        <v>394</v>
      </c>
      <c r="B34" s="564">
        <v>2750</v>
      </c>
      <c r="C34" s="560" t="s">
        <v>1716</v>
      </c>
      <c r="D34" s="570">
        <v>1.75</v>
      </c>
      <c r="E34" s="576">
        <v>1.2375</v>
      </c>
      <c r="F34" s="577">
        <v>0</v>
      </c>
      <c r="G34" s="577">
        <v>0</v>
      </c>
      <c r="H34" s="570">
        <v>0.33450000000000002</v>
      </c>
      <c r="I34" s="570">
        <v>0.45412000000000002</v>
      </c>
      <c r="J34" s="570">
        <v>0.24</v>
      </c>
      <c r="K34" s="570">
        <v>0.21249999999999999</v>
      </c>
      <c r="L34" s="577">
        <v>0</v>
      </c>
      <c r="M34" s="570">
        <v>1.24112</v>
      </c>
      <c r="N34" s="570">
        <v>100.29252525252525</v>
      </c>
    </row>
    <row r="35" spans="1:14">
      <c r="A35" s="572" t="s">
        <v>230</v>
      </c>
      <c r="B35" s="564"/>
      <c r="C35" s="560"/>
      <c r="D35" s="573">
        <v>29.855499999999999</v>
      </c>
      <c r="E35" s="573">
        <v>29.393000000000001</v>
      </c>
      <c r="F35" s="573">
        <v>0</v>
      </c>
      <c r="G35" s="573">
        <v>0</v>
      </c>
      <c r="H35" s="573">
        <v>9.6571599999999993</v>
      </c>
      <c r="I35" s="573">
        <v>10.40348</v>
      </c>
      <c r="J35" s="573">
        <v>3.0248600000000003</v>
      </c>
      <c r="K35" s="573">
        <v>4.1957500000000003</v>
      </c>
      <c r="L35" s="573">
        <v>0</v>
      </c>
      <c r="M35" s="573">
        <v>27.28125</v>
      </c>
      <c r="N35" s="573"/>
    </row>
  </sheetData>
  <mergeCells count="34">
    <mergeCell ref="A25:A26"/>
    <mergeCell ref="B25:B26"/>
    <mergeCell ref="C25:C26"/>
    <mergeCell ref="D25:D26"/>
    <mergeCell ref="E25:E26"/>
    <mergeCell ref="F25:N25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92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6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7.140625" style="557" customWidth="1"/>
    <col min="3" max="3" width="8.710937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9.28515625" style="557" customWidth="1"/>
    <col min="12" max="12" width="7.28515625" style="557" customWidth="1"/>
    <col min="13" max="13" width="10.2851562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7.140625" style="557" customWidth="1"/>
    <col min="259" max="259" width="8.710937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9.28515625" style="557" customWidth="1"/>
    <col min="268" max="268" width="7.28515625" style="557" customWidth="1"/>
    <col min="269" max="269" width="10.2851562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7.140625" style="557" customWidth="1"/>
    <col min="515" max="515" width="8.710937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9.28515625" style="557" customWidth="1"/>
    <col min="524" max="524" width="7.28515625" style="557" customWidth="1"/>
    <col min="525" max="525" width="10.2851562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7.140625" style="557" customWidth="1"/>
    <col min="771" max="771" width="8.710937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9.28515625" style="557" customWidth="1"/>
    <col min="780" max="780" width="7.28515625" style="557" customWidth="1"/>
    <col min="781" max="781" width="10.2851562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7.140625" style="557" customWidth="1"/>
    <col min="1027" max="1027" width="8.710937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9.28515625" style="557" customWidth="1"/>
    <col min="1036" max="1036" width="7.28515625" style="557" customWidth="1"/>
    <col min="1037" max="1037" width="10.2851562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7.140625" style="557" customWidth="1"/>
    <col min="1283" max="1283" width="8.710937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9.28515625" style="557" customWidth="1"/>
    <col min="1292" max="1292" width="7.28515625" style="557" customWidth="1"/>
    <col min="1293" max="1293" width="10.2851562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7.140625" style="557" customWidth="1"/>
    <col min="1539" max="1539" width="8.710937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9.28515625" style="557" customWidth="1"/>
    <col min="1548" max="1548" width="7.28515625" style="557" customWidth="1"/>
    <col min="1549" max="1549" width="10.2851562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7.140625" style="557" customWidth="1"/>
    <col min="1795" max="1795" width="8.710937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9.28515625" style="557" customWidth="1"/>
    <col min="1804" max="1804" width="7.28515625" style="557" customWidth="1"/>
    <col min="1805" max="1805" width="10.2851562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7.140625" style="557" customWidth="1"/>
    <col min="2051" max="2051" width="8.710937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9.28515625" style="557" customWidth="1"/>
    <col min="2060" max="2060" width="7.28515625" style="557" customWidth="1"/>
    <col min="2061" max="2061" width="10.2851562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7.140625" style="557" customWidth="1"/>
    <col min="2307" max="2307" width="8.710937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9.28515625" style="557" customWidth="1"/>
    <col min="2316" max="2316" width="7.28515625" style="557" customWidth="1"/>
    <col min="2317" max="2317" width="10.2851562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7.140625" style="557" customWidth="1"/>
    <col min="2563" max="2563" width="8.710937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9.28515625" style="557" customWidth="1"/>
    <col min="2572" max="2572" width="7.28515625" style="557" customWidth="1"/>
    <col min="2573" max="2573" width="10.2851562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7.140625" style="557" customWidth="1"/>
    <col min="2819" max="2819" width="8.710937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9.28515625" style="557" customWidth="1"/>
    <col min="2828" max="2828" width="7.28515625" style="557" customWidth="1"/>
    <col min="2829" max="2829" width="10.2851562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7.140625" style="557" customWidth="1"/>
    <col min="3075" max="3075" width="8.710937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9.28515625" style="557" customWidth="1"/>
    <col min="3084" max="3084" width="7.28515625" style="557" customWidth="1"/>
    <col min="3085" max="3085" width="10.2851562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7.140625" style="557" customWidth="1"/>
    <col min="3331" max="3331" width="8.710937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9.28515625" style="557" customWidth="1"/>
    <col min="3340" max="3340" width="7.28515625" style="557" customWidth="1"/>
    <col min="3341" max="3341" width="10.2851562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7.140625" style="557" customWidth="1"/>
    <col min="3587" max="3587" width="8.710937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9.28515625" style="557" customWidth="1"/>
    <col min="3596" max="3596" width="7.28515625" style="557" customWidth="1"/>
    <col min="3597" max="3597" width="10.2851562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7.140625" style="557" customWidth="1"/>
    <col min="3843" max="3843" width="8.710937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9.28515625" style="557" customWidth="1"/>
    <col min="3852" max="3852" width="7.28515625" style="557" customWidth="1"/>
    <col min="3853" max="3853" width="10.2851562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7.140625" style="557" customWidth="1"/>
    <col min="4099" max="4099" width="8.710937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9.28515625" style="557" customWidth="1"/>
    <col min="4108" max="4108" width="7.28515625" style="557" customWidth="1"/>
    <col min="4109" max="4109" width="10.2851562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7.140625" style="557" customWidth="1"/>
    <col min="4355" max="4355" width="8.710937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9.28515625" style="557" customWidth="1"/>
    <col min="4364" max="4364" width="7.28515625" style="557" customWidth="1"/>
    <col min="4365" max="4365" width="10.2851562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7.140625" style="557" customWidth="1"/>
    <col min="4611" max="4611" width="8.710937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9.28515625" style="557" customWidth="1"/>
    <col min="4620" max="4620" width="7.28515625" style="557" customWidth="1"/>
    <col min="4621" max="4621" width="10.2851562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7.140625" style="557" customWidth="1"/>
    <col min="4867" max="4867" width="8.710937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9.28515625" style="557" customWidth="1"/>
    <col min="4876" max="4876" width="7.28515625" style="557" customWidth="1"/>
    <col min="4877" max="4877" width="10.2851562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7.140625" style="557" customWidth="1"/>
    <col min="5123" max="5123" width="8.710937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9.28515625" style="557" customWidth="1"/>
    <col min="5132" max="5132" width="7.28515625" style="557" customWidth="1"/>
    <col min="5133" max="5133" width="10.2851562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7.140625" style="557" customWidth="1"/>
    <col min="5379" max="5379" width="8.710937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9.28515625" style="557" customWidth="1"/>
    <col min="5388" max="5388" width="7.28515625" style="557" customWidth="1"/>
    <col min="5389" max="5389" width="10.2851562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7.140625" style="557" customWidth="1"/>
    <col min="5635" max="5635" width="8.710937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9.28515625" style="557" customWidth="1"/>
    <col min="5644" max="5644" width="7.28515625" style="557" customWidth="1"/>
    <col min="5645" max="5645" width="10.2851562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7.140625" style="557" customWidth="1"/>
    <col min="5891" max="5891" width="8.710937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9.28515625" style="557" customWidth="1"/>
    <col min="5900" max="5900" width="7.28515625" style="557" customWidth="1"/>
    <col min="5901" max="5901" width="10.2851562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7.140625" style="557" customWidth="1"/>
    <col min="6147" max="6147" width="8.710937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9.28515625" style="557" customWidth="1"/>
    <col min="6156" max="6156" width="7.28515625" style="557" customWidth="1"/>
    <col min="6157" max="6157" width="10.2851562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7.140625" style="557" customWidth="1"/>
    <col min="6403" max="6403" width="8.710937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9.28515625" style="557" customWidth="1"/>
    <col min="6412" max="6412" width="7.28515625" style="557" customWidth="1"/>
    <col min="6413" max="6413" width="10.2851562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7.140625" style="557" customWidth="1"/>
    <col min="6659" max="6659" width="8.710937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9.28515625" style="557" customWidth="1"/>
    <col min="6668" max="6668" width="7.28515625" style="557" customWidth="1"/>
    <col min="6669" max="6669" width="10.2851562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7.140625" style="557" customWidth="1"/>
    <col min="6915" max="6915" width="8.710937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9.28515625" style="557" customWidth="1"/>
    <col min="6924" max="6924" width="7.28515625" style="557" customWidth="1"/>
    <col min="6925" max="6925" width="10.2851562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7.140625" style="557" customWidth="1"/>
    <col min="7171" max="7171" width="8.710937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9.28515625" style="557" customWidth="1"/>
    <col min="7180" max="7180" width="7.28515625" style="557" customWidth="1"/>
    <col min="7181" max="7181" width="10.2851562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7.140625" style="557" customWidth="1"/>
    <col min="7427" max="7427" width="8.710937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9.28515625" style="557" customWidth="1"/>
    <col min="7436" max="7436" width="7.28515625" style="557" customWidth="1"/>
    <col min="7437" max="7437" width="10.2851562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7.140625" style="557" customWidth="1"/>
    <col min="7683" max="7683" width="8.710937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9.28515625" style="557" customWidth="1"/>
    <col min="7692" max="7692" width="7.28515625" style="557" customWidth="1"/>
    <col min="7693" max="7693" width="10.2851562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7.140625" style="557" customWidth="1"/>
    <col min="7939" max="7939" width="8.710937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9.28515625" style="557" customWidth="1"/>
    <col min="7948" max="7948" width="7.28515625" style="557" customWidth="1"/>
    <col min="7949" max="7949" width="10.2851562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7.140625" style="557" customWidth="1"/>
    <col min="8195" max="8195" width="8.710937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9.28515625" style="557" customWidth="1"/>
    <col min="8204" max="8204" width="7.28515625" style="557" customWidth="1"/>
    <col min="8205" max="8205" width="10.2851562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7.140625" style="557" customWidth="1"/>
    <col min="8451" max="8451" width="8.710937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9.28515625" style="557" customWidth="1"/>
    <col min="8460" max="8460" width="7.28515625" style="557" customWidth="1"/>
    <col min="8461" max="8461" width="10.2851562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7.140625" style="557" customWidth="1"/>
    <col min="8707" max="8707" width="8.710937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9.28515625" style="557" customWidth="1"/>
    <col min="8716" max="8716" width="7.28515625" style="557" customWidth="1"/>
    <col min="8717" max="8717" width="10.2851562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7.140625" style="557" customWidth="1"/>
    <col min="8963" max="8963" width="8.710937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9.28515625" style="557" customWidth="1"/>
    <col min="8972" max="8972" width="7.28515625" style="557" customWidth="1"/>
    <col min="8973" max="8973" width="10.2851562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7.140625" style="557" customWidth="1"/>
    <col min="9219" max="9219" width="8.710937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9.28515625" style="557" customWidth="1"/>
    <col min="9228" max="9228" width="7.28515625" style="557" customWidth="1"/>
    <col min="9229" max="9229" width="10.2851562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7.140625" style="557" customWidth="1"/>
    <col min="9475" max="9475" width="8.710937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9.28515625" style="557" customWidth="1"/>
    <col min="9484" max="9484" width="7.28515625" style="557" customWidth="1"/>
    <col min="9485" max="9485" width="10.2851562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7.140625" style="557" customWidth="1"/>
    <col min="9731" max="9731" width="8.710937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9.28515625" style="557" customWidth="1"/>
    <col min="9740" max="9740" width="7.28515625" style="557" customWidth="1"/>
    <col min="9741" max="9741" width="10.2851562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7.140625" style="557" customWidth="1"/>
    <col min="9987" max="9987" width="8.710937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9.28515625" style="557" customWidth="1"/>
    <col min="9996" max="9996" width="7.28515625" style="557" customWidth="1"/>
    <col min="9997" max="9997" width="10.2851562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7.140625" style="557" customWidth="1"/>
    <col min="10243" max="10243" width="8.710937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9.28515625" style="557" customWidth="1"/>
    <col min="10252" max="10252" width="7.28515625" style="557" customWidth="1"/>
    <col min="10253" max="10253" width="10.2851562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7.140625" style="557" customWidth="1"/>
    <col min="10499" max="10499" width="8.710937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9.28515625" style="557" customWidth="1"/>
    <col min="10508" max="10508" width="7.28515625" style="557" customWidth="1"/>
    <col min="10509" max="10509" width="10.2851562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7.140625" style="557" customWidth="1"/>
    <col min="10755" max="10755" width="8.710937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9.28515625" style="557" customWidth="1"/>
    <col min="10764" max="10764" width="7.28515625" style="557" customWidth="1"/>
    <col min="10765" max="10765" width="10.2851562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7.140625" style="557" customWidth="1"/>
    <col min="11011" max="11011" width="8.710937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9.28515625" style="557" customWidth="1"/>
    <col min="11020" max="11020" width="7.28515625" style="557" customWidth="1"/>
    <col min="11021" max="11021" width="10.2851562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7.140625" style="557" customWidth="1"/>
    <col min="11267" max="11267" width="8.710937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9.28515625" style="557" customWidth="1"/>
    <col min="11276" max="11276" width="7.28515625" style="557" customWidth="1"/>
    <col min="11277" max="11277" width="10.2851562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7.140625" style="557" customWidth="1"/>
    <col min="11523" max="11523" width="8.710937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9.28515625" style="557" customWidth="1"/>
    <col min="11532" max="11532" width="7.28515625" style="557" customWidth="1"/>
    <col min="11533" max="11533" width="10.2851562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7.140625" style="557" customWidth="1"/>
    <col min="11779" max="11779" width="8.710937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9.28515625" style="557" customWidth="1"/>
    <col min="11788" max="11788" width="7.28515625" style="557" customWidth="1"/>
    <col min="11789" max="11789" width="10.2851562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7.140625" style="557" customWidth="1"/>
    <col min="12035" max="12035" width="8.710937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9.28515625" style="557" customWidth="1"/>
    <col min="12044" max="12044" width="7.28515625" style="557" customWidth="1"/>
    <col min="12045" max="12045" width="10.2851562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7.140625" style="557" customWidth="1"/>
    <col min="12291" max="12291" width="8.710937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9.28515625" style="557" customWidth="1"/>
    <col min="12300" max="12300" width="7.28515625" style="557" customWidth="1"/>
    <col min="12301" max="12301" width="10.2851562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7.140625" style="557" customWidth="1"/>
    <col min="12547" max="12547" width="8.710937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9.28515625" style="557" customWidth="1"/>
    <col min="12556" max="12556" width="7.28515625" style="557" customWidth="1"/>
    <col min="12557" max="12557" width="10.2851562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7.140625" style="557" customWidth="1"/>
    <col min="12803" max="12803" width="8.710937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9.28515625" style="557" customWidth="1"/>
    <col min="12812" max="12812" width="7.28515625" style="557" customWidth="1"/>
    <col min="12813" max="12813" width="10.2851562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7.140625" style="557" customWidth="1"/>
    <col min="13059" max="13059" width="8.710937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9.28515625" style="557" customWidth="1"/>
    <col min="13068" max="13068" width="7.28515625" style="557" customWidth="1"/>
    <col min="13069" max="13069" width="10.2851562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7.140625" style="557" customWidth="1"/>
    <col min="13315" max="13315" width="8.710937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9.28515625" style="557" customWidth="1"/>
    <col min="13324" max="13324" width="7.28515625" style="557" customWidth="1"/>
    <col min="13325" max="13325" width="10.2851562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7.140625" style="557" customWidth="1"/>
    <col min="13571" max="13571" width="8.710937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9.28515625" style="557" customWidth="1"/>
    <col min="13580" max="13580" width="7.28515625" style="557" customWidth="1"/>
    <col min="13581" max="13581" width="10.2851562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7.140625" style="557" customWidth="1"/>
    <col min="13827" max="13827" width="8.710937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9.28515625" style="557" customWidth="1"/>
    <col min="13836" max="13836" width="7.28515625" style="557" customWidth="1"/>
    <col min="13837" max="13837" width="10.2851562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7.140625" style="557" customWidth="1"/>
    <col min="14083" max="14083" width="8.710937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9.28515625" style="557" customWidth="1"/>
    <col min="14092" max="14092" width="7.28515625" style="557" customWidth="1"/>
    <col min="14093" max="14093" width="10.2851562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7.140625" style="557" customWidth="1"/>
    <col min="14339" max="14339" width="8.710937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9.28515625" style="557" customWidth="1"/>
    <col min="14348" max="14348" width="7.28515625" style="557" customWidth="1"/>
    <col min="14349" max="14349" width="10.2851562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7.140625" style="557" customWidth="1"/>
    <col min="14595" max="14595" width="8.710937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9.28515625" style="557" customWidth="1"/>
    <col min="14604" max="14604" width="7.28515625" style="557" customWidth="1"/>
    <col min="14605" max="14605" width="10.2851562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7.140625" style="557" customWidth="1"/>
    <col min="14851" max="14851" width="8.710937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9.28515625" style="557" customWidth="1"/>
    <col min="14860" max="14860" width="7.28515625" style="557" customWidth="1"/>
    <col min="14861" max="14861" width="10.2851562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7.140625" style="557" customWidth="1"/>
    <col min="15107" max="15107" width="8.710937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9.28515625" style="557" customWidth="1"/>
    <col min="15116" max="15116" width="7.28515625" style="557" customWidth="1"/>
    <col min="15117" max="15117" width="10.2851562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7.140625" style="557" customWidth="1"/>
    <col min="15363" max="15363" width="8.710937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9.28515625" style="557" customWidth="1"/>
    <col min="15372" max="15372" width="7.28515625" style="557" customWidth="1"/>
    <col min="15373" max="15373" width="10.2851562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7.140625" style="557" customWidth="1"/>
    <col min="15619" max="15619" width="8.710937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9.28515625" style="557" customWidth="1"/>
    <col min="15628" max="15628" width="7.28515625" style="557" customWidth="1"/>
    <col min="15629" max="15629" width="10.2851562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7.140625" style="557" customWidth="1"/>
    <col min="15875" max="15875" width="8.710937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9.28515625" style="557" customWidth="1"/>
    <col min="15884" max="15884" width="7.28515625" style="557" customWidth="1"/>
    <col min="15885" max="15885" width="10.2851562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7.140625" style="557" customWidth="1"/>
    <col min="16131" max="16131" width="8.710937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9.28515625" style="557" customWidth="1"/>
    <col min="16140" max="16140" width="7.28515625" style="557" customWidth="1"/>
    <col min="16141" max="16141" width="10.2851562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154</v>
      </c>
      <c r="C3" s="1207"/>
      <c r="D3" s="1207"/>
      <c r="E3" s="1207"/>
      <c r="F3" s="558" t="s">
        <v>171</v>
      </c>
      <c r="H3" s="1190" t="s">
        <v>1727</v>
      </c>
      <c r="I3" s="1190"/>
      <c r="J3" s="558" t="s">
        <v>172</v>
      </c>
      <c r="K3" s="559">
        <v>443.7</v>
      </c>
      <c r="L3" s="558" t="s">
        <v>436</v>
      </c>
      <c r="N3" s="559">
        <v>71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1728</v>
      </c>
      <c r="C5" s="1192"/>
      <c r="D5" s="1192"/>
      <c r="E5" s="1193"/>
      <c r="F5" s="558" t="s">
        <v>176</v>
      </c>
      <c r="H5" s="1191" t="s">
        <v>1729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208" t="s">
        <v>1730</v>
      </c>
      <c r="C10" s="1208"/>
      <c r="D10" s="1208" t="s">
        <v>1731</v>
      </c>
      <c r="E10" s="1208"/>
      <c r="F10" s="1208"/>
      <c r="G10" s="1208"/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 t="s">
        <v>1732</v>
      </c>
      <c r="C11" s="1208"/>
      <c r="D11" s="1208" t="s">
        <v>1733</v>
      </c>
      <c r="E11" s="1208"/>
      <c r="F11" s="1208"/>
      <c r="G11" s="1208"/>
      <c r="H11" s="1208"/>
      <c r="I11" s="1208"/>
      <c r="J11" s="1208"/>
      <c r="K11" s="1208"/>
      <c r="L11" s="1208"/>
      <c r="M11" s="1208"/>
    </row>
    <row r="12" spans="1:14" s="561" customFormat="1" ht="24.75" customHeight="1">
      <c r="A12" s="560" t="s">
        <v>1707</v>
      </c>
      <c r="B12" s="1208" t="s">
        <v>1734</v>
      </c>
      <c r="C12" s="1208"/>
      <c r="D12" s="1208" t="s">
        <v>1735</v>
      </c>
      <c r="E12" s="1208"/>
      <c r="F12" s="1208"/>
      <c r="G12" s="1208" t="s">
        <v>1736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2</v>
      </c>
      <c r="C15" s="1203" t="s">
        <v>1490</v>
      </c>
      <c r="D15" s="1197"/>
      <c r="E15" s="1197"/>
      <c r="F15" s="563">
        <v>2</v>
      </c>
      <c r="G15" s="562" t="s">
        <v>1712</v>
      </c>
      <c r="H15" s="563">
        <v>9</v>
      </c>
      <c r="I15" s="562" t="s">
        <v>1492</v>
      </c>
      <c r="J15" s="563">
        <v>2</v>
      </c>
      <c r="K15" s="562" t="s">
        <v>1386</v>
      </c>
      <c r="L15" s="563">
        <v>4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39</v>
      </c>
      <c r="D17" s="562" t="s">
        <v>205</v>
      </c>
      <c r="E17" s="564">
        <v>172</v>
      </c>
      <c r="F17" s="562" t="s">
        <v>206</v>
      </c>
      <c r="G17" s="564">
        <v>88</v>
      </c>
      <c r="H17" s="562" t="s">
        <v>230</v>
      </c>
      <c r="I17" s="564">
        <v>299</v>
      </c>
      <c r="J17" s="562" t="s">
        <v>207</v>
      </c>
      <c r="K17" s="564">
        <v>14</v>
      </c>
      <c r="L17" s="1203" t="s">
        <v>1360</v>
      </c>
      <c r="M17" s="1204"/>
      <c r="N17" s="564">
        <v>9</v>
      </c>
    </row>
    <row r="18" spans="1:14" s="562" customFormat="1">
      <c r="A18" s="562" t="s">
        <v>209</v>
      </c>
      <c r="B18" s="562" t="s">
        <v>210</v>
      </c>
      <c r="C18" s="564">
        <v>90</v>
      </c>
      <c r="D18" s="562" t="s">
        <v>211</v>
      </c>
      <c r="E18" s="564">
        <v>321</v>
      </c>
      <c r="F18" s="562" t="s">
        <v>212</v>
      </c>
      <c r="G18" s="564">
        <v>182</v>
      </c>
      <c r="H18" s="562" t="s">
        <v>411</v>
      </c>
      <c r="I18" s="564">
        <v>593</v>
      </c>
    </row>
    <row r="19" spans="1:14" s="562" customFormat="1" ht="13.5" customHeight="1">
      <c r="B19" s="562" t="s">
        <v>213</v>
      </c>
      <c r="C19" s="564">
        <v>88</v>
      </c>
      <c r="D19" s="562" t="s">
        <v>214</v>
      </c>
      <c r="E19" s="564">
        <v>305</v>
      </c>
      <c r="F19" s="562" t="s">
        <v>215</v>
      </c>
      <c r="G19" s="564">
        <v>200</v>
      </c>
      <c r="H19" s="562" t="s">
        <v>410</v>
      </c>
      <c r="I19" s="564">
        <v>593</v>
      </c>
    </row>
    <row r="20" spans="1:14">
      <c r="J20" s="578"/>
    </row>
    <row r="22" spans="1:14">
      <c r="A22" s="567" t="s">
        <v>216</v>
      </c>
      <c r="B22" s="561"/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</row>
    <row r="23" spans="1:14">
      <c r="A23" s="562"/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1205" t="s">
        <v>217</v>
      </c>
      <c r="B24" s="1205" t="s">
        <v>218</v>
      </c>
      <c r="C24" s="1205" t="s">
        <v>219</v>
      </c>
      <c r="D24" s="1205" t="s">
        <v>1363</v>
      </c>
      <c r="E24" s="1205" t="s">
        <v>1713</v>
      </c>
      <c r="F24" s="1200" t="s">
        <v>1714</v>
      </c>
      <c r="G24" s="1201"/>
      <c r="H24" s="1201"/>
      <c r="I24" s="1201"/>
      <c r="J24" s="1201"/>
      <c r="K24" s="1201"/>
      <c r="L24" s="1201"/>
      <c r="M24" s="1201"/>
      <c r="N24" s="1202"/>
    </row>
    <row r="25" spans="1:14" ht="25.5">
      <c r="A25" s="1206"/>
      <c r="B25" s="1206"/>
      <c r="C25" s="1206"/>
      <c r="D25" s="1206"/>
      <c r="E25" s="1206"/>
      <c r="F25" s="568" t="s">
        <v>224</v>
      </c>
      <c r="G25" s="568" t="s">
        <v>225</v>
      </c>
      <c r="H25" s="568" t="s">
        <v>226</v>
      </c>
      <c r="I25" s="568" t="s">
        <v>227</v>
      </c>
      <c r="J25" s="568" t="s">
        <v>228</v>
      </c>
      <c r="K25" s="568" t="s">
        <v>229</v>
      </c>
      <c r="L25" s="568" t="s">
        <v>1499</v>
      </c>
      <c r="M25" s="569" t="s">
        <v>230</v>
      </c>
      <c r="N25" s="569" t="s">
        <v>231</v>
      </c>
    </row>
    <row r="26" spans="1:14">
      <c r="A26" s="560" t="s">
        <v>232</v>
      </c>
      <c r="B26" s="564">
        <v>8000</v>
      </c>
      <c r="C26" s="560" t="s">
        <v>233</v>
      </c>
      <c r="D26" s="570">
        <v>35.496000000000002</v>
      </c>
      <c r="E26" s="570">
        <v>35.496000000000002</v>
      </c>
      <c r="F26" s="579">
        <v>0</v>
      </c>
      <c r="G26" s="579">
        <v>0</v>
      </c>
      <c r="H26" s="570">
        <v>5.0647399999999996</v>
      </c>
      <c r="I26" s="570">
        <v>5.4242999999999997</v>
      </c>
      <c r="J26" s="570">
        <v>5.37235</v>
      </c>
      <c r="K26" s="570">
        <v>8.7735000000000003</v>
      </c>
      <c r="L26" s="579">
        <v>0</v>
      </c>
      <c r="M26" s="576">
        <v>24.634889999999999</v>
      </c>
      <c r="N26" s="570">
        <v>69.401876267748477</v>
      </c>
    </row>
    <row r="27" spans="1:14">
      <c r="A27" s="560" t="s">
        <v>1715</v>
      </c>
      <c r="B27" s="564">
        <v>7000</v>
      </c>
      <c r="C27" s="560" t="s">
        <v>233</v>
      </c>
      <c r="D27" s="570">
        <v>4.9694399999999996</v>
      </c>
      <c r="E27" s="570">
        <v>4.97</v>
      </c>
      <c r="F27" s="579">
        <v>0</v>
      </c>
      <c r="G27" s="579">
        <v>0</v>
      </c>
      <c r="H27" s="570">
        <v>0</v>
      </c>
      <c r="I27" s="570">
        <v>0</v>
      </c>
      <c r="J27" s="570">
        <v>0.65969999999999995</v>
      </c>
      <c r="K27" s="570">
        <v>1.3703000000000001</v>
      </c>
      <c r="L27" s="579">
        <v>0</v>
      </c>
      <c r="M27" s="576">
        <v>2.0299999999999998</v>
      </c>
      <c r="N27" s="570">
        <v>40.845070422535208</v>
      </c>
    </row>
    <row r="28" spans="1:14">
      <c r="A28" s="560" t="s">
        <v>235</v>
      </c>
      <c r="B28" s="564">
        <v>43000</v>
      </c>
      <c r="C28" s="560" t="s">
        <v>236</v>
      </c>
      <c r="D28" s="570">
        <v>0.43</v>
      </c>
      <c r="E28" s="570">
        <v>0.43</v>
      </c>
      <c r="F28" s="579">
        <v>0</v>
      </c>
      <c r="G28" s="579">
        <v>0</v>
      </c>
      <c r="H28" s="570">
        <v>5.4999999999999997E-3</v>
      </c>
      <c r="I28" s="570">
        <v>0.26850000000000002</v>
      </c>
      <c r="J28" s="570">
        <v>0.21</v>
      </c>
      <c r="K28" s="570">
        <v>0</v>
      </c>
      <c r="L28" s="579">
        <v>0</v>
      </c>
      <c r="M28" s="576">
        <v>0.48399999999999999</v>
      </c>
      <c r="N28" s="570">
        <v>112.55813953488372</v>
      </c>
    </row>
    <row r="29" spans="1:14">
      <c r="A29" s="560" t="s">
        <v>396</v>
      </c>
      <c r="B29" s="564">
        <v>34000</v>
      </c>
      <c r="C29" s="560" t="s">
        <v>236</v>
      </c>
      <c r="D29" s="570">
        <v>0.34</v>
      </c>
      <c r="E29" s="570">
        <v>0.34</v>
      </c>
      <c r="F29" s="579">
        <v>0</v>
      </c>
      <c r="G29" s="579">
        <v>0</v>
      </c>
      <c r="H29" s="570">
        <v>0</v>
      </c>
      <c r="I29" s="570">
        <v>0.11914</v>
      </c>
      <c r="J29" s="570">
        <v>8.1720000000000001E-2</v>
      </c>
      <c r="K29" s="570">
        <v>0.08</v>
      </c>
      <c r="L29" s="579">
        <v>0</v>
      </c>
      <c r="M29" s="576">
        <v>0.28086</v>
      </c>
      <c r="N29" s="570">
        <v>82.60588235294118</v>
      </c>
    </row>
    <row r="30" spans="1:14">
      <c r="A30" s="560" t="s">
        <v>238</v>
      </c>
      <c r="B30" s="564">
        <v>1200</v>
      </c>
      <c r="C30" s="560" t="s">
        <v>233</v>
      </c>
      <c r="D30" s="570">
        <v>5.3243999999999998</v>
      </c>
      <c r="E30" s="570">
        <v>3.1872199999999999</v>
      </c>
      <c r="F30" s="579">
        <v>0</v>
      </c>
      <c r="G30" s="579">
        <v>0</v>
      </c>
      <c r="H30" s="570">
        <v>0.88392000000000004</v>
      </c>
      <c r="I30" s="570">
        <v>0.60199999999999998</v>
      </c>
      <c r="J30" s="570">
        <v>2.7959499999999999</v>
      </c>
      <c r="K30" s="570">
        <v>0.375</v>
      </c>
      <c r="L30" s="579">
        <v>0</v>
      </c>
      <c r="M30" s="576">
        <v>4.6568699999999996</v>
      </c>
      <c r="N30" s="570">
        <v>146.11071717672453</v>
      </c>
    </row>
    <row r="31" spans="1:14">
      <c r="A31" s="560" t="s">
        <v>667</v>
      </c>
      <c r="B31" s="564">
        <v>565</v>
      </c>
      <c r="C31" s="560" t="s">
        <v>233</v>
      </c>
      <c r="D31" s="570">
        <v>2.5068999999999999</v>
      </c>
      <c r="E31" s="570">
        <v>2.5068999999999999</v>
      </c>
      <c r="F31" s="579">
        <v>0</v>
      </c>
      <c r="G31" s="579">
        <v>0</v>
      </c>
      <c r="H31" s="570">
        <v>2.5068999999999999</v>
      </c>
      <c r="I31" s="570">
        <v>0</v>
      </c>
      <c r="J31" s="570">
        <v>0</v>
      </c>
      <c r="K31" s="570">
        <v>0</v>
      </c>
      <c r="L31" s="579">
        <v>0</v>
      </c>
      <c r="M31" s="576">
        <v>2.5068999999999999</v>
      </c>
      <c r="N31" s="570">
        <v>100</v>
      </c>
    </row>
    <row r="32" spans="1:14">
      <c r="A32" s="560" t="s">
        <v>240</v>
      </c>
      <c r="B32" s="564">
        <v>1000</v>
      </c>
      <c r="C32" s="560" t="s">
        <v>233</v>
      </c>
      <c r="D32" s="570">
        <v>4.4370000000000003</v>
      </c>
      <c r="E32" s="570">
        <v>4.4370000000000003</v>
      </c>
      <c r="F32" s="579">
        <v>0</v>
      </c>
      <c r="G32" s="579">
        <v>0</v>
      </c>
      <c r="H32" s="570">
        <v>0</v>
      </c>
      <c r="I32" s="570">
        <v>0</v>
      </c>
      <c r="J32" s="570">
        <v>0</v>
      </c>
      <c r="K32" s="570">
        <v>0.87250000000000005</v>
      </c>
      <c r="L32" s="579">
        <v>0</v>
      </c>
      <c r="M32" s="576">
        <v>0.87250000000000005</v>
      </c>
      <c r="N32" s="570">
        <v>19.664187514086095</v>
      </c>
    </row>
    <row r="33" spans="1:14">
      <c r="A33" s="560" t="s">
        <v>394</v>
      </c>
      <c r="B33" s="564">
        <v>2750</v>
      </c>
      <c r="C33" s="560" t="s">
        <v>1716</v>
      </c>
      <c r="D33" s="570">
        <v>1.75</v>
      </c>
      <c r="E33" s="570">
        <v>1.2375</v>
      </c>
      <c r="F33" s="579">
        <v>0</v>
      </c>
      <c r="G33" s="579">
        <v>0</v>
      </c>
      <c r="H33" s="570">
        <v>0.23204</v>
      </c>
      <c r="I33" s="570">
        <v>0.52249999999999996</v>
      </c>
      <c r="J33" s="570">
        <v>0.33</v>
      </c>
      <c r="K33" s="570">
        <v>0</v>
      </c>
      <c r="L33" s="579">
        <v>0</v>
      </c>
      <c r="M33" s="576">
        <v>1.0845400000000001</v>
      </c>
      <c r="N33" s="570">
        <v>87.639595959595965</v>
      </c>
    </row>
    <row r="34" spans="1:14">
      <c r="A34" s="560" t="s">
        <v>1717</v>
      </c>
      <c r="B34" s="564">
        <v>10000</v>
      </c>
      <c r="C34" s="560" t="s">
        <v>244</v>
      </c>
      <c r="D34" s="570">
        <v>0</v>
      </c>
      <c r="E34" s="570">
        <v>0</v>
      </c>
      <c r="F34" s="579">
        <v>0</v>
      </c>
      <c r="G34" s="579">
        <v>0</v>
      </c>
      <c r="H34" s="570">
        <v>0</v>
      </c>
      <c r="I34" s="570">
        <v>0</v>
      </c>
      <c r="J34" s="570">
        <v>0</v>
      </c>
      <c r="K34" s="570">
        <v>0</v>
      </c>
      <c r="L34" s="579">
        <v>0</v>
      </c>
      <c r="M34" s="576">
        <v>0</v>
      </c>
      <c r="N34" s="564"/>
    </row>
    <row r="35" spans="1:14">
      <c r="A35" s="572" t="s">
        <v>230</v>
      </c>
      <c r="B35" s="564"/>
      <c r="C35" s="560"/>
      <c r="D35" s="573">
        <v>55.253740000000001</v>
      </c>
      <c r="E35" s="573">
        <v>52.604620000000004</v>
      </c>
      <c r="F35" s="573">
        <v>0</v>
      </c>
      <c r="G35" s="573">
        <v>0</v>
      </c>
      <c r="H35" s="573">
        <v>8.6930999999999994</v>
      </c>
      <c r="I35" s="573">
        <v>6.9364400000000002</v>
      </c>
      <c r="J35" s="573">
        <v>9.4497200000000028</v>
      </c>
      <c r="K35" s="573">
        <v>11.471300000000001</v>
      </c>
      <c r="L35" s="573">
        <v>0</v>
      </c>
      <c r="M35" s="573">
        <v>36.550560000000004</v>
      </c>
      <c r="N35" s="573"/>
    </row>
    <row r="36" spans="1:14">
      <c r="E36" s="566"/>
      <c r="F36" s="566"/>
      <c r="G36" s="566"/>
    </row>
  </sheetData>
  <mergeCells count="34">
    <mergeCell ref="A24:A25"/>
    <mergeCell ref="B24:B25"/>
    <mergeCell ref="C24:C25"/>
    <mergeCell ref="D24:D25"/>
    <mergeCell ref="E24:E25"/>
    <mergeCell ref="F24:N24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9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4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10.85546875" style="557" customWidth="1"/>
    <col min="3" max="3" width="9.8554687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8.7109375" style="557" customWidth="1"/>
    <col min="15" max="256" width="9.140625" style="557"/>
    <col min="257" max="257" width="24.140625" style="557" customWidth="1"/>
    <col min="258" max="258" width="10.85546875" style="557" customWidth="1"/>
    <col min="259" max="259" width="9.8554687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8.7109375" style="557" customWidth="1"/>
    <col min="271" max="512" width="9.140625" style="557"/>
    <col min="513" max="513" width="24.140625" style="557" customWidth="1"/>
    <col min="514" max="514" width="10.85546875" style="557" customWidth="1"/>
    <col min="515" max="515" width="9.8554687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8.7109375" style="557" customWidth="1"/>
    <col min="527" max="768" width="9.140625" style="557"/>
    <col min="769" max="769" width="24.140625" style="557" customWidth="1"/>
    <col min="770" max="770" width="10.85546875" style="557" customWidth="1"/>
    <col min="771" max="771" width="9.8554687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8.7109375" style="557" customWidth="1"/>
    <col min="783" max="1024" width="9.140625" style="557"/>
    <col min="1025" max="1025" width="24.140625" style="557" customWidth="1"/>
    <col min="1026" max="1026" width="10.85546875" style="557" customWidth="1"/>
    <col min="1027" max="1027" width="9.8554687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8.7109375" style="557" customWidth="1"/>
    <col min="1039" max="1280" width="9.140625" style="557"/>
    <col min="1281" max="1281" width="24.140625" style="557" customWidth="1"/>
    <col min="1282" max="1282" width="10.85546875" style="557" customWidth="1"/>
    <col min="1283" max="1283" width="9.8554687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8.7109375" style="557" customWidth="1"/>
    <col min="1295" max="1536" width="9.140625" style="557"/>
    <col min="1537" max="1537" width="24.140625" style="557" customWidth="1"/>
    <col min="1538" max="1538" width="10.85546875" style="557" customWidth="1"/>
    <col min="1539" max="1539" width="9.8554687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8.7109375" style="557" customWidth="1"/>
    <col min="1551" max="1792" width="9.140625" style="557"/>
    <col min="1793" max="1793" width="24.140625" style="557" customWidth="1"/>
    <col min="1794" max="1794" width="10.85546875" style="557" customWidth="1"/>
    <col min="1795" max="1795" width="9.8554687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8.7109375" style="557" customWidth="1"/>
    <col min="1807" max="2048" width="9.140625" style="557"/>
    <col min="2049" max="2049" width="24.140625" style="557" customWidth="1"/>
    <col min="2050" max="2050" width="10.85546875" style="557" customWidth="1"/>
    <col min="2051" max="2051" width="9.8554687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8.7109375" style="557" customWidth="1"/>
    <col min="2063" max="2304" width="9.140625" style="557"/>
    <col min="2305" max="2305" width="24.140625" style="557" customWidth="1"/>
    <col min="2306" max="2306" width="10.85546875" style="557" customWidth="1"/>
    <col min="2307" max="2307" width="9.8554687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8.7109375" style="557" customWidth="1"/>
    <col min="2319" max="2560" width="9.140625" style="557"/>
    <col min="2561" max="2561" width="24.140625" style="557" customWidth="1"/>
    <col min="2562" max="2562" width="10.85546875" style="557" customWidth="1"/>
    <col min="2563" max="2563" width="9.8554687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8.7109375" style="557" customWidth="1"/>
    <col min="2575" max="2816" width="9.140625" style="557"/>
    <col min="2817" max="2817" width="24.140625" style="557" customWidth="1"/>
    <col min="2818" max="2818" width="10.85546875" style="557" customWidth="1"/>
    <col min="2819" max="2819" width="9.8554687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8.7109375" style="557" customWidth="1"/>
    <col min="2831" max="3072" width="9.140625" style="557"/>
    <col min="3073" max="3073" width="24.140625" style="557" customWidth="1"/>
    <col min="3074" max="3074" width="10.85546875" style="557" customWidth="1"/>
    <col min="3075" max="3075" width="9.8554687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8.7109375" style="557" customWidth="1"/>
    <col min="3087" max="3328" width="9.140625" style="557"/>
    <col min="3329" max="3329" width="24.140625" style="557" customWidth="1"/>
    <col min="3330" max="3330" width="10.85546875" style="557" customWidth="1"/>
    <col min="3331" max="3331" width="9.8554687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8.7109375" style="557" customWidth="1"/>
    <col min="3343" max="3584" width="9.140625" style="557"/>
    <col min="3585" max="3585" width="24.140625" style="557" customWidth="1"/>
    <col min="3586" max="3586" width="10.85546875" style="557" customWidth="1"/>
    <col min="3587" max="3587" width="9.8554687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8.7109375" style="557" customWidth="1"/>
    <col min="3599" max="3840" width="9.140625" style="557"/>
    <col min="3841" max="3841" width="24.140625" style="557" customWidth="1"/>
    <col min="3842" max="3842" width="10.85546875" style="557" customWidth="1"/>
    <col min="3843" max="3843" width="9.8554687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8.7109375" style="557" customWidth="1"/>
    <col min="3855" max="4096" width="9.140625" style="557"/>
    <col min="4097" max="4097" width="24.140625" style="557" customWidth="1"/>
    <col min="4098" max="4098" width="10.85546875" style="557" customWidth="1"/>
    <col min="4099" max="4099" width="9.8554687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8.7109375" style="557" customWidth="1"/>
    <col min="4111" max="4352" width="9.140625" style="557"/>
    <col min="4353" max="4353" width="24.140625" style="557" customWidth="1"/>
    <col min="4354" max="4354" width="10.85546875" style="557" customWidth="1"/>
    <col min="4355" max="4355" width="9.8554687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8.7109375" style="557" customWidth="1"/>
    <col min="4367" max="4608" width="9.140625" style="557"/>
    <col min="4609" max="4609" width="24.140625" style="557" customWidth="1"/>
    <col min="4610" max="4610" width="10.85546875" style="557" customWidth="1"/>
    <col min="4611" max="4611" width="9.8554687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8.7109375" style="557" customWidth="1"/>
    <col min="4623" max="4864" width="9.140625" style="557"/>
    <col min="4865" max="4865" width="24.140625" style="557" customWidth="1"/>
    <col min="4866" max="4866" width="10.85546875" style="557" customWidth="1"/>
    <col min="4867" max="4867" width="9.8554687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8.7109375" style="557" customWidth="1"/>
    <col min="4879" max="5120" width="9.140625" style="557"/>
    <col min="5121" max="5121" width="24.140625" style="557" customWidth="1"/>
    <col min="5122" max="5122" width="10.85546875" style="557" customWidth="1"/>
    <col min="5123" max="5123" width="9.8554687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8.7109375" style="557" customWidth="1"/>
    <col min="5135" max="5376" width="9.140625" style="557"/>
    <col min="5377" max="5377" width="24.140625" style="557" customWidth="1"/>
    <col min="5378" max="5378" width="10.85546875" style="557" customWidth="1"/>
    <col min="5379" max="5379" width="9.8554687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8.7109375" style="557" customWidth="1"/>
    <col min="5391" max="5632" width="9.140625" style="557"/>
    <col min="5633" max="5633" width="24.140625" style="557" customWidth="1"/>
    <col min="5634" max="5634" width="10.85546875" style="557" customWidth="1"/>
    <col min="5635" max="5635" width="9.8554687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8.7109375" style="557" customWidth="1"/>
    <col min="5647" max="5888" width="9.140625" style="557"/>
    <col min="5889" max="5889" width="24.140625" style="557" customWidth="1"/>
    <col min="5890" max="5890" width="10.85546875" style="557" customWidth="1"/>
    <col min="5891" max="5891" width="9.8554687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8.7109375" style="557" customWidth="1"/>
    <col min="5903" max="6144" width="9.140625" style="557"/>
    <col min="6145" max="6145" width="24.140625" style="557" customWidth="1"/>
    <col min="6146" max="6146" width="10.85546875" style="557" customWidth="1"/>
    <col min="6147" max="6147" width="9.8554687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8.7109375" style="557" customWidth="1"/>
    <col min="6159" max="6400" width="9.140625" style="557"/>
    <col min="6401" max="6401" width="24.140625" style="557" customWidth="1"/>
    <col min="6402" max="6402" width="10.85546875" style="557" customWidth="1"/>
    <col min="6403" max="6403" width="9.8554687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8.7109375" style="557" customWidth="1"/>
    <col min="6415" max="6656" width="9.140625" style="557"/>
    <col min="6657" max="6657" width="24.140625" style="557" customWidth="1"/>
    <col min="6658" max="6658" width="10.85546875" style="557" customWidth="1"/>
    <col min="6659" max="6659" width="9.8554687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8.7109375" style="557" customWidth="1"/>
    <col min="6671" max="6912" width="9.140625" style="557"/>
    <col min="6913" max="6913" width="24.140625" style="557" customWidth="1"/>
    <col min="6914" max="6914" width="10.85546875" style="557" customWidth="1"/>
    <col min="6915" max="6915" width="9.8554687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8.7109375" style="557" customWidth="1"/>
    <col min="6927" max="7168" width="9.140625" style="557"/>
    <col min="7169" max="7169" width="24.140625" style="557" customWidth="1"/>
    <col min="7170" max="7170" width="10.85546875" style="557" customWidth="1"/>
    <col min="7171" max="7171" width="9.8554687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8.7109375" style="557" customWidth="1"/>
    <col min="7183" max="7424" width="9.140625" style="557"/>
    <col min="7425" max="7425" width="24.140625" style="557" customWidth="1"/>
    <col min="7426" max="7426" width="10.85546875" style="557" customWidth="1"/>
    <col min="7427" max="7427" width="9.8554687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8.7109375" style="557" customWidth="1"/>
    <col min="7439" max="7680" width="9.140625" style="557"/>
    <col min="7681" max="7681" width="24.140625" style="557" customWidth="1"/>
    <col min="7682" max="7682" width="10.85546875" style="557" customWidth="1"/>
    <col min="7683" max="7683" width="9.8554687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8.7109375" style="557" customWidth="1"/>
    <col min="7695" max="7936" width="9.140625" style="557"/>
    <col min="7937" max="7937" width="24.140625" style="557" customWidth="1"/>
    <col min="7938" max="7938" width="10.85546875" style="557" customWidth="1"/>
    <col min="7939" max="7939" width="9.8554687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8.7109375" style="557" customWidth="1"/>
    <col min="7951" max="8192" width="9.140625" style="557"/>
    <col min="8193" max="8193" width="24.140625" style="557" customWidth="1"/>
    <col min="8194" max="8194" width="10.85546875" style="557" customWidth="1"/>
    <col min="8195" max="8195" width="9.8554687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8.7109375" style="557" customWidth="1"/>
    <col min="8207" max="8448" width="9.140625" style="557"/>
    <col min="8449" max="8449" width="24.140625" style="557" customWidth="1"/>
    <col min="8450" max="8450" width="10.85546875" style="557" customWidth="1"/>
    <col min="8451" max="8451" width="9.8554687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8.7109375" style="557" customWidth="1"/>
    <col min="8463" max="8704" width="9.140625" style="557"/>
    <col min="8705" max="8705" width="24.140625" style="557" customWidth="1"/>
    <col min="8706" max="8706" width="10.85546875" style="557" customWidth="1"/>
    <col min="8707" max="8707" width="9.8554687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8.7109375" style="557" customWidth="1"/>
    <col min="8719" max="8960" width="9.140625" style="557"/>
    <col min="8961" max="8961" width="24.140625" style="557" customWidth="1"/>
    <col min="8962" max="8962" width="10.85546875" style="557" customWidth="1"/>
    <col min="8963" max="8963" width="9.8554687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8.7109375" style="557" customWidth="1"/>
    <col min="8975" max="9216" width="9.140625" style="557"/>
    <col min="9217" max="9217" width="24.140625" style="557" customWidth="1"/>
    <col min="9218" max="9218" width="10.85546875" style="557" customWidth="1"/>
    <col min="9219" max="9219" width="9.8554687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8.7109375" style="557" customWidth="1"/>
    <col min="9231" max="9472" width="9.140625" style="557"/>
    <col min="9473" max="9473" width="24.140625" style="557" customWidth="1"/>
    <col min="9474" max="9474" width="10.85546875" style="557" customWidth="1"/>
    <col min="9475" max="9475" width="9.8554687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8.7109375" style="557" customWidth="1"/>
    <col min="9487" max="9728" width="9.140625" style="557"/>
    <col min="9729" max="9729" width="24.140625" style="557" customWidth="1"/>
    <col min="9730" max="9730" width="10.85546875" style="557" customWidth="1"/>
    <col min="9731" max="9731" width="9.8554687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8.7109375" style="557" customWidth="1"/>
    <col min="9743" max="9984" width="9.140625" style="557"/>
    <col min="9985" max="9985" width="24.140625" style="557" customWidth="1"/>
    <col min="9986" max="9986" width="10.85546875" style="557" customWidth="1"/>
    <col min="9987" max="9987" width="9.8554687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8.7109375" style="557" customWidth="1"/>
    <col min="9999" max="10240" width="9.140625" style="557"/>
    <col min="10241" max="10241" width="24.140625" style="557" customWidth="1"/>
    <col min="10242" max="10242" width="10.85546875" style="557" customWidth="1"/>
    <col min="10243" max="10243" width="9.8554687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8.7109375" style="557" customWidth="1"/>
    <col min="10255" max="10496" width="9.140625" style="557"/>
    <col min="10497" max="10497" width="24.140625" style="557" customWidth="1"/>
    <col min="10498" max="10498" width="10.85546875" style="557" customWidth="1"/>
    <col min="10499" max="10499" width="9.8554687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8.7109375" style="557" customWidth="1"/>
    <col min="10511" max="10752" width="9.140625" style="557"/>
    <col min="10753" max="10753" width="24.140625" style="557" customWidth="1"/>
    <col min="10754" max="10754" width="10.85546875" style="557" customWidth="1"/>
    <col min="10755" max="10755" width="9.8554687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8.7109375" style="557" customWidth="1"/>
    <col min="10767" max="11008" width="9.140625" style="557"/>
    <col min="11009" max="11009" width="24.140625" style="557" customWidth="1"/>
    <col min="11010" max="11010" width="10.85546875" style="557" customWidth="1"/>
    <col min="11011" max="11011" width="9.8554687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8.7109375" style="557" customWidth="1"/>
    <col min="11023" max="11264" width="9.140625" style="557"/>
    <col min="11265" max="11265" width="24.140625" style="557" customWidth="1"/>
    <col min="11266" max="11266" width="10.85546875" style="557" customWidth="1"/>
    <col min="11267" max="11267" width="9.8554687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8.7109375" style="557" customWidth="1"/>
    <col min="11279" max="11520" width="9.140625" style="557"/>
    <col min="11521" max="11521" width="24.140625" style="557" customWidth="1"/>
    <col min="11522" max="11522" width="10.85546875" style="557" customWidth="1"/>
    <col min="11523" max="11523" width="9.8554687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8.7109375" style="557" customWidth="1"/>
    <col min="11535" max="11776" width="9.140625" style="557"/>
    <col min="11777" max="11777" width="24.140625" style="557" customWidth="1"/>
    <col min="11778" max="11778" width="10.85546875" style="557" customWidth="1"/>
    <col min="11779" max="11779" width="9.8554687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8.7109375" style="557" customWidth="1"/>
    <col min="11791" max="12032" width="9.140625" style="557"/>
    <col min="12033" max="12033" width="24.140625" style="557" customWidth="1"/>
    <col min="12034" max="12034" width="10.85546875" style="557" customWidth="1"/>
    <col min="12035" max="12035" width="9.8554687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8.7109375" style="557" customWidth="1"/>
    <col min="12047" max="12288" width="9.140625" style="557"/>
    <col min="12289" max="12289" width="24.140625" style="557" customWidth="1"/>
    <col min="12290" max="12290" width="10.85546875" style="557" customWidth="1"/>
    <col min="12291" max="12291" width="9.8554687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8.7109375" style="557" customWidth="1"/>
    <col min="12303" max="12544" width="9.140625" style="557"/>
    <col min="12545" max="12545" width="24.140625" style="557" customWidth="1"/>
    <col min="12546" max="12546" width="10.85546875" style="557" customWidth="1"/>
    <col min="12547" max="12547" width="9.8554687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8.7109375" style="557" customWidth="1"/>
    <col min="12559" max="12800" width="9.140625" style="557"/>
    <col min="12801" max="12801" width="24.140625" style="557" customWidth="1"/>
    <col min="12802" max="12802" width="10.85546875" style="557" customWidth="1"/>
    <col min="12803" max="12803" width="9.8554687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8.7109375" style="557" customWidth="1"/>
    <col min="12815" max="13056" width="9.140625" style="557"/>
    <col min="13057" max="13057" width="24.140625" style="557" customWidth="1"/>
    <col min="13058" max="13058" width="10.85546875" style="557" customWidth="1"/>
    <col min="13059" max="13059" width="9.8554687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8.7109375" style="557" customWidth="1"/>
    <col min="13071" max="13312" width="9.140625" style="557"/>
    <col min="13313" max="13313" width="24.140625" style="557" customWidth="1"/>
    <col min="13314" max="13314" width="10.85546875" style="557" customWidth="1"/>
    <col min="13315" max="13315" width="9.8554687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8.7109375" style="557" customWidth="1"/>
    <col min="13327" max="13568" width="9.140625" style="557"/>
    <col min="13569" max="13569" width="24.140625" style="557" customWidth="1"/>
    <col min="13570" max="13570" width="10.85546875" style="557" customWidth="1"/>
    <col min="13571" max="13571" width="9.8554687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8.7109375" style="557" customWidth="1"/>
    <col min="13583" max="13824" width="9.140625" style="557"/>
    <col min="13825" max="13825" width="24.140625" style="557" customWidth="1"/>
    <col min="13826" max="13826" width="10.85546875" style="557" customWidth="1"/>
    <col min="13827" max="13827" width="9.8554687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8.7109375" style="557" customWidth="1"/>
    <col min="13839" max="14080" width="9.140625" style="557"/>
    <col min="14081" max="14081" width="24.140625" style="557" customWidth="1"/>
    <col min="14082" max="14082" width="10.85546875" style="557" customWidth="1"/>
    <col min="14083" max="14083" width="9.8554687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8.7109375" style="557" customWidth="1"/>
    <col min="14095" max="14336" width="9.140625" style="557"/>
    <col min="14337" max="14337" width="24.140625" style="557" customWidth="1"/>
    <col min="14338" max="14338" width="10.85546875" style="557" customWidth="1"/>
    <col min="14339" max="14339" width="9.8554687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8.7109375" style="557" customWidth="1"/>
    <col min="14351" max="14592" width="9.140625" style="557"/>
    <col min="14593" max="14593" width="24.140625" style="557" customWidth="1"/>
    <col min="14594" max="14594" width="10.85546875" style="557" customWidth="1"/>
    <col min="14595" max="14595" width="9.8554687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8.7109375" style="557" customWidth="1"/>
    <col min="14607" max="14848" width="9.140625" style="557"/>
    <col min="14849" max="14849" width="24.140625" style="557" customWidth="1"/>
    <col min="14850" max="14850" width="10.85546875" style="557" customWidth="1"/>
    <col min="14851" max="14851" width="9.8554687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8.7109375" style="557" customWidth="1"/>
    <col min="14863" max="15104" width="9.140625" style="557"/>
    <col min="15105" max="15105" width="24.140625" style="557" customWidth="1"/>
    <col min="15106" max="15106" width="10.85546875" style="557" customWidth="1"/>
    <col min="15107" max="15107" width="9.8554687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8.7109375" style="557" customWidth="1"/>
    <col min="15119" max="15360" width="9.140625" style="557"/>
    <col min="15361" max="15361" width="24.140625" style="557" customWidth="1"/>
    <col min="15362" max="15362" width="10.85546875" style="557" customWidth="1"/>
    <col min="15363" max="15363" width="9.8554687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8.7109375" style="557" customWidth="1"/>
    <col min="15375" max="15616" width="9.140625" style="557"/>
    <col min="15617" max="15617" width="24.140625" style="557" customWidth="1"/>
    <col min="15618" max="15618" width="10.85546875" style="557" customWidth="1"/>
    <col min="15619" max="15619" width="9.8554687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8.7109375" style="557" customWidth="1"/>
    <col min="15631" max="15872" width="9.140625" style="557"/>
    <col min="15873" max="15873" width="24.140625" style="557" customWidth="1"/>
    <col min="15874" max="15874" width="10.85546875" style="557" customWidth="1"/>
    <col min="15875" max="15875" width="9.8554687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8.7109375" style="557" customWidth="1"/>
    <col min="15887" max="16128" width="9.140625" style="557"/>
    <col min="16129" max="16129" width="24.140625" style="557" customWidth="1"/>
    <col min="16130" max="16130" width="10.85546875" style="557" customWidth="1"/>
    <col min="16131" max="16131" width="9.8554687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8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155</v>
      </c>
      <c r="C3" s="1207"/>
      <c r="D3" s="1207"/>
      <c r="E3" s="1207"/>
      <c r="F3" s="558" t="s">
        <v>171</v>
      </c>
      <c r="H3" s="1190" t="s">
        <v>1737</v>
      </c>
      <c r="I3" s="1190"/>
      <c r="J3" s="558" t="s">
        <v>172</v>
      </c>
      <c r="K3" s="559">
        <v>473</v>
      </c>
      <c r="L3" s="558" t="s">
        <v>436</v>
      </c>
      <c r="N3" s="559">
        <v>75.680000000000007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1738</v>
      </c>
      <c r="C5" s="1192"/>
      <c r="D5" s="1192"/>
      <c r="E5" s="1193"/>
      <c r="F5" s="558" t="s">
        <v>176</v>
      </c>
      <c r="H5" s="1191" t="s">
        <v>1739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208" t="s">
        <v>1740</v>
      </c>
      <c r="C10" s="1208"/>
      <c r="D10" s="1208" t="s">
        <v>1741</v>
      </c>
      <c r="E10" s="1208"/>
      <c r="F10" s="1208"/>
      <c r="G10" s="1208" t="s">
        <v>1742</v>
      </c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 t="s">
        <v>1743</v>
      </c>
      <c r="C11" s="1208"/>
      <c r="D11" s="1208" t="s">
        <v>1744</v>
      </c>
      <c r="E11" s="1208"/>
      <c r="F11" s="1208"/>
      <c r="G11" s="1208" t="s">
        <v>1745</v>
      </c>
      <c r="H11" s="1208"/>
      <c r="I11" s="1208"/>
      <c r="J11" s="1208"/>
      <c r="K11" s="1208"/>
      <c r="L11" s="1208"/>
      <c r="M11" s="1208"/>
    </row>
    <row r="12" spans="1:14" s="561" customFormat="1" ht="26.25" customHeight="1">
      <c r="A12" s="560" t="s">
        <v>1707</v>
      </c>
      <c r="B12" s="1208" t="s">
        <v>1746</v>
      </c>
      <c r="C12" s="1208"/>
      <c r="D12" s="1208" t="s">
        <v>1747</v>
      </c>
      <c r="E12" s="1208"/>
      <c r="F12" s="1208"/>
      <c r="G12" s="1208" t="s">
        <v>1748</v>
      </c>
      <c r="H12" s="1208"/>
      <c r="I12" s="1208"/>
      <c r="J12" s="1208" t="s">
        <v>1749</v>
      </c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4</v>
      </c>
      <c r="C15" s="1203" t="s">
        <v>1490</v>
      </c>
      <c r="D15" s="1197"/>
      <c r="E15" s="1197"/>
      <c r="F15" s="563">
        <v>3</v>
      </c>
      <c r="G15" s="562" t="s">
        <v>1712</v>
      </c>
      <c r="H15" s="563">
        <v>7</v>
      </c>
      <c r="I15" s="562" t="s">
        <v>1492</v>
      </c>
      <c r="J15" s="563">
        <v>3</v>
      </c>
      <c r="K15" s="562" t="s">
        <v>1386</v>
      </c>
      <c r="L15" s="563">
        <v>9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95</v>
      </c>
      <c r="D17" s="562" t="s">
        <v>205</v>
      </c>
      <c r="E17" s="564">
        <v>46</v>
      </c>
      <c r="F17" s="562" t="s">
        <v>206</v>
      </c>
      <c r="G17" s="564"/>
      <c r="H17" s="562" t="s">
        <v>230</v>
      </c>
      <c r="I17" s="564">
        <v>141</v>
      </c>
      <c r="J17" s="562" t="s">
        <v>207</v>
      </c>
      <c r="K17" s="564">
        <v>17</v>
      </c>
      <c r="L17" s="1203" t="s">
        <v>1360</v>
      </c>
      <c r="M17" s="1204"/>
      <c r="N17" s="564">
        <v>7</v>
      </c>
    </row>
    <row r="18" spans="1:14" s="562" customFormat="1">
      <c r="A18" s="562" t="s">
        <v>209</v>
      </c>
      <c r="B18" s="562" t="s">
        <v>210</v>
      </c>
      <c r="C18" s="564">
        <v>125</v>
      </c>
      <c r="D18" s="562" t="s">
        <v>211</v>
      </c>
      <c r="E18" s="564">
        <v>100</v>
      </c>
      <c r="F18" s="562" t="s">
        <v>212</v>
      </c>
      <c r="G18" s="564"/>
      <c r="H18" s="562" t="s">
        <v>411</v>
      </c>
      <c r="I18" s="564">
        <v>225</v>
      </c>
    </row>
    <row r="19" spans="1:14" s="562" customFormat="1" ht="13.5" customHeight="1">
      <c r="B19" s="562" t="s">
        <v>213</v>
      </c>
      <c r="C19" s="564">
        <v>194</v>
      </c>
      <c r="D19" s="562" t="s">
        <v>214</v>
      </c>
      <c r="E19" s="564">
        <v>95</v>
      </c>
      <c r="F19" s="562" t="s">
        <v>215</v>
      </c>
      <c r="G19" s="564"/>
      <c r="H19" s="562" t="s">
        <v>410</v>
      </c>
      <c r="I19" s="564">
        <v>289</v>
      </c>
    </row>
    <row r="21" spans="1:14">
      <c r="A21" s="567" t="s">
        <v>216</v>
      </c>
      <c r="B21" s="561"/>
      <c r="C21" s="561"/>
      <c r="D21" s="561"/>
      <c r="E21" s="561"/>
      <c r="F21" s="561"/>
      <c r="G21" s="561"/>
      <c r="H21" s="561"/>
      <c r="I21" s="561"/>
      <c r="J21" s="561"/>
      <c r="K21" s="561"/>
      <c r="L21" s="561"/>
      <c r="M21" s="561"/>
      <c r="N21" s="561"/>
    </row>
    <row r="22" spans="1:14">
      <c r="A22" s="562"/>
      <c r="B22" s="561"/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</row>
    <row r="23" spans="1:14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14">
      <c r="A24" s="1206"/>
      <c r="B24" s="1206"/>
      <c r="C24" s="1206"/>
      <c r="D24" s="1206"/>
      <c r="E24" s="1206"/>
      <c r="F24" s="568" t="s">
        <v>224</v>
      </c>
      <c r="G24" s="568" t="s">
        <v>225</v>
      </c>
      <c r="H24" s="568" t="s">
        <v>226</v>
      </c>
      <c r="I24" s="568" t="s">
        <v>227</v>
      </c>
      <c r="J24" s="568" t="s">
        <v>228</v>
      </c>
      <c r="K24" s="568" t="s">
        <v>229</v>
      </c>
      <c r="L24" s="568" t="s">
        <v>1499</v>
      </c>
      <c r="M24" s="569" t="s">
        <v>230</v>
      </c>
      <c r="N24" s="569" t="s">
        <v>231</v>
      </c>
    </row>
    <row r="25" spans="1:14">
      <c r="A25" s="560" t="s">
        <v>232</v>
      </c>
      <c r="B25" s="564">
        <v>8000</v>
      </c>
      <c r="C25" s="560" t="s">
        <v>233</v>
      </c>
      <c r="D25" s="570">
        <v>37.840000000000003</v>
      </c>
      <c r="E25" s="570">
        <v>37.840000000000003</v>
      </c>
      <c r="F25" s="580">
        <v>0</v>
      </c>
      <c r="G25" s="580">
        <v>0</v>
      </c>
      <c r="H25" s="570">
        <v>10.34399</v>
      </c>
      <c r="I25" s="570">
        <v>13.35632</v>
      </c>
      <c r="J25" s="570">
        <v>6.81325</v>
      </c>
      <c r="K25" s="570">
        <v>4.8082000000000003</v>
      </c>
      <c r="L25" s="580">
        <v>0</v>
      </c>
      <c r="M25" s="576">
        <v>35.321759999999998</v>
      </c>
      <c r="N25" s="570">
        <v>93.345031712473556</v>
      </c>
    </row>
    <row r="26" spans="1:14">
      <c r="A26" s="560" t="s">
        <v>1715</v>
      </c>
      <c r="B26" s="564">
        <v>7000</v>
      </c>
      <c r="C26" s="560" t="s">
        <v>233</v>
      </c>
      <c r="D26" s="570">
        <v>5.2976000000000001</v>
      </c>
      <c r="E26" s="570">
        <v>5.2976000000000001</v>
      </c>
      <c r="F26" s="580">
        <v>0</v>
      </c>
      <c r="G26" s="580">
        <v>0</v>
      </c>
      <c r="H26" s="570">
        <v>0</v>
      </c>
      <c r="I26" s="570">
        <v>0</v>
      </c>
      <c r="J26" s="570">
        <v>1.1628000000000001</v>
      </c>
      <c r="K26" s="570">
        <v>2.8868999999999998</v>
      </c>
      <c r="L26" s="580">
        <v>0</v>
      </c>
      <c r="M26" s="576">
        <v>4.0496999999999996</v>
      </c>
      <c r="N26" s="570">
        <v>76.444050135910587</v>
      </c>
    </row>
    <row r="27" spans="1:14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0.43</v>
      </c>
      <c r="F27" s="580">
        <v>0</v>
      </c>
      <c r="G27" s="580">
        <v>0</v>
      </c>
      <c r="H27" s="570">
        <v>0</v>
      </c>
      <c r="I27" s="570">
        <v>0.16705</v>
      </c>
      <c r="J27" s="570">
        <v>0.19989999999999999</v>
      </c>
      <c r="K27" s="570">
        <v>0.12</v>
      </c>
      <c r="L27" s="580">
        <v>0</v>
      </c>
      <c r="M27" s="576">
        <v>0.48694999999999999</v>
      </c>
      <c r="N27" s="570">
        <v>113.24418604651163</v>
      </c>
    </row>
    <row r="28" spans="1:14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0.34</v>
      </c>
      <c r="F28" s="580">
        <v>0</v>
      </c>
      <c r="G28" s="580">
        <v>0</v>
      </c>
      <c r="H28" s="570">
        <v>0</v>
      </c>
      <c r="I28" s="570">
        <v>0.11914</v>
      </c>
      <c r="J28" s="570">
        <v>8.1720000000000001E-2</v>
      </c>
      <c r="K28" s="570">
        <v>0</v>
      </c>
      <c r="L28" s="580">
        <v>0</v>
      </c>
      <c r="M28" s="576">
        <v>0.20086000000000001</v>
      </c>
      <c r="N28" s="570">
        <v>59.076470588235296</v>
      </c>
    </row>
    <row r="29" spans="1:14">
      <c r="A29" s="560" t="s">
        <v>238</v>
      </c>
      <c r="B29" s="564">
        <v>1200</v>
      </c>
      <c r="C29" s="560" t="s">
        <v>233</v>
      </c>
      <c r="D29" s="570">
        <v>5.6760000000000002</v>
      </c>
      <c r="E29" s="570">
        <v>5.726</v>
      </c>
      <c r="F29" s="580">
        <v>0</v>
      </c>
      <c r="G29" s="580">
        <v>0</v>
      </c>
      <c r="H29" s="570">
        <v>1.19069</v>
      </c>
      <c r="I29" s="570">
        <v>0</v>
      </c>
      <c r="J29" s="570">
        <v>0.27160000000000001</v>
      </c>
      <c r="K29" s="570">
        <v>2.5409999999999999</v>
      </c>
      <c r="L29" s="580">
        <v>0</v>
      </c>
      <c r="M29" s="576">
        <v>4.0032899999999998</v>
      </c>
      <c r="N29" s="570">
        <v>69.914250785888925</v>
      </c>
    </row>
    <row r="30" spans="1:14">
      <c r="A30" s="560" t="s">
        <v>667</v>
      </c>
      <c r="B30" s="564">
        <v>565</v>
      </c>
      <c r="C30" s="560" t="s">
        <v>233</v>
      </c>
      <c r="D30" s="570">
        <v>2.67245</v>
      </c>
      <c r="E30" s="570">
        <v>2.67245</v>
      </c>
      <c r="F30" s="580">
        <v>0</v>
      </c>
      <c r="G30" s="580">
        <v>0</v>
      </c>
      <c r="H30" s="570">
        <v>0</v>
      </c>
      <c r="I30" s="570">
        <v>2.67245</v>
      </c>
      <c r="J30" s="570">
        <v>0</v>
      </c>
      <c r="K30" s="570">
        <v>0</v>
      </c>
      <c r="L30" s="580">
        <v>0</v>
      </c>
      <c r="M30" s="576">
        <v>2.67245</v>
      </c>
      <c r="N30" s="570">
        <v>100</v>
      </c>
    </row>
    <row r="31" spans="1:14">
      <c r="A31" s="560" t="s">
        <v>240</v>
      </c>
      <c r="B31" s="564">
        <v>1000</v>
      </c>
      <c r="C31" s="560" t="s">
        <v>233</v>
      </c>
      <c r="D31" s="570">
        <v>4.7300000000000004</v>
      </c>
      <c r="E31" s="570">
        <v>4.7300000000000004</v>
      </c>
      <c r="F31" s="580">
        <v>0</v>
      </c>
      <c r="G31" s="580">
        <v>0</v>
      </c>
      <c r="H31" s="570">
        <v>0</v>
      </c>
      <c r="I31" s="570">
        <v>0</v>
      </c>
      <c r="J31" s="570">
        <v>0</v>
      </c>
      <c r="K31" s="570">
        <v>1.6816</v>
      </c>
      <c r="L31" s="580">
        <v>0</v>
      </c>
      <c r="M31" s="576">
        <v>1.6816</v>
      </c>
      <c r="N31" s="570">
        <v>35.551797040169134</v>
      </c>
    </row>
    <row r="32" spans="1:14">
      <c r="A32" s="560" t="s">
        <v>394</v>
      </c>
      <c r="B32" s="564">
        <v>2750</v>
      </c>
      <c r="C32" s="560" t="s">
        <v>1716</v>
      </c>
      <c r="D32" s="570">
        <v>1.75</v>
      </c>
      <c r="E32" s="570">
        <v>1.2375</v>
      </c>
      <c r="F32" s="580">
        <v>0</v>
      </c>
      <c r="G32" s="580">
        <v>0</v>
      </c>
      <c r="H32" s="570">
        <v>0.41071999999999997</v>
      </c>
      <c r="I32" s="570">
        <v>0.31555</v>
      </c>
      <c r="J32" s="570">
        <v>0.30654999999999999</v>
      </c>
      <c r="K32" s="570">
        <v>0.21</v>
      </c>
      <c r="L32" s="580">
        <v>0</v>
      </c>
      <c r="M32" s="576">
        <v>1.24282</v>
      </c>
      <c r="N32" s="570">
        <v>100.42989898989899</v>
      </c>
    </row>
    <row r="33" spans="1:14">
      <c r="A33" s="560" t="s">
        <v>1717</v>
      </c>
      <c r="B33" s="564">
        <v>10000</v>
      </c>
      <c r="C33" s="560" t="s">
        <v>244</v>
      </c>
      <c r="D33" s="570">
        <v>0</v>
      </c>
      <c r="E33" s="570">
        <v>0</v>
      </c>
      <c r="F33" s="580">
        <v>0</v>
      </c>
      <c r="G33" s="580">
        <v>0</v>
      </c>
      <c r="H33" s="570">
        <v>0</v>
      </c>
      <c r="I33" s="570">
        <v>0</v>
      </c>
      <c r="J33" s="570">
        <v>0</v>
      </c>
      <c r="K33" s="570">
        <v>0</v>
      </c>
      <c r="L33" s="580">
        <v>0</v>
      </c>
      <c r="M33" s="576">
        <v>0</v>
      </c>
      <c r="N33" s="570">
        <v>0</v>
      </c>
    </row>
    <row r="34" spans="1:14">
      <c r="A34" s="572" t="s">
        <v>230</v>
      </c>
      <c r="B34" s="564"/>
      <c r="C34" s="560"/>
      <c r="D34" s="573">
        <v>58.736050000000006</v>
      </c>
      <c r="E34" s="573">
        <v>58.27355</v>
      </c>
      <c r="F34" s="573">
        <v>0</v>
      </c>
      <c r="G34" s="573">
        <v>0</v>
      </c>
      <c r="H34" s="573">
        <v>11.945399999999999</v>
      </c>
      <c r="I34" s="573">
        <v>16.630510000000001</v>
      </c>
      <c r="J34" s="573">
        <v>8.83582</v>
      </c>
      <c r="K34" s="573">
        <v>12.2477</v>
      </c>
      <c r="L34" s="573">
        <v>0</v>
      </c>
      <c r="M34" s="581">
        <v>49.65943</v>
      </c>
      <c r="N34" s="581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4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6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10.85546875" style="557" customWidth="1"/>
    <col min="3" max="3" width="9.8554687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10.85546875" style="557" customWidth="1"/>
    <col min="259" max="259" width="9.8554687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10.85546875" style="557" customWidth="1"/>
    <col min="515" max="515" width="9.8554687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10.85546875" style="557" customWidth="1"/>
    <col min="771" max="771" width="9.8554687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10.85546875" style="557" customWidth="1"/>
    <col min="1027" max="1027" width="9.8554687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10.85546875" style="557" customWidth="1"/>
    <col min="1283" max="1283" width="9.8554687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10.85546875" style="557" customWidth="1"/>
    <col min="1539" max="1539" width="9.8554687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10.85546875" style="557" customWidth="1"/>
    <col min="1795" max="1795" width="9.8554687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10.85546875" style="557" customWidth="1"/>
    <col min="2051" max="2051" width="9.8554687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10.85546875" style="557" customWidth="1"/>
    <col min="2307" max="2307" width="9.8554687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10.85546875" style="557" customWidth="1"/>
    <col min="2563" max="2563" width="9.8554687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10.85546875" style="557" customWidth="1"/>
    <col min="2819" max="2819" width="9.8554687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10.85546875" style="557" customWidth="1"/>
    <col min="3075" max="3075" width="9.8554687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10.85546875" style="557" customWidth="1"/>
    <col min="3331" max="3331" width="9.8554687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10.85546875" style="557" customWidth="1"/>
    <col min="3587" max="3587" width="9.8554687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10.85546875" style="557" customWidth="1"/>
    <col min="3843" max="3843" width="9.8554687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10.85546875" style="557" customWidth="1"/>
    <col min="4099" max="4099" width="9.8554687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10.85546875" style="557" customWidth="1"/>
    <col min="4355" max="4355" width="9.8554687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10.85546875" style="557" customWidth="1"/>
    <col min="4611" max="4611" width="9.8554687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10.85546875" style="557" customWidth="1"/>
    <col min="4867" max="4867" width="9.8554687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10.85546875" style="557" customWidth="1"/>
    <col min="5123" max="5123" width="9.8554687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10.85546875" style="557" customWidth="1"/>
    <col min="5379" max="5379" width="9.8554687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10.85546875" style="557" customWidth="1"/>
    <col min="5635" max="5635" width="9.8554687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10.85546875" style="557" customWidth="1"/>
    <col min="5891" max="5891" width="9.8554687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10.85546875" style="557" customWidth="1"/>
    <col min="6147" max="6147" width="9.8554687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10.85546875" style="557" customWidth="1"/>
    <col min="6403" max="6403" width="9.8554687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10.85546875" style="557" customWidth="1"/>
    <col min="6659" max="6659" width="9.8554687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10.85546875" style="557" customWidth="1"/>
    <col min="6915" max="6915" width="9.8554687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10.85546875" style="557" customWidth="1"/>
    <col min="7171" max="7171" width="9.8554687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10.85546875" style="557" customWidth="1"/>
    <col min="7427" max="7427" width="9.8554687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10.85546875" style="557" customWidth="1"/>
    <col min="7683" max="7683" width="9.8554687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10.85546875" style="557" customWidth="1"/>
    <col min="7939" max="7939" width="9.8554687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10.85546875" style="557" customWidth="1"/>
    <col min="8195" max="8195" width="9.8554687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10.85546875" style="557" customWidth="1"/>
    <col min="8451" max="8451" width="9.8554687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10.85546875" style="557" customWidth="1"/>
    <col min="8707" max="8707" width="9.8554687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10.85546875" style="557" customWidth="1"/>
    <col min="8963" max="8963" width="9.8554687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10.85546875" style="557" customWidth="1"/>
    <col min="9219" max="9219" width="9.8554687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10.85546875" style="557" customWidth="1"/>
    <col min="9475" max="9475" width="9.8554687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10.85546875" style="557" customWidth="1"/>
    <col min="9731" max="9731" width="9.8554687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10.85546875" style="557" customWidth="1"/>
    <col min="9987" max="9987" width="9.8554687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10.85546875" style="557" customWidth="1"/>
    <col min="10243" max="10243" width="9.8554687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10.85546875" style="557" customWidth="1"/>
    <col min="10499" max="10499" width="9.8554687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10.85546875" style="557" customWidth="1"/>
    <col min="10755" max="10755" width="9.8554687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10.85546875" style="557" customWidth="1"/>
    <col min="11011" max="11011" width="9.8554687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10.85546875" style="557" customWidth="1"/>
    <col min="11267" max="11267" width="9.8554687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10.85546875" style="557" customWidth="1"/>
    <col min="11523" max="11523" width="9.8554687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10.85546875" style="557" customWidth="1"/>
    <col min="11779" max="11779" width="9.8554687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10.85546875" style="557" customWidth="1"/>
    <col min="12035" max="12035" width="9.8554687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10.85546875" style="557" customWidth="1"/>
    <col min="12291" max="12291" width="9.8554687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10.85546875" style="557" customWidth="1"/>
    <col min="12547" max="12547" width="9.8554687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10.85546875" style="557" customWidth="1"/>
    <col min="12803" max="12803" width="9.8554687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10.85546875" style="557" customWidth="1"/>
    <col min="13059" max="13059" width="9.8554687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10.85546875" style="557" customWidth="1"/>
    <col min="13315" max="13315" width="9.8554687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10.85546875" style="557" customWidth="1"/>
    <col min="13571" max="13571" width="9.8554687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10.85546875" style="557" customWidth="1"/>
    <col min="13827" max="13827" width="9.8554687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10.85546875" style="557" customWidth="1"/>
    <col min="14083" max="14083" width="9.8554687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10.85546875" style="557" customWidth="1"/>
    <col min="14339" max="14339" width="9.8554687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10.85546875" style="557" customWidth="1"/>
    <col min="14595" max="14595" width="9.8554687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10.85546875" style="557" customWidth="1"/>
    <col min="14851" max="14851" width="9.8554687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10.85546875" style="557" customWidth="1"/>
    <col min="15107" max="15107" width="9.8554687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10.85546875" style="557" customWidth="1"/>
    <col min="15363" max="15363" width="9.8554687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10.85546875" style="557" customWidth="1"/>
    <col min="15619" max="15619" width="9.8554687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10.85546875" style="557" customWidth="1"/>
    <col min="15875" max="15875" width="9.8554687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10.85546875" style="557" customWidth="1"/>
    <col min="16131" max="16131" width="9.8554687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1750</v>
      </c>
      <c r="C3" s="1207"/>
      <c r="D3" s="1207"/>
      <c r="E3" s="1207"/>
      <c r="F3" s="558" t="s">
        <v>171</v>
      </c>
      <c r="H3" s="1190" t="s">
        <v>1751</v>
      </c>
      <c r="I3" s="1190"/>
      <c r="J3" s="558" t="s">
        <v>172</v>
      </c>
      <c r="K3" s="559">
        <v>330</v>
      </c>
      <c r="L3" s="558" t="s">
        <v>436</v>
      </c>
      <c r="N3" s="559">
        <v>52.8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1752</v>
      </c>
      <c r="C5" s="1192"/>
      <c r="D5" s="1192"/>
      <c r="E5" s="1193"/>
      <c r="F5" s="558" t="s">
        <v>176</v>
      </c>
      <c r="H5" s="1191" t="s">
        <v>1753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208" t="s">
        <v>1754</v>
      </c>
      <c r="C10" s="1208"/>
      <c r="D10" s="1208" t="s">
        <v>1755</v>
      </c>
      <c r="E10" s="1208"/>
      <c r="F10" s="1208"/>
      <c r="G10" s="1208"/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 t="s">
        <v>1756</v>
      </c>
      <c r="C11" s="1208"/>
      <c r="D11" s="1208" t="s">
        <v>1757</v>
      </c>
      <c r="E11" s="1208"/>
      <c r="F11" s="1208"/>
      <c r="G11" s="1208"/>
      <c r="H11" s="1208"/>
      <c r="I11" s="1208"/>
      <c r="J11" s="1208"/>
      <c r="K11" s="1208"/>
      <c r="L11" s="1208"/>
      <c r="M11" s="1208"/>
    </row>
    <row r="12" spans="1:14" s="561" customFormat="1" ht="26.25" customHeight="1">
      <c r="A12" s="560" t="s">
        <v>1707</v>
      </c>
      <c r="B12" s="1208" t="s">
        <v>1758</v>
      </c>
      <c r="C12" s="1208"/>
      <c r="D12" s="1208" t="s">
        <v>1759</v>
      </c>
      <c r="E12" s="1208"/>
      <c r="F12" s="1208"/>
      <c r="G12" s="1208" t="s">
        <v>1760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2</v>
      </c>
      <c r="C15" s="1203" t="s">
        <v>1490</v>
      </c>
      <c r="D15" s="1197"/>
      <c r="E15" s="1197"/>
      <c r="F15" s="563">
        <v>2</v>
      </c>
      <c r="G15" s="562" t="s">
        <v>1712</v>
      </c>
      <c r="H15" s="563">
        <v>7</v>
      </c>
      <c r="I15" s="562" t="s">
        <v>1492</v>
      </c>
      <c r="J15" s="563">
        <v>1</v>
      </c>
      <c r="K15" s="562" t="s">
        <v>1386</v>
      </c>
      <c r="L15" s="563">
        <v>5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84</v>
      </c>
      <c r="D17" s="562" t="s">
        <v>205</v>
      </c>
      <c r="E17" s="564">
        <v>20</v>
      </c>
      <c r="F17" s="562" t="s">
        <v>206</v>
      </c>
      <c r="G17" s="564"/>
      <c r="H17" s="562" t="s">
        <v>230</v>
      </c>
      <c r="I17" s="564">
        <v>104</v>
      </c>
      <c r="J17" s="562" t="s">
        <v>207</v>
      </c>
      <c r="K17" s="564">
        <v>11</v>
      </c>
      <c r="L17" s="1203" t="s">
        <v>1360</v>
      </c>
      <c r="M17" s="1204"/>
      <c r="N17" s="564">
        <v>4</v>
      </c>
    </row>
    <row r="18" spans="1:14" s="562" customFormat="1">
      <c r="A18" s="562" t="s">
        <v>209</v>
      </c>
      <c r="B18" s="562" t="s">
        <v>210</v>
      </c>
      <c r="C18" s="564">
        <v>226</v>
      </c>
      <c r="D18" s="562" t="s">
        <v>211</v>
      </c>
      <c r="E18" s="564">
        <v>46</v>
      </c>
      <c r="F18" s="562" t="s">
        <v>212</v>
      </c>
      <c r="G18" s="564"/>
      <c r="H18" s="562" t="s">
        <v>411</v>
      </c>
      <c r="I18" s="564">
        <v>272</v>
      </c>
    </row>
    <row r="19" spans="1:14" s="562" customFormat="1" ht="13.5" customHeight="1">
      <c r="B19" s="562" t="s">
        <v>213</v>
      </c>
      <c r="C19" s="564">
        <v>219</v>
      </c>
      <c r="D19" s="562" t="s">
        <v>214</v>
      </c>
      <c r="E19" s="564">
        <v>39</v>
      </c>
      <c r="F19" s="562" t="s">
        <v>215</v>
      </c>
      <c r="G19" s="564"/>
      <c r="H19" s="562" t="s">
        <v>410</v>
      </c>
      <c r="I19" s="564">
        <v>258</v>
      </c>
    </row>
    <row r="20" spans="1:14" s="562" customFormat="1">
      <c r="G20" s="565"/>
    </row>
    <row r="23" spans="1:14">
      <c r="A23" s="567" t="s">
        <v>216</v>
      </c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562"/>
      <c r="B24" s="561"/>
      <c r="C24" s="561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1"/>
    </row>
    <row r="25" spans="1:14">
      <c r="A25" s="1205" t="s">
        <v>217</v>
      </c>
      <c r="B25" s="1205" t="s">
        <v>218</v>
      </c>
      <c r="C25" s="1205" t="s">
        <v>219</v>
      </c>
      <c r="D25" s="1205" t="s">
        <v>1363</v>
      </c>
      <c r="E25" s="1205" t="s">
        <v>1713</v>
      </c>
      <c r="F25" s="1200" t="s">
        <v>1714</v>
      </c>
      <c r="G25" s="1201"/>
      <c r="H25" s="1201"/>
      <c r="I25" s="1201"/>
      <c r="J25" s="1201"/>
      <c r="K25" s="1201"/>
      <c r="L25" s="1201"/>
      <c r="M25" s="1201"/>
      <c r="N25" s="1202"/>
    </row>
    <row r="26" spans="1:14" ht="25.5">
      <c r="A26" s="1206"/>
      <c r="B26" s="1206"/>
      <c r="C26" s="1206"/>
      <c r="D26" s="1206"/>
      <c r="E26" s="1206"/>
      <c r="F26" s="568" t="s">
        <v>224</v>
      </c>
      <c r="G26" s="568" t="s">
        <v>225</v>
      </c>
      <c r="H26" s="568" t="s">
        <v>226</v>
      </c>
      <c r="I26" s="568" t="s">
        <v>227</v>
      </c>
      <c r="J26" s="568" t="s">
        <v>228</v>
      </c>
      <c r="K26" s="568" t="s">
        <v>229</v>
      </c>
      <c r="L26" s="568" t="s">
        <v>1499</v>
      </c>
      <c r="M26" s="569" t="s">
        <v>230</v>
      </c>
      <c r="N26" s="569" t="s">
        <v>231</v>
      </c>
    </row>
    <row r="27" spans="1:14">
      <c r="A27" s="560" t="s">
        <v>232</v>
      </c>
      <c r="B27" s="564">
        <v>8000</v>
      </c>
      <c r="C27" s="560" t="s">
        <v>233</v>
      </c>
      <c r="D27" s="570">
        <v>26.4</v>
      </c>
      <c r="E27" s="570">
        <v>26.4</v>
      </c>
      <c r="F27" s="582">
        <v>0</v>
      </c>
      <c r="G27" s="582">
        <v>0</v>
      </c>
      <c r="H27" s="570">
        <v>7.2819000000000003</v>
      </c>
      <c r="I27" s="570">
        <v>11.04325</v>
      </c>
      <c r="J27" s="570">
        <v>4.1717899999999997</v>
      </c>
      <c r="K27" s="570">
        <v>4.9739000000000004</v>
      </c>
      <c r="L27" s="582">
        <v>0</v>
      </c>
      <c r="M27" s="576">
        <v>27.470839999999999</v>
      </c>
      <c r="N27" s="570">
        <v>104.05621212121213</v>
      </c>
    </row>
    <row r="28" spans="1:14">
      <c r="A28" s="560" t="s">
        <v>1715</v>
      </c>
      <c r="B28" s="564">
        <v>7000</v>
      </c>
      <c r="C28" s="560" t="s">
        <v>233</v>
      </c>
      <c r="D28" s="570">
        <v>3.6960000000000002</v>
      </c>
      <c r="E28" s="570">
        <v>3.6960000000000002</v>
      </c>
      <c r="F28" s="582">
        <v>0</v>
      </c>
      <c r="G28" s="582">
        <v>0</v>
      </c>
      <c r="H28" s="570">
        <v>0</v>
      </c>
      <c r="I28" s="570">
        <v>0</v>
      </c>
      <c r="J28" s="570">
        <v>0.93600000000000005</v>
      </c>
      <c r="K28" s="570">
        <v>1.7129000000000001</v>
      </c>
      <c r="L28" s="582">
        <v>0</v>
      </c>
      <c r="M28" s="576">
        <v>2.6488999999999998</v>
      </c>
      <c r="N28" s="570">
        <v>71.669372294372295</v>
      </c>
    </row>
    <row r="29" spans="1:14">
      <c r="A29" s="560" t="s">
        <v>235</v>
      </c>
      <c r="B29" s="564">
        <v>43000</v>
      </c>
      <c r="C29" s="560" t="s">
        <v>236</v>
      </c>
      <c r="D29" s="570">
        <v>0.43</v>
      </c>
      <c r="E29" s="570">
        <v>0.43</v>
      </c>
      <c r="F29" s="582">
        <v>0</v>
      </c>
      <c r="G29" s="582">
        <v>0</v>
      </c>
      <c r="H29" s="570">
        <v>4.1300000000000003E-2</v>
      </c>
      <c r="I29" s="570">
        <v>0.26740000000000003</v>
      </c>
      <c r="J29" s="570">
        <v>0.10885</v>
      </c>
      <c r="K29" s="570">
        <v>0</v>
      </c>
      <c r="L29" s="582">
        <v>0</v>
      </c>
      <c r="M29" s="576">
        <v>0.41754999999999998</v>
      </c>
      <c r="N29" s="570">
        <v>97.104651162790688</v>
      </c>
    </row>
    <row r="30" spans="1:14">
      <c r="A30" s="560" t="s">
        <v>396</v>
      </c>
      <c r="B30" s="564">
        <v>34000</v>
      </c>
      <c r="C30" s="560" t="s">
        <v>236</v>
      </c>
      <c r="D30" s="570">
        <v>0.34</v>
      </c>
      <c r="E30" s="570">
        <v>0.34</v>
      </c>
      <c r="F30" s="582">
        <v>0</v>
      </c>
      <c r="G30" s="582">
        <v>0</v>
      </c>
      <c r="H30" s="570">
        <v>0</v>
      </c>
      <c r="I30" s="570">
        <v>0.11914</v>
      </c>
      <c r="J30" s="570">
        <v>4.086E-2</v>
      </c>
      <c r="K30" s="570">
        <v>0</v>
      </c>
      <c r="L30" s="582">
        <v>0</v>
      </c>
      <c r="M30" s="576">
        <v>0.16</v>
      </c>
      <c r="N30" s="570">
        <v>47.058823529411761</v>
      </c>
    </row>
    <row r="31" spans="1:14">
      <c r="A31" s="560" t="s">
        <v>238</v>
      </c>
      <c r="B31" s="564">
        <v>1200</v>
      </c>
      <c r="C31" s="560" t="s">
        <v>233</v>
      </c>
      <c r="D31" s="570">
        <v>3.96</v>
      </c>
      <c r="E31" s="570">
        <v>4.01</v>
      </c>
      <c r="F31" s="582">
        <v>0</v>
      </c>
      <c r="G31" s="582">
        <v>0</v>
      </c>
      <c r="H31" s="570">
        <v>0.99829999999999997</v>
      </c>
      <c r="I31" s="570">
        <v>0.753</v>
      </c>
      <c r="J31" s="570">
        <v>2.2544</v>
      </c>
      <c r="K31" s="570">
        <v>0</v>
      </c>
      <c r="L31" s="582">
        <v>0</v>
      </c>
      <c r="M31" s="576">
        <v>4.0057</v>
      </c>
      <c r="N31" s="570">
        <v>99.892768079800504</v>
      </c>
    </row>
    <row r="32" spans="1:14">
      <c r="A32" s="560" t="s">
        <v>667</v>
      </c>
      <c r="B32" s="564">
        <v>565</v>
      </c>
      <c r="C32" s="560" t="s">
        <v>233</v>
      </c>
      <c r="D32" s="570">
        <v>1.8645</v>
      </c>
      <c r="E32" s="570">
        <v>1.8645</v>
      </c>
      <c r="F32" s="582">
        <v>0</v>
      </c>
      <c r="G32" s="582">
        <v>0</v>
      </c>
      <c r="H32" s="570">
        <v>1.8645</v>
      </c>
      <c r="I32" s="570">
        <v>0</v>
      </c>
      <c r="J32" s="570">
        <v>0</v>
      </c>
      <c r="K32" s="570">
        <v>0</v>
      </c>
      <c r="L32" s="582">
        <v>0</v>
      </c>
      <c r="M32" s="576">
        <v>1.8645</v>
      </c>
      <c r="N32" s="570">
        <v>100</v>
      </c>
    </row>
    <row r="33" spans="1:14">
      <c r="A33" s="560" t="s">
        <v>240</v>
      </c>
      <c r="B33" s="564">
        <v>1000</v>
      </c>
      <c r="C33" s="560" t="s">
        <v>233</v>
      </c>
      <c r="D33" s="570">
        <v>3.3</v>
      </c>
      <c r="E33" s="570">
        <v>3.3</v>
      </c>
      <c r="F33" s="582">
        <v>0</v>
      </c>
      <c r="G33" s="582">
        <v>0</v>
      </c>
      <c r="H33" s="570">
        <v>0</v>
      </c>
      <c r="I33" s="570">
        <v>0</v>
      </c>
      <c r="J33" s="570">
        <v>0</v>
      </c>
      <c r="K33" s="570">
        <v>0.89500000000000002</v>
      </c>
      <c r="L33" s="582">
        <v>0</v>
      </c>
      <c r="M33" s="576">
        <v>0.89500000000000002</v>
      </c>
      <c r="N33" s="570">
        <v>27.121212121212125</v>
      </c>
    </row>
    <row r="34" spans="1:14">
      <c r="A34" s="560" t="s">
        <v>394</v>
      </c>
      <c r="B34" s="564">
        <v>2750</v>
      </c>
      <c r="C34" s="560" t="s">
        <v>1716</v>
      </c>
      <c r="D34" s="570">
        <v>1.75</v>
      </c>
      <c r="E34" s="570">
        <v>1.2375</v>
      </c>
      <c r="F34" s="582">
        <v>0</v>
      </c>
      <c r="G34" s="582">
        <v>0</v>
      </c>
      <c r="H34" s="570">
        <v>0.39463999999999999</v>
      </c>
      <c r="I34" s="570">
        <v>0.2243</v>
      </c>
      <c r="J34" s="570">
        <v>0.2465</v>
      </c>
      <c r="K34" s="570">
        <v>0</v>
      </c>
      <c r="L34" s="582">
        <v>0</v>
      </c>
      <c r="M34" s="576">
        <v>0.86543999999999999</v>
      </c>
      <c r="N34" s="570">
        <v>69.934545454545443</v>
      </c>
    </row>
    <row r="35" spans="1:14">
      <c r="A35" s="560" t="s">
        <v>1717</v>
      </c>
      <c r="B35" s="564">
        <v>10000</v>
      </c>
      <c r="C35" s="560" t="s">
        <v>244</v>
      </c>
      <c r="D35" s="570">
        <v>0</v>
      </c>
      <c r="E35" s="570">
        <v>0</v>
      </c>
      <c r="F35" s="582">
        <v>0</v>
      </c>
      <c r="G35" s="582">
        <v>0</v>
      </c>
      <c r="H35" s="570">
        <v>0</v>
      </c>
      <c r="I35" s="570">
        <v>0</v>
      </c>
      <c r="J35" s="570">
        <v>0</v>
      </c>
      <c r="K35" s="570">
        <v>0</v>
      </c>
      <c r="L35" s="582">
        <v>0</v>
      </c>
      <c r="M35" s="576">
        <v>0</v>
      </c>
      <c r="N35" s="570">
        <v>0</v>
      </c>
    </row>
    <row r="36" spans="1:14">
      <c r="A36" s="572" t="s">
        <v>230</v>
      </c>
      <c r="B36" s="564"/>
      <c r="C36" s="560"/>
      <c r="D36" s="573">
        <v>41.740499999999997</v>
      </c>
      <c r="E36" s="573">
        <v>41.277999999999999</v>
      </c>
      <c r="F36" s="573">
        <v>0</v>
      </c>
      <c r="G36" s="573">
        <v>0</v>
      </c>
      <c r="H36" s="573">
        <v>10.580639999999999</v>
      </c>
      <c r="I36" s="573">
        <v>12.40709</v>
      </c>
      <c r="J36" s="573">
        <v>7.7584</v>
      </c>
      <c r="K36" s="573">
        <v>7.5818000000000012</v>
      </c>
      <c r="L36" s="573">
        <v>0</v>
      </c>
      <c r="M36" s="573">
        <v>38.327929999999995</v>
      </c>
      <c r="N36" s="573"/>
    </row>
  </sheetData>
  <mergeCells count="34">
    <mergeCell ref="A25:A26"/>
    <mergeCell ref="B25:B26"/>
    <mergeCell ref="C25:C26"/>
    <mergeCell ref="D25:D26"/>
    <mergeCell ref="E25:E26"/>
    <mergeCell ref="F25:N25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552</v>
      </c>
      <c r="H6" t="s">
        <v>437</v>
      </c>
      <c r="K6" t="s">
        <v>5718</v>
      </c>
      <c r="R6" t="s">
        <v>172</v>
      </c>
      <c r="T6">
        <v>521</v>
      </c>
      <c r="U6" t="s">
        <v>436</v>
      </c>
      <c r="W6">
        <v>80</v>
      </c>
    </row>
    <row r="9" spans="1:23">
      <c r="A9" t="s">
        <v>435</v>
      </c>
      <c r="D9" t="s">
        <v>551</v>
      </c>
      <c r="H9" t="s">
        <v>176</v>
      </c>
      <c r="K9" t="s">
        <v>550</v>
      </c>
    </row>
    <row r="12" spans="1:23">
      <c r="A12" t="s">
        <v>432</v>
      </c>
      <c r="H12" t="s">
        <v>431</v>
      </c>
      <c r="K12" t="s">
        <v>549</v>
      </c>
    </row>
    <row r="13" spans="1:23">
      <c r="H13" t="s">
        <v>429</v>
      </c>
    </row>
    <row r="17" spans="1:24">
      <c r="A17" t="s">
        <v>428</v>
      </c>
      <c r="D17" t="s">
        <v>548</v>
      </c>
      <c r="G17" t="s">
        <v>547</v>
      </c>
      <c r="K17" t="s">
        <v>546</v>
      </c>
      <c r="O17" t="s">
        <v>545</v>
      </c>
      <c r="R17" t="s">
        <v>544</v>
      </c>
    </row>
    <row r="18" spans="1:24">
      <c r="A18" t="s">
        <v>425</v>
      </c>
      <c r="D18" t="s">
        <v>543</v>
      </c>
      <c r="G18" t="s">
        <v>542</v>
      </c>
      <c r="K18" t="s">
        <v>541</v>
      </c>
      <c r="O18" t="s">
        <v>540</v>
      </c>
      <c r="R18" t="s">
        <v>539</v>
      </c>
    </row>
    <row r="19" spans="1:24">
      <c r="A19" t="s">
        <v>192</v>
      </c>
      <c r="D19" t="s">
        <v>538</v>
      </c>
      <c r="G19" t="s">
        <v>537</v>
      </c>
      <c r="K19" t="s">
        <v>536</v>
      </c>
      <c r="O19" t="s">
        <v>535</v>
      </c>
      <c r="R19" t="s">
        <v>423</v>
      </c>
    </row>
    <row r="20" spans="1:24">
      <c r="A20" t="s">
        <v>420</v>
      </c>
      <c r="G20" t="s">
        <v>419</v>
      </c>
      <c r="O20" t="s">
        <v>419</v>
      </c>
    </row>
    <row r="23" spans="1:24">
      <c r="A23" t="s">
        <v>198</v>
      </c>
      <c r="E23">
        <v>5</v>
      </c>
      <c r="G23" t="s">
        <v>418</v>
      </c>
      <c r="J23">
        <v>5</v>
      </c>
      <c r="L23" t="s">
        <v>200</v>
      </c>
      <c r="N23">
        <v>13</v>
      </c>
      <c r="S23" t="s">
        <v>417</v>
      </c>
      <c r="U23">
        <v>2</v>
      </c>
      <c r="W23" t="s">
        <v>202</v>
      </c>
      <c r="X23">
        <v>30</v>
      </c>
    </row>
    <row r="26" spans="1:24">
      <c r="A26" t="s">
        <v>416</v>
      </c>
      <c r="D26" t="s">
        <v>204</v>
      </c>
      <c r="E26">
        <v>92</v>
      </c>
      <c r="G26" t="s">
        <v>205</v>
      </c>
      <c r="H26">
        <v>44</v>
      </c>
      <c r="J26" t="s">
        <v>415</v>
      </c>
      <c r="K26">
        <v>7</v>
      </c>
      <c r="M26" t="s">
        <v>230</v>
      </c>
      <c r="N26">
        <f>E26+H26+K26</f>
        <v>143</v>
      </c>
      <c r="S26" t="s">
        <v>414</v>
      </c>
      <c r="T26">
        <v>46</v>
      </c>
      <c r="V26" t="s">
        <v>534</v>
      </c>
    </row>
    <row r="27" spans="1:24">
      <c r="A27" t="s">
        <v>412</v>
      </c>
      <c r="D27" t="s">
        <v>210</v>
      </c>
      <c r="E27">
        <v>215</v>
      </c>
      <c r="G27" t="s">
        <v>211</v>
      </c>
      <c r="H27">
        <v>103</v>
      </c>
      <c r="J27" t="s">
        <v>212</v>
      </c>
      <c r="K27">
        <v>10</v>
      </c>
      <c r="M27" t="s">
        <v>411</v>
      </c>
      <c r="N27">
        <f>E27+H27+K27</f>
        <v>328</v>
      </c>
    </row>
    <row r="28" spans="1:24">
      <c r="D28" t="s">
        <v>213</v>
      </c>
      <c r="E28">
        <v>223</v>
      </c>
      <c r="G28" t="s">
        <v>214</v>
      </c>
      <c r="H28">
        <v>88</v>
      </c>
      <c r="J28" t="s">
        <v>215</v>
      </c>
      <c r="K28">
        <v>14</v>
      </c>
      <c r="M28" t="s">
        <v>410</v>
      </c>
      <c r="N28">
        <f>E28+H28+K28</f>
        <v>325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41.68</v>
      </c>
      <c r="G37">
        <v>4168000</v>
      </c>
      <c r="J37">
        <v>68412</v>
      </c>
      <c r="L37">
        <v>982884</v>
      </c>
      <c r="N37">
        <f>1780085-55962</f>
        <v>1724123</v>
      </c>
      <c r="S37">
        <v>327284</v>
      </c>
      <c r="U37">
        <v>465360</v>
      </c>
      <c r="X37">
        <f t="shared" ref="X37:X45" si="0">J37+L37+N37+S37+U37+W37</f>
        <v>3568063</v>
      </c>
      <c r="Y37">
        <f t="shared" ref="Y37:Y44" si="1">X37*100/G37</f>
        <v>85.606118042226484</v>
      </c>
    </row>
    <row r="38" spans="1:25">
      <c r="A38" t="s">
        <v>234</v>
      </c>
      <c r="D38">
        <v>7000</v>
      </c>
      <c r="E38" t="str">
        <f>+E37</f>
        <v>Hectare</v>
      </c>
      <c r="F38">
        <v>5.6</v>
      </c>
      <c r="G38">
        <v>500000</v>
      </c>
      <c r="J38">
        <v>0</v>
      </c>
      <c r="L38">
        <v>46101</v>
      </c>
      <c r="N38">
        <v>191920</v>
      </c>
      <c r="S38">
        <v>220688</v>
      </c>
      <c r="U38">
        <v>91984</v>
      </c>
      <c r="X38">
        <f t="shared" si="0"/>
        <v>550693</v>
      </c>
      <c r="Y38">
        <f t="shared" si="1"/>
        <v>110.1386</v>
      </c>
    </row>
    <row r="39" spans="1:25">
      <c r="A39" t="s">
        <v>397</v>
      </c>
      <c r="D39">
        <v>86</v>
      </c>
      <c r="E39" t="str">
        <f>+E38</f>
        <v>Hectare</v>
      </c>
      <c r="F39">
        <v>0.45</v>
      </c>
      <c r="G39">
        <v>43000</v>
      </c>
      <c r="J39">
        <v>0</v>
      </c>
      <c r="L39">
        <v>0</v>
      </c>
      <c r="N39">
        <v>34800</v>
      </c>
      <c r="S39">
        <v>6948</v>
      </c>
      <c r="U39">
        <v>0</v>
      </c>
      <c r="X39">
        <f t="shared" si="0"/>
        <v>41748</v>
      </c>
      <c r="Y39">
        <f t="shared" si="1"/>
        <v>97.088372093023253</v>
      </c>
    </row>
    <row r="40" spans="1:25">
      <c r="A40" t="s">
        <v>396</v>
      </c>
      <c r="D40">
        <v>68</v>
      </c>
      <c r="E40" t="str">
        <f>+E39</f>
        <v>Hectare</v>
      </c>
      <c r="F40">
        <v>0.35</v>
      </c>
      <c r="G40">
        <v>34000</v>
      </c>
      <c r="J40">
        <v>0</v>
      </c>
      <c r="L40">
        <v>16109</v>
      </c>
      <c r="N40">
        <v>3218</v>
      </c>
      <c r="S40">
        <v>12937</v>
      </c>
      <c r="U40">
        <v>0</v>
      </c>
      <c r="X40">
        <f t="shared" si="0"/>
        <v>32264</v>
      </c>
      <c r="Y40">
        <f t="shared" si="1"/>
        <v>94.89411764705882</v>
      </c>
    </row>
    <row r="41" spans="1:25">
      <c r="A41" t="s">
        <v>238</v>
      </c>
      <c r="D41">
        <v>1200</v>
      </c>
      <c r="E41" t="str">
        <f>+E38</f>
        <v>Hectare</v>
      </c>
      <c r="F41">
        <v>6.25</v>
      </c>
      <c r="G41">
        <v>510000</v>
      </c>
      <c r="J41">
        <v>0</v>
      </c>
      <c r="L41">
        <v>24400</v>
      </c>
      <c r="N41">
        <v>65565</v>
      </c>
      <c r="S41">
        <v>231534</v>
      </c>
      <c r="U41">
        <v>254680</v>
      </c>
      <c r="X41">
        <f t="shared" si="0"/>
        <v>576179</v>
      </c>
      <c r="Y41">
        <f t="shared" si="1"/>
        <v>112.97627450980391</v>
      </c>
    </row>
    <row r="42" spans="1:25">
      <c r="A42" t="s">
        <v>395</v>
      </c>
      <c r="D42">
        <v>565</v>
      </c>
      <c r="E42" t="str">
        <f>+E38</f>
        <v>Hectare</v>
      </c>
      <c r="F42">
        <v>2.83</v>
      </c>
      <c r="G42">
        <v>225000</v>
      </c>
      <c r="J42">
        <v>0</v>
      </c>
      <c r="L42">
        <v>0</v>
      </c>
      <c r="N42">
        <v>0</v>
      </c>
      <c r="S42">
        <v>225000</v>
      </c>
      <c r="U42">
        <v>0</v>
      </c>
      <c r="X42">
        <f t="shared" si="0"/>
        <v>225000</v>
      </c>
      <c r="Y42">
        <f t="shared" si="1"/>
        <v>100</v>
      </c>
    </row>
    <row r="43" spans="1:25">
      <c r="A43" t="s">
        <v>240</v>
      </c>
      <c r="D43">
        <v>1000</v>
      </c>
      <c r="E43" t="str">
        <f>+E41</f>
        <v>Hectare</v>
      </c>
      <c r="F43">
        <v>5.21</v>
      </c>
      <c r="G43">
        <v>521000</v>
      </c>
      <c r="J43">
        <v>19635</v>
      </c>
      <c r="L43">
        <v>0</v>
      </c>
      <c r="N43">
        <v>47610</v>
      </c>
      <c r="S43">
        <v>83866</v>
      </c>
      <c r="U43">
        <v>158439</v>
      </c>
      <c r="X43">
        <f t="shared" si="0"/>
        <v>309550</v>
      </c>
      <c r="Y43">
        <f t="shared" si="1"/>
        <v>59.414587332053742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126500</v>
      </c>
      <c r="J44">
        <v>11745</v>
      </c>
      <c r="L44">
        <v>35330</v>
      </c>
      <c r="N44">
        <v>18519</v>
      </c>
      <c r="S44">
        <v>32085</v>
      </c>
      <c r="U44">
        <v>11200</v>
      </c>
      <c r="X44">
        <f t="shared" si="0"/>
        <v>108879</v>
      </c>
      <c r="Y44">
        <f t="shared" si="1"/>
        <v>86.070355731225291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64.78</v>
      </c>
      <c r="G46">
        <f>SUM(G37:G45)</f>
        <v>6127500</v>
      </c>
      <c r="J46">
        <f>SUM(J37:J45)</f>
        <v>99792</v>
      </c>
      <c r="L46">
        <f>SUM(L37:L45)</f>
        <v>1104824</v>
      </c>
      <c r="N46">
        <f>SUM(N37:N45)</f>
        <v>2085755</v>
      </c>
      <c r="S46">
        <f>SUM(S37:S45)</f>
        <v>1140342</v>
      </c>
      <c r="U46">
        <f>SUM(U37:U45)</f>
        <v>981663</v>
      </c>
      <c r="X46">
        <f>SUM(X37:X45)</f>
        <v>5412376</v>
      </c>
      <c r="Y46">
        <f>SUM(Y37:Y45)</f>
        <v>746.18842535539147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210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9" style="557" customWidth="1"/>
    <col min="3" max="3" width="8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9" style="557" customWidth="1"/>
    <col min="259" max="259" width="8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9" style="557" customWidth="1"/>
    <col min="515" max="515" width="8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9" style="557" customWidth="1"/>
    <col min="771" max="771" width="8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9" style="557" customWidth="1"/>
    <col min="1027" max="1027" width="8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9" style="557" customWidth="1"/>
    <col min="1283" max="1283" width="8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9" style="557" customWidth="1"/>
    <col min="1539" max="1539" width="8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9" style="557" customWidth="1"/>
    <col min="1795" max="1795" width="8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9" style="557" customWidth="1"/>
    <col min="2051" max="2051" width="8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9" style="557" customWidth="1"/>
    <col min="2307" max="2307" width="8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9" style="557" customWidth="1"/>
    <col min="2563" max="2563" width="8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9" style="557" customWidth="1"/>
    <col min="2819" max="2819" width="8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9" style="557" customWidth="1"/>
    <col min="3075" max="3075" width="8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9" style="557" customWidth="1"/>
    <col min="3331" max="3331" width="8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9" style="557" customWidth="1"/>
    <col min="3587" max="3587" width="8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9" style="557" customWidth="1"/>
    <col min="3843" max="3843" width="8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9" style="557" customWidth="1"/>
    <col min="4099" max="4099" width="8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9" style="557" customWidth="1"/>
    <col min="4355" max="4355" width="8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9" style="557" customWidth="1"/>
    <col min="4611" max="4611" width="8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9" style="557" customWidth="1"/>
    <col min="4867" max="4867" width="8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9" style="557" customWidth="1"/>
    <col min="5123" max="5123" width="8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9" style="557" customWidth="1"/>
    <col min="5379" max="5379" width="8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9" style="557" customWidth="1"/>
    <col min="5635" max="5635" width="8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9" style="557" customWidth="1"/>
    <col min="5891" max="5891" width="8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9" style="557" customWidth="1"/>
    <col min="6147" max="6147" width="8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9" style="557" customWidth="1"/>
    <col min="6403" max="6403" width="8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9" style="557" customWidth="1"/>
    <col min="6659" max="6659" width="8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9" style="557" customWidth="1"/>
    <col min="6915" max="6915" width="8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9" style="557" customWidth="1"/>
    <col min="7171" max="7171" width="8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9" style="557" customWidth="1"/>
    <col min="7427" max="7427" width="8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9" style="557" customWidth="1"/>
    <col min="7683" max="7683" width="8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9" style="557" customWidth="1"/>
    <col min="7939" max="7939" width="8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9" style="557" customWidth="1"/>
    <col min="8195" max="8195" width="8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9" style="557" customWidth="1"/>
    <col min="8451" max="8451" width="8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9" style="557" customWidth="1"/>
    <col min="8707" max="8707" width="8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9" style="557" customWidth="1"/>
    <col min="8963" max="8963" width="8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9" style="557" customWidth="1"/>
    <col min="9219" max="9219" width="8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9" style="557" customWidth="1"/>
    <col min="9475" max="9475" width="8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9" style="557" customWidth="1"/>
    <col min="9731" max="9731" width="8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9" style="557" customWidth="1"/>
    <col min="9987" max="9987" width="8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9" style="557" customWidth="1"/>
    <col min="10243" max="10243" width="8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9" style="557" customWidth="1"/>
    <col min="10499" max="10499" width="8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9" style="557" customWidth="1"/>
    <col min="10755" max="10755" width="8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9" style="557" customWidth="1"/>
    <col min="11011" max="11011" width="8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9" style="557" customWidth="1"/>
    <col min="11267" max="11267" width="8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9" style="557" customWidth="1"/>
    <col min="11523" max="11523" width="8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9" style="557" customWidth="1"/>
    <col min="11779" max="11779" width="8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9" style="557" customWidth="1"/>
    <col min="12035" max="12035" width="8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9" style="557" customWidth="1"/>
    <col min="12291" max="12291" width="8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9" style="557" customWidth="1"/>
    <col min="12547" max="12547" width="8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9" style="557" customWidth="1"/>
    <col min="12803" max="12803" width="8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9" style="557" customWidth="1"/>
    <col min="13059" max="13059" width="8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9" style="557" customWidth="1"/>
    <col min="13315" max="13315" width="8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9" style="557" customWidth="1"/>
    <col min="13571" max="13571" width="8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9" style="557" customWidth="1"/>
    <col min="13827" max="13827" width="8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9" style="557" customWidth="1"/>
    <col min="14083" max="14083" width="8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9" style="557" customWidth="1"/>
    <col min="14339" max="14339" width="8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9" style="557" customWidth="1"/>
    <col min="14595" max="14595" width="8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9" style="557" customWidth="1"/>
    <col min="14851" max="14851" width="8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9" style="557" customWidth="1"/>
    <col min="15107" max="15107" width="8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9" style="557" customWidth="1"/>
    <col min="15363" max="15363" width="8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9" style="557" customWidth="1"/>
    <col min="15619" max="15619" width="8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9" style="557" customWidth="1"/>
    <col min="15875" max="15875" width="8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9" style="557" customWidth="1"/>
    <col min="16131" max="16131" width="8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1761</v>
      </c>
      <c r="C3" s="1207"/>
      <c r="D3" s="1207"/>
      <c r="E3" s="1207"/>
      <c r="F3" s="558" t="s">
        <v>171</v>
      </c>
      <c r="H3" s="1190" t="s">
        <v>1727</v>
      </c>
      <c r="I3" s="1190"/>
      <c r="J3" s="558" t="s">
        <v>172</v>
      </c>
      <c r="K3" s="344">
        <v>418</v>
      </c>
      <c r="L3" s="558" t="s">
        <v>436</v>
      </c>
      <c r="N3" s="559">
        <v>56.88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1762</v>
      </c>
      <c r="C5" s="1192"/>
      <c r="D5" s="1192"/>
      <c r="E5" s="1193"/>
      <c r="F5" s="558" t="s">
        <v>176</v>
      </c>
      <c r="H5" s="1191" t="s">
        <v>1763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208" t="s">
        <v>1764</v>
      </c>
      <c r="C10" s="1208"/>
      <c r="D10" s="1208" t="s">
        <v>1765</v>
      </c>
      <c r="E10" s="1208"/>
      <c r="F10" s="1208"/>
      <c r="G10" s="1208" t="s">
        <v>1766</v>
      </c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 t="s">
        <v>1767</v>
      </c>
      <c r="C11" s="1208"/>
      <c r="D11" s="1208" t="s">
        <v>1768</v>
      </c>
      <c r="E11" s="1208"/>
      <c r="F11" s="1208"/>
      <c r="G11" s="1208" t="s">
        <v>1769</v>
      </c>
      <c r="H11" s="1208"/>
      <c r="I11" s="1208"/>
      <c r="J11" s="1208"/>
      <c r="K11" s="1208"/>
      <c r="L11" s="1208"/>
      <c r="M11" s="1208"/>
    </row>
    <row r="12" spans="1:14" s="561" customFormat="1" ht="27.75" customHeight="1">
      <c r="A12" s="560" t="s">
        <v>1707</v>
      </c>
      <c r="B12" s="1208" t="s">
        <v>1770</v>
      </c>
      <c r="C12" s="1208"/>
      <c r="D12" s="1208" t="s">
        <v>1771</v>
      </c>
      <c r="E12" s="1208"/>
      <c r="F12" s="1208"/>
      <c r="G12" s="1208" t="s">
        <v>1772</v>
      </c>
      <c r="H12" s="1208"/>
      <c r="I12" s="1208"/>
      <c r="J12" s="1208" t="s">
        <v>1773</v>
      </c>
      <c r="K12" s="1208"/>
      <c r="L12" s="1208"/>
      <c r="M12" s="1208"/>
    </row>
    <row r="13" spans="1:14" s="561" customFormat="1" ht="20.100000000000001" customHeight="1">
      <c r="A13" s="560" t="s">
        <v>197</v>
      </c>
      <c r="B13" s="1209"/>
      <c r="C13" s="1209"/>
      <c r="D13" s="1199"/>
      <c r="E13" s="1199"/>
      <c r="F13" s="1199"/>
      <c r="G13" s="1199"/>
      <c r="H13" s="1199"/>
      <c r="I13" s="1199"/>
      <c r="J13" s="1199"/>
      <c r="K13" s="1199"/>
      <c r="L13" s="1199"/>
      <c r="M13" s="1199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3</v>
      </c>
      <c r="C15" s="1203" t="s">
        <v>1490</v>
      </c>
      <c r="D15" s="1197"/>
      <c r="E15" s="1197"/>
      <c r="F15" s="563">
        <v>3</v>
      </c>
      <c r="G15" s="562" t="s">
        <v>1712</v>
      </c>
      <c r="H15" s="563">
        <v>15</v>
      </c>
      <c r="I15" s="562" t="s">
        <v>1492</v>
      </c>
      <c r="J15" s="563">
        <v>2</v>
      </c>
      <c r="K15" s="562" t="s">
        <v>1386</v>
      </c>
      <c r="L15" s="563">
        <v>18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120</v>
      </c>
      <c r="D17" s="562" t="s">
        <v>205</v>
      </c>
      <c r="E17" s="564">
        <v>82</v>
      </c>
      <c r="F17" s="562" t="s">
        <v>206</v>
      </c>
      <c r="G17" s="564"/>
      <c r="H17" s="562" t="s">
        <v>230</v>
      </c>
      <c r="I17" s="564">
        <v>202</v>
      </c>
      <c r="J17" s="562" t="s">
        <v>207</v>
      </c>
      <c r="K17" s="564">
        <v>14</v>
      </c>
      <c r="L17" s="1203" t="s">
        <v>1360</v>
      </c>
      <c r="M17" s="1204"/>
      <c r="N17" s="564">
        <v>3</v>
      </c>
    </row>
    <row r="18" spans="1:14" s="562" customFormat="1">
      <c r="A18" s="562" t="s">
        <v>209</v>
      </c>
      <c r="B18" s="562" t="s">
        <v>210</v>
      </c>
      <c r="C18" s="564">
        <v>228</v>
      </c>
      <c r="D18" s="562" t="s">
        <v>211</v>
      </c>
      <c r="E18" s="564">
        <v>121</v>
      </c>
      <c r="F18" s="562" t="s">
        <v>212</v>
      </c>
      <c r="G18" s="564"/>
      <c r="H18" s="562" t="s">
        <v>411</v>
      </c>
      <c r="I18" s="564">
        <v>349</v>
      </c>
    </row>
    <row r="19" spans="1:14" s="562" customFormat="1" ht="13.5" customHeight="1">
      <c r="B19" s="562" t="s">
        <v>213</v>
      </c>
      <c r="C19" s="564">
        <v>209</v>
      </c>
      <c r="D19" s="562" t="s">
        <v>214</v>
      </c>
      <c r="E19" s="564">
        <v>111</v>
      </c>
      <c r="F19" s="562" t="s">
        <v>215</v>
      </c>
      <c r="G19" s="564"/>
      <c r="H19" s="562" t="s">
        <v>410</v>
      </c>
      <c r="I19" s="564">
        <v>320</v>
      </c>
    </row>
    <row r="22" spans="1:14">
      <c r="A22" s="567" t="s">
        <v>216</v>
      </c>
      <c r="B22" s="561"/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</row>
    <row r="23" spans="1:14">
      <c r="A23" s="562"/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1205" t="s">
        <v>217</v>
      </c>
      <c r="B24" s="1205" t="s">
        <v>218</v>
      </c>
      <c r="C24" s="1205" t="s">
        <v>219</v>
      </c>
      <c r="D24" s="1205" t="s">
        <v>1363</v>
      </c>
      <c r="E24" s="1205" t="s">
        <v>1713</v>
      </c>
      <c r="F24" s="1200" t="s">
        <v>1714</v>
      </c>
      <c r="G24" s="1201"/>
      <c r="H24" s="1201"/>
      <c r="I24" s="1201"/>
      <c r="J24" s="1201"/>
      <c r="K24" s="1201"/>
      <c r="L24" s="1201"/>
      <c r="M24" s="1201"/>
      <c r="N24" s="1202"/>
    </row>
    <row r="25" spans="1:14" ht="25.5">
      <c r="A25" s="1206"/>
      <c r="B25" s="1206"/>
      <c r="C25" s="1206"/>
      <c r="D25" s="1206"/>
      <c r="E25" s="1206"/>
      <c r="F25" s="568" t="s">
        <v>224</v>
      </c>
      <c r="G25" s="568" t="s">
        <v>225</v>
      </c>
      <c r="H25" s="568" t="s">
        <v>226</v>
      </c>
      <c r="I25" s="568" t="s">
        <v>227</v>
      </c>
      <c r="J25" s="568" t="s">
        <v>228</v>
      </c>
      <c r="K25" s="568" t="s">
        <v>229</v>
      </c>
      <c r="L25" s="568" t="s">
        <v>1499</v>
      </c>
      <c r="M25" s="569" t="s">
        <v>230</v>
      </c>
      <c r="N25" s="569" t="s">
        <v>231</v>
      </c>
    </row>
    <row r="26" spans="1:14">
      <c r="A26" s="560" t="s">
        <v>232</v>
      </c>
      <c r="B26" s="564">
        <v>8000</v>
      </c>
      <c r="C26" s="560" t="s">
        <v>233</v>
      </c>
      <c r="D26" s="570">
        <v>33.44</v>
      </c>
      <c r="E26" s="570">
        <v>33.44</v>
      </c>
      <c r="F26" s="583">
        <v>0</v>
      </c>
      <c r="G26" s="583">
        <v>0</v>
      </c>
      <c r="H26" s="570">
        <v>7.9145899999999996</v>
      </c>
      <c r="I26" s="570">
        <v>11.468870000000001</v>
      </c>
      <c r="J26" s="570">
        <v>10.809150000000001</v>
      </c>
      <c r="K26" s="570">
        <v>3.3267000000000002</v>
      </c>
      <c r="L26" s="583">
        <v>0</v>
      </c>
      <c r="M26" s="576">
        <v>33.519309999999997</v>
      </c>
      <c r="N26" s="570">
        <v>100.23717105263157</v>
      </c>
    </row>
    <row r="27" spans="1:14">
      <c r="A27" s="560" t="s">
        <v>1715</v>
      </c>
      <c r="B27" s="564">
        <v>7000</v>
      </c>
      <c r="C27" s="560" t="s">
        <v>233</v>
      </c>
      <c r="D27" s="570">
        <v>4.6816000000000004</v>
      </c>
      <c r="E27" s="570">
        <v>4.6816000000000004</v>
      </c>
      <c r="F27" s="583">
        <v>0</v>
      </c>
      <c r="G27" s="583">
        <v>0</v>
      </c>
      <c r="H27" s="570">
        <v>0</v>
      </c>
      <c r="I27" s="570">
        <v>0</v>
      </c>
      <c r="J27" s="570">
        <v>0.27</v>
      </c>
      <c r="K27" s="570">
        <v>3.3003</v>
      </c>
      <c r="L27" s="583">
        <v>0</v>
      </c>
      <c r="M27" s="576">
        <v>3.5703</v>
      </c>
      <c r="N27" s="570">
        <v>76.262388926862599</v>
      </c>
    </row>
    <row r="28" spans="1:14">
      <c r="A28" s="560" t="s">
        <v>235</v>
      </c>
      <c r="B28" s="564">
        <v>43000</v>
      </c>
      <c r="C28" s="560" t="s">
        <v>236</v>
      </c>
      <c r="D28" s="570">
        <v>0.43</v>
      </c>
      <c r="E28" s="570">
        <v>0.43</v>
      </c>
      <c r="F28" s="583">
        <v>0</v>
      </c>
      <c r="G28" s="583">
        <v>0</v>
      </c>
      <c r="H28" s="570">
        <v>0.1648</v>
      </c>
      <c r="I28" s="570">
        <v>0.16994999999999999</v>
      </c>
      <c r="J28" s="570">
        <v>0.10580000000000001</v>
      </c>
      <c r="K28" s="570">
        <v>0.15</v>
      </c>
      <c r="L28" s="583">
        <v>0</v>
      </c>
      <c r="M28" s="576">
        <v>0.59055000000000002</v>
      </c>
      <c r="N28" s="570">
        <v>137.33720930232559</v>
      </c>
    </row>
    <row r="29" spans="1:14">
      <c r="A29" s="560" t="s">
        <v>396</v>
      </c>
      <c r="B29" s="564">
        <v>34000</v>
      </c>
      <c r="C29" s="560" t="s">
        <v>236</v>
      </c>
      <c r="D29" s="570">
        <v>0.34</v>
      </c>
      <c r="E29" s="570">
        <v>0.34</v>
      </c>
      <c r="F29" s="583">
        <v>0</v>
      </c>
      <c r="G29" s="583">
        <v>0</v>
      </c>
      <c r="H29" s="570">
        <v>0</v>
      </c>
      <c r="I29" s="570">
        <v>0.11914</v>
      </c>
      <c r="J29" s="570">
        <v>0.08</v>
      </c>
      <c r="K29" s="570">
        <v>0.06</v>
      </c>
      <c r="L29" s="583">
        <v>0</v>
      </c>
      <c r="M29" s="576">
        <v>0.25913999999999998</v>
      </c>
      <c r="N29" s="570">
        <v>76.21764705882353</v>
      </c>
    </row>
    <row r="30" spans="1:14">
      <c r="A30" s="560" t="s">
        <v>238</v>
      </c>
      <c r="B30" s="564">
        <v>1200</v>
      </c>
      <c r="C30" s="560" t="s">
        <v>233</v>
      </c>
      <c r="D30" s="570">
        <v>5.016</v>
      </c>
      <c r="E30" s="570">
        <v>5.0659999999999998</v>
      </c>
      <c r="F30" s="583">
        <v>0</v>
      </c>
      <c r="G30" s="583">
        <v>0</v>
      </c>
      <c r="H30" s="570">
        <v>2.0352000000000001</v>
      </c>
      <c r="I30" s="570">
        <v>0.70943000000000001</v>
      </c>
      <c r="J30" s="570">
        <v>0.13799</v>
      </c>
      <c r="K30" s="570">
        <v>0</v>
      </c>
      <c r="L30" s="583">
        <v>0</v>
      </c>
      <c r="M30" s="576">
        <v>2.8826200000000002</v>
      </c>
      <c r="N30" s="570">
        <v>56.901302803000398</v>
      </c>
    </row>
    <row r="31" spans="1:14">
      <c r="A31" s="560" t="s">
        <v>667</v>
      </c>
      <c r="B31" s="564">
        <v>565</v>
      </c>
      <c r="C31" s="560" t="s">
        <v>233</v>
      </c>
      <c r="D31" s="570">
        <v>2.3616999999999999</v>
      </c>
      <c r="E31" s="570">
        <v>2.3616999999999999</v>
      </c>
      <c r="F31" s="583">
        <v>0</v>
      </c>
      <c r="G31" s="583">
        <v>0</v>
      </c>
      <c r="H31" s="570">
        <v>2.3616999999999999</v>
      </c>
      <c r="I31" s="570">
        <v>0</v>
      </c>
      <c r="J31" s="570">
        <v>0</v>
      </c>
      <c r="K31" s="570">
        <v>0</v>
      </c>
      <c r="L31" s="583">
        <v>0</v>
      </c>
      <c r="M31" s="576">
        <v>2.3616999999999999</v>
      </c>
      <c r="N31" s="570">
        <v>100</v>
      </c>
    </row>
    <row r="32" spans="1:14">
      <c r="A32" s="560" t="s">
        <v>240</v>
      </c>
      <c r="B32" s="564">
        <v>1000</v>
      </c>
      <c r="C32" s="560" t="s">
        <v>233</v>
      </c>
      <c r="D32" s="570">
        <v>4.18</v>
      </c>
      <c r="E32" s="570">
        <v>4.18</v>
      </c>
      <c r="F32" s="583">
        <v>0</v>
      </c>
      <c r="G32" s="583">
        <v>0</v>
      </c>
      <c r="H32" s="570">
        <v>0</v>
      </c>
      <c r="I32" s="570">
        <v>0</v>
      </c>
      <c r="J32" s="570">
        <v>0</v>
      </c>
      <c r="K32" s="570">
        <v>3.2435</v>
      </c>
      <c r="L32" s="583">
        <v>0</v>
      </c>
      <c r="M32" s="576">
        <v>3.2435</v>
      </c>
      <c r="N32" s="570">
        <v>77.595693779904323</v>
      </c>
    </row>
    <row r="33" spans="1:14">
      <c r="A33" s="560" t="s">
        <v>394</v>
      </c>
      <c r="B33" s="564">
        <v>2750</v>
      </c>
      <c r="C33" s="560" t="s">
        <v>1716</v>
      </c>
      <c r="D33" s="570">
        <v>1.75</v>
      </c>
      <c r="E33" s="570">
        <v>1.2375</v>
      </c>
      <c r="F33" s="583">
        <v>0</v>
      </c>
      <c r="G33" s="583">
        <v>0</v>
      </c>
      <c r="H33" s="570">
        <v>0.22</v>
      </c>
      <c r="I33" s="570">
        <v>0.38014999999999999</v>
      </c>
      <c r="J33" s="570">
        <v>0.38535000000000003</v>
      </c>
      <c r="K33" s="570">
        <v>0</v>
      </c>
      <c r="L33" s="583">
        <v>0</v>
      </c>
      <c r="M33" s="576">
        <v>0.98550000000000004</v>
      </c>
      <c r="N33" s="570">
        <v>79.63636363636364</v>
      </c>
    </row>
    <row r="34" spans="1:14">
      <c r="A34" s="560" t="s">
        <v>1717</v>
      </c>
      <c r="B34" s="564">
        <v>10000</v>
      </c>
      <c r="C34" s="560" t="s">
        <v>244</v>
      </c>
      <c r="D34" s="570">
        <v>0</v>
      </c>
      <c r="E34" s="570">
        <v>0</v>
      </c>
      <c r="F34" s="583">
        <v>0</v>
      </c>
      <c r="G34" s="583">
        <v>0</v>
      </c>
      <c r="H34" s="570">
        <v>0</v>
      </c>
      <c r="I34" s="570">
        <v>0</v>
      </c>
      <c r="J34" s="570">
        <v>0</v>
      </c>
      <c r="K34" s="570">
        <v>0</v>
      </c>
      <c r="L34" s="583">
        <v>0</v>
      </c>
      <c r="M34" s="576">
        <v>0</v>
      </c>
      <c r="N34" s="570">
        <v>0</v>
      </c>
    </row>
    <row r="35" spans="1:14">
      <c r="A35" s="572" t="s">
        <v>230</v>
      </c>
      <c r="B35" s="564"/>
      <c r="C35" s="560"/>
      <c r="D35" s="573">
        <v>52.199300000000001</v>
      </c>
      <c r="E35" s="573">
        <v>51.736800000000002</v>
      </c>
      <c r="F35" s="573">
        <v>0</v>
      </c>
      <c r="G35" s="573">
        <v>0</v>
      </c>
      <c r="H35" s="573">
        <v>12.696289999999998</v>
      </c>
      <c r="I35" s="573">
        <v>12.84754</v>
      </c>
      <c r="J35" s="573">
        <v>11.78829</v>
      </c>
      <c r="K35" s="573">
        <v>10.080500000000001</v>
      </c>
      <c r="L35" s="573">
        <v>0</v>
      </c>
      <c r="M35" s="573">
        <v>47.412619999999997</v>
      </c>
      <c r="N35" s="573"/>
    </row>
  </sheetData>
  <mergeCells count="34">
    <mergeCell ref="A24:A25"/>
    <mergeCell ref="B24:B25"/>
    <mergeCell ref="C24:C25"/>
    <mergeCell ref="D24:D25"/>
    <mergeCell ref="E24:E25"/>
    <mergeCell ref="F24:N24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7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10.85546875" style="557" customWidth="1"/>
    <col min="3" max="3" width="9.8554687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10.85546875" style="557" customWidth="1"/>
    <col min="259" max="259" width="9.8554687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10.85546875" style="557" customWidth="1"/>
    <col min="515" max="515" width="9.8554687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10.85546875" style="557" customWidth="1"/>
    <col min="771" max="771" width="9.8554687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10.85546875" style="557" customWidth="1"/>
    <col min="1027" max="1027" width="9.8554687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10.85546875" style="557" customWidth="1"/>
    <col min="1283" max="1283" width="9.8554687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10.85546875" style="557" customWidth="1"/>
    <col min="1539" max="1539" width="9.8554687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10.85546875" style="557" customWidth="1"/>
    <col min="1795" max="1795" width="9.8554687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10.85546875" style="557" customWidth="1"/>
    <col min="2051" max="2051" width="9.8554687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10.85546875" style="557" customWidth="1"/>
    <col min="2307" max="2307" width="9.8554687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10.85546875" style="557" customWidth="1"/>
    <col min="2563" max="2563" width="9.8554687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10.85546875" style="557" customWidth="1"/>
    <col min="2819" max="2819" width="9.8554687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10.85546875" style="557" customWidth="1"/>
    <col min="3075" max="3075" width="9.8554687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10.85546875" style="557" customWidth="1"/>
    <col min="3331" max="3331" width="9.8554687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10.85546875" style="557" customWidth="1"/>
    <col min="3587" max="3587" width="9.8554687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10.85546875" style="557" customWidth="1"/>
    <col min="3843" max="3843" width="9.8554687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10.85546875" style="557" customWidth="1"/>
    <col min="4099" max="4099" width="9.8554687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10.85546875" style="557" customWidth="1"/>
    <col min="4355" max="4355" width="9.8554687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10.85546875" style="557" customWidth="1"/>
    <col min="4611" max="4611" width="9.8554687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10.85546875" style="557" customWidth="1"/>
    <col min="4867" max="4867" width="9.8554687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10.85546875" style="557" customWidth="1"/>
    <col min="5123" max="5123" width="9.8554687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10.85546875" style="557" customWidth="1"/>
    <col min="5379" max="5379" width="9.8554687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10.85546875" style="557" customWidth="1"/>
    <col min="5635" max="5635" width="9.8554687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10.85546875" style="557" customWidth="1"/>
    <col min="5891" max="5891" width="9.8554687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10.85546875" style="557" customWidth="1"/>
    <col min="6147" max="6147" width="9.8554687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10.85546875" style="557" customWidth="1"/>
    <col min="6403" max="6403" width="9.8554687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10.85546875" style="557" customWidth="1"/>
    <col min="6659" max="6659" width="9.8554687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10.85546875" style="557" customWidth="1"/>
    <col min="6915" max="6915" width="9.8554687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10.85546875" style="557" customWidth="1"/>
    <col min="7171" max="7171" width="9.8554687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10.85546875" style="557" customWidth="1"/>
    <col min="7427" max="7427" width="9.8554687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10.85546875" style="557" customWidth="1"/>
    <col min="7683" max="7683" width="9.8554687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10.85546875" style="557" customWidth="1"/>
    <col min="7939" max="7939" width="9.8554687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10.85546875" style="557" customWidth="1"/>
    <col min="8195" max="8195" width="9.8554687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10.85546875" style="557" customWidth="1"/>
    <col min="8451" max="8451" width="9.8554687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10.85546875" style="557" customWidth="1"/>
    <col min="8707" max="8707" width="9.8554687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10.85546875" style="557" customWidth="1"/>
    <col min="8963" max="8963" width="9.8554687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10.85546875" style="557" customWidth="1"/>
    <col min="9219" max="9219" width="9.8554687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10.85546875" style="557" customWidth="1"/>
    <col min="9475" max="9475" width="9.8554687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10.85546875" style="557" customWidth="1"/>
    <col min="9731" max="9731" width="9.8554687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10.85546875" style="557" customWidth="1"/>
    <col min="9987" max="9987" width="9.8554687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10.85546875" style="557" customWidth="1"/>
    <col min="10243" max="10243" width="9.8554687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10.85546875" style="557" customWidth="1"/>
    <col min="10499" max="10499" width="9.8554687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10.85546875" style="557" customWidth="1"/>
    <col min="10755" max="10755" width="9.8554687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10.85546875" style="557" customWidth="1"/>
    <col min="11011" max="11011" width="9.8554687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10.85546875" style="557" customWidth="1"/>
    <col min="11267" max="11267" width="9.8554687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10.85546875" style="557" customWidth="1"/>
    <col min="11523" max="11523" width="9.8554687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10.85546875" style="557" customWidth="1"/>
    <col min="11779" max="11779" width="9.8554687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10.85546875" style="557" customWidth="1"/>
    <col min="12035" max="12035" width="9.8554687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10.85546875" style="557" customWidth="1"/>
    <col min="12291" max="12291" width="9.8554687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10.85546875" style="557" customWidth="1"/>
    <col min="12547" max="12547" width="9.8554687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10.85546875" style="557" customWidth="1"/>
    <col min="12803" max="12803" width="9.8554687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10.85546875" style="557" customWidth="1"/>
    <col min="13059" max="13059" width="9.8554687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10.85546875" style="557" customWidth="1"/>
    <col min="13315" max="13315" width="9.8554687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10.85546875" style="557" customWidth="1"/>
    <col min="13571" max="13571" width="9.8554687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10.85546875" style="557" customWidth="1"/>
    <col min="13827" max="13827" width="9.8554687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10.85546875" style="557" customWidth="1"/>
    <col min="14083" max="14083" width="9.8554687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10.85546875" style="557" customWidth="1"/>
    <col min="14339" max="14339" width="9.8554687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10.85546875" style="557" customWidth="1"/>
    <col min="14595" max="14595" width="9.8554687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10.85546875" style="557" customWidth="1"/>
    <col min="14851" max="14851" width="9.8554687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10.85546875" style="557" customWidth="1"/>
    <col min="15107" max="15107" width="9.8554687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10.85546875" style="557" customWidth="1"/>
    <col min="15363" max="15363" width="9.8554687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10.85546875" style="557" customWidth="1"/>
    <col min="15619" max="15619" width="9.8554687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10.85546875" style="557" customWidth="1"/>
    <col min="15875" max="15875" width="9.8554687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10.85546875" style="557" customWidth="1"/>
    <col min="16131" max="16131" width="9.8554687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158</v>
      </c>
      <c r="C3" s="1207"/>
      <c r="D3" s="1207"/>
      <c r="E3" s="1207"/>
      <c r="F3" s="558" t="s">
        <v>171</v>
      </c>
      <c r="H3" s="1190" t="s">
        <v>1774</v>
      </c>
      <c r="I3" s="1190"/>
      <c r="J3" s="558" t="s">
        <v>172</v>
      </c>
      <c r="K3" s="559">
        <v>405.5</v>
      </c>
      <c r="L3" s="558" t="s">
        <v>436</v>
      </c>
      <c r="N3" s="559">
        <v>110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1775</v>
      </c>
      <c r="C5" s="1192"/>
      <c r="D5" s="1192"/>
      <c r="E5" s="1193"/>
      <c r="F5" s="558" t="s">
        <v>176</v>
      </c>
      <c r="H5" s="1191" t="s">
        <v>1776</v>
      </c>
      <c r="I5" s="1192"/>
      <c r="J5" s="1193"/>
    </row>
    <row r="7" spans="1:14" ht="13.5" customHeight="1">
      <c r="A7" s="558" t="s">
        <v>178</v>
      </c>
      <c r="B7" s="1191" t="s">
        <v>1777</v>
      </c>
      <c r="C7" s="1192"/>
      <c r="D7" s="1192"/>
      <c r="E7" s="1193"/>
      <c r="F7" s="1197" t="s">
        <v>1696</v>
      </c>
      <c r="G7" s="1197"/>
      <c r="H7" s="1210" t="s">
        <v>1778</v>
      </c>
      <c r="I7" s="1211"/>
      <c r="J7" s="1211"/>
      <c r="K7" s="1212"/>
    </row>
    <row r="8" spans="1:14">
      <c r="F8" s="1197"/>
      <c r="G8" s="1197"/>
      <c r="H8" s="1213"/>
      <c r="I8" s="1214"/>
      <c r="J8" s="1214"/>
      <c r="K8" s="1215"/>
    </row>
    <row r="10" spans="1:14" s="561" customFormat="1" ht="20.100000000000001" customHeight="1">
      <c r="A10" s="560" t="s">
        <v>1697</v>
      </c>
      <c r="B10" s="1208" t="s">
        <v>1779</v>
      </c>
      <c r="C10" s="1208"/>
      <c r="D10" s="1208" t="s">
        <v>1780</v>
      </c>
      <c r="E10" s="1208"/>
      <c r="F10" s="1208"/>
      <c r="G10" s="1208" t="s">
        <v>1781</v>
      </c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 t="s">
        <v>1782</v>
      </c>
      <c r="C11" s="1208"/>
      <c r="D11" s="1208" t="s">
        <v>1783</v>
      </c>
      <c r="E11" s="1208"/>
      <c r="F11" s="1208"/>
      <c r="G11" s="1208" t="s">
        <v>1784</v>
      </c>
      <c r="H11" s="1208"/>
      <c r="I11" s="1208"/>
      <c r="J11" s="1208"/>
      <c r="K11" s="1208"/>
      <c r="L11" s="1208"/>
      <c r="M11" s="1208"/>
    </row>
    <row r="12" spans="1:14" s="561" customFormat="1" ht="26.25" customHeight="1">
      <c r="A12" s="560" t="s">
        <v>1707</v>
      </c>
      <c r="B12" s="1208" t="s">
        <v>1785</v>
      </c>
      <c r="C12" s="1208"/>
      <c r="D12" s="1208" t="s">
        <v>1786</v>
      </c>
      <c r="E12" s="1208"/>
      <c r="F12" s="1208"/>
      <c r="G12" s="1208"/>
      <c r="H12" s="1208"/>
      <c r="I12" s="1208"/>
      <c r="J12" s="1208" t="s">
        <v>1787</v>
      </c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3</v>
      </c>
      <c r="C15" s="1203" t="s">
        <v>1490</v>
      </c>
      <c r="D15" s="1197"/>
      <c r="E15" s="1197"/>
      <c r="F15" s="563">
        <v>3</v>
      </c>
      <c r="G15" s="562" t="s">
        <v>1712</v>
      </c>
      <c r="H15" s="563">
        <v>9</v>
      </c>
      <c r="I15" s="562" t="s">
        <v>1492</v>
      </c>
      <c r="J15" s="563">
        <v>2</v>
      </c>
      <c r="K15" s="562" t="s">
        <v>1386</v>
      </c>
      <c r="L15" s="563">
        <v>11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187</v>
      </c>
      <c r="D17" s="562" t="s">
        <v>205</v>
      </c>
      <c r="E17" s="564">
        <v>27</v>
      </c>
      <c r="F17" s="562" t="s">
        <v>206</v>
      </c>
      <c r="G17" s="564">
        <v>2</v>
      </c>
      <c r="H17" s="562" t="s">
        <v>230</v>
      </c>
      <c r="I17" s="564">
        <v>216</v>
      </c>
      <c r="J17" s="562" t="s">
        <v>207</v>
      </c>
      <c r="K17" s="564">
        <v>30</v>
      </c>
      <c r="L17" s="1203" t="s">
        <v>1360</v>
      </c>
      <c r="M17" s="1204"/>
      <c r="N17" s="564">
        <v>3</v>
      </c>
    </row>
    <row r="18" spans="1:14" s="562" customFormat="1">
      <c r="A18" s="562" t="s">
        <v>209</v>
      </c>
      <c r="B18" s="562" t="s">
        <v>210</v>
      </c>
      <c r="C18" s="564">
        <v>531</v>
      </c>
      <c r="D18" s="562" t="s">
        <v>211</v>
      </c>
      <c r="E18" s="564">
        <v>77</v>
      </c>
      <c r="F18" s="562" t="s">
        <v>212</v>
      </c>
      <c r="G18" s="564">
        <v>3</v>
      </c>
      <c r="H18" s="562" t="s">
        <v>411</v>
      </c>
      <c r="I18" s="564">
        <v>611</v>
      </c>
    </row>
    <row r="19" spans="1:14" s="562" customFormat="1" ht="13.5" customHeight="1">
      <c r="B19" s="562" t="s">
        <v>213</v>
      </c>
      <c r="C19" s="564">
        <v>545</v>
      </c>
      <c r="D19" s="562" t="s">
        <v>214</v>
      </c>
      <c r="E19" s="564">
        <v>60</v>
      </c>
      <c r="F19" s="562" t="s">
        <v>215</v>
      </c>
      <c r="G19" s="564">
        <v>2</v>
      </c>
      <c r="H19" s="562" t="s">
        <v>410</v>
      </c>
      <c r="I19" s="564">
        <v>607</v>
      </c>
    </row>
    <row r="20" spans="1:14">
      <c r="E20" s="574"/>
    </row>
    <row r="21" spans="1:14">
      <c r="E21" s="574"/>
    </row>
    <row r="22" spans="1:14">
      <c r="E22" s="574"/>
    </row>
    <row r="23" spans="1:14">
      <c r="A23" s="567" t="s">
        <v>216</v>
      </c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562"/>
      <c r="B24" s="561"/>
      <c r="C24" s="561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1"/>
    </row>
    <row r="25" spans="1:14">
      <c r="A25" s="1205" t="s">
        <v>217</v>
      </c>
      <c r="B25" s="1205" t="s">
        <v>218</v>
      </c>
      <c r="C25" s="1205" t="s">
        <v>219</v>
      </c>
      <c r="D25" s="1205" t="s">
        <v>1363</v>
      </c>
      <c r="E25" s="1205" t="s">
        <v>1713</v>
      </c>
      <c r="F25" s="1200" t="s">
        <v>1714</v>
      </c>
      <c r="G25" s="1201"/>
      <c r="H25" s="1201"/>
      <c r="I25" s="1201"/>
      <c r="J25" s="1201"/>
      <c r="K25" s="1201"/>
      <c r="L25" s="1201"/>
      <c r="M25" s="1201"/>
      <c r="N25" s="1202"/>
    </row>
    <row r="26" spans="1:14" ht="25.5">
      <c r="A26" s="1206"/>
      <c r="B26" s="1206"/>
      <c r="C26" s="1206"/>
      <c r="D26" s="1206"/>
      <c r="E26" s="1206"/>
      <c r="F26" s="568" t="s">
        <v>224</v>
      </c>
      <c r="G26" s="568" t="s">
        <v>225</v>
      </c>
      <c r="H26" s="568" t="s">
        <v>226</v>
      </c>
      <c r="I26" s="568" t="s">
        <v>227</v>
      </c>
      <c r="J26" s="568" t="s">
        <v>228</v>
      </c>
      <c r="K26" s="568" t="s">
        <v>229</v>
      </c>
      <c r="L26" s="568" t="s">
        <v>1499</v>
      </c>
      <c r="M26" s="569" t="s">
        <v>230</v>
      </c>
      <c r="N26" s="569" t="s">
        <v>231</v>
      </c>
    </row>
    <row r="27" spans="1:14">
      <c r="A27" s="560" t="s">
        <v>232</v>
      </c>
      <c r="B27" s="564">
        <v>8000</v>
      </c>
      <c r="C27" s="560" t="s">
        <v>233</v>
      </c>
      <c r="D27" s="570">
        <v>32.44</v>
      </c>
      <c r="E27" s="570">
        <v>32.44</v>
      </c>
      <c r="F27" s="584">
        <v>0</v>
      </c>
      <c r="G27" s="584">
        <v>0</v>
      </c>
      <c r="H27" s="570">
        <v>4.91587</v>
      </c>
      <c r="I27" s="570">
        <v>7.5122499999999999</v>
      </c>
      <c r="J27" s="570">
        <v>15.494400000000001</v>
      </c>
      <c r="K27" s="570">
        <v>5.9888000000000003</v>
      </c>
      <c r="L27" s="584">
        <v>0</v>
      </c>
      <c r="M27" s="576">
        <v>33.911320000000003</v>
      </c>
      <c r="N27" s="570">
        <v>104.53551171393343</v>
      </c>
    </row>
    <row r="28" spans="1:14">
      <c r="A28" s="560" t="s">
        <v>1715</v>
      </c>
      <c r="B28" s="564">
        <v>7000</v>
      </c>
      <c r="C28" s="560" t="s">
        <v>233</v>
      </c>
      <c r="D28" s="570">
        <v>4.5415999999999999</v>
      </c>
      <c r="E28" s="570">
        <v>4.5415999999999999</v>
      </c>
      <c r="F28" s="584">
        <v>0</v>
      </c>
      <c r="G28" s="584">
        <v>0</v>
      </c>
      <c r="H28" s="570">
        <v>0</v>
      </c>
      <c r="I28" s="570">
        <v>0</v>
      </c>
      <c r="J28" s="570">
        <v>1.3597999999999999</v>
      </c>
      <c r="K28" s="570">
        <v>2.35425</v>
      </c>
      <c r="L28" s="584">
        <v>0</v>
      </c>
      <c r="M28" s="576">
        <v>3.7140499999999999</v>
      </c>
      <c r="N28" s="570">
        <v>81.778448124009159</v>
      </c>
    </row>
    <row r="29" spans="1:14">
      <c r="A29" s="560" t="s">
        <v>235</v>
      </c>
      <c r="B29" s="564">
        <v>43000</v>
      </c>
      <c r="C29" s="560" t="s">
        <v>236</v>
      </c>
      <c r="D29" s="570">
        <v>0.43</v>
      </c>
      <c r="E29" s="570">
        <v>0.43</v>
      </c>
      <c r="F29" s="584">
        <v>0</v>
      </c>
      <c r="G29" s="584">
        <v>0</v>
      </c>
      <c r="H29" s="570">
        <v>0</v>
      </c>
      <c r="I29" s="570">
        <v>0.15659999999999999</v>
      </c>
      <c r="J29" s="570">
        <v>0.16350000000000001</v>
      </c>
      <c r="K29" s="570">
        <v>0</v>
      </c>
      <c r="L29" s="584">
        <v>0</v>
      </c>
      <c r="M29" s="576">
        <v>0.3201</v>
      </c>
      <c r="N29" s="570">
        <v>74.441860465116278</v>
      </c>
    </row>
    <row r="30" spans="1:14">
      <c r="A30" s="560" t="s">
        <v>396</v>
      </c>
      <c r="B30" s="564">
        <v>34000</v>
      </c>
      <c r="C30" s="560" t="s">
        <v>236</v>
      </c>
      <c r="D30" s="570">
        <v>0.34</v>
      </c>
      <c r="E30" s="570">
        <v>0.34</v>
      </c>
      <c r="F30" s="584">
        <v>0</v>
      </c>
      <c r="G30" s="584">
        <v>0</v>
      </c>
      <c r="H30" s="570">
        <v>0</v>
      </c>
      <c r="I30" s="570">
        <v>0.11914</v>
      </c>
      <c r="J30" s="570">
        <v>4.086E-2</v>
      </c>
      <c r="K30" s="570">
        <v>0.08</v>
      </c>
      <c r="L30" s="584">
        <v>0</v>
      </c>
      <c r="M30" s="576">
        <v>0.24</v>
      </c>
      <c r="N30" s="570">
        <v>70.588235294117638</v>
      </c>
    </row>
    <row r="31" spans="1:14">
      <c r="A31" s="560" t="s">
        <v>238</v>
      </c>
      <c r="B31" s="564">
        <v>1200</v>
      </c>
      <c r="C31" s="560" t="s">
        <v>233</v>
      </c>
      <c r="D31" s="570">
        <v>4.8659999999999997</v>
      </c>
      <c r="E31" s="570">
        <v>4.1959999999999997</v>
      </c>
      <c r="F31" s="584">
        <v>0</v>
      </c>
      <c r="G31" s="584">
        <v>0</v>
      </c>
      <c r="H31" s="570">
        <v>1.1004</v>
      </c>
      <c r="I31" s="570">
        <v>1.9014</v>
      </c>
      <c r="J31" s="570">
        <v>0.33867000000000003</v>
      </c>
      <c r="K31" s="570">
        <v>0</v>
      </c>
      <c r="L31" s="584">
        <v>0</v>
      </c>
      <c r="M31" s="576">
        <v>3.3404699999999998</v>
      </c>
      <c r="N31" s="570">
        <v>79.610819828408012</v>
      </c>
    </row>
    <row r="32" spans="1:14">
      <c r="A32" s="560" t="s">
        <v>667</v>
      </c>
      <c r="B32" s="564">
        <v>565</v>
      </c>
      <c r="C32" s="560" t="s">
        <v>233</v>
      </c>
      <c r="D32" s="570">
        <v>2.2910699999999999</v>
      </c>
      <c r="E32" s="570">
        <v>2.2910699999999999</v>
      </c>
      <c r="F32" s="584">
        <v>0</v>
      </c>
      <c r="G32" s="584">
        <v>0</v>
      </c>
      <c r="H32" s="570">
        <v>2.2910699999999999</v>
      </c>
      <c r="I32" s="570">
        <v>0</v>
      </c>
      <c r="J32" s="570">
        <v>0</v>
      </c>
      <c r="K32" s="570">
        <v>0</v>
      </c>
      <c r="L32" s="584">
        <v>0</v>
      </c>
      <c r="M32" s="576">
        <v>2.2910699999999999</v>
      </c>
      <c r="N32" s="570">
        <v>100</v>
      </c>
    </row>
    <row r="33" spans="1:14">
      <c r="A33" s="560" t="s">
        <v>240</v>
      </c>
      <c r="B33" s="564">
        <v>1000</v>
      </c>
      <c r="C33" s="560" t="s">
        <v>233</v>
      </c>
      <c r="D33" s="570">
        <v>4.0549999999999997</v>
      </c>
      <c r="E33" s="570">
        <v>4.0549999999999997</v>
      </c>
      <c r="F33" s="584">
        <v>0</v>
      </c>
      <c r="G33" s="584">
        <v>0</v>
      </c>
      <c r="H33" s="570">
        <v>0</v>
      </c>
      <c r="I33" s="570">
        <v>0</v>
      </c>
      <c r="J33" s="570">
        <v>0</v>
      </c>
      <c r="K33" s="570">
        <v>1.90405</v>
      </c>
      <c r="L33" s="584">
        <v>0</v>
      </c>
      <c r="M33" s="576">
        <v>1.90405</v>
      </c>
      <c r="N33" s="570">
        <v>46.955610357583232</v>
      </c>
    </row>
    <row r="34" spans="1:14">
      <c r="A34" s="560" t="s">
        <v>394</v>
      </c>
      <c r="B34" s="564">
        <v>2750</v>
      </c>
      <c r="C34" s="560" t="s">
        <v>1716</v>
      </c>
      <c r="D34" s="570">
        <v>1.75</v>
      </c>
      <c r="E34" s="570">
        <v>1.2375</v>
      </c>
      <c r="F34" s="584">
        <v>0</v>
      </c>
      <c r="G34" s="584">
        <v>0</v>
      </c>
      <c r="H34" s="570">
        <v>0.31006</v>
      </c>
      <c r="I34" s="570">
        <v>0.38219999999999998</v>
      </c>
      <c r="J34" s="570">
        <v>0.2475</v>
      </c>
      <c r="K34" s="570">
        <v>0.26250000000000001</v>
      </c>
      <c r="L34" s="584">
        <v>0</v>
      </c>
      <c r="M34" s="576">
        <v>1.2022600000000001</v>
      </c>
      <c r="N34" s="570">
        <v>97.152323232323241</v>
      </c>
    </row>
    <row r="35" spans="1:14">
      <c r="A35" s="560" t="s">
        <v>1717</v>
      </c>
      <c r="B35" s="564">
        <v>10000</v>
      </c>
      <c r="C35" s="560" t="s">
        <v>244</v>
      </c>
      <c r="D35" s="570">
        <v>0</v>
      </c>
      <c r="E35" s="570">
        <v>0</v>
      </c>
      <c r="F35" s="584">
        <v>0</v>
      </c>
      <c r="G35" s="584">
        <v>0</v>
      </c>
      <c r="H35" s="570">
        <v>0</v>
      </c>
      <c r="I35" s="570">
        <v>0</v>
      </c>
      <c r="J35" s="570">
        <v>0</v>
      </c>
      <c r="K35" s="570">
        <v>0</v>
      </c>
      <c r="L35" s="584">
        <v>0</v>
      </c>
      <c r="M35" s="576">
        <v>0</v>
      </c>
      <c r="N35" s="570">
        <v>0</v>
      </c>
    </row>
    <row r="36" spans="1:14">
      <c r="A36" s="572" t="s">
        <v>230</v>
      </c>
      <c r="B36" s="564"/>
      <c r="C36" s="560"/>
      <c r="D36" s="573">
        <v>50.71367</v>
      </c>
      <c r="E36" s="573">
        <v>49.531170000000003</v>
      </c>
      <c r="F36" s="573">
        <v>0</v>
      </c>
      <c r="G36" s="573">
        <v>0</v>
      </c>
      <c r="H36" s="573">
        <v>8.6173999999999999</v>
      </c>
      <c r="I36" s="573">
        <v>10.071589999999999</v>
      </c>
      <c r="J36" s="573">
        <v>17.644729999999999</v>
      </c>
      <c r="K36" s="573">
        <v>10.589600000000001</v>
      </c>
      <c r="L36" s="573">
        <v>0</v>
      </c>
      <c r="M36" s="573">
        <v>46.923319999999997</v>
      </c>
      <c r="N36" s="573"/>
    </row>
    <row r="37" spans="1:14">
      <c r="A37" s="562"/>
      <c r="B37" s="561"/>
      <c r="C37" s="561"/>
      <c r="D37" s="561"/>
      <c r="E37" s="561"/>
      <c r="F37" s="561"/>
      <c r="G37" s="561"/>
      <c r="H37" s="585"/>
      <c r="I37" s="585"/>
      <c r="J37" s="585"/>
      <c r="K37" s="561"/>
      <c r="L37" s="561"/>
      <c r="M37" s="561"/>
      <c r="N37" s="561"/>
    </row>
  </sheetData>
  <mergeCells count="34">
    <mergeCell ref="A25:A26"/>
    <mergeCell ref="B25:B26"/>
    <mergeCell ref="C25:C26"/>
    <mergeCell ref="D25:D26"/>
    <mergeCell ref="E25:E26"/>
    <mergeCell ref="F25:N25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9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7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8.42578125" style="557" customWidth="1"/>
    <col min="3" max="3" width="8.2851562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8.42578125" style="557" customWidth="1"/>
    <col min="259" max="259" width="8.2851562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8.42578125" style="557" customWidth="1"/>
    <col min="515" max="515" width="8.2851562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8.42578125" style="557" customWidth="1"/>
    <col min="771" max="771" width="8.2851562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8.42578125" style="557" customWidth="1"/>
    <col min="1027" max="1027" width="8.2851562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8.42578125" style="557" customWidth="1"/>
    <col min="1283" max="1283" width="8.2851562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8.42578125" style="557" customWidth="1"/>
    <col min="1539" max="1539" width="8.2851562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8.42578125" style="557" customWidth="1"/>
    <col min="1795" max="1795" width="8.2851562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8.42578125" style="557" customWidth="1"/>
    <col min="2051" max="2051" width="8.2851562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8.42578125" style="557" customWidth="1"/>
    <col min="2307" max="2307" width="8.2851562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8.42578125" style="557" customWidth="1"/>
    <col min="2563" max="2563" width="8.2851562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8.42578125" style="557" customWidth="1"/>
    <col min="2819" max="2819" width="8.2851562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8.42578125" style="557" customWidth="1"/>
    <col min="3075" max="3075" width="8.2851562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8.42578125" style="557" customWidth="1"/>
    <col min="3331" max="3331" width="8.2851562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8.42578125" style="557" customWidth="1"/>
    <col min="3587" max="3587" width="8.2851562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8.42578125" style="557" customWidth="1"/>
    <col min="3843" max="3843" width="8.2851562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8.42578125" style="557" customWidth="1"/>
    <col min="4099" max="4099" width="8.2851562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8.42578125" style="557" customWidth="1"/>
    <col min="4355" max="4355" width="8.2851562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8.42578125" style="557" customWidth="1"/>
    <col min="4611" max="4611" width="8.2851562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8.42578125" style="557" customWidth="1"/>
    <col min="4867" max="4867" width="8.2851562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8.42578125" style="557" customWidth="1"/>
    <col min="5123" max="5123" width="8.2851562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8.42578125" style="557" customWidth="1"/>
    <col min="5379" max="5379" width="8.2851562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8.42578125" style="557" customWidth="1"/>
    <col min="5635" max="5635" width="8.2851562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8.42578125" style="557" customWidth="1"/>
    <col min="5891" max="5891" width="8.2851562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8.42578125" style="557" customWidth="1"/>
    <col min="6147" max="6147" width="8.2851562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8.42578125" style="557" customWidth="1"/>
    <col min="6403" max="6403" width="8.2851562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8.42578125" style="557" customWidth="1"/>
    <col min="6659" max="6659" width="8.2851562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8.42578125" style="557" customWidth="1"/>
    <col min="6915" max="6915" width="8.2851562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8.42578125" style="557" customWidth="1"/>
    <col min="7171" max="7171" width="8.2851562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8.42578125" style="557" customWidth="1"/>
    <col min="7427" max="7427" width="8.2851562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8.42578125" style="557" customWidth="1"/>
    <col min="7683" max="7683" width="8.2851562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8.42578125" style="557" customWidth="1"/>
    <col min="7939" max="7939" width="8.2851562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8.42578125" style="557" customWidth="1"/>
    <col min="8195" max="8195" width="8.2851562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8.42578125" style="557" customWidth="1"/>
    <col min="8451" max="8451" width="8.2851562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8.42578125" style="557" customWidth="1"/>
    <col min="8707" max="8707" width="8.2851562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8.42578125" style="557" customWidth="1"/>
    <col min="8963" max="8963" width="8.2851562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8.42578125" style="557" customWidth="1"/>
    <col min="9219" max="9219" width="8.2851562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8.42578125" style="557" customWidth="1"/>
    <col min="9475" max="9475" width="8.2851562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8.42578125" style="557" customWidth="1"/>
    <col min="9731" max="9731" width="8.2851562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8.42578125" style="557" customWidth="1"/>
    <col min="9987" max="9987" width="8.2851562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8.42578125" style="557" customWidth="1"/>
    <col min="10243" max="10243" width="8.2851562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8.42578125" style="557" customWidth="1"/>
    <col min="10499" max="10499" width="8.2851562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8.42578125" style="557" customWidth="1"/>
    <col min="10755" max="10755" width="8.2851562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8.42578125" style="557" customWidth="1"/>
    <col min="11011" max="11011" width="8.2851562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8.42578125" style="557" customWidth="1"/>
    <col min="11267" max="11267" width="8.2851562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8.42578125" style="557" customWidth="1"/>
    <col min="11523" max="11523" width="8.2851562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8.42578125" style="557" customWidth="1"/>
    <col min="11779" max="11779" width="8.2851562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8.42578125" style="557" customWidth="1"/>
    <col min="12035" max="12035" width="8.2851562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8.42578125" style="557" customWidth="1"/>
    <col min="12291" max="12291" width="8.2851562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8.42578125" style="557" customWidth="1"/>
    <col min="12547" max="12547" width="8.2851562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8.42578125" style="557" customWidth="1"/>
    <col min="12803" max="12803" width="8.2851562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8.42578125" style="557" customWidth="1"/>
    <col min="13059" max="13059" width="8.2851562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8.42578125" style="557" customWidth="1"/>
    <col min="13315" max="13315" width="8.2851562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8.42578125" style="557" customWidth="1"/>
    <col min="13571" max="13571" width="8.2851562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8.42578125" style="557" customWidth="1"/>
    <col min="13827" max="13827" width="8.2851562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8.42578125" style="557" customWidth="1"/>
    <col min="14083" max="14083" width="8.2851562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8.42578125" style="557" customWidth="1"/>
    <col min="14339" max="14339" width="8.2851562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8.42578125" style="557" customWidth="1"/>
    <col min="14595" max="14595" width="8.2851562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8.42578125" style="557" customWidth="1"/>
    <col min="14851" max="14851" width="8.2851562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8.42578125" style="557" customWidth="1"/>
    <col min="15107" max="15107" width="8.2851562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8.42578125" style="557" customWidth="1"/>
    <col min="15363" max="15363" width="8.2851562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8.42578125" style="557" customWidth="1"/>
    <col min="15619" max="15619" width="8.2851562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8.42578125" style="557" customWidth="1"/>
    <col min="15875" max="15875" width="8.2851562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8.42578125" style="557" customWidth="1"/>
    <col min="16131" max="16131" width="8.2851562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1788</v>
      </c>
      <c r="C3" s="1207"/>
      <c r="D3" s="1207"/>
      <c r="E3" s="1207"/>
      <c r="F3" s="558" t="s">
        <v>171</v>
      </c>
      <c r="H3" s="1190" t="s">
        <v>1789</v>
      </c>
      <c r="I3" s="1190"/>
      <c r="J3" s="558" t="s">
        <v>172</v>
      </c>
      <c r="K3" s="559">
        <v>343</v>
      </c>
      <c r="L3" s="558" t="s">
        <v>436</v>
      </c>
      <c r="N3" s="559">
        <v>54.88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1790</v>
      </c>
      <c r="C5" s="1192"/>
      <c r="D5" s="1192"/>
      <c r="E5" s="1193"/>
      <c r="F5" s="558" t="s">
        <v>176</v>
      </c>
      <c r="H5" s="1191" t="s">
        <v>1791</v>
      </c>
      <c r="I5" s="1192"/>
      <c r="J5" s="1193"/>
    </row>
    <row r="7" spans="1:14" ht="13.5" customHeight="1">
      <c r="A7" s="558" t="s">
        <v>178</v>
      </c>
      <c r="B7" s="1191" t="s">
        <v>1792</v>
      </c>
      <c r="C7" s="1192"/>
      <c r="D7" s="1192"/>
      <c r="E7" s="1193"/>
      <c r="F7" s="1197" t="s">
        <v>1696</v>
      </c>
      <c r="G7" s="1197"/>
      <c r="H7" s="1210" t="s">
        <v>1793</v>
      </c>
      <c r="I7" s="1211"/>
      <c r="J7" s="1211"/>
      <c r="K7" s="1212"/>
    </row>
    <row r="8" spans="1:14" ht="23.25" customHeight="1">
      <c r="F8" s="1197"/>
      <c r="G8" s="1197"/>
      <c r="H8" s="1213"/>
      <c r="I8" s="1214"/>
      <c r="J8" s="1214"/>
      <c r="K8" s="1215"/>
    </row>
    <row r="10" spans="1:14" s="561" customFormat="1" ht="20.100000000000001" customHeight="1">
      <c r="A10" s="560" t="s">
        <v>1697</v>
      </c>
      <c r="B10" s="1208" t="s">
        <v>1794</v>
      </c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/>
      <c r="C11" s="1208"/>
      <c r="D11" s="1208"/>
      <c r="E11" s="1208"/>
      <c r="F11" s="1208"/>
      <c r="G11" s="1208"/>
      <c r="H11" s="1208"/>
      <c r="I11" s="1208"/>
      <c r="J11" s="1208"/>
      <c r="K11" s="1208"/>
      <c r="L11" s="1208"/>
      <c r="M11" s="1208"/>
    </row>
    <row r="12" spans="1:14" s="561" customFormat="1" ht="24.75" customHeight="1">
      <c r="A12" s="560" t="s">
        <v>1707</v>
      </c>
      <c r="B12" s="1208" t="s">
        <v>1795</v>
      </c>
      <c r="C12" s="1208"/>
      <c r="D12" s="1208" t="s">
        <v>1796</v>
      </c>
      <c r="E12" s="1208"/>
      <c r="F12" s="1208"/>
      <c r="G12" s="1208" t="s">
        <v>1797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1</v>
      </c>
      <c r="C15" s="1203" t="s">
        <v>1490</v>
      </c>
      <c r="D15" s="1197"/>
      <c r="E15" s="1197"/>
      <c r="F15" s="563">
        <v>1</v>
      </c>
      <c r="G15" s="562" t="s">
        <v>1712</v>
      </c>
      <c r="H15" s="563">
        <v>7</v>
      </c>
      <c r="I15" s="562" t="s">
        <v>1492</v>
      </c>
      <c r="J15" s="563">
        <v>1</v>
      </c>
      <c r="K15" s="562" t="s">
        <v>1386</v>
      </c>
      <c r="L15" s="563">
        <v>11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89</v>
      </c>
      <c r="D17" s="562" t="s">
        <v>205</v>
      </c>
      <c r="E17" s="564">
        <v>43</v>
      </c>
      <c r="F17" s="562" t="s">
        <v>206</v>
      </c>
      <c r="G17" s="564"/>
      <c r="H17" s="562" t="s">
        <v>230</v>
      </c>
      <c r="I17" s="564">
        <v>132</v>
      </c>
      <c r="J17" s="562" t="s">
        <v>207</v>
      </c>
      <c r="K17" s="564">
        <v>9</v>
      </c>
      <c r="L17" s="1203" t="s">
        <v>1360</v>
      </c>
      <c r="M17" s="1204"/>
      <c r="N17" s="564">
        <v>3</v>
      </c>
    </row>
    <row r="18" spans="1:14" s="562" customFormat="1">
      <c r="A18" s="562" t="s">
        <v>209</v>
      </c>
      <c r="B18" s="562" t="s">
        <v>210</v>
      </c>
      <c r="C18" s="564">
        <v>182</v>
      </c>
      <c r="D18" s="562" t="s">
        <v>211</v>
      </c>
      <c r="E18" s="564">
        <v>91</v>
      </c>
      <c r="F18" s="562" t="s">
        <v>212</v>
      </c>
      <c r="G18" s="564"/>
      <c r="H18" s="562" t="s">
        <v>411</v>
      </c>
      <c r="I18" s="564">
        <v>273</v>
      </c>
    </row>
    <row r="19" spans="1:14" s="562" customFormat="1" ht="13.5" customHeight="1">
      <c r="B19" s="562" t="s">
        <v>213</v>
      </c>
      <c r="C19" s="564">
        <v>174</v>
      </c>
      <c r="D19" s="562" t="s">
        <v>214</v>
      </c>
      <c r="E19" s="564">
        <v>82</v>
      </c>
      <c r="F19" s="562" t="s">
        <v>215</v>
      </c>
      <c r="G19" s="564"/>
      <c r="H19" s="562" t="s">
        <v>410</v>
      </c>
      <c r="I19" s="564">
        <v>256</v>
      </c>
    </row>
    <row r="20" spans="1:14" s="562" customFormat="1">
      <c r="G20" s="565"/>
    </row>
    <row r="22" spans="1:14">
      <c r="E22" s="566"/>
    </row>
    <row r="23" spans="1:14">
      <c r="E23" s="574"/>
    </row>
    <row r="24" spans="1:14">
      <c r="A24" s="567" t="s">
        <v>216</v>
      </c>
      <c r="B24" s="561"/>
      <c r="C24" s="561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1"/>
    </row>
    <row r="25" spans="1:14">
      <c r="A25" s="562"/>
      <c r="B25" s="561"/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</row>
    <row r="26" spans="1:14">
      <c r="A26" s="1205" t="s">
        <v>217</v>
      </c>
      <c r="B26" s="1205" t="s">
        <v>218</v>
      </c>
      <c r="C26" s="1205" t="s">
        <v>219</v>
      </c>
      <c r="D26" s="1205" t="s">
        <v>1363</v>
      </c>
      <c r="E26" s="1205" t="s">
        <v>1713</v>
      </c>
      <c r="F26" s="1200" t="s">
        <v>1714</v>
      </c>
      <c r="G26" s="1201"/>
      <c r="H26" s="1201"/>
      <c r="I26" s="1201"/>
      <c r="J26" s="1201"/>
      <c r="K26" s="1201"/>
      <c r="L26" s="1201"/>
      <c r="M26" s="1201"/>
      <c r="N26" s="1202"/>
    </row>
    <row r="27" spans="1:14" ht="25.5">
      <c r="A27" s="1206"/>
      <c r="B27" s="1206"/>
      <c r="C27" s="1206"/>
      <c r="D27" s="1206"/>
      <c r="E27" s="1206"/>
      <c r="F27" s="568" t="s">
        <v>224</v>
      </c>
      <c r="G27" s="568" t="s">
        <v>225</v>
      </c>
      <c r="H27" s="568" t="s">
        <v>226</v>
      </c>
      <c r="I27" s="568" t="s">
        <v>227</v>
      </c>
      <c r="J27" s="568" t="s">
        <v>228</v>
      </c>
      <c r="K27" s="568" t="s">
        <v>229</v>
      </c>
      <c r="L27" s="568" t="s">
        <v>1499</v>
      </c>
      <c r="M27" s="569" t="s">
        <v>230</v>
      </c>
      <c r="N27" s="569" t="s">
        <v>231</v>
      </c>
    </row>
    <row r="28" spans="1:14">
      <c r="A28" s="560" t="s">
        <v>232</v>
      </c>
      <c r="B28" s="564">
        <v>8000</v>
      </c>
      <c r="C28" s="560" t="s">
        <v>233</v>
      </c>
      <c r="D28" s="570">
        <v>27.44</v>
      </c>
      <c r="E28" s="570">
        <v>27.44</v>
      </c>
      <c r="F28" s="586">
        <v>0</v>
      </c>
      <c r="G28" s="586">
        <v>0</v>
      </c>
      <c r="H28" s="570">
        <v>4.4128299999999996</v>
      </c>
      <c r="I28" s="570">
        <v>8.8473500000000005</v>
      </c>
      <c r="J28" s="570">
        <v>13.64438</v>
      </c>
      <c r="K28" s="570">
        <v>5.432E-2</v>
      </c>
      <c r="L28" s="586">
        <v>0</v>
      </c>
      <c r="M28" s="576">
        <v>26.958880000000001</v>
      </c>
      <c r="N28" s="570">
        <v>98.24664723032069</v>
      </c>
    </row>
    <row r="29" spans="1:14">
      <c r="A29" s="560" t="s">
        <v>1715</v>
      </c>
      <c r="B29" s="564">
        <v>7000</v>
      </c>
      <c r="C29" s="560" t="s">
        <v>233</v>
      </c>
      <c r="D29" s="570">
        <v>3.8416000000000001</v>
      </c>
      <c r="E29" s="570">
        <v>3.3416000000000001</v>
      </c>
      <c r="F29" s="586">
        <v>0</v>
      </c>
      <c r="G29" s="586">
        <v>0</v>
      </c>
      <c r="H29" s="570">
        <v>0</v>
      </c>
      <c r="I29" s="570">
        <v>0</v>
      </c>
      <c r="J29" s="570">
        <v>0.63</v>
      </c>
      <c r="K29" s="570">
        <v>0.71930000000000005</v>
      </c>
      <c r="L29" s="586">
        <v>0</v>
      </c>
      <c r="M29" s="576">
        <v>1.3492999999999999</v>
      </c>
      <c r="N29" s="570">
        <v>40.378860426143163</v>
      </c>
    </row>
    <row r="30" spans="1:14">
      <c r="A30" s="560" t="s">
        <v>235</v>
      </c>
      <c r="B30" s="564">
        <v>43000</v>
      </c>
      <c r="C30" s="560" t="s">
        <v>236</v>
      </c>
      <c r="D30" s="570">
        <v>0.43</v>
      </c>
      <c r="E30" s="570">
        <v>0.43</v>
      </c>
      <c r="F30" s="586">
        <v>0</v>
      </c>
      <c r="G30" s="586">
        <v>0</v>
      </c>
      <c r="H30" s="570">
        <v>0.1648</v>
      </c>
      <c r="I30" s="570">
        <v>0.1414</v>
      </c>
      <c r="J30" s="570">
        <v>9.5500000000000002E-2</v>
      </c>
      <c r="K30" s="570">
        <v>0</v>
      </c>
      <c r="L30" s="586">
        <v>0</v>
      </c>
      <c r="M30" s="576">
        <v>0.4017</v>
      </c>
      <c r="N30" s="570">
        <v>93.418604651162795</v>
      </c>
    </row>
    <row r="31" spans="1:14">
      <c r="A31" s="560" t="s">
        <v>396</v>
      </c>
      <c r="B31" s="564">
        <v>34000</v>
      </c>
      <c r="C31" s="560" t="s">
        <v>236</v>
      </c>
      <c r="D31" s="570">
        <v>0.34</v>
      </c>
      <c r="E31" s="570">
        <v>0.34</v>
      </c>
      <c r="F31" s="586">
        <v>0</v>
      </c>
      <c r="G31" s="586">
        <v>0</v>
      </c>
      <c r="H31" s="570">
        <v>0</v>
      </c>
      <c r="I31" s="570">
        <v>0.11914</v>
      </c>
      <c r="J31" s="570">
        <v>0.17258000000000001</v>
      </c>
      <c r="K31" s="570">
        <v>0</v>
      </c>
      <c r="L31" s="586">
        <v>0</v>
      </c>
      <c r="M31" s="576">
        <v>0.29171999999999998</v>
      </c>
      <c r="N31" s="570">
        <v>85.799999999999983</v>
      </c>
    </row>
    <row r="32" spans="1:14">
      <c r="A32" s="560" t="s">
        <v>238</v>
      </c>
      <c r="B32" s="564">
        <v>1200</v>
      </c>
      <c r="C32" s="560" t="s">
        <v>233</v>
      </c>
      <c r="D32" s="570">
        <v>4.1159999999999997</v>
      </c>
      <c r="E32" s="570">
        <v>4.1660000000000004</v>
      </c>
      <c r="F32" s="586">
        <v>0</v>
      </c>
      <c r="G32" s="586">
        <v>0</v>
      </c>
      <c r="H32" s="570">
        <v>0.89783000000000002</v>
      </c>
      <c r="I32" s="570">
        <v>2.4796999999999998</v>
      </c>
      <c r="J32" s="570">
        <v>0.23799999999999999</v>
      </c>
      <c r="K32" s="570">
        <v>0</v>
      </c>
      <c r="L32" s="586">
        <v>0</v>
      </c>
      <c r="M32" s="576">
        <v>3.6155300000000001</v>
      </c>
      <c r="N32" s="570">
        <v>86.786605856937101</v>
      </c>
    </row>
    <row r="33" spans="1:14">
      <c r="A33" s="560" t="s">
        <v>667</v>
      </c>
      <c r="B33" s="564">
        <v>565</v>
      </c>
      <c r="C33" s="560" t="s">
        <v>233</v>
      </c>
      <c r="D33" s="570">
        <v>1.9379500000000001</v>
      </c>
      <c r="E33" s="570">
        <v>1.9379500000000001</v>
      </c>
      <c r="F33" s="586">
        <v>0</v>
      </c>
      <c r="G33" s="586">
        <v>0</v>
      </c>
      <c r="H33" s="570">
        <v>0</v>
      </c>
      <c r="I33" s="570">
        <v>1.9379500000000001</v>
      </c>
      <c r="J33" s="570">
        <v>0</v>
      </c>
      <c r="K33" s="570">
        <v>0</v>
      </c>
      <c r="L33" s="586">
        <v>0</v>
      </c>
      <c r="M33" s="576">
        <v>1.9379500000000001</v>
      </c>
      <c r="N33" s="570">
        <v>100</v>
      </c>
    </row>
    <row r="34" spans="1:14">
      <c r="A34" s="560" t="s">
        <v>240</v>
      </c>
      <c r="B34" s="564">
        <v>1000</v>
      </c>
      <c r="C34" s="560" t="s">
        <v>233</v>
      </c>
      <c r="D34" s="570">
        <v>3.43</v>
      </c>
      <c r="E34" s="570">
        <v>3.43</v>
      </c>
      <c r="F34" s="586">
        <v>0</v>
      </c>
      <c r="G34" s="586">
        <v>0</v>
      </c>
      <c r="H34" s="570">
        <v>0</v>
      </c>
      <c r="I34" s="570">
        <v>0</v>
      </c>
      <c r="J34" s="570">
        <v>0</v>
      </c>
      <c r="K34" s="570">
        <v>1.2865800000000001</v>
      </c>
      <c r="L34" s="586">
        <v>0</v>
      </c>
      <c r="M34" s="576">
        <v>1.2865800000000001</v>
      </c>
      <c r="N34" s="570">
        <v>37.509620991253648</v>
      </c>
    </row>
    <row r="35" spans="1:14">
      <c r="A35" s="560" t="s">
        <v>394</v>
      </c>
      <c r="B35" s="564">
        <v>2750</v>
      </c>
      <c r="C35" s="560" t="s">
        <v>1716</v>
      </c>
      <c r="D35" s="570">
        <v>1.75</v>
      </c>
      <c r="E35" s="570">
        <v>1.2375</v>
      </c>
      <c r="F35" s="586">
        <v>0</v>
      </c>
      <c r="G35" s="586">
        <v>0</v>
      </c>
      <c r="H35" s="570">
        <v>0.29749999999999999</v>
      </c>
      <c r="I35" s="570">
        <v>0.40600000000000003</v>
      </c>
      <c r="J35" s="570">
        <v>0.32129999999999997</v>
      </c>
      <c r="K35" s="570">
        <v>0.18</v>
      </c>
      <c r="L35" s="586">
        <v>0</v>
      </c>
      <c r="M35" s="576">
        <v>1.2048000000000001</v>
      </c>
      <c r="N35" s="570">
        <v>97.357575757575759</v>
      </c>
    </row>
    <row r="36" spans="1:14">
      <c r="A36" s="560" t="s">
        <v>1717</v>
      </c>
      <c r="B36" s="564">
        <v>10000</v>
      </c>
      <c r="C36" s="560" t="s">
        <v>244</v>
      </c>
      <c r="D36" s="570">
        <v>0</v>
      </c>
      <c r="E36" s="570">
        <v>0</v>
      </c>
      <c r="F36" s="586">
        <v>0</v>
      </c>
      <c r="G36" s="586">
        <v>0</v>
      </c>
      <c r="H36" s="570">
        <v>0</v>
      </c>
      <c r="I36" s="570">
        <v>0</v>
      </c>
      <c r="J36" s="570">
        <v>0</v>
      </c>
      <c r="K36" s="570">
        <v>0</v>
      </c>
      <c r="L36" s="586">
        <v>0</v>
      </c>
      <c r="M36" s="576">
        <v>0</v>
      </c>
      <c r="N36" s="570">
        <v>0</v>
      </c>
    </row>
    <row r="37" spans="1:14">
      <c r="A37" s="572" t="s">
        <v>230</v>
      </c>
      <c r="B37" s="564"/>
      <c r="C37" s="560"/>
      <c r="D37" s="573">
        <v>43.285550000000001</v>
      </c>
      <c r="E37" s="573">
        <v>42.323050000000002</v>
      </c>
      <c r="F37" s="573">
        <v>0</v>
      </c>
      <c r="G37" s="573">
        <v>0</v>
      </c>
      <c r="H37" s="573">
        <v>5.7729599999999994</v>
      </c>
      <c r="I37" s="573">
        <v>13.931540000000002</v>
      </c>
      <c r="J37" s="573">
        <v>15.101760000000001</v>
      </c>
      <c r="K37" s="573">
        <v>2.2402000000000002</v>
      </c>
      <c r="L37" s="573">
        <v>0</v>
      </c>
      <c r="M37" s="573">
        <v>37.046459999999996</v>
      </c>
      <c r="N37" s="573"/>
    </row>
  </sheetData>
  <mergeCells count="34">
    <mergeCell ref="A26:A27"/>
    <mergeCell ref="B26:B27"/>
    <mergeCell ref="C26:C27"/>
    <mergeCell ref="D26:D27"/>
    <mergeCell ref="E26:E27"/>
    <mergeCell ref="F26:N26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654" customWidth="1"/>
    <col min="2" max="2" width="8.42578125" style="654" customWidth="1"/>
    <col min="3" max="3" width="7.5703125" style="654" customWidth="1"/>
    <col min="4" max="4" width="9.5703125" style="654" customWidth="1"/>
    <col min="5" max="5" width="9" style="654" customWidth="1"/>
    <col min="6" max="6" width="9.85546875" style="654" customWidth="1"/>
    <col min="7" max="7" width="8.28515625" style="654" customWidth="1"/>
    <col min="8" max="8" width="8.5703125" style="654" customWidth="1"/>
    <col min="9" max="9" width="8.28515625" style="654" customWidth="1"/>
    <col min="10" max="10" width="7.85546875" style="654" customWidth="1"/>
    <col min="11" max="11" width="7.140625" style="654" customWidth="1"/>
    <col min="12" max="12" width="7.28515625" style="654" customWidth="1"/>
    <col min="13" max="13" width="7.7109375" style="654" customWidth="1"/>
    <col min="14" max="14" width="6.7109375" style="654" customWidth="1"/>
    <col min="15" max="256" width="9.140625" style="654"/>
    <col min="257" max="257" width="24.140625" style="654" customWidth="1"/>
    <col min="258" max="258" width="8.42578125" style="654" customWidth="1"/>
    <col min="259" max="259" width="7.5703125" style="654" customWidth="1"/>
    <col min="260" max="260" width="9.5703125" style="654" customWidth="1"/>
    <col min="261" max="261" width="9" style="654" customWidth="1"/>
    <col min="262" max="262" width="9.85546875" style="654" customWidth="1"/>
    <col min="263" max="263" width="8.28515625" style="654" customWidth="1"/>
    <col min="264" max="264" width="8.5703125" style="654" customWidth="1"/>
    <col min="265" max="265" width="8.28515625" style="654" customWidth="1"/>
    <col min="266" max="266" width="7.85546875" style="654" customWidth="1"/>
    <col min="267" max="267" width="7.140625" style="654" customWidth="1"/>
    <col min="268" max="268" width="7.28515625" style="654" customWidth="1"/>
    <col min="269" max="269" width="7.7109375" style="654" customWidth="1"/>
    <col min="270" max="270" width="6.7109375" style="654" customWidth="1"/>
    <col min="271" max="512" width="9.140625" style="654"/>
    <col min="513" max="513" width="24.140625" style="654" customWidth="1"/>
    <col min="514" max="514" width="8.42578125" style="654" customWidth="1"/>
    <col min="515" max="515" width="7.5703125" style="654" customWidth="1"/>
    <col min="516" max="516" width="9.5703125" style="654" customWidth="1"/>
    <col min="517" max="517" width="9" style="654" customWidth="1"/>
    <col min="518" max="518" width="9.85546875" style="654" customWidth="1"/>
    <col min="519" max="519" width="8.28515625" style="654" customWidth="1"/>
    <col min="520" max="520" width="8.5703125" style="654" customWidth="1"/>
    <col min="521" max="521" width="8.28515625" style="654" customWidth="1"/>
    <col min="522" max="522" width="7.85546875" style="654" customWidth="1"/>
    <col min="523" max="523" width="7.140625" style="654" customWidth="1"/>
    <col min="524" max="524" width="7.28515625" style="654" customWidth="1"/>
    <col min="525" max="525" width="7.7109375" style="654" customWidth="1"/>
    <col min="526" max="526" width="6.7109375" style="654" customWidth="1"/>
    <col min="527" max="768" width="9.140625" style="654"/>
    <col min="769" max="769" width="24.140625" style="654" customWidth="1"/>
    <col min="770" max="770" width="8.42578125" style="654" customWidth="1"/>
    <col min="771" max="771" width="7.5703125" style="654" customWidth="1"/>
    <col min="772" max="772" width="9.5703125" style="654" customWidth="1"/>
    <col min="773" max="773" width="9" style="654" customWidth="1"/>
    <col min="774" max="774" width="9.85546875" style="654" customWidth="1"/>
    <col min="775" max="775" width="8.28515625" style="654" customWidth="1"/>
    <col min="776" max="776" width="8.5703125" style="654" customWidth="1"/>
    <col min="777" max="777" width="8.28515625" style="654" customWidth="1"/>
    <col min="778" max="778" width="7.85546875" style="654" customWidth="1"/>
    <col min="779" max="779" width="7.140625" style="654" customWidth="1"/>
    <col min="780" max="780" width="7.28515625" style="654" customWidth="1"/>
    <col min="781" max="781" width="7.7109375" style="654" customWidth="1"/>
    <col min="782" max="782" width="6.7109375" style="654" customWidth="1"/>
    <col min="783" max="1024" width="9.140625" style="654"/>
    <col min="1025" max="1025" width="24.140625" style="654" customWidth="1"/>
    <col min="1026" max="1026" width="8.42578125" style="654" customWidth="1"/>
    <col min="1027" max="1027" width="7.5703125" style="654" customWidth="1"/>
    <col min="1028" max="1028" width="9.5703125" style="654" customWidth="1"/>
    <col min="1029" max="1029" width="9" style="654" customWidth="1"/>
    <col min="1030" max="1030" width="9.85546875" style="654" customWidth="1"/>
    <col min="1031" max="1031" width="8.28515625" style="654" customWidth="1"/>
    <col min="1032" max="1032" width="8.5703125" style="654" customWidth="1"/>
    <col min="1033" max="1033" width="8.28515625" style="654" customWidth="1"/>
    <col min="1034" max="1034" width="7.85546875" style="654" customWidth="1"/>
    <col min="1035" max="1035" width="7.140625" style="654" customWidth="1"/>
    <col min="1036" max="1036" width="7.28515625" style="654" customWidth="1"/>
    <col min="1037" max="1037" width="7.7109375" style="654" customWidth="1"/>
    <col min="1038" max="1038" width="6.7109375" style="654" customWidth="1"/>
    <col min="1039" max="1280" width="9.140625" style="654"/>
    <col min="1281" max="1281" width="24.140625" style="654" customWidth="1"/>
    <col min="1282" max="1282" width="8.42578125" style="654" customWidth="1"/>
    <col min="1283" max="1283" width="7.5703125" style="654" customWidth="1"/>
    <col min="1284" max="1284" width="9.5703125" style="654" customWidth="1"/>
    <col min="1285" max="1285" width="9" style="654" customWidth="1"/>
    <col min="1286" max="1286" width="9.85546875" style="654" customWidth="1"/>
    <col min="1287" max="1287" width="8.28515625" style="654" customWidth="1"/>
    <col min="1288" max="1288" width="8.5703125" style="654" customWidth="1"/>
    <col min="1289" max="1289" width="8.28515625" style="654" customWidth="1"/>
    <col min="1290" max="1290" width="7.85546875" style="654" customWidth="1"/>
    <col min="1291" max="1291" width="7.140625" style="654" customWidth="1"/>
    <col min="1292" max="1292" width="7.28515625" style="654" customWidth="1"/>
    <col min="1293" max="1293" width="7.7109375" style="654" customWidth="1"/>
    <col min="1294" max="1294" width="6.7109375" style="654" customWidth="1"/>
    <col min="1295" max="1536" width="9.140625" style="654"/>
    <col min="1537" max="1537" width="24.140625" style="654" customWidth="1"/>
    <col min="1538" max="1538" width="8.42578125" style="654" customWidth="1"/>
    <col min="1539" max="1539" width="7.5703125" style="654" customWidth="1"/>
    <col min="1540" max="1540" width="9.5703125" style="654" customWidth="1"/>
    <col min="1541" max="1541" width="9" style="654" customWidth="1"/>
    <col min="1542" max="1542" width="9.85546875" style="654" customWidth="1"/>
    <col min="1543" max="1543" width="8.28515625" style="654" customWidth="1"/>
    <col min="1544" max="1544" width="8.5703125" style="654" customWidth="1"/>
    <col min="1545" max="1545" width="8.28515625" style="654" customWidth="1"/>
    <col min="1546" max="1546" width="7.85546875" style="654" customWidth="1"/>
    <col min="1547" max="1547" width="7.140625" style="654" customWidth="1"/>
    <col min="1548" max="1548" width="7.28515625" style="654" customWidth="1"/>
    <col min="1549" max="1549" width="7.7109375" style="654" customWidth="1"/>
    <col min="1550" max="1550" width="6.7109375" style="654" customWidth="1"/>
    <col min="1551" max="1792" width="9.140625" style="654"/>
    <col min="1793" max="1793" width="24.140625" style="654" customWidth="1"/>
    <col min="1794" max="1794" width="8.42578125" style="654" customWidth="1"/>
    <col min="1795" max="1795" width="7.5703125" style="654" customWidth="1"/>
    <col min="1796" max="1796" width="9.5703125" style="654" customWidth="1"/>
    <col min="1797" max="1797" width="9" style="654" customWidth="1"/>
    <col min="1798" max="1798" width="9.85546875" style="654" customWidth="1"/>
    <col min="1799" max="1799" width="8.28515625" style="654" customWidth="1"/>
    <col min="1800" max="1800" width="8.5703125" style="654" customWidth="1"/>
    <col min="1801" max="1801" width="8.28515625" style="654" customWidth="1"/>
    <col min="1802" max="1802" width="7.85546875" style="654" customWidth="1"/>
    <col min="1803" max="1803" width="7.140625" style="654" customWidth="1"/>
    <col min="1804" max="1804" width="7.28515625" style="654" customWidth="1"/>
    <col min="1805" max="1805" width="7.7109375" style="654" customWidth="1"/>
    <col min="1806" max="1806" width="6.7109375" style="654" customWidth="1"/>
    <col min="1807" max="2048" width="9.140625" style="654"/>
    <col min="2049" max="2049" width="24.140625" style="654" customWidth="1"/>
    <col min="2050" max="2050" width="8.42578125" style="654" customWidth="1"/>
    <col min="2051" max="2051" width="7.5703125" style="654" customWidth="1"/>
    <col min="2052" max="2052" width="9.5703125" style="654" customWidth="1"/>
    <col min="2053" max="2053" width="9" style="654" customWidth="1"/>
    <col min="2054" max="2054" width="9.85546875" style="654" customWidth="1"/>
    <col min="2055" max="2055" width="8.28515625" style="654" customWidth="1"/>
    <col min="2056" max="2056" width="8.5703125" style="654" customWidth="1"/>
    <col min="2057" max="2057" width="8.28515625" style="654" customWidth="1"/>
    <col min="2058" max="2058" width="7.85546875" style="654" customWidth="1"/>
    <col min="2059" max="2059" width="7.140625" style="654" customWidth="1"/>
    <col min="2060" max="2060" width="7.28515625" style="654" customWidth="1"/>
    <col min="2061" max="2061" width="7.7109375" style="654" customWidth="1"/>
    <col min="2062" max="2062" width="6.7109375" style="654" customWidth="1"/>
    <col min="2063" max="2304" width="9.140625" style="654"/>
    <col min="2305" max="2305" width="24.140625" style="654" customWidth="1"/>
    <col min="2306" max="2306" width="8.42578125" style="654" customWidth="1"/>
    <col min="2307" max="2307" width="7.5703125" style="654" customWidth="1"/>
    <col min="2308" max="2308" width="9.5703125" style="654" customWidth="1"/>
    <col min="2309" max="2309" width="9" style="654" customWidth="1"/>
    <col min="2310" max="2310" width="9.85546875" style="654" customWidth="1"/>
    <col min="2311" max="2311" width="8.28515625" style="654" customWidth="1"/>
    <col min="2312" max="2312" width="8.5703125" style="654" customWidth="1"/>
    <col min="2313" max="2313" width="8.28515625" style="654" customWidth="1"/>
    <col min="2314" max="2314" width="7.85546875" style="654" customWidth="1"/>
    <col min="2315" max="2315" width="7.140625" style="654" customWidth="1"/>
    <col min="2316" max="2316" width="7.28515625" style="654" customWidth="1"/>
    <col min="2317" max="2317" width="7.7109375" style="654" customWidth="1"/>
    <col min="2318" max="2318" width="6.7109375" style="654" customWidth="1"/>
    <col min="2319" max="2560" width="9.140625" style="654"/>
    <col min="2561" max="2561" width="24.140625" style="654" customWidth="1"/>
    <col min="2562" max="2562" width="8.42578125" style="654" customWidth="1"/>
    <col min="2563" max="2563" width="7.5703125" style="654" customWidth="1"/>
    <col min="2564" max="2564" width="9.5703125" style="654" customWidth="1"/>
    <col min="2565" max="2565" width="9" style="654" customWidth="1"/>
    <col min="2566" max="2566" width="9.85546875" style="654" customWidth="1"/>
    <col min="2567" max="2567" width="8.28515625" style="654" customWidth="1"/>
    <col min="2568" max="2568" width="8.5703125" style="654" customWidth="1"/>
    <col min="2569" max="2569" width="8.28515625" style="654" customWidth="1"/>
    <col min="2570" max="2570" width="7.85546875" style="654" customWidth="1"/>
    <col min="2571" max="2571" width="7.140625" style="654" customWidth="1"/>
    <col min="2572" max="2572" width="7.28515625" style="654" customWidth="1"/>
    <col min="2573" max="2573" width="7.7109375" style="654" customWidth="1"/>
    <col min="2574" max="2574" width="6.7109375" style="654" customWidth="1"/>
    <col min="2575" max="2816" width="9.140625" style="654"/>
    <col min="2817" max="2817" width="24.140625" style="654" customWidth="1"/>
    <col min="2818" max="2818" width="8.42578125" style="654" customWidth="1"/>
    <col min="2819" max="2819" width="7.5703125" style="654" customWidth="1"/>
    <col min="2820" max="2820" width="9.5703125" style="654" customWidth="1"/>
    <col min="2821" max="2821" width="9" style="654" customWidth="1"/>
    <col min="2822" max="2822" width="9.85546875" style="654" customWidth="1"/>
    <col min="2823" max="2823" width="8.28515625" style="654" customWidth="1"/>
    <col min="2824" max="2824" width="8.5703125" style="654" customWidth="1"/>
    <col min="2825" max="2825" width="8.28515625" style="654" customWidth="1"/>
    <col min="2826" max="2826" width="7.85546875" style="654" customWidth="1"/>
    <col min="2827" max="2827" width="7.140625" style="654" customWidth="1"/>
    <col min="2828" max="2828" width="7.28515625" style="654" customWidth="1"/>
    <col min="2829" max="2829" width="7.7109375" style="654" customWidth="1"/>
    <col min="2830" max="2830" width="6.7109375" style="654" customWidth="1"/>
    <col min="2831" max="3072" width="9.140625" style="654"/>
    <col min="3073" max="3073" width="24.140625" style="654" customWidth="1"/>
    <col min="3074" max="3074" width="8.42578125" style="654" customWidth="1"/>
    <col min="3075" max="3075" width="7.5703125" style="654" customWidth="1"/>
    <col min="3076" max="3076" width="9.5703125" style="654" customWidth="1"/>
    <col min="3077" max="3077" width="9" style="654" customWidth="1"/>
    <col min="3078" max="3078" width="9.85546875" style="654" customWidth="1"/>
    <col min="3079" max="3079" width="8.28515625" style="654" customWidth="1"/>
    <col min="3080" max="3080" width="8.5703125" style="654" customWidth="1"/>
    <col min="3081" max="3081" width="8.28515625" style="654" customWidth="1"/>
    <col min="3082" max="3082" width="7.85546875" style="654" customWidth="1"/>
    <col min="3083" max="3083" width="7.140625" style="654" customWidth="1"/>
    <col min="3084" max="3084" width="7.28515625" style="654" customWidth="1"/>
    <col min="3085" max="3085" width="7.7109375" style="654" customWidth="1"/>
    <col min="3086" max="3086" width="6.7109375" style="654" customWidth="1"/>
    <col min="3087" max="3328" width="9.140625" style="654"/>
    <col min="3329" max="3329" width="24.140625" style="654" customWidth="1"/>
    <col min="3330" max="3330" width="8.42578125" style="654" customWidth="1"/>
    <col min="3331" max="3331" width="7.5703125" style="654" customWidth="1"/>
    <col min="3332" max="3332" width="9.5703125" style="654" customWidth="1"/>
    <col min="3333" max="3333" width="9" style="654" customWidth="1"/>
    <col min="3334" max="3334" width="9.85546875" style="654" customWidth="1"/>
    <col min="3335" max="3335" width="8.28515625" style="654" customWidth="1"/>
    <col min="3336" max="3336" width="8.5703125" style="654" customWidth="1"/>
    <col min="3337" max="3337" width="8.28515625" style="654" customWidth="1"/>
    <col min="3338" max="3338" width="7.85546875" style="654" customWidth="1"/>
    <col min="3339" max="3339" width="7.140625" style="654" customWidth="1"/>
    <col min="3340" max="3340" width="7.28515625" style="654" customWidth="1"/>
    <col min="3341" max="3341" width="7.7109375" style="654" customWidth="1"/>
    <col min="3342" max="3342" width="6.7109375" style="654" customWidth="1"/>
    <col min="3343" max="3584" width="9.140625" style="654"/>
    <col min="3585" max="3585" width="24.140625" style="654" customWidth="1"/>
    <col min="3586" max="3586" width="8.42578125" style="654" customWidth="1"/>
    <col min="3587" max="3587" width="7.5703125" style="654" customWidth="1"/>
    <col min="3588" max="3588" width="9.5703125" style="654" customWidth="1"/>
    <col min="3589" max="3589" width="9" style="654" customWidth="1"/>
    <col min="3590" max="3590" width="9.85546875" style="654" customWidth="1"/>
    <col min="3591" max="3591" width="8.28515625" style="654" customWidth="1"/>
    <col min="3592" max="3592" width="8.5703125" style="654" customWidth="1"/>
    <col min="3593" max="3593" width="8.28515625" style="654" customWidth="1"/>
    <col min="3594" max="3594" width="7.85546875" style="654" customWidth="1"/>
    <col min="3595" max="3595" width="7.140625" style="654" customWidth="1"/>
    <col min="3596" max="3596" width="7.28515625" style="654" customWidth="1"/>
    <col min="3597" max="3597" width="7.7109375" style="654" customWidth="1"/>
    <col min="3598" max="3598" width="6.7109375" style="654" customWidth="1"/>
    <col min="3599" max="3840" width="9.140625" style="654"/>
    <col min="3841" max="3841" width="24.140625" style="654" customWidth="1"/>
    <col min="3842" max="3842" width="8.42578125" style="654" customWidth="1"/>
    <col min="3843" max="3843" width="7.5703125" style="654" customWidth="1"/>
    <col min="3844" max="3844" width="9.5703125" style="654" customWidth="1"/>
    <col min="3845" max="3845" width="9" style="654" customWidth="1"/>
    <col min="3846" max="3846" width="9.85546875" style="654" customWidth="1"/>
    <col min="3847" max="3847" width="8.28515625" style="654" customWidth="1"/>
    <col min="3848" max="3848" width="8.5703125" style="654" customWidth="1"/>
    <col min="3849" max="3849" width="8.28515625" style="654" customWidth="1"/>
    <col min="3850" max="3850" width="7.85546875" style="654" customWidth="1"/>
    <col min="3851" max="3851" width="7.140625" style="654" customWidth="1"/>
    <col min="3852" max="3852" width="7.28515625" style="654" customWidth="1"/>
    <col min="3853" max="3853" width="7.7109375" style="654" customWidth="1"/>
    <col min="3854" max="3854" width="6.7109375" style="654" customWidth="1"/>
    <col min="3855" max="4096" width="9.140625" style="654"/>
    <col min="4097" max="4097" width="24.140625" style="654" customWidth="1"/>
    <col min="4098" max="4098" width="8.42578125" style="654" customWidth="1"/>
    <col min="4099" max="4099" width="7.5703125" style="654" customWidth="1"/>
    <col min="4100" max="4100" width="9.5703125" style="654" customWidth="1"/>
    <col min="4101" max="4101" width="9" style="654" customWidth="1"/>
    <col min="4102" max="4102" width="9.85546875" style="654" customWidth="1"/>
    <col min="4103" max="4103" width="8.28515625" style="654" customWidth="1"/>
    <col min="4104" max="4104" width="8.5703125" style="654" customWidth="1"/>
    <col min="4105" max="4105" width="8.28515625" style="654" customWidth="1"/>
    <col min="4106" max="4106" width="7.85546875" style="654" customWidth="1"/>
    <col min="4107" max="4107" width="7.140625" style="654" customWidth="1"/>
    <col min="4108" max="4108" width="7.28515625" style="654" customWidth="1"/>
    <col min="4109" max="4109" width="7.7109375" style="654" customWidth="1"/>
    <col min="4110" max="4110" width="6.7109375" style="654" customWidth="1"/>
    <col min="4111" max="4352" width="9.140625" style="654"/>
    <col min="4353" max="4353" width="24.140625" style="654" customWidth="1"/>
    <col min="4354" max="4354" width="8.42578125" style="654" customWidth="1"/>
    <col min="4355" max="4355" width="7.5703125" style="654" customWidth="1"/>
    <col min="4356" max="4356" width="9.5703125" style="654" customWidth="1"/>
    <col min="4357" max="4357" width="9" style="654" customWidth="1"/>
    <col min="4358" max="4358" width="9.85546875" style="654" customWidth="1"/>
    <col min="4359" max="4359" width="8.28515625" style="654" customWidth="1"/>
    <col min="4360" max="4360" width="8.5703125" style="654" customWidth="1"/>
    <col min="4361" max="4361" width="8.28515625" style="654" customWidth="1"/>
    <col min="4362" max="4362" width="7.85546875" style="654" customWidth="1"/>
    <col min="4363" max="4363" width="7.140625" style="654" customWidth="1"/>
    <col min="4364" max="4364" width="7.28515625" style="654" customWidth="1"/>
    <col min="4365" max="4365" width="7.7109375" style="654" customWidth="1"/>
    <col min="4366" max="4366" width="6.7109375" style="654" customWidth="1"/>
    <col min="4367" max="4608" width="9.140625" style="654"/>
    <col min="4609" max="4609" width="24.140625" style="654" customWidth="1"/>
    <col min="4610" max="4610" width="8.42578125" style="654" customWidth="1"/>
    <col min="4611" max="4611" width="7.5703125" style="654" customWidth="1"/>
    <col min="4612" max="4612" width="9.5703125" style="654" customWidth="1"/>
    <col min="4613" max="4613" width="9" style="654" customWidth="1"/>
    <col min="4614" max="4614" width="9.85546875" style="654" customWidth="1"/>
    <col min="4615" max="4615" width="8.28515625" style="654" customWidth="1"/>
    <col min="4616" max="4616" width="8.5703125" style="654" customWidth="1"/>
    <col min="4617" max="4617" width="8.28515625" style="654" customWidth="1"/>
    <col min="4618" max="4618" width="7.85546875" style="654" customWidth="1"/>
    <col min="4619" max="4619" width="7.140625" style="654" customWidth="1"/>
    <col min="4620" max="4620" width="7.28515625" style="654" customWidth="1"/>
    <col min="4621" max="4621" width="7.7109375" style="654" customWidth="1"/>
    <col min="4622" max="4622" width="6.7109375" style="654" customWidth="1"/>
    <col min="4623" max="4864" width="9.140625" style="654"/>
    <col min="4865" max="4865" width="24.140625" style="654" customWidth="1"/>
    <col min="4866" max="4866" width="8.42578125" style="654" customWidth="1"/>
    <col min="4867" max="4867" width="7.5703125" style="654" customWidth="1"/>
    <col min="4868" max="4868" width="9.5703125" style="654" customWidth="1"/>
    <col min="4869" max="4869" width="9" style="654" customWidth="1"/>
    <col min="4870" max="4870" width="9.85546875" style="654" customWidth="1"/>
    <col min="4871" max="4871" width="8.28515625" style="654" customWidth="1"/>
    <col min="4872" max="4872" width="8.5703125" style="654" customWidth="1"/>
    <col min="4873" max="4873" width="8.28515625" style="654" customWidth="1"/>
    <col min="4874" max="4874" width="7.85546875" style="654" customWidth="1"/>
    <col min="4875" max="4875" width="7.140625" style="654" customWidth="1"/>
    <col min="4876" max="4876" width="7.28515625" style="654" customWidth="1"/>
    <col min="4877" max="4877" width="7.7109375" style="654" customWidth="1"/>
    <col min="4878" max="4878" width="6.7109375" style="654" customWidth="1"/>
    <col min="4879" max="5120" width="9.140625" style="654"/>
    <col min="5121" max="5121" width="24.140625" style="654" customWidth="1"/>
    <col min="5122" max="5122" width="8.42578125" style="654" customWidth="1"/>
    <col min="5123" max="5123" width="7.5703125" style="654" customWidth="1"/>
    <col min="5124" max="5124" width="9.5703125" style="654" customWidth="1"/>
    <col min="5125" max="5125" width="9" style="654" customWidth="1"/>
    <col min="5126" max="5126" width="9.85546875" style="654" customWidth="1"/>
    <col min="5127" max="5127" width="8.28515625" style="654" customWidth="1"/>
    <col min="5128" max="5128" width="8.5703125" style="654" customWidth="1"/>
    <col min="5129" max="5129" width="8.28515625" style="654" customWidth="1"/>
    <col min="5130" max="5130" width="7.85546875" style="654" customWidth="1"/>
    <col min="5131" max="5131" width="7.140625" style="654" customWidth="1"/>
    <col min="5132" max="5132" width="7.28515625" style="654" customWidth="1"/>
    <col min="5133" max="5133" width="7.7109375" style="654" customWidth="1"/>
    <col min="5134" max="5134" width="6.7109375" style="654" customWidth="1"/>
    <col min="5135" max="5376" width="9.140625" style="654"/>
    <col min="5377" max="5377" width="24.140625" style="654" customWidth="1"/>
    <col min="5378" max="5378" width="8.42578125" style="654" customWidth="1"/>
    <col min="5379" max="5379" width="7.5703125" style="654" customWidth="1"/>
    <col min="5380" max="5380" width="9.5703125" style="654" customWidth="1"/>
    <col min="5381" max="5381" width="9" style="654" customWidth="1"/>
    <col min="5382" max="5382" width="9.85546875" style="654" customWidth="1"/>
    <col min="5383" max="5383" width="8.28515625" style="654" customWidth="1"/>
    <col min="5384" max="5384" width="8.5703125" style="654" customWidth="1"/>
    <col min="5385" max="5385" width="8.28515625" style="654" customWidth="1"/>
    <col min="5386" max="5386" width="7.85546875" style="654" customWidth="1"/>
    <col min="5387" max="5387" width="7.140625" style="654" customWidth="1"/>
    <col min="5388" max="5388" width="7.28515625" style="654" customWidth="1"/>
    <col min="5389" max="5389" width="7.7109375" style="654" customWidth="1"/>
    <col min="5390" max="5390" width="6.7109375" style="654" customWidth="1"/>
    <col min="5391" max="5632" width="9.140625" style="654"/>
    <col min="5633" max="5633" width="24.140625" style="654" customWidth="1"/>
    <col min="5634" max="5634" width="8.42578125" style="654" customWidth="1"/>
    <col min="5635" max="5635" width="7.5703125" style="654" customWidth="1"/>
    <col min="5636" max="5636" width="9.5703125" style="654" customWidth="1"/>
    <col min="5637" max="5637" width="9" style="654" customWidth="1"/>
    <col min="5638" max="5638" width="9.85546875" style="654" customWidth="1"/>
    <col min="5639" max="5639" width="8.28515625" style="654" customWidth="1"/>
    <col min="5640" max="5640" width="8.5703125" style="654" customWidth="1"/>
    <col min="5641" max="5641" width="8.28515625" style="654" customWidth="1"/>
    <col min="5642" max="5642" width="7.85546875" style="654" customWidth="1"/>
    <col min="5643" max="5643" width="7.140625" style="654" customWidth="1"/>
    <col min="5644" max="5644" width="7.28515625" style="654" customWidth="1"/>
    <col min="5645" max="5645" width="7.7109375" style="654" customWidth="1"/>
    <col min="5646" max="5646" width="6.7109375" style="654" customWidth="1"/>
    <col min="5647" max="5888" width="9.140625" style="654"/>
    <col min="5889" max="5889" width="24.140625" style="654" customWidth="1"/>
    <col min="5890" max="5890" width="8.42578125" style="654" customWidth="1"/>
    <col min="5891" max="5891" width="7.5703125" style="654" customWidth="1"/>
    <col min="5892" max="5892" width="9.5703125" style="654" customWidth="1"/>
    <col min="5893" max="5893" width="9" style="654" customWidth="1"/>
    <col min="5894" max="5894" width="9.85546875" style="654" customWidth="1"/>
    <col min="5895" max="5895" width="8.28515625" style="654" customWidth="1"/>
    <col min="5896" max="5896" width="8.5703125" style="654" customWidth="1"/>
    <col min="5897" max="5897" width="8.28515625" style="654" customWidth="1"/>
    <col min="5898" max="5898" width="7.85546875" style="654" customWidth="1"/>
    <col min="5899" max="5899" width="7.140625" style="654" customWidth="1"/>
    <col min="5900" max="5900" width="7.28515625" style="654" customWidth="1"/>
    <col min="5901" max="5901" width="7.7109375" style="654" customWidth="1"/>
    <col min="5902" max="5902" width="6.7109375" style="654" customWidth="1"/>
    <col min="5903" max="6144" width="9.140625" style="654"/>
    <col min="6145" max="6145" width="24.140625" style="654" customWidth="1"/>
    <col min="6146" max="6146" width="8.42578125" style="654" customWidth="1"/>
    <col min="6147" max="6147" width="7.5703125" style="654" customWidth="1"/>
    <col min="6148" max="6148" width="9.5703125" style="654" customWidth="1"/>
    <col min="6149" max="6149" width="9" style="654" customWidth="1"/>
    <col min="6150" max="6150" width="9.85546875" style="654" customWidth="1"/>
    <col min="6151" max="6151" width="8.28515625" style="654" customWidth="1"/>
    <col min="6152" max="6152" width="8.5703125" style="654" customWidth="1"/>
    <col min="6153" max="6153" width="8.28515625" style="654" customWidth="1"/>
    <col min="6154" max="6154" width="7.85546875" style="654" customWidth="1"/>
    <col min="6155" max="6155" width="7.140625" style="654" customWidth="1"/>
    <col min="6156" max="6156" width="7.28515625" style="654" customWidth="1"/>
    <col min="6157" max="6157" width="7.7109375" style="654" customWidth="1"/>
    <col min="6158" max="6158" width="6.7109375" style="654" customWidth="1"/>
    <col min="6159" max="6400" width="9.140625" style="654"/>
    <col min="6401" max="6401" width="24.140625" style="654" customWidth="1"/>
    <col min="6402" max="6402" width="8.42578125" style="654" customWidth="1"/>
    <col min="6403" max="6403" width="7.5703125" style="654" customWidth="1"/>
    <col min="6404" max="6404" width="9.5703125" style="654" customWidth="1"/>
    <col min="6405" max="6405" width="9" style="654" customWidth="1"/>
    <col min="6406" max="6406" width="9.85546875" style="654" customWidth="1"/>
    <col min="6407" max="6407" width="8.28515625" style="654" customWidth="1"/>
    <col min="6408" max="6408" width="8.5703125" style="654" customWidth="1"/>
    <col min="6409" max="6409" width="8.28515625" style="654" customWidth="1"/>
    <col min="6410" max="6410" width="7.85546875" style="654" customWidth="1"/>
    <col min="6411" max="6411" width="7.140625" style="654" customWidth="1"/>
    <col min="6412" max="6412" width="7.28515625" style="654" customWidth="1"/>
    <col min="6413" max="6413" width="7.7109375" style="654" customWidth="1"/>
    <col min="6414" max="6414" width="6.7109375" style="654" customWidth="1"/>
    <col min="6415" max="6656" width="9.140625" style="654"/>
    <col min="6657" max="6657" width="24.140625" style="654" customWidth="1"/>
    <col min="6658" max="6658" width="8.42578125" style="654" customWidth="1"/>
    <col min="6659" max="6659" width="7.5703125" style="654" customWidth="1"/>
    <col min="6660" max="6660" width="9.5703125" style="654" customWidth="1"/>
    <col min="6661" max="6661" width="9" style="654" customWidth="1"/>
    <col min="6662" max="6662" width="9.85546875" style="654" customWidth="1"/>
    <col min="6663" max="6663" width="8.28515625" style="654" customWidth="1"/>
    <col min="6664" max="6664" width="8.5703125" style="654" customWidth="1"/>
    <col min="6665" max="6665" width="8.28515625" style="654" customWidth="1"/>
    <col min="6666" max="6666" width="7.85546875" style="654" customWidth="1"/>
    <col min="6667" max="6667" width="7.140625" style="654" customWidth="1"/>
    <col min="6668" max="6668" width="7.28515625" style="654" customWidth="1"/>
    <col min="6669" max="6669" width="7.7109375" style="654" customWidth="1"/>
    <col min="6670" max="6670" width="6.7109375" style="654" customWidth="1"/>
    <col min="6671" max="6912" width="9.140625" style="654"/>
    <col min="6913" max="6913" width="24.140625" style="654" customWidth="1"/>
    <col min="6914" max="6914" width="8.42578125" style="654" customWidth="1"/>
    <col min="6915" max="6915" width="7.5703125" style="654" customWidth="1"/>
    <col min="6916" max="6916" width="9.5703125" style="654" customWidth="1"/>
    <col min="6917" max="6917" width="9" style="654" customWidth="1"/>
    <col min="6918" max="6918" width="9.85546875" style="654" customWidth="1"/>
    <col min="6919" max="6919" width="8.28515625" style="654" customWidth="1"/>
    <col min="6920" max="6920" width="8.5703125" style="654" customWidth="1"/>
    <col min="6921" max="6921" width="8.28515625" style="654" customWidth="1"/>
    <col min="6922" max="6922" width="7.85546875" style="654" customWidth="1"/>
    <col min="6923" max="6923" width="7.140625" style="654" customWidth="1"/>
    <col min="6924" max="6924" width="7.28515625" style="654" customWidth="1"/>
    <col min="6925" max="6925" width="7.7109375" style="654" customWidth="1"/>
    <col min="6926" max="6926" width="6.7109375" style="654" customWidth="1"/>
    <col min="6927" max="7168" width="9.140625" style="654"/>
    <col min="7169" max="7169" width="24.140625" style="654" customWidth="1"/>
    <col min="7170" max="7170" width="8.42578125" style="654" customWidth="1"/>
    <col min="7171" max="7171" width="7.5703125" style="654" customWidth="1"/>
    <col min="7172" max="7172" width="9.5703125" style="654" customWidth="1"/>
    <col min="7173" max="7173" width="9" style="654" customWidth="1"/>
    <col min="7174" max="7174" width="9.85546875" style="654" customWidth="1"/>
    <col min="7175" max="7175" width="8.28515625" style="654" customWidth="1"/>
    <col min="7176" max="7176" width="8.5703125" style="654" customWidth="1"/>
    <col min="7177" max="7177" width="8.28515625" style="654" customWidth="1"/>
    <col min="7178" max="7178" width="7.85546875" style="654" customWidth="1"/>
    <col min="7179" max="7179" width="7.140625" style="654" customWidth="1"/>
    <col min="7180" max="7180" width="7.28515625" style="654" customWidth="1"/>
    <col min="7181" max="7181" width="7.7109375" style="654" customWidth="1"/>
    <col min="7182" max="7182" width="6.7109375" style="654" customWidth="1"/>
    <col min="7183" max="7424" width="9.140625" style="654"/>
    <col min="7425" max="7425" width="24.140625" style="654" customWidth="1"/>
    <col min="7426" max="7426" width="8.42578125" style="654" customWidth="1"/>
    <col min="7427" max="7427" width="7.5703125" style="654" customWidth="1"/>
    <col min="7428" max="7428" width="9.5703125" style="654" customWidth="1"/>
    <col min="7429" max="7429" width="9" style="654" customWidth="1"/>
    <col min="7430" max="7430" width="9.85546875" style="654" customWidth="1"/>
    <col min="7431" max="7431" width="8.28515625" style="654" customWidth="1"/>
    <col min="7432" max="7432" width="8.5703125" style="654" customWidth="1"/>
    <col min="7433" max="7433" width="8.28515625" style="654" customWidth="1"/>
    <col min="7434" max="7434" width="7.85546875" style="654" customWidth="1"/>
    <col min="7435" max="7435" width="7.140625" style="654" customWidth="1"/>
    <col min="7436" max="7436" width="7.28515625" style="654" customWidth="1"/>
    <col min="7437" max="7437" width="7.7109375" style="654" customWidth="1"/>
    <col min="7438" max="7438" width="6.7109375" style="654" customWidth="1"/>
    <col min="7439" max="7680" width="9.140625" style="654"/>
    <col min="7681" max="7681" width="24.140625" style="654" customWidth="1"/>
    <col min="7682" max="7682" width="8.42578125" style="654" customWidth="1"/>
    <col min="7683" max="7683" width="7.5703125" style="654" customWidth="1"/>
    <col min="7684" max="7684" width="9.5703125" style="654" customWidth="1"/>
    <col min="7685" max="7685" width="9" style="654" customWidth="1"/>
    <col min="7686" max="7686" width="9.85546875" style="654" customWidth="1"/>
    <col min="7687" max="7687" width="8.28515625" style="654" customWidth="1"/>
    <col min="7688" max="7688" width="8.5703125" style="654" customWidth="1"/>
    <col min="7689" max="7689" width="8.28515625" style="654" customWidth="1"/>
    <col min="7690" max="7690" width="7.85546875" style="654" customWidth="1"/>
    <col min="7691" max="7691" width="7.140625" style="654" customWidth="1"/>
    <col min="7692" max="7692" width="7.28515625" style="654" customWidth="1"/>
    <col min="7693" max="7693" width="7.7109375" style="654" customWidth="1"/>
    <col min="7694" max="7694" width="6.7109375" style="654" customWidth="1"/>
    <col min="7695" max="7936" width="9.140625" style="654"/>
    <col min="7937" max="7937" width="24.140625" style="654" customWidth="1"/>
    <col min="7938" max="7938" width="8.42578125" style="654" customWidth="1"/>
    <col min="7939" max="7939" width="7.5703125" style="654" customWidth="1"/>
    <col min="7940" max="7940" width="9.5703125" style="654" customWidth="1"/>
    <col min="7941" max="7941" width="9" style="654" customWidth="1"/>
    <col min="7942" max="7942" width="9.85546875" style="654" customWidth="1"/>
    <col min="7943" max="7943" width="8.28515625" style="654" customWidth="1"/>
    <col min="7944" max="7944" width="8.5703125" style="654" customWidth="1"/>
    <col min="7945" max="7945" width="8.28515625" style="654" customWidth="1"/>
    <col min="7946" max="7946" width="7.85546875" style="654" customWidth="1"/>
    <col min="7947" max="7947" width="7.140625" style="654" customWidth="1"/>
    <col min="7948" max="7948" width="7.28515625" style="654" customWidth="1"/>
    <col min="7949" max="7949" width="7.7109375" style="654" customWidth="1"/>
    <col min="7950" max="7950" width="6.7109375" style="654" customWidth="1"/>
    <col min="7951" max="8192" width="9.140625" style="654"/>
    <col min="8193" max="8193" width="24.140625" style="654" customWidth="1"/>
    <col min="8194" max="8194" width="8.42578125" style="654" customWidth="1"/>
    <col min="8195" max="8195" width="7.5703125" style="654" customWidth="1"/>
    <col min="8196" max="8196" width="9.5703125" style="654" customWidth="1"/>
    <col min="8197" max="8197" width="9" style="654" customWidth="1"/>
    <col min="8198" max="8198" width="9.85546875" style="654" customWidth="1"/>
    <col min="8199" max="8199" width="8.28515625" style="654" customWidth="1"/>
    <col min="8200" max="8200" width="8.5703125" style="654" customWidth="1"/>
    <col min="8201" max="8201" width="8.28515625" style="654" customWidth="1"/>
    <col min="8202" max="8202" width="7.85546875" style="654" customWidth="1"/>
    <col min="8203" max="8203" width="7.140625" style="654" customWidth="1"/>
    <col min="8204" max="8204" width="7.28515625" style="654" customWidth="1"/>
    <col min="8205" max="8205" width="7.7109375" style="654" customWidth="1"/>
    <col min="8206" max="8206" width="6.7109375" style="654" customWidth="1"/>
    <col min="8207" max="8448" width="9.140625" style="654"/>
    <col min="8449" max="8449" width="24.140625" style="654" customWidth="1"/>
    <col min="8450" max="8450" width="8.42578125" style="654" customWidth="1"/>
    <col min="8451" max="8451" width="7.5703125" style="654" customWidth="1"/>
    <col min="8452" max="8452" width="9.5703125" style="654" customWidth="1"/>
    <col min="8453" max="8453" width="9" style="654" customWidth="1"/>
    <col min="8454" max="8454" width="9.85546875" style="654" customWidth="1"/>
    <col min="8455" max="8455" width="8.28515625" style="654" customWidth="1"/>
    <col min="8456" max="8456" width="8.5703125" style="654" customWidth="1"/>
    <col min="8457" max="8457" width="8.28515625" style="654" customWidth="1"/>
    <col min="8458" max="8458" width="7.85546875" style="654" customWidth="1"/>
    <col min="8459" max="8459" width="7.140625" style="654" customWidth="1"/>
    <col min="8460" max="8460" width="7.28515625" style="654" customWidth="1"/>
    <col min="8461" max="8461" width="7.7109375" style="654" customWidth="1"/>
    <col min="8462" max="8462" width="6.7109375" style="654" customWidth="1"/>
    <col min="8463" max="8704" width="9.140625" style="654"/>
    <col min="8705" max="8705" width="24.140625" style="654" customWidth="1"/>
    <col min="8706" max="8706" width="8.42578125" style="654" customWidth="1"/>
    <col min="8707" max="8707" width="7.5703125" style="654" customWidth="1"/>
    <col min="8708" max="8708" width="9.5703125" style="654" customWidth="1"/>
    <col min="8709" max="8709" width="9" style="654" customWidth="1"/>
    <col min="8710" max="8710" width="9.85546875" style="654" customWidth="1"/>
    <col min="8711" max="8711" width="8.28515625" style="654" customWidth="1"/>
    <col min="8712" max="8712" width="8.5703125" style="654" customWidth="1"/>
    <col min="8713" max="8713" width="8.28515625" style="654" customWidth="1"/>
    <col min="8714" max="8714" width="7.85546875" style="654" customWidth="1"/>
    <col min="8715" max="8715" width="7.140625" style="654" customWidth="1"/>
    <col min="8716" max="8716" width="7.28515625" style="654" customWidth="1"/>
    <col min="8717" max="8717" width="7.7109375" style="654" customWidth="1"/>
    <col min="8718" max="8718" width="6.7109375" style="654" customWidth="1"/>
    <col min="8719" max="8960" width="9.140625" style="654"/>
    <col min="8961" max="8961" width="24.140625" style="654" customWidth="1"/>
    <col min="8962" max="8962" width="8.42578125" style="654" customWidth="1"/>
    <col min="8963" max="8963" width="7.5703125" style="654" customWidth="1"/>
    <col min="8964" max="8964" width="9.5703125" style="654" customWidth="1"/>
    <col min="8965" max="8965" width="9" style="654" customWidth="1"/>
    <col min="8966" max="8966" width="9.85546875" style="654" customWidth="1"/>
    <col min="8967" max="8967" width="8.28515625" style="654" customWidth="1"/>
    <col min="8968" max="8968" width="8.5703125" style="654" customWidth="1"/>
    <col min="8969" max="8969" width="8.28515625" style="654" customWidth="1"/>
    <col min="8970" max="8970" width="7.85546875" style="654" customWidth="1"/>
    <col min="8971" max="8971" width="7.140625" style="654" customWidth="1"/>
    <col min="8972" max="8972" width="7.28515625" style="654" customWidth="1"/>
    <col min="8973" max="8973" width="7.7109375" style="654" customWidth="1"/>
    <col min="8974" max="8974" width="6.7109375" style="654" customWidth="1"/>
    <col min="8975" max="9216" width="9.140625" style="654"/>
    <col min="9217" max="9217" width="24.140625" style="654" customWidth="1"/>
    <col min="9218" max="9218" width="8.42578125" style="654" customWidth="1"/>
    <col min="9219" max="9219" width="7.5703125" style="654" customWidth="1"/>
    <col min="9220" max="9220" width="9.5703125" style="654" customWidth="1"/>
    <col min="9221" max="9221" width="9" style="654" customWidth="1"/>
    <col min="9222" max="9222" width="9.85546875" style="654" customWidth="1"/>
    <col min="9223" max="9223" width="8.28515625" style="654" customWidth="1"/>
    <col min="9224" max="9224" width="8.5703125" style="654" customWidth="1"/>
    <col min="9225" max="9225" width="8.28515625" style="654" customWidth="1"/>
    <col min="9226" max="9226" width="7.85546875" style="654" customWidth="1"/>
    <col min="9227" max="9227" width="7.140625" style="654" customWidth="1"/>
    <col min="9228" max="9228" width="7.28515625" style="654" customWidth="1"/>
    <col min="9229" max="9229" width="7.7109375" style="654" customWidth="1"/>
    <col min="9230" max="9230" width="6.7109375" style="654" customWidth="1"/>
    <col min="9231" max="9472" width="9.140625" style="654"/>
    <col min="9473" max="9473" width="24.140625" style="654" customWidth="1"/>
    <col min="9474" max="9474" width="8.42578125" style="654" customWidth="1"/>
    <col min="9475" max="9475" width="7.5703125" style="654" customWidth="1"/>
    <col min="9476" max="9476" width="9.5703125" style="654" customWidth="1"/>
    <col min="9477" max="9477" width="9" style="654" customWidth="1"/>
    <col min="9478" max="9478" width="9.85546875" style="654" customWidth="1"/>
    <col min="9479" max="9479" width="8.28515625" style="654" customWidth="1"/>
    <col min="9480" max="9480" width="8.5703125" style="654" customWidth="1"/>
    <col min="9481" max="9481" width="8.28515625" style="654" customWidth="1"/>
    <col min="9482" max="9482" width="7.85546875" style="654" customWidth="1"/>
    <col min="9483" max="9483" width="7.140625" style="654" customWidth="1"/>
    <col min="9484" max="9484" width="7.28515625" style="654" customWidth="1"/>
    <col min="9485" max="9485" width="7.7109375" style="654" customWidth="1"/>
    <col min="9486" max="9486" width="6.7109375" style="654" customWidth="1"/>
    <col min="9487" max="9728" width="9.140625" style="654"/>
    <col min="9729" max="9729" width="24.140625" style="654" customWidth="1"/>
    <col min="9730" max="9730" width="8.42578125" style="654" customWidth="1"/>
    <col min="9731" max="9731" width="7.5703125" style="654" customWidth="1"/>
    <col min="9732" max="9732" width="9.5703125" style="654" customWidth="1"/>
    <col min="9733" max="9733" width="9" style="654" customWidth="1"/>
    <col min="9734" max="9734" width="9.85546875" style="654" customWidth="1"/>
    <col min="9735" max="9735" width="8.28515625" style="654" customWidth="1"/>
    <col min="9736" max="9736" width="8.5703125" style="654" customWidth="1"/>
    <col min="9737" max="9737" width="8.28515625" style="654" customWidth="1"/>
    <col min="9738" max="9738" width="7.85546875" style="654" customWidth="1"/>
    <col min="9739" max="9739" width="7.140625" style="654" customWidth="1"/>
    <col min="9740" max="9740" width="7.28515625" style="654" customWidth="1"/>
    <col min="9741" max="9741" width="7.7109375" style="654" customWidth="1"/>
    <col min="9742" max="9742" width="6.7109375" style="654" customWidth="1"/>
    <col min="9743" max="9984" width="9.140625" style="654"/>
    <col min="9985" max="9985" width="24.140625" style="654" customWidth="1"/>
    <col min="9986" max="9986" width="8.42578125" style="654" customWidth="1"/>
    <col min="9987" max="9987" width="7.5703125" style="654" customWidth="1"/>
    <col min="9988" max="9988" width="9.5703125" style="654" customWidth="1"/>
    <col min="9989" max="9989" width="9" style="654" customWidth="1"/>
    <col min="9990" max="9990" width="9.85546875" style="654" customWidth="1"/>
    <col min="9991" max="9991" width="8.28515625" style="654" customWidth="1"/>
    <col min="9992" max="9992" width="8.5703125" style="654" customWidth="1"/>
    <col min="9993" max="9993" width="8.28515625" style="654" customWidth="1"/>
    <col min="9994" max="9994" width="7.85546875" style="654" customWidth="1"/>
    <col min="9995" max="9995" width="7.140625" style="654" customWidth="1"/>
    <col min="9996" max="9996" width="7.28515625" style="654" customWidth="1"/>
    <col min="9997" max="9997" width="7.7109375" style="654" customWidth="1"/>
    <col min="9998" max="9998" width="6.7109375" style="654" customWidth="1"/>
    <col min="9999" max="10240" width="9.140625" style="654"/>
    <col min="10241" max="10241" width="24.140625" style="654" customWidth="1"/>
    <col min="10242" max="10242" width="8.42578125" style="654" customWidth="1"/>
    <col min="10243" max="10243" width="7.5703125" style="654" customWidth="1"/>
    <col min="10244" max="10244" width="9.5703125" style="654" customWidth="1"/>
    <col min="10245" max="10245" width="9" style="654" customWidth="1"/>
    <col min="10246" max="10246" width="9.85546875" style="654" customWidth="1"/>
    <col min="10247" max="10247" width="8.28515625" style="654" customWidth="1"/>
    <col min="10248" max="10248" width="8.5703125" style="654" customWidth="1"/>
    <col min="10249" max="10249" width="8.28515625" style="654" customWidth="1"/>
    <col min="10250" max="10250" width="7.85546875" style="654" customWidth="1"/>
    <col min="10251" max="10251" width="7.140625" style="654" customWidth="1"/>
    <col min="10252" max="10252" width="7.28515625" style="654" customWidth="1"/>
    <col min="10253" max="10253" width="7.7109375" style="654" customWidth="1"/>
    <col min="10254" max="10254" width="6.7109375" style="654" customWidth="1"/>
    <col min="10255" max="10496" width="9.140625" style="654"/>
    <col min="10497" max="10497" width="24.140625" style="654" customWidth="1"/>
    <col min="10498" max="10498" width="8.42578125" style="654" customWidth="1"/>
    <col min="10499" max="10499" width="7.5703125" style="654" customWidth="1"/>
    <col min="10500" max="10500" width="9.5703125" style="654" customWidth="1"/>
    <col min="10501" max="10501" width="9" style="654" customWidth="1"/>
    <col min="10502" max="10502" width="9.85546875" style="654" customWidth="1"/>
    <col min="10503" max="10503" width="8.28515625" style="654" customWidth="1"/>
    <col min="10504" max="10504" width="8.5703125" style="654" customWidth="1"/>
    <col min="10505" max="10505" width="8.28515625" style="654" customWidth="1"/>
    <col min="10506" max="10506" width="7.85546875" style="654" customWidth="1"/>
    <col min="10507" max="10507" width="7.140625" style="654" customWidth="1"/>
    <col min="10508" max="10508" width="7.28515625" style="654" customWidth="1"/>
    <col min="10509" max="10509" width="7.7109375" style="654" customWidth="1"/>
    <col min="10510" max="10510" width="6.7109375" style="654" customWidth="1"/>
    <col min="10511" max="10752" width="9.140625" style="654"/>
    <col min="10753" max="10753" width="24.140625" style="654" customWidth="1"/>
    <col min="10754" max="10754" width="8.42578125" style="654" customWidth="1"/>
    <col min="10755" max="10755" width="7.5703125" style="654" customWidth="1"/>
    <col min="10756" max="10756" width="9.5703125" style="654" customWidth="1"/>
    <col min="10757" max="10757" width="9" style="654" customWidth="1"/>
    <col min="10758" max="10758" width="9.85546875" style="654" customWidth="1"/>
    <col min="10759" max="10759" width="8.28515625" style="654" customWidth="1"/>
    <col min="10760" max="10760" width="8.5703125" style="654" customWidth="1"/>
    <col min="10761" max="10761" width="8.28515625" style="654" customWidth="1"/>
    <col min="10762" max="10762" width="7.85546875" style="654" customWidth="1"/>
    <col min="10763" max="10763" width="7.140625" style="654" customWidth="1"/>
    <col min="10764" max="10764" width="7.28515625" style="654" customWidth="1"/>
    <col min="10765" max="10765" width="7.7109375" style="654" customWidth="1"/>
    <col min="10766" max="10766" width="6.7109375" style="654" customWidth="1"/>
    <col min="10767" max="11008" width="9.140625" style="654"/>
    <col min="11009" max="11009" width="24.140625" style="654" customWidth="1"/>
    <col min="11010" max="11010" width="8.42578125" style="654" customWidth="1"/>
    <col min="11011" max="11011" width="7.5703125" style="654" customWidth="1"/>
    <col min="11012" max="11012" width="9.5703125" style="654" customWidth="1"/>
    <col min="11013" max="11013" width="9" style="654" customWidth="1"/>
    <col min="11014" max="11014" width="9.85546875" style="654" customWidth="1"/>
    <col min="11015" max="11015" width="8.28515625" style="654" customWidth="1"/>
    <col min="11016" max="11016" width="8.5703125" style="654" customWidth="1"/>
    <col min="11017" max="11017" width="8.28515625" style="654" customWidth="1"/>
    <col min="11018" max="11018" width="7.85546875" style="654" customWidth="1"/>
    <col min="11019" max="11019" width="7.140625" style="654" customWidth="1"/>
    <col min="11020" max="11020" width="7.28515625" style="654" customWidth="1"/>
    <col min="11021" max="11021" width="7.7109375" style="654" customWidth="1"/>
    <col min="11022" max="11022" width="6.7109375" style="654" customWidth="1"/>
    <col min="11023" max="11264" width="9.140625" style="654"/>
    <col min="11265" max="11265" width="24.140625" style="654" customWidth="1"/>
    <col min="11266" max="11266" width="8.42578125" style="654" customWidth="1"/>
    <col min="11267" max="11267" width="7.5703125" style="654" customWidth="1"/>
    <col min="11268" max="11268" width="9.5703125" style="654" customWidth="1"/>
    <col min="11269" max="11269" width="9" style="654" customWidth="1"/>
    <col min="11270" max="11270" width="9.85546875" style="654" customWidth="1"/>
    <col min="11271" max="11271" width="8.28515625" style="654" customWidth="1"/>
    <col min="11272" max="11272" width="8.5703125" style="654" customWidth="1"/>
    <col min="11273" max="11273" width="8.28515625" style="654" customWidth="1"/>
    <col min="11274" max="11274" width="7.85546875" style="654" customWidth="1"/>
    <col min="11275" max="11275" width="7.140625" style="654" customWidth="1"/>
    <col min="11276" max="11276" width="7.28515625" style="654" customWidth="1"/>
    <col min="11277" max="11277" width="7.7109375" style="654" customWidth="1"/>
    <col min="11278" max="11278" width="6.7109375" style="654" customWidth="1"/>
    <col min="11279" max="11520" width="9.140625" style="654"/>
    <col min="11521" max="11521" width="24.140625" style="654" customWidth="1"/>
    <col min="11522" max="11522" width="8.42578125" style="654" customWidth="1"/>
    <col min="11523" max="11523" width="7.5703125" style="654" customWidth="1"/>
    <col min="11524" max="11524" width="9.5703125" style="654" customWidth="1"/>
    <col min="11525" max="11525" width="9" style="654" customWidth="1"/>
    <col min="11526" max="11526" width="9.85546875" style="654" customWidth="1"/>
    <col min="11527" max="11527" width="8.28515625" style="654" customWidth="1"/>
    <col min="11528" max="11528" width="8.5703125" style="654" customWidth="1"/>
    <col min="11529" max="11529" width="8.28515625" style="654" customWidth="1"/>
    <col min="11530" max="11530" width="7.85546875" style="654" customWidth="1"/>
    <col min="11531" max="11531" width="7.140625" style="654" customWidth="1"/>
    <col min="11532" max="11532" width="7.28515625" style="654" customWidth="1"/>
    <col min="11533" max="11533" width="7.7109375" style="654" customWidth="1"/>
    <col min="11534" max="11534" width="6.7109375" style="654" customWidth="1"/>
    <col min="11535" max="11776" width="9.140625" style="654"/>
    <col min="11777" max="11777" width="24.140625" style="654" customWidth="1"/>
    <col min="11778" max="11778" width="8.42578125" style="654" customWidth="1"/>
    <col min="11779" max="11779" width="7.5703125" style="654" customWidth="1"/>
    <col min="11780" max="11780" width="9.5703125" style="654" customWidth="1"/>
    <col min="11781" max="11781" width="9" style="654" customWidth="1"/>
    <col min="11782" max="11782" width="9.85546875" style="654" customWidth="1"/>
    <col min="11783" max="11783" width="8.28515625" style="654" customWidth="1"/>
    <col min="11784" max="11784" width="8.5703125" style="654" customWidth="1"/>
    <col min="11785" max="11785" width="8.28515625" style="654" customWidth="1"/>
    <col min="11786" max="11786" width="7.85546875" style="654" customWidth="1"/>
    <col min="11787" max="11787" width="7.140625" style="654" customWidth="1"/>
    <col min="11788" max="11788" width="7.28515625" style="654" customWidth="1"/>
    <col min="11789" max="11789" width="7.7109375" style="654" customWidth="1"/>
    <col min="11790" max="11790" width="6.7109375" style="654" customWidth="1"/>
    <col min="11791" max="12032" width="9.140625" style="654"/>
    <col min="12033" max="12033" width="24.140625" style="654" customWidth="1"/>
    <col min="12034" max="12034" width="8.42578125" style="654" customWidth="1"/>
    <col min="12035" max="12035" width="7.5703125" style="654" customWidth="1"/>
    <col min="12036" max="12036" width="9.5703125" style="654" customWidth="1"/>
    <col min="12037" max="12037" width="9" style="654" customWidth="1"/>
    <col min="12038" max="12038" width="9.85546875" style="654" customWidth="1"/>
    <col min="12039" max="12039" width="8.28515625" style="654" customWidth="1"/>
    <col min="12040" max="12040" width="8.5703125" style="654" customWidth="1"/>
    <col min="12041" max="12041" width="8.28515625" style="654" customWidth="1"/>
    <col min="12042" max="12042" width="7.85546875" style="654" customWidth="1"/>
    <col min="12043" max="12043" width="7.140625" style="654" customWidth="1"/>
    <col min="12044" max="12044" width="7.28515625" style="654" customWidth="1"/>
    <col min="12045" max="12045" width="7.7109375" style="654" customWidth="1"/>
    <col min="12046" max="12046" width="6.7109375" style="654" customWidth="1"/>
    <col min="12047" max="12288" width="9.140625" style="654"/>
    <col min="12289" max="12289" width="24.140625" style="654" customWidth="1"/>
    <col min="12290" max="12290" width="8.42578125" style="654" customWidth="1"/>
    <col min="12291" max="12291" width="7.5703125" style="654" customWidth="1"/>
    <col min="12292" max="12292" width="9.5703125" style="654" customWidth="1"/>
    <col min="12293" max="12293" width="9" style="654" customWidth="1"/>
    <col min="12294" max="12294" width="9.85546875" style="654" customWidth="1"/>
    <col min="12295" max="12295" width="8.28515625" style="654" customWidth="1"/>
    <col min="12296" max="12296" width="8.5703125" style="654" customWidth="1"/>
    <col min="12297" max="12297" width="8.28515625" style="654" customWidth="1"/>
    <col min="12298" max="12298" width="7.85546875" style="654" customWidth="1"/>
    <col min="12299" max="12299" width="7.140625" style="654" customWidth="1"/>
    <col min="12300" max="12300" width="7.28515625" style="654" customWidth="1"/>
    <col min="12301" max="12301" width="7.7109375" style="654" customWidth="1"/>
    <col min="12302" max="12302" width="6.7109375" style="654" customWidth="1"/>
    <col min="12303" max="12544" width="9.140625" style="654"/>
    <col min="12545" max="12545" width="24.140625" style="654" customWidth="1"/>
    <col min="12546" max="12546" width="8.42578125" style="654" customWidth="1"/>
    <col min="12547" max="12547" width="7.5703125" style="654" customWidth="1"/>
    <col min="12548" max="12548" width="9.5703125" style="654" customWidth="1"/>
    <col min="12549" max="12549" width="9" style="654" customWidth="1"/>
    <col min="12550" max="12550" width="9.85546875" style="654" customWidth="1"/>
    <col min="12551" max="12551" width="8.28515625" style="654" customWidth="1"/>
    <col min="12552" max="12552" width="8.5703125" style="654" customWidth="1"/>
    <col min="12553" max="12553" width="8.28515625" style="654" customWidth="1"/>
    <col min="12554" max="12554" width="7.85546875" style="654" customWidth="1"/>
    <col min="12555" max="12555" width="7.140625" style="654" customWidth="1"/>
    <col min="12556" max="12556" width="7.28515625" style="654" customWidth="1"/>
    <col min="12557" max="12557" width="7.7109375" style="654" customWidth="1"/>
    <col min="12558" max="12558" width="6.7109375" style="654" customWidth="1"/>
    <col min="12559" max="12800" width="9.140625" style="654"/>
    <col min="12801" max="12801" width="24.140625" style="654" customWidth="1"/>
    <col min="12802" max="12802" width="8.42578125" style="654" customWidth="1"/>
    <col min="12803" max="12803" width="7.5703125" style="654" customWidth="1"/>
    <col min="12804" max="12804" width="9.5703125" style="654" customWidth="1"/>
    <col min="12805" max="12805" width="9" style="654" customWidth="1"/>
    <col min="12806" max="12806" width="9.85546875" style="654" customWidth="1"/>
    <col min="12807" max="12807" width="8.28515625" style="654" customWidth="1"/>
    <col min="12808" max="12808" width="8.5703125" style="654" customWidth="1"/>
    <col min="12809" max="12809" width="8.28515625" style="654" customWidth="1"/>
    <col min="12810" max="12810" width="7.85546875" style="654" customWidth="1"/>
    <col min="12811" max="12811" width="7.140625" style="654" customWidth="1"/>
    <col min="12812" max="12812" width="7.28515625" style="654" customWidth="1"/>
    <col min="12813" max="12813" width="7.7109375" style="654" customWidth="1"/>
    <col min="12814" max="12814" width="6.7109375" style="654" customWidth="1"/>
    <col min="12815" max="13056" width="9.140625" style="654"/>
    <col min="13057" max="13057" width="24.140625" style="654" customWidth="1"/>
    <col min="13058" max="13058" width="8.42578125" style="654" customWidth="1"/>
    <col min="13059" max="13059" width="7.5703125" style="654" customWidth="1"/>
    <col min="13060" max="13060" width="9.5703125" style="654" customWidth="1"/>
    <col min="13061" max="13061" width="9" style="654" customWidth="1"/>
    <col min="13062" max="13062" width="9.85546875" style="654" customWidth="1"/>
    <col min="13063" max="13063" width="8.28515625" style="654" customWidth="1"/>
    <col min="13064" max="13064" width="8.5703125" style="654" customWidth="1"/>
    <col min="13065" max="13065" width="8.28515625" style="654" customWidth="1"/>
    <col min="13066" max="13066" width="7.85546875" style="654" customWidth="1"/>
    <col min="13067" max="13067" width="7.140625" style="654" customWidth="1"/>
    <col min="13068" max="13068" width="7.28515625" style="654" customWidth="1"/>
    <col min="13069" max="13069" width="7.7109375" style="654" customWidth="1"/>
    <col min="13070" max="13070" width="6.7109375" style="654" customWidth="1"/>
    <col min="13071" max="13312" width="9.140625" style="654"/>
    <col min="13313" max="13313" width="24.140625" style="654" customWidth="1"/>
    <col min="13314" max="13314" width="8.42578125" style="654" customWidth="1"/>
    <col min="13315" max="13315" width="7.5703125" style="654" customWidth="1"/>
    <col min="13316" max="13316" width="9.5703125" style="654" customWidth="1"/>
    <col min="13317" max="13317" width="9" style="654" customWidth="1"/>
    <col min="13318" max="13318" width="9.85546875" style="654" customWidth="1"/>
    <col min="13319" max="13319" width="8.28515625" style="654" customWidth="1"/>
    <col min="13320" max="13320" width="8.5703125" style="654" customWidth="1"/>
    <col min="13321" max="13321" width="8.28515625" style="654" customWidth="1"/>
    <col min="13322" max="13322" width="7.85546875" style="654" customWidth="1"/>
    <col min="13323" max="13323" width="7.140625" style="654" customWidth="1"/>
    <col min="13324" max="13324" width="7.28515625" style="654" customWidth="1"/>
    <col min="13325" max="13325" width="7.7109375" style="654" customWidth="1"/>
    <col min="13326" max="13326" width="6.7109375" style="654" customWidth="1"/>
    <col min="13327" max="13568" width="9.140625" style="654"/>
    <col min="13569" max="13569" width="24.140625" style="654" customWidth="1"/>
    <col min="13570" max="13570" width="8.42578125" style="654" customWidth="1"/>
    <col min="13571" max="13571" width="7.5703125" style="654" customWidth="1"/>
    <col min="13572" max="13572" width="9.5703125" style="654" customWidth="1"/>
    <col min="13573" max="13573" width="9" style="654" customWidth="1"/>
    <col min="13574" max="13574" width="9.85546875" style="654" customWidth="1"/>
    <col min="13575" max="13575" width="8.28515625" style="654" customWidth="1"/>
    <col min="13576" max="13576" width="8.5703125" style="654" customWidth="1"/>
    <col min="13577" max="13577" width="8.28515625" style="654" customWidth="1"/>
    <col min="13578" max="13578" width="7.85546875" style="654" customWidth="1"/>
    <col min="13579" max="13579" width="7.140625" style="654" customWidth="1"/>
    <col min="13580" max="13580" width="7.28515625" style="654" customWidth="1"/>
    <col min="13581" max="13581" width="7.7109375" style="654" customWidth="1"/>
    <col min="13582" max="13582" width="6.7109375" style="654" customWidth="1"/>
    <col min="13583" max="13824" width="9.140625" style="654"/>
    <col min="13825" max="13825" width="24.140625" style="654" customWidth="1"/>
    <col min="13826" max="13826" width="8.42578125" style="654" customWidth="1"/>
    <col min="13827" max="13827" width="7.5703125" style="654" customWidth="1"/>
    <col min="13828" max="13828" width="9.5703125" style="654" customWidth="1"/>
    <col min="13829" max="13829" width="9" style="654" customWidth="1"/>
    <col min="13830" max="13830" width="9.85546875" style="654" customWidth="1"/>
    <col min="13831" max="13831" width="8.28515625" style="654" customWidth="1"/>
    <col min="13832" max="13832" width="8.5703125" style="654" customWidth="1"/>
    <col min="13833" max="13833" width="8.28515625" style="654" customWidth="1"/>
    <col min="13834" max="13834" width="7.85546875" style="654" customWidth="1"/>
    <col min="13835" max="13835" width="7.140625" style="654" customWidth="1"/>
    <col min="13836" max="13836" width="7.28515625" style="654" customWidth="1"/>
    <col min="13837" max="13837" width="7.7109375" style="654" customWidth="1"/>
    <col min="13838" max="13838" width="6.7109375" style="654" customWidth="1"/>
    <col min="13839" max="14080" width="9.140625" style="654"/>
    <col min="14081" max="14081" width="24.140625" style="654" customWidth="1"/>
    <col min="14082" max="14082" width="8.42578125" style="654" customWidth="1"/>
    <col min="14083" max="14083" width="7.5703125" style="654" customWidth="1"/>
    <col min="14084" max="14084" width="9.5703125" style="654" customWidth="1"/>
    <col min="14085" max="14085" width="9" style="654" customWidth="1"/>
    <col min="14086" max="14086" width="9.85546875" style="654" customWidth="1"/>
    <col min="14087" max="14087" width="8.28515625" style="654" customWidth="1"/>
    <col min="14088" max="14088" width="8.5703125" style="654" customWidth="1"/>
    <col min="14089" max="14089" width="8.28515625" style="654" customWidth="1"/>
    <col min="14090" max="14090" width="7.85546875" style="654" customWidth="1"/>
    <col min="14091" max="14091" width="7.140625" style="654" customWidth="1"/>
    <col min="14092" max="14092" width="7.28515625" style="654" customWidth="1"/>
    <col min="14093" max="14093" width="7.7109375" style="654" customWidth="1"/>
    <col min="14094" max="14094" width="6.7109375" style="654" customWidth="1"/>
    <col min="14095" max="14336" width="9.140625" style="654"/>
    <col min="14337" max="14337" width="24.140625" style="654" customWidth="1"/>
    <col min="14338" max="14338" width="8.42578125" style="654" customWidth="1"/>
    <col min="14339" max="14339" width="7.5703125" style="654" customWidth="1"/>
    <col min="14340" max="14340" width="9.5703125" style="654" customWidth="1"/>
    <col min="14341" max="14341" width="9" style="654" customWidth="1"/>
    <col min="14342" max="14342" width="9.85546875" style="654" customWidth="1"/>
    <col min="14343" max="14343" width="8.28515625" style="654" customWidth="1"/>
    <col min="14344" max="14344" width="8.5703125" style="654" customWidth="1"/>
    <col min="14345" max="14345" width="8.28515625" style="654" customWidth="1"/>
    <col min="14346" max="14346" width="7.85546875" style="654" customWidth="1"/>
    <col min="14347" max="14347" width="7.140625" style="654" customWidth="1"/>
    <col min="14348" max="14348" width="7.28515625" style="654" customWidth="1"/>
    <col min="14349" max="14349" width="7.7109375" style="654" customWidth="1"/>
    <col min="14350" max="14350" width="6.7109375" style="654" customWidth="1"/>
    <col min="14351" max="14592" width="9.140625" style="654"/>
    <col min="14593" max="14593" width="24.140625" style="654" customWidth="1"/>
    <col min="14594" max="14594" width="8.42578125" style="654" customWidth="1"/>
    <col min="14595" max="14595" width="7.5703125" style="654" customWidth="1"/>
    <col min="14596" max="14596" width="9.5703125" style="654" customWidth="1"/>
    <col min="14597" max="14597" width="9" style="654" customWidth="1"/>
    <col min="14598" max="14598" width="9.85546875" style="654" customWidth="1"/>
    <col min="14599" max="14599" width="8.28515625" style="654" customWidth="1"/>
    <col min="14600" max="14600" width="8.5703125" style="654" customWidth="1"/>
    <col min="14601" max="14601" width="8.28515625" style="654" customWidth="1"/>
    <col min="14602" max="14602" width="7.85546875" style="654" customWidth="1"/>
    <col min="14603" max="14603" width="7.140625" style="654" customWidth="1"/>
    <col min="14604" max="14604" width="7.28515625" style="654" customWidth="1"/>
    <col min="14605" max="14605" width="7.7109375" style="654" customWidth="1"/>
    <col min="14606" max="14606" width="6.7109375" style="654" customWidth="1"/>
    <col min="14607" max="14848" width="9.140625" style="654"/>
    <col min="14849" max="14849" width="24.140625" style="654" customWidth="1"/>
    <col min="14850" max="14850" width="8.42578125" style="654" customWidth="1"/>
    <col min="14851" max="14851" width="7.5703125" style="654" customWidth="1"/>
    <col min="14852" max="14852" width="9.5703125" style="654" customWidth="1"/>
    <col min="14853" max="14853" width="9" style="654" customWidth="1"/>
    <col min="14854" max="14854" width="9.85546875" style="654" customWidth="1"/>
    <col min="14855" max="14855" width="8.28515625" style="654" customWidth="1"/>
    <col min="14856" max="14856" width="8.5703125" style="654" customWidth="1"/>
    <col min="14857" max="14857" width="8.28515625" style="654" customWidth="1"/>
    <col min="14858" max="14858" width="7.85546875" style="654" customWidth="1"/>
    <col min="14859" max="14859" width="7.140625" style="654" customWidth="1"/>
    <col min="14860" max="14860" width="7.28515625" style="654" customWidth="1"/>
    <col min="14861" max="14861" width="7.7109375" style="654" customWidth="1"/>
    <col min="14862" max="14862" width="6.7109375" style="654" customWidth="1"/>
    <col min="14863" max="15104" width="9.140625" style="654"/>
    <col min="15105" max="15105" width="24.140625" style="654" customWidth="1"/>
    <col min="15106" max="15106" width="8.42578125" style="654" customWidth="1"/>
    <col min="15107" max="15107" width="7.5703125" style="654" customWidth="1"/>
    <col min="15108" max="15108" width="9.5703125" style="654" customWidth="1"/>
    <col min="15109" max="15109" width="9" style="654" customWidth="1"/>
    <col min="15110" max="15110" width="9.85546875" style="654" customWidth="1"/>
    <col min="15111" max="15111" width="8.28515625" style="654" customWidth="1"/>
    <col min="15112" max="15112" width="8.5703125" style="654" customWidth="1"/>
    <col min="15113" max="15113" width="8.28515625" style="654" customWidth="1"/>
    <col min="15114" max="15114" width="7.85546875" style="654" customWidth="1"/>
    <col min="15115" max="15115" width="7.140625" style="654" customWidth="1"/>
    <col min="15116" max="15116" width="7.28515625" style="654" customWidth="1"/>
    <col min="15117" max="15117" width="7.7109375" style="654" customWidth="1"/>
    <col min="15118" max="15118" width="6.7109375" style="654" customWidth="1"/>
    <col min="15119" max="15360" width="9.140625" style="654"/>
    <col min="15361" max="15361" width="24.140625" style="654" customWidth="1"/>
    <col min="15362" max="15362" width="8.42578125" style="654" customWidth="1"/>
    <col min="15363" max="15363" width="7.5703125" style="654" customWidth="1"/>
    <col min="15364" max="15364" width="9.5703125" style="654" customWidth="1"/>
    <col min="15365" max="15365" width="9" style="654" customWidth="1"/>
    <col min="15366" max="15366" width="9.85546875" style="654" customWidth="1"/>
    <col min="15367" max="15367" width="8.28515625" style="654" customWidth="1"/>
    <col min="15368" max="15368" width="8.5703125" style="654" customWidth="1"/>
    <col min="15369" max="15369" width="8.28515625" style="654" customWidth="1"/>
    <col min="15370" max="15370" width="7.85546875" style="654" customWidth="1"/>
    <col min="15371" max="15371" width="7.140625" style="654" customWidth="1"/>
    <col min="15372" max="15372" width="7.28515625" style="654" customWidth="1"/>
    <col min="15373" max="15373" width="7.7109375" style="654" customWidth="1"/>
    <col min="15374" max="15374" width="6.7109375" style="654" customWidth="1"/>
    <col min="15375" max="15616" width="9.140625" style="654"/>
    <col min="15617" max="15617" width="24.140625" style="654" customWidth="1"/>
    <col min="15618" max="15618" width="8.42578125" style="654" customWidth="1"/>
    <col min="15619" max="15619" width="7.5703125" style="654" customWidth="1"/>
    <col min="15620" max="15620" width="9.5703125" style="654" customWidth="1"/>
    <col min="15621" max="15621" width="9" style="654" customWidth="1"/>
    <col min="15622" max="15622" width="9.85546875" style="654" customWidth="1"/>
    <col min="15623" max="15623" width="8.28515625" style="654" customWidth="1"/>
    <col min="15624" max="15624" width="8.5703125" style="654" customWidth="1"/>
    <col min="15625" max="15625" width="8.28515625" style="654" customWidth="1"/>
    <col min="15626" max="15626" width="7.85546875" style="654" customWidth="1"/>
    <col min="15627" max="15627" width="7.140625" style="654" customWidth="1"/>
    <col min="15628" max="15628" width="7.28515625" style="654" customWidth="1"/>
    <col min="15629" max="15629" width="7.7109375" style="654" customWidth="1"/>
    <col min="15630" max="15630" width="6.7109375" style="654" customWidth="1"/>
    <col min="15631" max="15872" width="9.140625" style="654"/>
    <col min="15873" max="15873" width="24.140625" style="654" customWidth="1"/>
    <col min="15874" max="15874" width="8.42578125" style="654" customWidth="1"/>
    <col min="15875" max="15875" width="7.5703125" style="654" customWidth="1"/>
    <col min="15876" max="15876" width="9.5703125" style="654" customWidth="1"/>
    <col min="15877" max="15877" width="9" style="654" customWidth="1"/>
    <col min="15878" max="15878" width="9.85546875" style="654" customWidth="1"/>
    <col min="15879" max="15879" width="8.28515625" style="654" customWidth="1"/>
    <col min="15880" max="15880" width="8.5703125" style="654" customWidth="1"/>
    <col min="15881" max="15881" width="8.28515625" style="654" customWidth="1"/>
    <col min="15882" max="15882" width="7.85546875" style="654" customWidth="1"/>
    <col min="15883" max="15883" width="7.140625" style="654" customWidth="1"/>
    <col min="15884" max="15884" width="7.28515625" style="654" customWidth="1"/>
    <col min="15885" max="15885" width="7.7109375" style="654" customWidth="1"/>
    <col min="15886" max="15886" width="6.7109375" style="654" customWidth="1"/>
    <col min="15887" max="16128" width="9.140625" style="654"/>
    <col min="16129" max="16129" width="24.140625" style="654" customWidth="1"/>
    <col min="16130" max="16130" width="8.42578125" style="654" customWidth="1"/>
    <col min="16131" max="16131" width="7.5703125" style="654" customWidth="1"/>
    <col min="16132" max="16132" width="9.5703125" style="654" customWidth="1"/>
    <col min="16133" max="16133" width="9" style="654" customWidth="1"/>
    <col min="16134" max="16134" width="9.85546875" style="654" customWidth="1"/>
    <col min="16135" max="16135" width="8.28515625" style="654" customWidth="1"/>
    <col min="16136" max="16136" width="8.5703125" style="654" customWidth="1"/>
    <col min="16137" max="16137" width="8.28515625" style="654" customWidth="1"/>
    <col min="16138" max="16138" width="7.85546875" style="654" customWidth="1"/>
    <col min="16139" max="16139" width="7.140625" style="654" customWidth="1"/>
    <col min="16140" max="16140" width="7.28515625" style="654" customWidth="1"/>
    <col min="16141" max="16141" width="7.7109375" style="654" customWidth="1"/>
    <col min="16142" max="16142" width="6.7109375" style="654" customWidth="1"/>
    <col min="16143" max="16384" width="9.140625" style="654"/>
  </cols>
  <sheetData>
    <row r="1" spans="1:14" ht="16.5">
      <c r="A1" s="1216" t="s">
        <v>1692</v>
      </c>
      <c r="B1" s="1216"/>
      <c r="C1" s="1216"/>
      <c r="D1" s="1216"/>
      <c r="E1" s="1216"/>
      <c r="F1" s="1216"/>
      <c r="G1" s="1216"/>
      <c r="H1" s="1216"/>
      <c r="I1" s="1216"/>
      <c r="J1" s="1216"/>
      <c r="K1" s="1216"/>
      <c r="L1" s="1216"/>
      <c r="M1" s="1216"/>
      <c r="N1" s="1216"/>
    </row>
    <row r="2" spans="1:14" ht="16.5">
      <c r="A2" s="1216" t="s">
        <v>827</v>
      </c>
      <c r="B2" s="1216"/>
      <c r="C2" s="1216"/>
      <c r="D2" s="1216"/>
      <c r="E2" s="1216"/>
      <c r="F2" s="1216"/>
      <c r="G2" s="1216"/>
      <c r="H2" s="1216"/>
      <c r="I2" s="1216"/>
      <c r="J2" s="1216"/>
      <c r="K2" s="1216"/>
      <c r="L2" s="1216"/>
      <c r="M2" s="1216"/>
      <c r="N2" s="1216"/>
    </row>
    <row r="3" spans="1:14" ht="13.5">
      <c r="A3" s="655" t="s">
        <v>169</v>
      </c>
      <c r="B3" s="1217" t="s">
        <v>160</v>
      </c>
      <c r="C3" s="1217"/>
      <c r="D3" s="1217"/>
      <c r="E3" s="1217"/>
      <c r="F3" s="655" t="s">
        <v>171</v>
      </c>
      <c r="H3" s="1218" t="s">
        <v>1798</v>
      </c>
      <c r="I3" s="1218"/>
      <c r="J3" s="655" t="s">
        <v>172</v>
      </c>
      <c r="K3" s="656">
        <v>283</v>
      </c>
      <c r="L3" s="655" t="s">
        <v>436</v>
      </c>
      <c r="N3" s="656">
        <v>45.28</v>
      </c>
    </row>
    <row r="4" spans="1:14" ht="15">
      <c r="A4" s="808" t="s">
        <v>4176</v>
      </c>
      <c r="B4" s="808"/>
      <c r="C4" s="808"/>
    </row>
    <row r="5" spans="1:14" ht="13.5">
      <c r="A5" s="655" t="s">
        <v>174</v>
      </c>
      <c r="B5" s="1219" t="s">
        <v>1799</v>
      </c>
      <c r="C5" s="1220"/>
      <c r="D5" s="1220"/>
      <c r="E5" s="1221"/>
      <c r="F5" s="655" t="s">
        <v>176</v>
      </c>
      <c r="H5" s="1219" t="s">
        <v>1800</v>
      </c>
      <c r="I5" s="1220"/>
      <c r="J5" s="1221"/>
    </row>
    <row r="7" spans="1:14" ht="13.5" customHeight="1">
      <c r="A7" s="655" t="s">
        <v>178</v>
      </c>
      <c r="B7" s="1222" t="s">
        <v>5666</v>
      </c>
      <c r="C7" s="1223"/>
      <c r="D7" s="1223"/>
      <c r="E7" s="1224"/>
      <c r="F7" s="1225" t="s">
        <v>1696</v>
      </c>
      <c r="G7" s="1225"/>
      <c r="H7" s="1226" t="s">
        <v>5667</v>
      </c>
      <c r="I7" s="1227"/>
      <c r="J7" s="1227"/>
      <c r="K7" s="1228"/>
    </row>
    <row r="8" spans="1:14">
      <c r="F8" s="1225"/>
      <c r="G8" s="1225"/>
      <c r="H8" s="1229"/>
      <c r="I8" s="1230"/>
      <c r="J8" s="1230"/>
      <c r="K8" s="1231"/>
    </row>
    <row r="10" spans="1:14" s="658" customFormat="1" ht="20.100000000000001" customHeight="1">
      <c r="A10" s="657" t="s">
        <v>1697</v>
      </c>
      <c r="B10" s="1232" t="s">
        <v>1801</v>
      </c>
      <c r="C10" s="1232"/>
      <c r="D10" s="1232" t="s">
        <v>1802</v>
      </c>
      <c r="E10" s="1232"/>
      <c r="F10" s="1232"/>
      <c r="G10" s="1233"/>
      <c r="H10" s="1233"/>
      <c r="I10" s="1233"/>
      <c r="J10" s="1234"/>
      <c r="K10" s="1234"/>
      <c r="L10" s="1234"/>
      <c r="M10" s="1234"/>
    </row>
    <row r="11" spans="1:14" s="658" customFormat="1" ht="20.100000000000001" customHeight="1">
      <c r="A11" s="657" t="s">
        <v>1702</v>
      </c>
      <c r="B11" s="1232" t="s">
        <v>1803</v>
      </c>
      <c r="C11" s="1232"/>
      <c r="D11" s="1232" t="s">
        <v>1804</v>
      </c>
      <c r="E11" s="1232"/>
      <c r="F11" s="1232"/>
      <c r="G11" s="1233"/>
      <c r="H11" s="1233"/>
      <c r="I11" s="1233"/>
      <c r="J11" s="1234"/>
      <c r="K11" s="1234"/>
      <c r="L11" s="1234"/>
      <c r="M11" s="1234"/>
    </row>
    <row r="12" spans="1:14" s="658" customFormat="1" ht="20.100000000000001" customHeight="1">
      <c r="A12" s="657" t="s">
        <v>1707</v>
      </c>
      <c r="B12" s="1232" t="s">
        <v>1805</v>
      </c>
      <c r="C12" s="1232"/>
      <c r="D12" s="1232" t="s">
        <v>1806</v>
      </c>
      <c r="E12" s="1232"/>
      <c r="F12" s="1232"/>
      <c r="G12" s="1233"/>
      <c r="H12" s="1233"/>
      <c r="I12" s="1233"/>
      <c r="J12" s="1234"/>
      <c r="K12" s="1234"/>
      <c r="L12" s="1234"/>
      <c r="M12" s="1234"/>
    </row>
    <row r="13" spans="1:14" s="658" customFormat="1" ht="20.100000000000001" customHeight="1">
      <c r="A13" s="657" t="s">
        <v>197</v>
      </c>
      <c r="B13" s="1232" t="s">
        <v>1803</v>
      </c>
      <c r="C13" s="1232"/>
      <c r="D13" s="1232" t="s">
        <v>1804</v>
      </c>
      <c r="E13" s="1232"/>
      <c r="F13" s="1232"/>
      <c r="G13" s="1233"/>
      <c r="H13" s="1233"/>
      <c r="I13" s="1233"/>
      <c r="J13" s="1234"/>
      <c r="K13" s="1234"/>
      <c r="L13" s="1234"/>
      <c r="M13" s="1234"/>
    </row>
    <row r="14" spans="1:14" s="658" customFormat="1">
      <c r="A14" s="659"/>
    </row>
    <row r="15" spans="1:14" s="658" customFormat="1" ht="13.5" customHeight="1">
      <c r="A15" s="659" t="s">
        <v>1356</v>
      </c>
      <c r="B15" s="660">
        <v>2</v>
      </c>
      <c r="C15" s="1238" t="s">
        <v>1490</v>
      </c>
      <c r="D15" s="1225"/>
      <c r="E15" s="1225"/>
      <c r="F15" s="660">
        <v>2</v>
      </c>
      <c r="G15" s="659" t="s">
        <v>1712</v>
      </c>
      <c r="H15" s="660">
        <v>8</v>
      </c>
      <c r="I15" s="659" t="s">
        <v>1492</v>
      </c>
      <c r="J15" s="660">
        <v>2</v>
      </c>
      <c r="K15" s="659" t="s">
        <v>1386</v>
      </c>
      <c r="L15" s="660">
        <v>8</v>
      </c>
    </row>
    <row r="16" spans="1:14" s="658" customFormat="1">
      <c r="A16" s="659"/>
    </row>
    <row r="17" spans="1:14" s="659" customFormat="1" ht="12" customHeight="1">
      <c r="A17" s="659" t="s">
        <v>203</v>
      </c>
      <c r="B17" s="659" t="s">
        <v>204</v>
      </c>
      <c r="C17" s="661">
        <v>86</v>
      </c>
      <c r="D17" s="659" t="s">
        <v>205</v>
      </c>
      <c r="E17" s="661">
        <v>5</v>
      </c>
      <c r="F17" s="659" t="s">
        <v>206</v>
      </c>
      <c r="G17" s="657"/>
      <c r="H17" s="659" t="s">
        <v>230</v>
      </c>
      <c r="I17" s="661">
        <f>+E17+C17</f>
        <v>91</v>
      </c>
      <c r="J17" s="659" t="s">
        <v>207</v>
      </c>
      <c r="K17" s="661">
        <v>10</v>
      </c>
      <c r="L17" s="1238" t="s">
        <v>1360</v>
      </c>
      <c r="M17" s="1239"/>
      <c r="N17" s="661">
        <v>3</v>
      </c>
    </row>
    <row r="18" spans="1:14" s="659" customFormat="1">
      <c r="A18" s="659" t="s">
        <v>209</v>
      </c>
      <c r="B18" s="659" t="s">
        <v>210</v>
      </c>
      <c r="C18" s="661">
        <v>220</v>
      </c>
      <c r="D18" s="659" t="s">
        <v>211</v>
      </c>
      <c r="E18" s="661">
        <v>12</v>
      </c>
      <c r="F18" s="659" t="s">
        <v>212</v>
      </c>
      <c r="G18" s="657"/>
      <c r="H18" s="659" t="s">
        <v>411</v>
      </c>
      <c r="I18" s="661">
        <f>+E18+C18</f>
        <v>232</v>
      </c>
    </row>
    <row r="19" spans="1:14" s="659" customFormat="1" ht="13.5" customHeight="1">
      <c r="B19" s="659" t="s">
        <v>213</v>
      </c>
      <c r="C19" s="661">
        <v>213</v>
      </c>
      <c r="D19" s="659" t="s">
        <v>214</v>
      </c>
      <c r="E19" s="661">
        <v>9</v>
      </c>
      <c r="F19" s="659" t="s">
        <v>215</v>
      </c>
      <c r="G19" s="657"/>
      <c r="H19" s="659" t="s">
        <v>410</v>
      </c>
      <c r="I19" s="661">
        <f>+E19+C19</f>
        <v>222</v>
      </c>
    </row>
    <row r="20" spans="1:14" s="659" customFormat="1"/>
    <row r="21" spans="1:14">
      <c r="E21" s="662"/>
    </row>
    <row r="22" spans="1:14">
      <c r="A22" s="663" t="s">
        <v>216</v>
      </c>
      <c r="B22" s="658"/>
      <c r="C22" s="658"/>
      <c r="D22" s="658"/>
      <c r="E22" s="658"/>
      <c r="F22" s="658"/>
      <c r="G22" s="658"/>
      <c r="H22" s="658"/>
      <c r="I22" s="658"/>
      <c r="J22" s="658"/>
      <c r="K22" s="658"/>
      <c r="L22" s="658"/>
      <c r="M22" s="658"/>
      <c r="N22" s="658"/>
    </row>
    <row r="23" spans="1:14">
      <c r="A23" s="659"/>
      <c r="B23" s="658"/>
      <c r="C23" s="658"/>
      <c r="D23" s="658"/>
      <c r="E23" s="658"/>
      <c r="F23" s="658"/>
      <c r="G23" s="658"/>
      <c r="H23" s="658"/>
      <c r="I23" s="658"/>
      <c r="J23" s="658"/>
      <c r="K23" s="658"/>
      <c r="L23" s="658"/>
      <c r="M23" s="658"/>
      <c r="N23" s="658"/>
    </row>
    <row r="24" spans="1:14">
      <c r="A24" s="1240" t="s">
        <v>217</v>
      </c>
      <c r="B24" s="1240" t="s">
        <v>218</v>
      </c>
      <c r="C24" s="1240" t="s">
        <v>219</v>
      </c>
      <c r="D24" s="1240" t="s">
        <v>1363</v>
      </c>
      <c r="E24" s="1240" t="s">
        <v>1713</v>
      </c>
      <c r="F24" s="1235" t="s">
        <v>1714</v>
      </c>
      <c r="G24" s="1236"/>
      <c r="H24" s="1236"/>
      <c r="I24" s="1236"/>
      <c r="J24" s="1236"/>
      <c r="K24" s="1236"/>
      <c r="L24" s="1236"/>
      <c r="M24" s="1236"/>
      <c r="N24" s="1237"/>
    </row>
    <row r="25" spans="1:14" ht="25.5">
      <c r="A25" s="1241"/>
      <c r="B25" s="1241"/>
      <c r="C25" s="1241"/>
      <c r="D25" s="1241"/>
      <c r="E25" s="1241"/>
      <c r="F25" s="664" t="s">
        <v>224</v>
      </c>
      <c r="G25" s="664" t="s">
        <v>225</v>
      </c>
      <c r="H25" s="664" t="s">
        <v>226</v>
      </c>
      <c r="I25" s="664" t="s">
        <v>227</v>
      </c>
      <c r="J25" s="664" t="s">
        <v>228</v>
      </c>
      <c r="K25" s="664" t="s">
        <v>229</v>
      </c>
      <c r="L25" s="664" t="s">
        <v>1499</v>
      </c>
      <c r="M25" s="665" t="s">
        <v>230</v>
      </c>
      <c r="N25" s="665" t="s">
        <v>231</v>
      </c>
    </row>
    <row r="26" spans="1:14">
      <c r="A26" s="657" t="s">
        <v>232</v>
      </c>
      <c r="B26" s="661">
        <v>8000</v>
      </c>
      <c r="C26" s="661" t="s">
        <v>233</v>
      </c>
      <c r="D26" s="666">
        <v>22.64</v>
      </c>
      <c r="E26" s="666">
        <v>22.64</v>
      </c>
      <c r="F26" s="667">
        <v>0</v>
      </c>
      <c r="G26" s="667">
        <v>0</v>
      </c>
      <c r="H26" s="666">
        <v>7.3164600000000002</v>
      </c>
      <c r="I26" s="666">
        <v>4.2539600000000002</v>
      </c>
      <c r="J26" s="666">
        <v>5.7245999999999997</v>
      </c>
      <c r="K26" s="666">
        <v>5.2129500000000002</v>
      </c>
      <c r="L26" s="667">
        <v>0</v>
      </c>
      <c r="M26" s="668">
        <v>22.50797</v>
      </c>
      <c r="N26" s="666">
        <v>99.416828621908124</v>
      </c>
    </row>
    <row r="27" spans="1:14">
      <c r="A27" s="657" t="s">
        <v>1715</v>
      </c>
      <c r="B27" s="661">
        <v>7000</v>
      </c>
      <c r="C27" s="661" t="s">
        <v>233</v>
      </c>
      <c r="D27" s="666">
        <v>3.1696</v>
      </c>
      <c r="E27" s="666">
        <v>3.1696</v>
      </c>
      <c r="F27" s="667">
        <v>0</v>
      </c>
      <c r="G27" s="667">
        <v>0</v>
      </c>
      <c r="H27" s="666">
        <v>0</v>
      </c>
      <c r="I27" s="666">
        <v>0</v>
      </c>
      <c r="J27" s="666">
        <v>0.81540000000000001</v>
      </c>
      <c r="K27" s="666">
        <v>1.8992</v>
      </c>
      <c r="L27" s="667">
        <v>0</v>
      </c>
      <c r="M27" s="668">
        <v>2.7145999999999999</v>
      </c>
      <c r="N27" s="666">
        <v>85.644876325088333</v>
      </c>
    </row>
    <row r="28" spans="1:14">
      <c r="A28" s="657" t="s">
        <v>235</v>
      </c>
      <c r="B28" s="661">
        <v>43000</v>
      </c>
      <c r="C28" s="661" t="s">
        <v>236</v>
      </c>
      <c r="D28" s="666">
        <v>0.43</v>
      </c>
      <c r="E28" s="666">
        <v>0.43</v>
      </c>
      <c r="F28" s="667">
        <v>0</v>
      </c>
      <c r="G28" s="667">
        <v>0</v>
      </c>
      <c r="H28" s="666">
        <v>0.14682000000000001</v>
      </c>
      <c r="I28" s="666">
        <v>8.8039999999999993E-2</v>
      </c>
      <c r="J28" s="666">
        <v>6.4000000000000001E-2</v>
      </c>
      <c r="K28" s="666">
        <v>0.105</v>
      </c>
      <c r="L28" s="667">
        <v>0</v>
      </c>
      <c r="M28" s="668">
        <v>0.40386</v>
      </c>
      <c r="N28" s="666">
        <v>93.920930232558135</v>
      </c>
    </row>
    <row r="29" spans="1:14">
      <c r="A29" s="657" t="s">
        <v>396</v>
      </c>
      <c r="B29" s="661">
        <v>34000</v>
      </c>
      <c r="C29" s="657" t="s">
        <v>236</v>
      </c>
      <c r="D29" s="666">
        <v>0.34</v>
      </c>
      <c r="E29" s="666">
        <v>0.34</v>
      </c>
      <c r="F29" s="667">
        <v>0</v>
      </c>
      <c r="G29" s="667">
        <v>0</v>
      </c>
      <c r="H29" s="666">
        <v>0</v>
      </c>
      <c r="I29" s="666">
        <v>0.11914</v>
      </c>
      <c r="J29" s="666">
        <v>4.086E-2</v>
      </c>
      <c r="K29" s="666">
        <v>0.125</v>
      </c>
      <c r="L29" s="667">
        <v>0</v>
      </c>
      <c r="M29" s="668">
        <v>0.28499999999999998</v>
      </c>
      <c r="N29" s="666">
        <v>83.823529411764696</v>
      </c>
    </row>
    <row r="30" spans="1:14">
      <c r="A30" s="657" t="s">
        <v>238</v>
      </c>
      <c r="B30" s="661">
        <v>1200</v>
      </c>
      <c r="C30" s="661" t="s">
        <v>233</v>
      </c>
      <c r="D30" s="666">
        <v>3.3959999999999999</v>
      </c>
      <c r="E30" s="666">
        <v>3.4460000000000002</v>
      </c>
      <c r="F30" s="667">
        <v>0</v>
      </c>
      <c r="G30" s="667">
        <v>0</v>
      </c>
      <c r="H30" s="666">
        <v>1.10785</v>
      </c>
      <c r="I30" s="666">
        <v>1.5075000000000001</v>
      </c>
      <c r="J30" s="666">
        <v>0.04</v>
      </c>
      <c r="K30" s="666">
        <v>0.20610000000000001</v>
      </c>
      <c r="L30" s="667">
        <v>0</v>
      </c>
      <c r="M30" s="668">
        <v>2.86145</v>
      </c>
      <c r="N30" s="666">
        <v>83.036854323853731</v>
      </c>
    </row>
    <row r="31" spans="1:14">
      <c r="A31" s="657" t="s">
        <v>667</v>
      </c>
      <c r="B31" s="661">
        <v>565</v>
      </c>
      <c r="C31" s="661" t="s">
        <v>233</v>
      </c>
      <c r="D31" s="666">
        <v>1.5989500000000001</v>
      </c>
      <c r="E31" s="666">
        <v>1.5989500000000001</v>
      </c>
      <c r="F31" s="667">
        <v>0</v>
      </c>
      <c r="G31" s="667">
        <v>0</v>
      </c>
      <c r="H31" s="666">
        <v>0</v>
      </c>
      <c r="I31" s="666">
        <v>1.5989500000000001</v>
      </c>
      <c r="J31" s="666">
        <v>0</v>
      </c>
      <c r="K31" s="666">
        <v>0</v>
      </c>
      <c r="L31" s="667">
        <v>0</v>
      </c>
      <c r="M31" s="668">
        <v>1.5989500000000001</v>
      </c>
      <c r="N31" s="666">
        <v>100</v>
      </c>
    </row>
    <row r="32" spans="1:14">
      <c r="A32" s="657" t="s">
        <v>240</v>
      </c>
      <c r="B32" s="661">
        <v>1000</v>
      </c>
      <c r="C32" s="661" t="s">
        <v>233</v>
      </c>
      <c r="D32" s="666">
        <v>2.83</v>
      </c>
      <c r="E32" s="666">
        <v>2.44313</v>
      </c>
      <c r="F32" s="667">
        <v>0</v>
      </c>
      <c r="G32" s="667">
        <v>0</v>
      </c>
      <c r="H32" s="666">
        <v>0</v>
      </c>
      <c r="I32" s="666">
        <v>0</v>
      </c>
      <c r="J32" s="666">
        <v>0</v>
      </c>
      <c r="K32" s="666">
        <v>2.27095</v>
      </c>
      <c r="L32" s="667">
        <v>0</v>
      </c>
      <c r="M32" s="668">
        <v>2.27095</v>
      </c>
      <c r="N32" s="666">
        <v>92.952483085222653</v>
      </c>
    </row>
    <row r="33" spans="1:14">
      <c r="A33" s="657" t="s">
        <v>394</v>
      </c>
      <c r="B33" s="661">
        <v>2750</v>
      </c>
      <c r="C33" s="661" t="s">
        <v>1716</v>
      </c>
      <c r="D33" s="666">
        <v>1.75</v>
      </c>
      <c r="E33" s="666">
        <v>1.2375</v>
      </c>
      <c r="F33" s="667">
        <v>0</v>
      </c>
      <c r="G33" s="667">
        <v>0</v>
      </c>
      <c r="H33" s="666">
        <v>0.29859999999999998</v>
      </c>
      <c r="I33" s="666">
        <v>0.33</v>
      </c>
      <c r="J33" s="666">
        <v>0.26889999999999997</v>
      </c>
      <c r="K33" s="666">
        <v>8.2500000000000004E-2</v>
      </c>
      <c r="L33" s="667">
        <v>0</v>
      </c>
      <c r="M33" s="668">
        <v>0.98</v>
      </c>
      <c r="N33" s="666">
        <v>79.191919191919197</v>
      </c>
    </row>
    <row r="34" spans="1:14">
      <c r="A34" s="657" t="s">
        <v>1717</v>
      </c>
      <c r="B34" s="661">
        <v>10000</v>
      </c>
      <c r="C34" s="661" t="s">
        <v>244</v>
      </c>
      <c r="D34" s="666">
        <v>0</v>
      </c>
      <c r="E34" s="666">
        <v>0</v>
      </c>
      <c r="F34" s="667">
        <v>0</v>
      </c>
      <c r="G34" s="667">
        <v>0</v>
      </c>
      <c r="H34" s="666">
        <v>0</v>
      </c>
      <c r="I34" s="666">
        <v>0</v>
      </c>
      <c r="J34" s="666">
        <v>0</v>
      </c>
      <c r="K34" s="666">
        <v>0</v>
      </c>
      <c r="L34" s="667">
        <v>0</v>
      </c>
      <c r="M34" s="668">
        <v>0</v>
      </c>
      <c r="N34" s="666">
        <v>0</v>
      </c>
    </row>
    <row r="35" spans="1:14">
      <c r="A35" s="669" t="s">
        <v>230</v>
      </c>
      <c r="B35" s="670"/>
      <c r="C35" s="670"/>
      <c r="D35" s="671">
        <v>36.15455</v>
      </c>
      <c r="E35" s="671">
        <v>35.305180000000007</v>
      </c>
      <c r="F35" s="671">
        <v>0</v>
      </c>
      <c r="G35" s="671">
        <v>0</v>
      </c>
      <c r="H35" s="671">
        <v>8.8697300000000006</v>
      </c>
      <c r="I35" s="671">
        <v>7.897590000000001</v>
      </c>
      <c r="J35" s="671">
        <v>6.9537600000000008</v>
      </c>
      <c r="K35" s="671">
        <v>9.9017000000000017</v>
      </c>
      <c r="L35" s="671">
        <v>0</v>
      </c>
      <c r="M35" s="671">
        <v>33.622780000000006</v>
      </c>
      <c r="N35" s="671"/>
    </row>
  </sheetData>
  <mergeCells count="34">
    <mergeCell ref="A24:A25"/>
    <mergeCell ref="B24:B25"/>
    <mergeCell ref="C24:C25"/>
    <mergeCell ref="D24:D25"/>
    <mergeCell ref="E24:E25"/>
    <mergeCell ref="F24:N24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74803149606299213" bottom="0.82677165354330717" header="0.51181102362204722" footer="0.51181102362204722"/>
  <pageSetup paperSize="9" scale="99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8.42578125" style="557" customWidth="1"/>
    <col min="3" max="3" width="7.570312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8.42578125" style="557" customWidth="1"/>
    <col min="259" max="259" width="7.570312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8.42578125" style="557" customWidth="1"/>
    <col min="515" max="515" width="7.570312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8.42578125" style="557" customWidth="1"/>
    <col min="771" max="771" width="7.570312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8.42578125" style="557" customWidth="1"/>
    <col min="1027" max="1027" width="7.570312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8.42578125" style="557" customWidth="1"/>
    <col min="1283" max="1283" width="7.570312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8.42578125" style="557" customWidth="1"/>
    <col min="1539" max="1539" width="7.570312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8.42578125" style="557" customWidth="1"/>
    <col min="1795" max="1795" width="7.570312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8.42578125" style="557" customWidth="1"/>
    <col min="2051" max="2051" width="7.570312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8.42578125" style="557" customWidth="1"/>
    <col min="2307" max="2307" width="7.570312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8.42578125" style="557" customWidth="1"/>
    <col min="2563" max="2563" width="7.570312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8.42578125" style="557" customWidth="1"/>
    <col min="2819" max="2819" width="7.570312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8.42578125" style="557" customWidth="1"/>
    <col min="3075" max="3075" width="7.570312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8.42578125" style="557" customWidth="1"/>
    <col min="3331" max="3331" width="7.570312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8.42578125" style="557" customWidth="1"/>
    <col min="3587" max="3587" width="7.570312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8.42578125" style="557" customWidth="1"/>
    <col min="3843" max="3843" width="7.570312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8.42578125" style="557" customWidth="1"/>
    <col min="4099" max="4099" width="7.570312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8.42578125" style="557" customWidth="1"/>
    <col min="4355" max="4355" width="7.570312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8.42578125" style="557" customWidth="1"/>
    <col min="4611" max="4611" width="7.570312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8.42578125" style="557" customWidth="1"/>
    <col min="4867" max="4867" width="7.570312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8.42578125" style="557" customWidth="1"/>
    <col min="5123" max="5123" width="7.570312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8.42578125" style="557" customWidth="1"/>
    <col min="5379" max="5379" width="7.570312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8.42578125" style="557" customWidth="1"/>
    <col min="5635" max="5635" width="7.570312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8.42578125" style="557" customWidth="1"/>
    <col min="5891" max="5891" width="7.570312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8.42578125" style="557" customWidth="1"/>
    <col min="6147" max="6147" width="7.570312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8.42578125" style="557" customWidth="1"/>
    <col min="6403" max="6403" width="7.570312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8.42578125" style="557" customWidth="1"/>
    <col min="6659" max="6659" width="7.570312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8.42578125" style="557" customWidth="1"/>
    <col min="6915" max="6915" width="7.570312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8.42578125" style="557" customWidth="1"/>
    <col min="7171" max="7171" width="7.570312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8.42578125" style="557" customWidth="1"/>
    <col min="7427" max="7427" width="7.570312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8.42578125" style="557" customWidth="1"/>
    <col min="7683" max="7683" width="7.570312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8.42578125" style="557" customWidth="1"/>
    <col min="7939" max="7939" width="7.570312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8.42578125" style="557" customWidth="1"/>
    <col min="8195" max="8195" width="7.570312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8.42578125" style="557" customWidth="1"/>
    <col min="8451" max="8451" width="7.570312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8.42578125" style="557" customWidth="1"/>
    <col min="8707" max="8707" width="7.570312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8.42578125" style="557" customWidth="1"/>
    <col min="8963" max="8963" width="7.570312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8.42578125" style="557" customWidth="1"/>
    <col min="9219" max="9219" width="7.570312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8.42578125" style="557" customWidth="1"/>
    <col min="9475" max="9475" width="7.570312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8.42578125" style="557" customWidth="1"/>
    <col min="9731" max="9731" width="7.570312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8.42578125" style="557" customWidth="1"/>
    <col min="9987" max="9987" width="7.570312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8.42578125" style="557" customWidth="1"/>
    <col min="10243" max="10243" width="7.570312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8.42578125" style="557" customWidth="1"/>
    <col min="10499" max="10499" width="7.570312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8.42578125" style="557" customWidth="1"/>
    <col min="10755" max="10755" width="7.570312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8.42578125" style="557" customWidth="1"/>
    <col min="11011" max="11011" width="7.570312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8.42578125" style="557" customWidth="1"/>
    <col min="11267" max="11267" width="7.570312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8.42578125" style="557" customWidth="1"/>
    <col min="11523" max="11523" width="7.570312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8.42578125" style="557" customWidth="1"/>
    <col min="11779" max="11779" width="7.570312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8.42578125" style="557" customWidth="1"/>
    <col min="12035" max="12035" width="7.570312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8.42578125" style="557" customWidth="1"/>
    <col min="12291" max="12291" width="7.570312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8.42578125" style="557" customWidth="1"/>
    <col min="12547" max="12547" width="7.570312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8.42578125" style="557" customWidth="1"/>
    <col min="12803" max="12803" width="7.570312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8.42578125" style="557" customWidth="1"/>
    <col min="13059" max="13059" width="7.570312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8.42578125" style="557" customWidth="1"/>
    <col min="13315" max="13315" width="7.570312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8.42578125" style="557" customWidth="1"/>
    <col min="13571" max="13571" width="7.570312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8.42578125" style="557" customWidth="1"/>
    <col min="13827" max="13827" width="7.570312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8.42578125" style="557" customWidth="1"/>
    <col min="14083" max="14083" width="7.570312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8.42578125" style="557" customWidth="1"/>
    <col min="14339" max="14339" width="7.570312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8.42578125" style="557" customWidth="1"/>
    <col min="14595" max="14595" width="7.570312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8.42578125" style="557" customWidth="1"/>
    <col min="14851" max="14851" width="7.570312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8.42578125" style="557" customWidth="1"/>
    <col min="15107" max="15107" width="7.570312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8.42578125" style="557" customWidth="1"/>
    <col min="15363" max="15363" width="7.570312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8.42578125" style="557" customWidth="1"/>
    <col min="15619" max="15619" width="7.570312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8.42578125" style="557" customWidth="1"/>
    <col min="15875" max="15875" width="7.570312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8.42578125" style="557" customWidth="1"/>
    <col min="16131" max="16131" width="7.570312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161</v>
      </c>
      <c r="C3" s="1207"/>
      <c r="D3" s="1207"/>
      <c r="E3" s="1207"/>
      <c r="F3" s="558" t="s">
        <v>171</v>
      </c>
      <c r="H3" s="1190" t="s">
        <v>1807</v>
      </c>
      <c r="I3" s="1190"/>
      <c r="J3" s="558" t="s">
        <v>172</v>
      </c>
      <c r="K3" s="559">
        <v>448</v>
      </c>
      <c r="L3" s="558" t="s">
        <v>436</v>
      </c>
      <c r="N3" s="559">
        <v>71.760000000000005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1808</v>
      </c>
      <c r="C5" s="1192"/>
      <c r="D5" s="1192"/>
      <c r="E5" s="1193"/>
      <c r="F5" s="558" t="s">
        <v>176</v>
      </c>
      <c r="H5" s="1191" t="s">
        <v>1809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208" t="s">
        <v>1810</v>
      </c>
      <c r="C10" s="1208"/>
      <c r="D10" s="1208" t="s">
        <v>1811</v>
      </c>
      <c r="E10" s="1208"/>
      <c r="F10" s="1208"/>
      <c r="G10" s="1208"/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 t="s">
        <v>1812</v>
      </c>
      <c r="C11" s="1208"/>
      <c r="D11" s="1208" t="s">
        <v>1813</v>
      </c>
      <c r="E11" s="1208"/>
      <c r="F11" s="1208"/>
      <c r="G11" s="1208"/>
      <c r="H11" s="1208"/>
      <c r="I11" s="1208"/>
      <c r="J11" s="1208"/>
      <c r="K11" s="1208"/>
      <c r="L11" s="1208"/>
      <c r="M11" s="1208"/>
    </row>
    <row r="12" spans="1:14" s="561" customFormat="1" ht="34.5" customHeight="1">
      <c r="A12" s="560" t="s">
        <v>1707</v>
      </c>
      <c r="B12" s="1208" t="s">
        <v>1814</v>
      </c>
      <c r="C12" s="1208"/>
      <c r="D12" s="1208" t="s">
        <v>1815</v>
      </c>
      <c r="E12" s="1208"/>
      <c r="F12" s="1208"/>
      <c r="G12" s="1208" t="s">
        <v>1816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2</v>
      </c>
      <c r="C15" s="1203" t="s">
        <v>1490</v>
      </c>
      <c r="D15" s="1197"/>
      <c r="E15" s="1197"/>
      <c r="F15" s="563">
        <v>2</v>
      </c>
      <c r="G15" s="562" t="s">
        <v>1712</v>
      </c>
      <c r="H15" s="563">
        <v>10</v>
      </c>
      <c r="I15" s="562" t="s">
        <v>1492</v>
      </c>
      <c r="J15" s="563">
        <v>2</v>
      </c>
      <c r="K15" s="562" t="s">
        <v>1386</v>
      </c>
      <c r="L15" s="563">
        <v>5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104</v>
      </c>
      <c r="D17" s="562" t="s">
        <v>205</v>
      </c>
      <c r="E17" s="564">
        <v>26</v>
      </c>
      <c r="F17" s="562" t="s">
        <v>206</v>
      </c>
      <c r="G17" s="564"/>
      <c r="H17" s="562" t="s">
        <v>230</v>
      </c>
      <c r="I17" s="564">
        <v>130</v>
      </c>
      <c r="J17" s="562" t="s">
        <v>207</v>
      </c>
      <c r="K17" s="564">
        <v>19</v>
      </c>
      <c r="L17" s="1203" t="s">
        <v>1360</v>
      </c>
      <c r="M17" s="1204"/>
      <c r="N17" s="564">
        <v>8</v>
      </c>
    </row>
    <row r="18" spans="1:14" s="562" customFormat="1">
      <c r="A18" s="562" t="s">
        <v>209</v>
      </c>
      <c r="B18" s="562" t="s">
        <v>210</v>
      </c>
      <c r="C18" s="564">
        <v>242</v>
      </c>
      <c r="D18" s="562" t="s">
        <v>211</v>
      </c>
      <c r="E18" s="564">
        <v>48</v>
      </c>
      <c r="F18" s="562" t="s">
        <v>212</v>
      </c>
      <c r="G18" s="564"/>
      <c r="H18" s="562" t="s">
        <v>411</v>
      </c>
      <c r="I18" s="564">
        <v>290</v>
      </c>
    </row>
    <row r="19" spans="1:14" s="562" customFormat="1" ht="13.5" customHeight="1">
      <c r="B19" s="562" t="s">
        <v>213</v>
      </c>
      <c r="C19" s="564">
        <v>240</v>
      </c>
      <c r="D19" s="562" t="s">
        <v>214</v>
      </c>
      <c r="E19" s="564">
        <v>41</v>
      </c>
      <c r="F19" s="562" t="s">
        <v>215</v>
      </c>
      <c r="G19" s="564"/>
      <c r="H19" s="562" t="s">
        <v>410</v>
      </c>
      <c r="I19" s="564">
        <v>281</v>
      </c>
    </row>
    <row r="22" spans="1:14">
      <c r="A22" s="567" t="s">
        <v>216</v>
      </c>
      <c r="B22" s="561"/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</row>
    <row r="23" spans="1:14">
      <c r="A23" s="562"/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1205" t="s">
        <v>217</v>
      </c>
      <c r="B24" s="1205" t="s">
        <v>218</v>
      </c>
      <c r="C24" s="1205" t="s">
        <v>219</v>
      </c>
      <c r="D24" s="1205" t="s">
        <v>1363</v>
      </c>
      <c r="E24" s="1205" t="s">
        <v>1713</v>
      </c>
      <c r="F24" s="1200" t="s">
        <v>1714</v>
      </c>
      <c r="G24" s="1201"/>
      <c r="H24" s="1201"/>
      <c r="I24" s="1201"/>
      <c r="J24" s="1201"/>
      <c r="K24" s="1201"/>
      <c r="L24" s="1201"/>
      <c r="M24" s="1201"/>
      <c r="N24" s="1202"/>
    </row>
    <row r="25" spans="1:14" ht="25.5">
      <c r="A25" s="1206"/>
      <c r="B25" s="1206"/>
      <c r="C25" s="1206"/>
      <c r="D25" s="1206"/>
      <c r="E25" s="1206"/>
      <c r="F25" s="568" t="s">
        <v>224</v>
      </c>
      <c r="G25" s="568" t="s">
        <v>225</v>
      </c>
      <c r="H25" s="568" t="s">
        <v>226</v>
      </c>
      <c r="I25" s="568" t="s">
        <v>227</v>
      </c>
      <c r="J25" s="568" t="s">
        <v>228</v>
      </c>
      <c r="K25" s="568" t="s">
        <v>229</v>
      </c>
      <c r="L25" s="568" t="s">
        <v>1499</v>
      </c>
      <c r="M25" s="569" t="s">
        <v>230</v>
      </c>
      <c r="N25" s="569" t="s">
        <v>231</v>
      </c>
    </row>
    <row r="26" spans="1:14">
      <c r="A26" s="560" t="s">
        <v>232</v>
      </c>
      <c r="B26" s="564">
        <v>8000</v>
      </c>
      <c r="C26" s="560" t="s">
        <v>233</v>
      </c>
      <c r="D26" s="570">
        <v>35.880000000000003</v>
      </c>
      <c r="E26" s="570">
        <v>35.880000000000003</v>
      </c>
      <c r="F26" s="587">
        <v>0</v>
      </c>
      <c r="G26" s="587">
        <v>0</v>
      </c>
      <c r="H26" s="570">
        <v>2.6705399999999999</v>
      </c>
      <c r="I26" s="570">
        <v>2.67171</v>
      </c>
      <c r="J26" s="570">
        <v>8.1516000000000002</v>
      </c>
      <c r="K26" s="570">
        <v>7.0004999999999997</v>
      </c>
      <c r="L26" s="587">
        <v>0</v>
      </c>
      <c r="M26" s="576">
        <v>20.494350000000001</v>
      </c>
      <c r="N26" s="570">
        <v>57.119147157190632</v>
      </c>
    </row>
    <row r="27" spans="1:14">
      <c r="A27" s="560" t="s">
        <v>1715</v>
      </c>
      <c r="B27" s="564">
        <v>7000</v>
      </c>
      <c r="C27" s="560" t="s">
        <v>233</v>
      </c>
      <c r="D27" s="570">
        <v>5.0232000000000001</v>
      </c>
      <c r="E27" s="570">
        <v>2.1259999999999999</v>
      </c>
      <c r="F27" s="587">
        <v>0</v>
      </c>
      <c r="G27" s="587">
        <v>0</v>
      </c>
      <c r="H27" s="570">
        <v>0</v>
      </c>
      <c r="I27" s="570">
        <v>0</v>
      </c>
      <c r="J27" s="570">
        <v>0</v>
      </c>
      <c r="K27" s="570">
        <v>1.5862000000000001</v>
      </c>
      <c r="L27" s="587">
        <v>0</v>
      </c>
      <c r="M27" s="576">
        <v>1.5862000000000001</v>
      </c>
      <c r="N27" s="570">
        <v>74.609595484477893</v>
      </c>
    </row>
    <row r="28" spans="1:14">
      <c r="A28" s="560" t="s">
        <v>235</v>
      </c>
      <c r="B28" s="564">
        <v>43000</v>
      </c>
      <c r="C28" s="560" t="s">
        <v>236</v>
      </c>
      <c r="D28" s="570">
        <v>0.43</v>
      </c>
      <c r="E28" s="570">
        <v>0.43</v>
      </c>
      <c r="F28" s="587">
        <v>0</v>
      </c>
      <c r="G28" s="587">
        <v>0</v>
      </c>
      <c r="H28" s="570">
        <v>0</v>
      </c>
      <c r="I28" s="570">
        <v>4.7399999999999998E-2</v>
      </c>
      <c r="J28" s="570">
        <v>0</v>
      </c>
      <c r="K28" s="570">
        <v>5.8500000000000003E-2</v>
      </c>
      <c r="L28" s="587">
        <v>0</v>
      </c>
      <c r="M28" s="576">
        <v>0.10589999999999999</v>
      </c>
      <c r="N28" s="570">
        <v>24.627906976744185</v>
      </c>
    </row>
    <row r="29" spans="1:14">
      <c r="A29" s="560" t="s">
        <v>396</v>
      </c>
      <c r="B29" s="564">
        <v>34000</v>
      </c>
      <c r="C29" s="560" t="s">
        <v>236</v>
      </c>
      <c r="D29" s="570">
        <v>0.34</v>
      </c>
      <c r="E29" s="570">
        <v>0.34</v>
      </c>
      <c r="F29" s="587">
        <v>0</v>
      </c>
      <c r="G29" s="587">
        <v>0</v>
      </c>
      <c r="H29" s="570">
        <v>0</v>
      </c>
      <c r="I29" s="570">
        <v>0.11914</v>
      </c>
      <c r="J29" s="570">
        <v>0</v>
      </c>
      <c r="K29" s="570">
        <v>0.06</v>
      </c>
      <c r="L29" s="587">
        <v>0</v>
      </c>
      <c r="M29" s="576">
        <v>0.17913999999999999</v>
      </c>
      <c r="N29" s="570">
        <v>52.688235294117646</v>
      </c>
    </row>
    <row r="30" spans="1:14">
      <c r="A30" s="560" t="s">
        <v>238</v>
      </c>
      <c r="B30" s="564">
        <v>1200</v>
      </c>
      <c r="C30" s="560" t="s">
        <v>233</v>
      </c>
      <c r="D30" s="570">
        <v>5.3819999999999997</v>
      </c>
      <c r="E30" s="570">
        <v>5.4320000000000004</v>
      </c>
      <c r="F30" s="587">
        <v>0</v>
      </c>
      <c r="G30" s="587">
        <v>0</v>
      </c>
      <c r="H30" s="570">
        <v>0.83216999999999997</v>
      </c>
      <c r="I30" s="570">
        <v>1.7364999999999999</v>
      </c>
      <c r="J30" s="570">
        <v>0</v>
      </c>
      <c r="K30" s="570">
        <v>1.1736</v>
      </c>
      <c r="L30" s="587">
        <v>0</v>
      </c>
      <c r="M30" s="576">
        <v>3.74227</v>
      </c>
      <c r="N30" s="570">
        <v>68.893041237113394</v>
      </c>
    </row>
    <row r="31" spans="1:14">
      <c r="A31" s="560" t="s">
        <v>667</v>
      </c>
      <c r="B31" s="564">
        <v>565</v>
      </c>
      <c r="C31" s="560" t="s">
        <v>233</v>
      </c>
      <c r="D31" s="570">
        <v>2.5340250000000002</v>
      </c>
      <c r="E31" s="570">
        <v>2.5340199999999999</v>
      </c>
      <c r="F31" s="587">
        <v>0</v>
      </c>
      <c r="G31" s="587">
        <v>0</v>
      </c>
      <c r="H31" s="570">
        <v>0.17552000000000001</v>
      </c>
      <c r="I31" s="570">
        <v>0.05</v>
      </c>
      <c r="J31" s="570">
        <v>2.3085</v>
      </c>
      <c r="K31" s="570">
        <v>0</v>
      </c>
      <c r="L31" s="587">
        <v>0</v>
      </c>
      <c r="M31" s="576">
        <v>2.5340199999999999</v>
      </c>
      <c r="N31" s="570">
        <v>100</v>
      </c>
    </row>
    <row r="32" spans="1:14">
      <c r="A32" s="560" t="s">
        <v>240</v>
      </c>
      <c r="B32" s="564">
        <v>1000</v>
      </c>
      <c r="C32" s="560" t="s">
        <v>233</v>
      </c>
      <c r="D32" s="570">
        <v>4.4850000000000003</v>
      </c>
      <c r="E32" s="570">
        <v>4.4850000000000003</v>
      </c>
      <c r="F32" s="587">
        <v>0</v>
      </c>
      <c r="G32" s="587">
        <v>0</v>
      </c>
      <c r="H32" s="570">
        <v>0</v>
      </c>
      <c r="I32" s="570">
        <v>0</v>
      </c>
      <c r="J32" s="570">
        <v>0</v>
      </c>
      <c r="K32" s="570">
        <v>1.2665</v>
      </c>
      <c r="L32" s="587">
        <v>0</v>
      </c>
      <c r="M32" s="576">
        <v>1.2665</v>
      </c>
      <c r="N32" s="570">
        <v>28.238573021181711</v>
      </c>
    </row>
    <row r="33" spans="1:14">
      <c r="A33" s="560" t="s">
        <v>394</v>
      </c>
      <c r="B33" s="564">
        <v>2750</v>
      </c>
      <c r="C33" s="560" t="s">
        <v>1716</v>
      </c>
      <c r="D33" s="570">
        <v>1.75</v>
      </c>
      <c r="E33" s="570">
        <v>1.2375</v>
      </c>
      <c r="F33" s="587">
        <v>0</v>
      </c>
      <c r="G33" s="587">
        <v>0</v>
      </c>
      <c r="H33" s="570">
        <v>0.3019</v>
      </c>
      <c r="I33" s="570">
        <v>0.33</v>
      </c>
      <c r="J33" s="570">
        <v>0.27560000000000001</v>
      </c>
      <c r="K33" s="570">
        <v>0.2175</v>
      </c>
      <c r="L33" s="587">
        <v>0</v>
      </c>
      <c r="M33" s="576">
        <v>1.125</v>
      </c>
      <c r="N33" s="570">
        <v>90.909090909090907</v>
      </c>
    </row>
    <row r="34" spans="1:14">
      <c r="A34" s="560" t="s">
        <v>1717</v>
      </c>
      <c r="B34" s="564">
        <v>10000</v>
      </c>
      <c r="C34" s="560" t="s">
        <v>244</v>
      </c>
      <c r="D34" s="570">
        <v>0</v>
      </c>
      <c r="E34" s="570">
        <v>0</v>
      </c>
      <c r="F34" s="587">
        <v>0</v>
      </c>
      <c r="G34" s="587">
        <v>0</v>
      </c>
      <c r="H34" s="570">
        <v>0</v>
      </c>
      <c r="I34" s="570">
        <v>0</v>
      </c>
      <c r="J34" s="570">
        <v>0</v>
      </c>
      <c r="K34" s="570">
        <v>0</v>
      </c>
      <c r="L34" s="587">
        <v>0</v>
      </c>
      <c r="M34" s="576">
        <v>0</v>
      </c>
      <c r="N34" s="570">
        <v>0</v>
      </c>
    </row>
    <row r="35" spans="1:14">
      <c r="A35" s="572" t="s">
        <v>230</v>
      </c>
      <c r="B35" s="564"/>
      <c r="C35" s="560"/>
      <c r="D35" s="573">
        <v>55.824225000000006</v>
      </c>
      <c r="E35" s="573">
        <v>52.46452</v>
      </c>
      <c r="F35" s="573">
        <v>0</v>
      </c>
      <c r="G35" s="573">
        <v>0</v>
      </c>
      <c r="H35" s="573">
        <v>3.9801299999999999</v>
      </c>
      <c r="I35" s="573">
        <v>4.9547499999999998</v>
      </c>
      <c r="J35" s="573">
        <v>10.735700000000001</v>
      </c>
      <c r="K35" s="573">
        <v>11.362800000000002</v>
      </c>
      <c r="L35" s="573">
        <v>0</v>
      </c>
      <c r="M35" s="573">
        <v>31.033380000000001</v>
      </c>
      <c r="N35" s="573"/>
    </row>
  </sheetData>
  <mergeCells count="34">
    <mergeCell ref="A24:A25"/>
    <mergeCell ref="B24:B25"/>
    <mergeCell ref="C24:C25"/>
    <mergeCell ref="D24:D25"/>
    <mergeCell ref="E24:E25"/>
    <mergeCell ref="F24:N24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1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8.42578125" style="557" customWidth="1"/>
    <col min="3" max="3" width="7.570312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8.42578125" style="557" customWidth="1"/>
    <col min="259" max="259" width="7.570312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8.42578125" style="557" customWidth="1"/>
    <col min="515" max="515" width="7.570312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8.42578125" style="557" customWidth="1"/>
    <col min="771" max="771" width="7.570312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8.42578125" style="557" customWidth="1"/>
    <col min="1027" max="1027" width="7.570312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8.42578125" style="557" customWidth="1"/>
    <col min="1283" max="1283" width="7.570312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8.42578125" style="557" customWidth="1"/>
    <col min="1539" max="1539" width="7.570312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8.42578125" style="557" customWidth="1"/>
    <col min="1795" max="1795" width="7.570312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8.42578125" style="557" customWidth="1"/>
    <col min="2051" max="2051" width="7.570312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8.42578125" style="557" customWidth="1"/>
    <col min="2307" max="2307" width="7.570312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8.42578125" style="557" customWidth="1"/>
    <col min="2563" max="2563" width="7.570312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8.42578125" style="557" customWidth="1"/>
    <col min="2819" max="2819" width="7.570312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8.42578125" style="557" customWidth="1"/>
    <col min="3075" max="3075" width="7.570312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8.42578125" style="557" customWidth="1"/>
    <col min="3331" max="3331" width="7.570312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8.42578125" style="557" customWidth="1"/>
    <col min="3587" max="3587" width="7.570312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8.42578125" style="557" customWidth="1"/>
    <col min="3843" max="3843" width="7.570312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8.42578125" style="557" customWidth="1"/>
    <col min="4099" max="4099" width="7.570312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8.42578125" style="557" customWidth="1"/>
    <col min="4355" max="4355" width="7.570312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8.42578125" style="557" customWidth="1"/>
    <col min="4611" max="4611" width="7.570312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8.42578125" style="557" customWidth="1"/>
    <col min="4867" max="4867" width="7.570312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8.42578125" style="557" customWidth="1"/>
    <col min="5123" max="5123" width="7.570312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8.42578125" style="557" customWidth="1"/>
    <col min="5379" max="5379" width="7.570312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8.42578125" style="557" customWidth="1"/>
    <col min="5635" max="5635" width="7.570312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8.42578125" style="557" customWidth="1"/>
    <col min="5891" max="5891" width="7.570312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8.42578125" style="557" customWidth="1"/>
    <col min="6147" max="6147" width="7.570312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8.42578125" style="557" customWidth="1"/>
    <col min="6403" max="6403" width="7.570312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8.42578125" style="557" customWidth="1"/>
    <col min="6659" max="6659" width="7.570312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8.42578125" style="557" customWidth="1"/>
    <col min="6915" max="6915" width="7.570312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8.42578125" style="557" customWidth="1"/>
    <col min="7171" max="7171" width="7.570312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8.42578125" style="557" customWidth="1"/>
    <col min="7427" max="7427" width="7.570312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8.42578125" style="557" customWidth="1"/>
    <col min="7683" max="7683" width="7.570312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8.42578125" style="557" customWidth="1"/>
    <col min="7939" max="7939" width="7.570312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8.42578125" style="557" customWidth="1"/>
    <col min="8195" max="8195" width="7.570312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8.42578125" style="557" customWidth="1"/>
    <col min="8451" max="8451" width="7.570312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8.42578125" style="557" customWidth="1"/>
    <col min="8707" max="8707" width="7.570312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8.42578125" style="557" customWidth="1"/>
    <col min="8963" max="8963" width="7.570312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8.42578125" style="557" customWidth="1"/>
    <col min="9219" max="9219" width="7.570312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8.42578125" style="557" customWidth="1"/>
    <col min="9475" max="9475" width="7.570312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8.42578125" style="557" customWidth="1"/>
    <col min="9731" max="9731" width="7.570312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8.42578125" style="557" customWidth="1"/>
    <col min="9987" max="9987" width="7.570312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8.42578125" style="557" customWidth="1"/>
    <col min="10243" max="10243" width="7.570312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8.42578125" style="557" customWidth="1"/>
    <col min="10499" max="10499" width="7.570312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8.42578125" style="557" customWidth="1"/>
    <col min="10755" max="10755" width="7.570312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8.42578125" style="557" customWidth="1"/>
    <col min="11011" max="11011" width="7.570312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8.42578125" style="557" customWidth="1"/>
    <col min="11267" max="11267" width="7.570312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8.42578125" style="557" customWidth="1"/>
    <col min="11523" max="11523" width="7.570312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8.42578125" style="557" customWidth="1"/>
    <col min="11779" max="11779" width="7.570312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8.42578125" style="557" customWidth="1"/>
    <col min="12035" max="12035" width="7.570312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8.42578125" style="557" customWidth="1"/>
    <col min="12291" max="12291" width="7.570312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8.42578125" style="557" customWidth="1"/>
    <col min="12547" max="12547" width="7.570312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8.42578125" style="557" customWidth="1"/>
    <col min="12803" max="12803" width="7.570312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8.42578125" style="557" customWidth="1"/>
    <col min="13059" max="13059" width="7.570312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8.42578125" style="557" customWidth="1"/>
    <col min="13315" max="13315" width="7.570312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8.42578125" style="557" customWidth="1"/>
    <col min="13571" max="13571" width="7.570312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8.42578125" style="557" customWidth="1"/>
    <col min="13827" max="13827" width="7.570312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8.42578125" style="557" customWidth="1"/>
    <col min="14083" max="14083" width="7.570312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8.42578125" style="557" customWidth="1"/>
    <col min="14339" max="14339" width="7.570312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8.42578125" style="557" customWidth="1"/>
    <col min="14595" max="14595" width="7.570312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8.42578125" style="557" customWidth="1"/>
    <col min="14851" max="14851" width="7.570312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8.42578125" style="557" customWidth="1"/>
    <col min="15107" max="15107" width="7.570312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8.42578125" style="557" customWidth="1"/>
    <col min="15363" max="15363" width="7.570312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8.42578125" style="557" customWidth="1"/>
    <col min="15619" max="15619" width="7.570312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8.42578125" style="557" customWidth="1"/>
    <col min="15875" max="15875" width="7.570312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8.42578125" style="557" customWidth="1"/>
    <col min="16131" max="16131" width="7.570312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1817</v>
      </c>
      <c r="C3" s="1207"/>
      <c r="D3" s="1207"/>
      <c r="E3" s="1207"/>
      <c r="F3" s="558" t="s">
        <v>171</v>
      </c>
      <c r="H3" s="1190" t="s">
        <v>1818</v>
      </c>
      <c r="I3" s="1190"/>
      <c r="J3" s="558" t="s">
        <v>172</v>
      </c>
      <c r="K3" s="559">
        <v>510</v>
      </c>
      <c r="L3" s="558" t="s">
        <v>436</v>
      </c>
      <c r="N3" s="559">
        <v>136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1819</v>
      </c>
      <c r="C5" s="1192"/>
      <c r="D5" s="1192"/>
      <c r="E5" s="1193"/>
      <c r="F5" s="558" t="s">
        <v>176</v>
      </c>
      <c r="H5" s="1191" t="s">
        <v>1820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208" t="s">
        <v>1821</v>
      </c>
      <c r="C10" s="1208"/>
      <c r="D10" s="1208" t="s">
        <v>1822</v>
      </c>
      <c r="E10" s="1208"/>
      <c r="F10" s="1208"/>
      <c r="G10" s="1208"/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 t="s">
        <v>1823</v>
      </c>
      <c r="C11" s="1208"/>
      <c r="D11" s="1208" t="s">
        <v>1824</v>
      </c>
      <c r="E11" s="1208"/>
      <c r="F11" s="1208"/>
      <c r="G11" s="1208"/>
      <c r="H11" s="1208"/>
      <c r="I11" s="1208"/>
      <c r="J11" s="1208"/>
      <c r="K11" s="1208"/>
      <c r="L11" s="1208"/>
      <c r="M11" s="1208"/>
    </row>
    <row r="12" spans="1:14" s="561" customFormat="1" ht="27" customHeight="1">
      <c r="A12" s="560" t="s">
        <v>1707</v>
      </c>
      <c r="B12" s="1208" t="s">
        <v>1825</v>
      </c>
      <c r="C12" s="1208"/>
      <c r="D12" s="1208" t="s">
        <v>1826</v>
      </c>
      <c r="E12" s="1208"/>
      <c r="F12" s="1208"/>
      <c r="G12" s="1208" t="s">
        <v>1827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2</v>
      </c>
      <c r="C15" s="1203" t="s">
        <v>1490</v>
      </c>
      <c r="D15" s="1197"/>
      <c r="E15" s="1197"/>
      <c r="F15" s="563">
        <v>2</v>
      </c>
      <c r="G15" s="562" t="s">
        <v>1712</v>
      </c>
      <c r="H15" s="563">
        <v>22</v>
      </c>
      <c r="I15" s="562" t="s">
        <v>1492</v>
      </c>
      <c r="J15" s="563">
        <v>2</v>
      </c>
      <c r="K15" s="562" t="s">
        <v>1386</v>
      </c>
      <c r="L15" s="563">
        <v>10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220</v>
      </c>
      <c r="D17" s="562" t="s">
        <v>205</v>
      </c>
      <c r="E17" s="564">
        <v>127</v>
      </c>
      <c r="F17" s="562" t="s">
        <v>206</v>
      </c>
      <c r="G17" s="564"/>
      <c r="H17" s="562" t="s">
        <v>230</v>
      </c>
      <c r="I17" s="564">
        <v>347</v>
      </c>
      <c r="J17" s="562" t="s">
        <v>207</v>
      </c>
      <c r="K17" s="564">
        <v>11</v>
      </c>
      <c r="L17" s="1203" t="s">
        <v>1360</v>
      </c>
      <c r="M17" s="1204"/>
      <c r="N17" s="564">
        <v>4</v>
      </c>
    </row>
    <row r="18" spans="1:14" s="562" customFormat="1">
      <c r="A18" s="562" t="s">
        <v>209</v>
      </c>
      <c r="B18" s="562" t="s">
        <v>210</v>
      </c>
      <c r="C18" s="564">
        <v>198</v>
      </c>
      <c r="D18" s="562" t="s">
        <v>211</v>
      </c>
      <c r="E18" s="564">
        <v>127</v>
      </c>
      <c r="F18" s="562" t="s">
        <v>212</v>
      </c>
      <c r="G18" s="564"/>
      <c r="H18" s="562" t="s">
        <v>411</v>
      </c>
      <c r="I18" s="564">
        <v>325</v>
      </c>
    </row>
    <row r="19" spans="1:14" s="562" customFormat="1" ht="13.5" customHeight="1">
      <c r="B19" s="562" t="s">
        <v>213</v>
      </c>
      <c r="C19" s="564">
        <v>211</v>
      </c>
      <c r="D19" s="562" t="s">
        <v>214</v>
      </c>
      <c r="E19" s="564">
        <v>120</v>
      </c>
      <c r="F19" s="562" t="s">
        <v>215</v>
      </c>
      <c r="G19" s="564"/>
      <c r="H19" s="562" t="s">
        <v>410</v>
      </c>
      <c r="I19" s="564">
        <v>331</v>
      </c>
    </row>
    <row r="20" spans="1:14" s="562" customFormat="1">
      <c r="G20" s="565"/>
    </row>
    <row r="21" spans="1:14">
      <c r="E21" s="574"/>
    </row>
    <row r="22" spans="1:14">
      <c r="A22" s="567" t="s">
        <v>216</v>
      </c>
      <c r="B22" s="561"/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</row>
    <row r="23" spans="1:14">
      <c r="A23" s="562"/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1205" t="s">
        <v>217</v>
      </c>
      <c r="B24" s="1205" t="s">
        <v>218</v>
      </c>
      <c r="C24" s="1205" t="s">
        <v>219</v>
      </c>
      <c r="D24" s="1205" t="s">
        <v>1363</v>
      </c>
      <c r="E24" s="1205" t="s">
        <v>1713</v>
      </c>
      <c r="F24" s="1200" t="s">
        <v>1714</v>
      </c>
      <c r="G24" s="1201"/>
      <c r="H24" s="1201"/>
      <c r="I24" s="1201"/>
      <c r="J24" s="1201"/>
      <c r="K24" s="1201"/>
      <c r="L24" s="1201"/>
      <c r="M24" s="1201"/>
      <c r="N24" s="1202"/>
    </row>
    <row r="25" spans="1:14" ht="25.5">
      <c r="A25" s="1206"/>
      <c r="B25" s="1206"/>
      <c r="C25" s="1206"/>
      <c r="D25" s="1206"/>
      <c r="E25" s="1206"/>
      <c r="F25" s="568" t="s">
        <v>224</v>
      </c>
      <c r="G25" s="568" t="s">
        <v>225</v>
      </c>
      <c r="H25" s="568" t="s">
        <v>226</v>
      </c>
      <c r="I25" s="568" t="s">
        <v>227</v>
      </c>
      <c r="J25" s="568" t="s">
        <v>228</v>
      </c>
      <c r="K25" s="568" t="s">
        <v>229</v>
      </c>
      <c r="L25" s="568" t="s">
        <v>1499</v>
      </c>
      <c r="M25" s="569" t="s">
        <v>230</v>
      </c>
      <c r="N25" s="569" t="s">
        <v>231</v>
      </c>
    </row>
    <row r="26" spans="1:14">
      <c r="A26" s="560" t="s">
        <v>232</v>
      </c>
      <c r="B26" s="564">
        <v>8000</v>
      </c>
      <c r="C26" s="560" t="s">
        <v>233</v>
      </c>
      <c r="D26" s="570">
        <v>40.799999999999997</v>
      </c>
      <c r="E26" s="570">
        <v>40.799999999999997</v>
      </c>
      <c r="F26" s="588">
        <v>0</v>
      </c>
      <c r="G26" s="588">
        <v>0</v>
      </c>
      <c r="H26" s="570">
        <v>7.4497499999999999</v>
      </c>
      <c r="I26" s="570">
        <v>4.8188500000000003</v>
      </c>
      <c r="J26" s="570">
        <v>2.9293</v>
      </c>
      <c r="K26" s="570">
        <v>12.097799999999999</v>
      </c>
      <c r="L26" s="588">
        <v>0</v>
      </c>
      <c r="M26" s="576">
        <v>27.2957</v>
      </c>
      <c r="N26" s="570">
        <v>66.901225490196083</v>
      </c>
    </row>
    <row r="27" spans="1:14">
      <c r="A27" s="560" t="s">
        <v>1715</v>
      </c>
      <c r="B27" s="564">
        <v>7000</v>
      </c>
      <c r="C27" s="560" t="s">
        <v>233</v>
      </c>
      <c r="D27" s="570">
        <v>5.7119999999999997</v>
      </c>
      <c r="E27" s="570">
        <v>5.7119999999999997</v>
      </c>
      <c r="F27" s="588">
        <v>0</v>
      </c>
      <c r="G27" s="588">
        <v>0</v>
      </c>
      <c r="H27" s="570">
        <v>0</v>
      </c>
      <c r="I27" s="570">
        <v>0</v>
      </c>
      <c r="J27" s="570">
        <v>0</v>
      </c>
      <c r="K27" s="570">
        <v>1.9320999999999999</v>
      </c>
      <c r="L27" s="588">
        <v>0</v>
      </c>
      <c r="M27" s="576">
        <v>1.9320999999999999</v>
      </c>
      <c r="N27" s="570">
        <v>33.825280112044823</v>
      </c>
    </row>
    <row r="28" spans="1:14">
      <c r="A28" s="560" t="s">
        <v>235</v>
      </c>
      <c r="B28" s="564">
        <v>43000</v>
      </c>
      <c r="C28" s="560" t="s">
        <v>236</v>
      </c>
      <c r="D28" s="570">
        <v>0.43</v>
      </c>
      <c r="E28" s="570">
        <v>0.43</v>
      </c>
      <c r="F28" s="588">
        <v>0</v>
      </c>
      <c r="G28" s="588">
        <v>0</v>
      </c>
      <c r="H28" s="570">
        <v>9.1999999999999998E-2</v>
      </c>
      <c r="I28" s="570">
        <v>0.19370000000000001</v>
      </c>
      <c r="J28" s="570">
        <v>0</v>
      </c>
      <c r="K28" s="570">
        <v>0.2</v>
      </c>
      <c r="L28" s="588">
        <v>0</v>
      </c>
      <c r="M28" s="576">
        <v>0.48570000000000002</v>
      </c>
      <c r="N28" s="570">
        <v>112.95348837209302</v>
      </c>
    </row>
    <row r="29" spans="1:14">
      <c r="A29" s="560" t="s">
        <v>396</v>
      </c>
      <c r="B29" s="564">
        <v>34000</v>
      </c>
      <c r="C29" s="560" t="s">
        <v>236</v>
      </c>
      <c r="D29" s="570">
        <v>0.34</v>
      </c>
      <c r="E29" s="570">
        <v>0.34</v>
      </c>
      <c r="F29" s="588">
        <v>0</v>
      </c>
      <c r="G29" s="588">
        <v>0</v>
      </c>
      <c r="H29" s="570">
        <v>0</v>
      </c>
      <c r="I29" s="570">
        <v>0.16</v>
      </c>
      <c r="J29" s="570">
        <v>0</v>
      </c>
      <c r="K29" s="570">
        <v>0.16950000000000001</v>
      </c>
      <c r="L29" s="588">
        <v>0</v>
      </c>
      <c r="M29" s="576">
        <v>0.32950000000000002</v>
      </c>
      <c r="N29" s="570">
        <v>96.911764705882348</v>
      </c>
    </row>
    <row r="30" spans="1:14">
      <c r="A30" s="560" t="s">
        <v>238</v>
      </c>
      <c r="B30" s="564">
        <v>1200</v>
      </c>
      <c r="C30" s="560" t="s">
        <v>233</v>
      </c>
      <c r="D30" s="570">
        <v>6.12</v>
      </c>
      <c r="E30" s="570">
        <v>3.1872199999999999</v>
      </c>
      <c r="F30" s="588">
        <v>0</v>
      </c>
      <c r="G30" s="588">
        <v>0</v>
      </c>
      <c r="H30" s="570">
        <v>1.83758</v>
      </c>
      <c r="I30" s="570">
        <v>0.43980000000000002</v>
      </c>
      <c r="J30" s="570">
        <v>0.32369999999999999</v>
      </c>
      <c r="K30" s="570">
        <v>1.9856</v>
      </c>
      <c r="L30" s="588">
        <v>0</v>
      </c>
      <c r="M30" s="576">
        <v>4.5866800000000003</v>
      </c>
      <c r="N30" s="570">
        <v>143.90848451001187</v>
      </c>
    </row>
    <row r="31" spans="1:14">
      <c r="A31" s="560" t="s">
        <v>667</v>
      </c>
      <c r="B31" s="564">
        <v>565</v>
      </c>
      <c r="C31" s="560" t="s">
        <v>233</v>
      </c>
      <c r="D31" s="570">
        <v>2.8815</v>
      </c>
      <c r="E31" s="570">
        <v>2.8815</v>
      </c>
      <c r="F31" s="588">
        <v>0</v>
      </c>
      <c r="G31" s="588">
        <v>0</v>
      </c>
      <c r="H31" s="570">
        <v>0</v>
      </c>
      <c r="I31" s="570">
        <v>0.2712</v>
      </c>
      <c r="J31" s="570">
        <v>2.6103000000000001</v>
      </c>
      <c r="K31" s="570">
        <v>0</v>
      </c>
      <c r="L31" s="588">
        <v>0</v>
      </c>
      <c r="M31" s="576">
        <v>2.8815</v>
      </c>
      <c r="N31" s="570">
        <v>100</v>
      </c>
    </row>
    <row r="32" spans="1:14">
      <c r="A32" s="560" t="s">
        <v>240</v>
      </c>
      <c r="B32" s="564">
        <v>1000</v>
      </c>
      <c r="C32" s="560" t="s">
        <v>233</v>
      </c>
      <c r="D32" s="570">
        <v>5.0999999999999996</v>
      </c>
      <c r="E32" s="570">
        <v>5.0999999999999996</v>
      </c>
      <c r="F32" s="588">
        <v>0</v>
      </c>
      <c r="G32" s="588">
        <v>0</v>
      </c>
      <c r="H32" s="570">
        <v>0</v>
      </c>
      <c r="I32" s="570">
        <v>0</v>
      </c>
      <c r="J32" s="570">
        <v>0</v>
      </c>
      <c r="K32" s="570">
        <v>2.5257800000000001</v>
      </c>
      <c r="L32" s="588">
        <v>0</v>
      </c>
      <c r="M32" s="576">
        <v>2.5257800000000001</v>
      </c>
      <c r="N32" s="570">
        <v>49.525098039215692</v>
      </c>
    </row>
    <row r="33" spans="1:14">
      <c r="A33" s="560" t="s">
        <v>394</v>
      </c>
      <c r="B33" s="564">
        <v>2750</v>
      </c>
      <c r="C33" s="560" t="s">
        <v>1716</v>
      </c>
      <c r="D33" s="570">
        <v>1.75</v>
      </c>
      <c r="E33" s="570">
        <v>1.2375</v>
      </c>
      <c r="F33" s="588">
        <v>0</v>
      </c>
      <c r="G33" s="588">
        <v>0</v>
      </c>
      <c r="H33" s="570">
        <v>0.32671</v>
      </c>
      <c r="I33" s="570">
        <v>0.39660000000000001</v>
      </c>
      <c r="J33" s="570">
        <v>0.16500000000000001</v>
      </c>
      <c r="K33" s="570">
        <v>0.22500000000000001</v>
      </c>
      <c r="L33" s="588">
        <v>0</v>
      </c>
      <c r="M33" s="576">
        <v>1.11331</v>
      </c>
      <c r="N33" s="570">
        <v>89.964444444444453</v>
      </c>
    </row>
    <row r="34" spans="1:14">
      <c r="A34" s="560" t="s">
        <v>1717</v>
      </c>
      <c r="B34" s="564">
        <v>10000</v>
      </c>
      <c r="C34" s="560" t="s">
        <v>244</v>
      </c>
      <c r="D34" s="570">
        <v>0</v>
      </c>
      <c r="E34" s="564">
        <v>0</v>
      </c>
      <c r="F34" s="588">
        <v>0</v>
      </c>
      <c r="G34" s="588">
        <v>0</v>
      </c>
      <c r="H34" s="570">
        <v>0</v>
      </c>
      <c r="I34" s="570">
        <v>0</v>
      </c>
      <c r="J34" s="570">
        <v>0</v>
      </c>
      <c r="K34" s="570">
        <v>0</v>
      </c>
      <c r="L34" s="588">
        <v>0</v>
      </c>
      <c r="M34" s="576">
        <v>0</v>
      </c>
      <c r="N34" s="576">
        <v>0</v>
      </c>
    </row>
    <row r="35" spans="1:14">
      <c r="A35" s="572" t="s">
        <v>230</v>
      </c>
      <c r="B35" s="564"/>
      <c r="C35" s="560"/>
      <c r="D35" s="573">
        <v>63.133500000000005</v>
      </c>
      <c r="E35" s="573">
        <v>59.688220000000008</v>
      </c>
      <c r="F35" s="573">
        <v>0</v>
      </c>
      <c r="G35" s="573">
        <v>0</v>
      </c>
      <c r="H35" s="573">
        <v>9.7060399999999998</v>
      </c>
      <c r="I35" s="573">
        <v>6.2801500000000008</v>
      </c>
      <c r="J35" s="573">
        <v>6.0283000000000007</v>
      </c>
      <c r="K35" s="573">
        <v>19.13578</v>
      </c>
      <c r="L35" s="573">
        <v>0</v>
      </c>
      <c r="M35" s="573">
        <v>41.150269999999999</v>
      </c>
      <c r="N35" s="589"/>
    </row>
  </sheetData>
  <mergeCells count="34">
    <mergeCell ref="A24:A25"/>
    <mergeCell ref="B24:B25"/>
    <mergeCell ref="C24:C25"/>
    <mergeCell ref="D24:D25"/>
    <mergeCell ref="E24:E25"/>
    <mergeCell ref="F24:N24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2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6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8.5703125" style="557" customWidth="1"/>
    <col min="3" max="3" width="8.4257812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8.5703125" style="557" customWidth="1"/>
    <col min="259" max="259" width="8.4257812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8.5703125" style="557" customWidth="1"/>
    <col min="515" max="515" width="8.4257812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8.5703125" style="557" customWidth="1"/>
    <col min="771" max="771" width="8.4257812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8.5703125" style="557" customWidth="1"/>
    <col min="1027" max="1027" width="8.4257812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8.5703125" style="557" customWidth="1"/>
    <col min="1283" max="1283" width="8.4257812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8.5703125" style="557" customWidth="1"/>
    <col min="1539" max="1539" width="8.4257812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8.5703125" style="557" customWidth="1"/>
    <col min="1795" max="1795" width="8.4257812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8.5703125" style="557" customWidth="1"/>
    <col min="2051" max="2051" width="8.4257812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8.5703125" style="557" customWidth="1"/>
    <col min="2307" max="2307" width="8.4257812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8.5703125" style="557" customWidth="1"/>
    <col min="2563" max="2563" width="8.4257812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8.5703125" style="557" customWidth="1"/>
    <col min="2819" max="2819" width="8.4257812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8.5703125" style="557" customWidth="1"/>
    <col min="3075" max="3075" width="8.4257812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8.5703125" style="557" customWidth="1"/>
    <col min="3331" max="3331" width="8.4257812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8.5703125" style="557" customWidth="1"/>
    <col min="3587" max="3587" width="8.4257812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8.5703125" style="557" customWidth="1"/>
    <col min="3843" max="3843" width="8.4257812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8.5703125" style="557" customWidth="1"/>
    <col min="4099" max="4099" width="8.4257812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8.5703125" style="557" customWidth="1"/>
    <col min="4355" max="4355" width="8.4257812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8.5703125" style="557" customWidth="1"/>
    <col min="4611" max="4611" width="8.4257812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8.5703125" style="557" customWidth="1"/>
    <col min="4867" max="4867" width="8.4257812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8.5703125" style="557" customWidth="1"/>
    <col min="5123" max="5123" width="8.4257812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8.5703125" style="557" customWidth="1"/>
    <col min="5379" max="5379" width="8.4257812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8.5703125" style="557" customWidth="1"/>
    <col min="5635" max="5635" width="8.4257812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8.5703125" style="557" customWidth="1"/>
    <col min="5891" max="5891" width="8.4257812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8.5703125" style="557" customWidth="1"/>
    <col min="6147" max="6147" width="8.4257812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8.5703125" style="557" customWidth="1"/>
    <col min="6403" max="6403" width="8.4257812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8.5703125" style="557" customWidth="1"/>
    <col min="6659" max="6659" width="8.4257812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8.5703125" style="557" customWidth="1"/>
    <col min="6915" max="6915" width="8.4257812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8.5703125" style="557" customWidth="1"/>
    <col min="7171" max="7171" width="8.4257812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8.5703125" style="557" customWidth="1"/>
    <col min="7427" max="7427" width="8.4257812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8.5703125" style="557" customWidth="1"/>
    <col min="7683" max="7683" width="8.4257812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8.5703125" style="557" customWidth="1"/>
    <col min="7939" max="7939" width="8.4257812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8.5703125" style="557" customWidth="1"/>
    <col min="8195" max="8195" width="8.4257812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8.5703125" style="557" customWidth="1"/>
    <col min="8451" max="8451" width="8.4257812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8.5703125" style="557" customWidth="1"/>
    <col min="8707" max="8707" width="8.4257812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8.5703125" style="557" customWidth="1"/>
    <col min="8963" max="8963" width="8.4257812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8.5703125" style="557" customWidth="1"/>
    <col min="9219" max="9219" width="8.4257812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8.5703125" style="557" customWidth="1"/>
    <col min="9475" max="9475" width="8.4257812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8.5703125" style="557" customWidth="1"/>
    <col min="9731" max="9731" width="8.4257812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8.5703125" style="557" customWidth="1"/>
    <col min="9987" max="9987" width="8.4257812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8.5703125" style="557" customWidth="1"/>
    <col min="10243" max="10243" width="8.4257812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8.5703125" style="557" customWidth="1"/>
    <col min="10499" max="10499" width="8.4257812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8.5703125" style="557" customWidth="1"/>
    <col min="10755" max="10755" width="8.4257812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8.5703125" style="557" customWidth="1"/>
    <col min="11011" max="11011" width="8.4257812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8.5703125" style="557" customWidth="1"/>
    <col min="11267" max="11267" width="8.4257812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8.5703125" style="557" customWidth="1"/>
    <col min="11523" max="11523" width="8.4257812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8.5703125" style="557" customWidth="1"/>
    <col min="11779" max="11779" width="8.4257812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8.5703125" style="557" customWidth="1"/>
    <col min="12035" max="12035" width="8.4257812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8.5703125" style="557" customWidth="1"/>
    <col min="12291" max="12291" width="8.4257812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8.5703125" style="557" customWidth="1"/>
    <col min="12547" max="12547" width="8.4257812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8.5703125" style="557" customWidth="1"/>
    <col min="12803" max="12803" width="8.4257812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8.5703125" style="557" customWidth="1"/>
    <col min="13059" max="13059" width="8.4257812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8.5703125" style="557" customWidth="1"/>
    <col min="13315" max="13315" width="8.4257812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8.5703125" style="557" customWidth="1"/>
    <col min="13571" max="13571" width="8.4257812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8.5703125" style="557" customWidth="1"/>
    <col min="13827" max="13827" width="8.4257812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8.5703125" style="557" customWidth="1"/>
    <col min="14083" max="14083" width="8.4257812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8.5703125" style="557" customWidth="1"/>
    <col min="14339" max="14339" width="8.4257812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8.5703125" style="557" customWidth="1"/>
    <col min="14595" max="14595" width="8.4257812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8.5703125" style="557" customWidth="1"/>
    <col min="14851" max="14851" width="8.4257812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8.5703125" style="557" customWidth="1"/>
    <col min="15107" max="15107" width="8.4257812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8.5703125" style="557" customWidth="1"/>
    <col min="15363" max="15363" width="8.4257812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8.5703125" style="557" customWidth="1"/>
    <col min="15619" max="15619" width="8.4257812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8.5703125" style="557" customWidth="1"/>
    <col min="15875" max="15875" width="8.4257812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8.5703125" style="557" customWidth="1"/>
    <col min="16131" max="16131" width="8.4257812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163</v>
      </c>
      <c r="C3" s="1207"/>
      <c r="D3" s="1207"/>
      <c r="E3" s="1207"/>
      <c r="F3" s="558" t="s">
        <v>171</v>
      </c>
      <c r="H3" s="1190" t="s">
        <v>1828</v>
      </c>
      <c r="I3" s="1190"/>
      <c r="J3" s="558" t="s">
        <v>172</v>
      </c>
      <c r="K3" s="559">
        <v>335.5</v>
      </c>
      <c r="L3" s="558" t="s">
        <v>436</v>
      </c>
      <c r="N3" s="559">
        <v>53.68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1829</v>
      </c>
      <c r="C5" s="1192"/>
      <c r="D5" s="1192"/>
      <c r="E5" s="1193"/>
      <c r="F5" s="558" t="s">
        <v>176</v>
      </c>
      <c r="H5" s="1191" t="s">
        <v>1830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199" t="s">
        <v>1831</v>
      </c>
      <c r="C10" s="1199"/>
      <c r="D10" s="1199" t="s">
        <v>1832</v>
      </c>
      <c r="E10" s="1199"/>
      <c r="F10" s="1199"/>
      <c r="G10" s="1199"/>
      <c r="H10" s="1199"/>
      <c r="I10" s="1199"/>
      <c r="J10" s="1199"/>
      <c r="K10" s="1199"/>
      <c r="L10" s="1199"/>
      <c r="M10" s="1199"/>
    </row>
    <row r="11" spans="1:14" s="561" customFormat="1" ht="20.100000000000001" customHeight="1">
      <c r="A11" s="560" t="s">
        <v>1702</v>
      </c>
      <c r="B11" s="1208" t="s">
        <v>1833</v>
      </c>
      <c r="C11" s="1208"/>
      <c r="D11" s="1208" t="s">
        <v>1834</v>
      </c>
      <c r="E11" s="1208"/>
      <c r="F11" s="1208"/>
      <c r="G11" s="1199"/>
      <c r="H11" s="1199"/>
      <c r="I11" s="1199"/>
      <c r="J11" s="1199"/>
      <c r="K11" s="1199"/>
      <c r="L11" s="1199"/>
      <c r="M11" s="1199"/>
    </row>
    <row r="12" spans="1:14" s="561" customFormat="1" ht="23.25" customHeight="1">
      <c r="A12" s="560" t="s">
        <v>1707</v>
      </c>
      <c r="B12" s="1208" t="s">
        <v>1835</v>
      </c>
      <c r="C12" s="1208"/>
      <c r="D12" s="1208" t="s">
        <v>1836</v>
      </c>
      <c r="E12" s="1208"/>
      <c r="F12" s="1208"/>
      <c r="G12" s="1208" t="s">
        <v>1837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199"/>
      <c r="C13" s="1199"/>
      <c r="D13" s="1199"/>
      <c r="E13" s="1199"/>
      <c r="F13" s="1199"/>
      <c r="G13" s="1199"/>
      <c r="H13" s="1199"/>
      <c r="I13" s="1199"/>
      <c r="J13" s="1199"/>
      <c r="K13" s="1199"/>
      <c r="L13" s="1199"/>
      <c r="M13" s="1199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2</v>
      </c>
      <c r="C15" s="1203" t="s">
        <v>1490</v>
      </c>
      <c r="D15" s="1197"/>
      <c r="E15" s="1197"/>
      <c r="F15" s="563">
        <v>2</v>
      </c>
      <c r="G15" s="562" t="s">
        <v>1712</v>
      </c>
      <c r="H15" s="563">
        <v>6</v>
      </c>
      <c r="I15" s="562" t="s">
        <v>1492</v>
      </c>
      <c r="J15" s="563">
        <v>2</v>
      </c>
      <c r="K15" s="562" t="s">
        <v>1386</v>
      </c>
      <c r="L15" s="563">
        <v>7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67</v>
      </c>
      <c r="D17" s="562" t="s">
        <v>205</v>
      </c>
      <c r="E17" s="564"/>
      <c r="F17" s="562" t="s">
        <v>206</v>
      </c>
      <c r="G17" s="564"/>
      <c r="H17" s="562" t="s">
        <v>230</v>
      </c>
      <c r="I17" s="564">
        <f>+E17+G17+C17</f>
        <v>67</v>
      </c>
      <c r="J17" s="562" t="s">
        <v>207</v>
      </c>
      <c r="K17" s="564">
        <v>11</v>
      </c>
      <c r="L17" s="1203" t="s">
        <v>1360</v>
      </c>
      <c r="M17" s="1204"/>
      <c r="N17" s="564">
        <v>6</v>
      </c>
    </row>
    <row r="18" spans="1:14" s="562" customFormat="1">
      <c r="A18" s="562" t="s">
        <v>209</v>
      </c>
      <c r="B18" s="562" t="s">
        <v>210</v>
      </c>
      <c r="C18" s="564">
        <v>118</v>
      </c>
      <c r="D18" s="562" t="s">
        <v>211</v>
      </c>
      <c r="E18" s="564"/>
      <c r="F18" s="562" t="s">
        <v>212</v>
      </c>
      <c r="G18" s="564"/>
      <c r="H18" s="562" t="s">
        <v>411</v>
      </c>
      <c r="I18" s="564">
        <f>+E18+G18+C18</f>
        <v>118</v>
      </c>
    </row>
    <row r="19" spans="1:14" s="562" customFormat="1" ht="13.5" customHeight="1">
      <c r="B19" s="562" t="s">
        <v>213</v>
      </c>
      <c r="C19" s="564">
        <v>113</v>
      </c>
      <c r="D19" s="562" t="s">
        <v>214</v>
      </c>
      <c r="E19" s="564"/>
      <c r="F19" s="562" t="s">
        <v>215</v>
      </c>
      <c r="G19" s="564"/>
      <c r="H19" s="562" t="s">
        <v>410</v>
      </c>
      <c r="I19" s="564">
        <f>+E19+G19+C19</f>
        <v>113</v>
      </c>
    </row>
    <row r="20" spans="1:14" s="562" customFormat="1">
      <c r="G20" s="565"/>
    </row>
    <row r="21" spans="1:14">
      <c r="E21" s="574"/>
    </row>
    <row r="22" spans="1:14">
      <c r="E22" s="574"/>
    </row>
    <row r="23" spans="1:14">
      <c r="A23" s="567" t="s">
        <v>216</v>
      </c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562"/>
      <c r="B24" s="561"/>
      <c r="C24" s="561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1"/>
    </row>
    <row r="25" spans="1:14">
      <c r="A25" s="1205" t="s">
        <v>217</v>
      </c>
      <c r="B25" s="1205" t="s">
        <v>218</v>
      </c>
      <c r="C25" s="1205" t="s">
        <v>219</v>
      </c>
      <c r="D25" s="1205" t="s">
        <v>1363</v>
      </c>
      <c r="E25" s="1205" t="s">
        <v>1713</v>
      </c>
      <c r="F25" s="1200" t="s">
        <v>1714</v>
      </c>
      <c r="G25" s="1201"/>
      <c r="H25" s="1201"/>
      <c r="I25" s="1201"/>
      <c r="J25" s="1201"/>
      <c r="K25" s="1201"/>
      <c r="L25" s="1201"/>
      <c r="M25" s="1201"/>
      <c r="N25" s="1202"/>
    </row>
    <row r="26" spans="1:14" ht="25.5">
      <c r="A26" s="1206"/>
      <c r="B26" s="1206"/>
      <c r="C26" s="1206"/>
      <c r="D26" s="1206"/>
      <c r="E26" s="1206"/>
      <c r="F26" s="568" t="s">
        <v>224</v>
      </c>
      <c r="G26" s="568" t="s">
        <v>225</v>
      </c>
      <c r="H26" s="568" t="s">
        <v>226</v>
      </c>
      <c r="I26" s="568" t="s">
        <v>227</v>
      </c>
      <c r="J26" s="568" t="s">
        <v>228</v>
      </c>
      <c r="K26" s="568" t="s">
        <v>229</v>
      </c>
      <c r="L26" s="568" t="s">
        <v>1499</v>
      </c>
      <c r="M26" s="569" t="s">
        <v>230</v>
      </c>
      <c r="N26" s="569" t="s">
        <v>231</v>
      </c>
    </row>
    <row r="27" spans="1:14">
      <c r="A27" s="560" t="s">
        <v>232</v>
      </c>
      <c r="B27" s="564">
        <v>8000</v>
      </c>
      <c r="C27" s="560" t="s">
        <v>233</v>
      </c>
      <c r="D27" s="570">
        <v>26.84</v>
      </c>
      <c r="E27" s="570">
        <v>26.84</v>
      </c>
      <c r="F27" s="590">
        <v>0</v>
      </c>
      <c r="G27" s="590">
        <v>0</v>
      </c>
      <c r="H27" s="570">
        <v>7.1293100000000003</v>
      </c>
      <c r="I27" s="570">
        <v>6.2355499999999999</v>
      </c>
      <c r="J27" s="570">
        <v>8.1502999999999997</v>
      </c>
      <c r="K27" s="570">
        <v>2.0367999999999999</v>
      </c>
      <c r="L27" s="590">
        <v>0</v>
      </c>
      <c r="M27" s="576">
        <v>23.551960000000001</v>
      </c>
      <c r="N27" s="570">
        <v>87.749478390462002</v>
      </c>
    </row>
    <row r="28" spans="1:14">
      <c r="A28" s="560" t="s">
        <v>1715</v>
      </c>
      <c r="B28" s="564">
        <v>7000</v>
      </c>
      <c r="C28" s="560" t="s">
        <v>233</v>
      </c>
      <c r="D28" s="570">
        <v>3.7576000000000001</v>
      </c>
      <c r="E28" s="570">
        <v>3.7576000000000001</v>
      </c>
      <c r="F28" s="590">
        <v>0</v>
      </c>
      <c r="G28" s="590">
        <v>0</v>
      </c>
      <c r="H28" s="570">
        <v>0</v>
      </c>
      <c r="I28" s="570">
        <v>0</v>
      </c>
      <c r="J28" s="570">
        <v>0.52400000000000002</v>
      </c>
      <c r="K28" s="570">
        <v>0.74609999999999999</v>
      </c>
      <c r="L28" s="590">
        <v>0</v>
      </c>
      <c r="M28" s="576">
        <v>1.2701</v>
      </c>
      <c r="N28" s="570">
        <v>33.800830317223763</v>
      </c>
    </row>
    <row r="29" spans="1:14">
      <c r="A29" s="560" t="s">
        <v>235</v>
      </c>
      <c r="B29" s="564">
        <v>43000</v>
      </c>
      <c r="C29" s="560" t="s">
        <v>236</v>
      </c>
      <c r="D29" s="570">
        <v>0.43</v>
      </c>
      <c r="E29" s="570">
        <v>0.43</v>
      </c>
      <c r="F29" s="590">
        <v>0</v>
      </c>
      <c r="G29" s="590">
        <v>0</v>
      </c>
      <c r="H29" s="570">
        <v>1.2E-2</v>
      </c>
      <c r="I29" s="570">
        <v>0.18029999999999999</v>
      </c>
      <c r="J29" s="570">
        <v>0.13700000000000001</v>
      </c>
      <c r="K29" s="570">
        <v>1.4999999999999999E-2</v>
      </c>
      <c r="L29" s="590">
        <v>0</v>
      </c>
      <c r="M29" s="576">
        <v>0.34429999999999999</v>
      </c>
      <c r="N29" s="570">
        <v>80.069767441860463</v>
      </c>
    </row>
    <row r="30" spans="1:14">
      <c r="A30" s="560" t="s">
        <v>396</v>
      </c>
      <c r="B30" s="564">
        <v>34000</v>
      </c>
      <c r="C30" s="560" t="s">
        <v>236</v>
      </c>
      <c r="D30" s="570">
        <v>0.34</v>
      </c>
      <c r="E30" s="570">
        <v>0.34</v>
      </c>
      <c r="F30" s="590">
        <v>0</v>
      </c>
      <c r="G30" s="590">
        <v>0</v>
      </c>
      <c r="H30" s="570">
        <v>0</v>
      </c>
      <c r="I30" s="570">
        <v>0.11914</v>
      </c>
      <c r="J30" s="570">
        <v>0.12086</v>
      </c>
      <c r="K30" s="570">
        <v>0</v>
      </c>
      <c r="L30" s="590">
        <v>0</v>
      </c>
      <c r="M30" s="576">
        <v>0.24</v>
      </c>
      <c r="N30" s="570">
        <v>70.588235294117638</v>
      </c>
    </row>
    <row r="31" spans="1:14">
      <c r="A31" s="560" t="s">
        <v>238</v>
      </c>
      <c r="B31" s="564">
        <v>1200</v>
      </c>
      <c r="C31" s="560" t="s">
        <v>233</v>
      </c>
      <c r="D31" s="570">
        <v>4.0259999999999998</v>
      </c>
      <c r="E31" s="570">
        <v>4.0259999999999998</v>
      </c>
      <c r="F31" s="590">
        <v>0</v>
      </c>
      <c r="G31" s="590">
        <v>0</v>
      </c>
      <c r="H31" s="570">
        <v>1.0660400000000001</v>
      </c>
      <c r="I31" s="570">
        <v>1.57551</v>
      </c>
      <c r="J31" s="570">
        <v>0.20849999999999999</v>
      </c>
      <c r="K31" s="570">
        <v>0</v>
      </c>
      <c r="L31" s="590">
        <v>0</v>
      </c>
      <c r="M31" s="576">
        <v>2.85005</v>
      </c>
      <c r="N31" s="570">
        <v>70.791107799304527</v>
      </c>
    </row>
    <row r="32" spans="1:14">
      <c r="A32" s="560" t="s">
        <v>667</v>
      </c>
      <c r="B32" s="564">
        <v>565</v>
      </c>
      <c r="C32" s="560" t="s">
        <v>233</v>
      </c>
      <c r="D32" s="570">
        <v>1.895575</v>
      </c>
      <c r="E32" s="570">
        <v>1.89557</v>
      </c>
      <c r="F32" s="590">
        <v>0</v>
      </c>
      <c r="G32" s="590">
        <v>0</v>
      </c>
      <c r="H32" s="570">
        <v>1.89557</v>
      </c>
      <c r="I32" s="570">
        <v>0</v>
      </c>
      <c r="J32" s="570">
        <v>0</v>
      </c>
      <c r="K32" s="570">
        <v>0</v>
      </c>
      <c r="L32" s="590">
        <v>0</v>
      </c>
      <c r="M32" s="576">
        <v>1.89557</v>
      </c>
      <c r="N32" s="570">
        <v>100</v>
      </c>
    </row>
    <row r="33" spans="1:14">
      <c r="A33" s="560" t="s">
        <v>240</v>
      </c>
      <c r="B33" s="564">
        <v>1000</v>
      </c>
      <c r="C33" s="560" t="s">
        <v>233</v>
      </c>
      <c r="D33" s="570">
        <v>3.355</v>
      </c>
      <c r="E33" s="570">
        <v>3.355</v>
      </c>
      <c r="F33" s="590">
        <v>0</v>
      </c>
      <c r="G33" s="590">
        <v>0</v>
      </c>
      <c r="H33" s="570">
        <v>0</v>
      </c>
      <c r="I33" s="570">
        <v>0</v>
      </c>
      <c r="J33" s="570">
        <v>0</v>
      </c>
      <c r="K33" s="570">
        <v>0.1</v>
      </c>
      <c r="L33" s="590">
        <v>0</v>
      </c>
      <c r="M33" s="576">
        <v>0.1</v>
      </c>
      <c r="N33" s="570">
        <v>2.9806259314456041</v>
      </c>
    </row>
    <row r="34" spans="1:14">
      <c r="A34" s="560" t="s">
        <v>394</v>
      </c>
      <c r="B34" s="564">
        <v>2750</v>
      </c>
      <c r="C34" s="560" t="s">
        <v>1716</v>
      </c>
      <c r="D34" s="570">
        <v>1.75</v>
      </c>
      <c r="E34" s="570">
        <v>1.75</v>
      </c>
      <c r="F34" s="590">
        <v>0</v>
      </c>
      <c r="G34" s="590">
        <v>0</v>
      </c>
      <c r="H34" s="570">
        <v>0.35896</v>
      </c>
      <c r="I34" s="570">
        <v>0.26550000000000001</v>
      </c>
      <c r="J34" s="570">
        <v>0.37284</v>
      </c>
      <c r="K34" s="570">
        <v>0.16500000000000001</v>
      </c>
      <c r="L34" s="590">
        <v>0</v>
      </c>
      <c r="M34" s="576">
        <v>1.1623000000000001</v>
      </c>
      <c r="N34" s="570">
        <v>66.417142857142863</v>
      </c>
    </row>
    <row r="35" spans="1:14">
      <c r="A35" s="560" t="s">
        <v>1717</v>
      </c>
      <c r="B35" s="564">
        <v>10000</v>
      </c>
      <c r="C35" s="560" t="s">
        <v>244</v>
      </c>
      <c r="D35" s="570">
        <v>0</v>
      </c>
      <c r="E35" s="564">
        <v>0</v>
      </c>
      <c r="F35" s="590">
        <v>0</v>
      </c>
      <c r="G35" s="590">
        <v>0</v>
      </c>
      <c r="H35" s="570">
        <v>0</v>
      </c>
      <c r="I35" s="570">
        <v>0</v>
      </c>
      <c r="J35" s="570">
        <v>0</v>
      </c>
      <c r="K35" s="570">
        <v>0</v>
      </c>
      <c r="L35" s="590">
        <v>0</v>
      </c>
      <c r="M35" s="576">
        <v>0</v>
      </c>
      <c r="N35" s="570">
        <v>0</v>
      </c>
    </row>
    <row r="36" spans="1:14">
      <c r="A36" s="572" t="s">
        <v>230</v>
      </c>
      <c r="B36" s="564"/>
      <c r="C36" s="560"/>
      <c r="D36" s="573">
        <v>42.394174999999997</v>
      </c>
      <c r="E36" s="573">
        <v>42.394169999999995</v>
      </c>
      <c r="F36" s="573">
        <v>0</v>
      </c>
      <c r="G36" s="573">
        <v>0</v>
      </c>
      <c r="H36" s="573">
        <v>10.461880000000001</v>
      </c>
      <c r="I36" s="573">
        <v>8.3760000000000012</v>
      </c>
      <c r="J36" s="573">
        <v>9.5135000000000005</v>
      </c>
      <c r="K36" s="573">
        <v>3.0629000000000004</v>
      </c>
      <c r="L36" s="573">
        <v>0</v>
      </c>
      <c r="M36" s="573">
        <v>31.414279999999998</v>
      </c>
      <c r="N36" s="573">
        <v>512.39718803155677</v>
      </c>
    </row>
  </sheetData>
  <mergeCells count="34">
    <mergeCell ref="A25:A26"/>
    <mergeCell ref="B25:B26"/>
    <mergeCell ref="C25:C26"/>
    <mergeCell ref="D25:D26"/>
    <mergeCell ref="E25:E26"/>
    <mergeCell ref="F25:N25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1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O41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9.7109375" style="557" customWidth="1"/>
    <col min="3" max="3" width="8.570312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9.7109375" style="557" customWidth="1"/>
    <col min="259" max="259" width="8.570312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9.7109375" style="557" customWidth="1"/>
    <col min="515" max="515" width="8.570312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9.7109375" style="557" customWidth="1"/>
    <col min="771" max="771" width="8.570312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9.7109375" style="557" customWidth="1"/>
    <col min="1027" max="1027" width="8.570312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9.7109375" style="557" customWidth="1"/>
    <col min="1283" max="1283" width="8.570312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9.7109375" style="557" customWidth="1"/>
    <col min="1539" max="1539" width="8.570312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9.7109375" style="557" customWidth="1"/>
    <col min="1795" max="1795" width="8.570312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9.7109375" style="557" customWidth="1"/>
    <col min="2051" max="2051" width="8.570312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9.7109375" style="557" customWidth="1"/>
    <col min="2307" max="2307" width="8.570312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9.7109375" style="557" customWidth="1"/>
    <col min="2563" max="2563" width="8.570312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9.7109375" style="557" customWidth="1"/>
    <col min="2819" max="2819" width="8.570312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9.7109375" style="557" customWidth="1"/>
    <col min="3075" max="3075" width="8.570312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9.7109375" style="557" customWidth="1"/>
    <col min="3331" max="3331" width="8.570312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9.7109375" style="557" customWidth="1"/>
    <col min="3587" max="3587" width="8.570312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9.7109375" style="557" customWidth="1"/>
    <col min="3843" max="3843" width="8.570312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9.7109375" style="557" customWidth="1"/>
    <col min="4099" max="4099" width="8.570312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9.7109375" style="557" customWidth="1"/>
    <col min="4355" max="4355" width="8.570312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9.7109375" style="557" customWidth="1"/>
    <col min="4611" max="4611" width="8.570312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9.7109375" style="557" customWidth="1"/>
    <col min="4867" max="4867" width="8.570312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9.7109375" style="557" customWidth="1"/>
    <col min="5123" max="5123" width="8.570312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9.7109375" style="557" customWidth="1"/>
    <col min="5379" max="5379" width="8.570312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9.7109375" style="557" customWidth="1"/>
    <col min="5635" max="5635" width="8.570312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9.7109375" style="557" customWidth="1"/>
    <col min="5891" max="5891" width="8.570312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9.7109375" style="557" customWidth="1"/>
    <col min="6147" max="6147" width="8.570312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9.7109375" style="557" customWidth="1"/>
    <col min="6403" max="6403" width="8.570312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9.7109375" style="557" customWidth="1"/>
    <col min="6659" max="6659" width="8.570312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9.7109375" style="557" customWidth="1"/>
    <col min="6915" max="6915" width="8.570312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9.7109375" style="557" customWidth="1"/>
    <col min="7171" max="7171" width="8.570312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9.7109375" style="557" customWidth="1"/>
    <col min="7427" max="7427" width="8.570312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9.7109375" style="557" customWidth="1"/>
    <col min="7683" max="7683" width="8.570312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9.7109375" style="557" customWidth="1"/>
    <col min="7939" max="7939" width="8.570312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9.7109375" style="557" customWidth="1"/>
    <col min="8195" max="8195" width="8.570312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9.7109375" style="557" customWidth="1"/>
    <col min="8451" max="8451" width="8.570312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9.7109375" style="557" customWidth="1"/>
    <col min="8707" max="8707" width="8.570312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9.7109375" style="557" customWidth="1"/>
    <col min="8963" max="8963" width="8.570312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9.7109375" style="557" customWidth="1"/>
    <col min="9219" max="9219" width="8.570312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9.7109375" style="557" customWidth="1"/>
    <col min="9475" max="9475" width="8.570312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9.7109375" style="557" customWidth="1"/>
    <col min="9731" max="9731" width="8.570312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9.7109375" style="557" customWidth="1"/>
    <col min="9987" max="9987" width="8.570312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9.7109375" style="557" customWidth="1"/>
    <col min="10243" max="10243" width="8.570312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9.7109375" style="557" customWidth="1"/>
    <col min="10499" max="10499" width="8.570312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9.7109375" style="557" customWidth="1"/>
    <col min="10755" max="10755" width="8.570312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9.7109375" style="557" customWidth="1"/>
    <col min="11011" max="11011" width="8.570312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9.7109375" style="557" customWidth="1"/>
    <col min="11267" max="11267" width="8.570312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9.7109375" style="557" customWidth="1"/>
    <col min="11523" max="11523" width="8.570312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9.7109375" style="557" customWidth="1"/>
    <col min="11779" max="11779" width="8.570312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9.7109375" style="557" customWidth="1"/>
    <col min="12035" max="12035" width="8.570312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9.7109375" style="557" customWidth="1"/>
    <col min="12291" max="12291" width="8.570312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9.7109375" style="557" customWidth="1"/>
    <col min="12547" max="12547" width="8.570312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9.7109375" style="557" customWidth="1"/>
    <col min="12803" max="12803" width="8.570312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9.7109375" style="557" customWidth="1"/>
    <col min="13059" max="13059" width="8.570312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9.7109375" style="557" customWidth="1"/>
    <col min="13315" max="13315" width="8.570312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9.7109375" style="557" customWidth="1"/>
    <col min="13571" max="13571" width="8.570312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9.7109375" style="557" customWidth="1"/>
    <col min="13827" max="13827" width="8.570312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9.7109375" style="557" customWidth="1"/>
    <col min="14083" max="14083" width="8.570312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9.7109375" style="557" customWidth="1"/>
    <col min="14339" max="14339" width="8.570312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9.7109375" style="557" customWidth="1"/>
    <col min="14595" max="14595" width="8.570312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9.7109375" style="557" customWidth="1"/>
    <col min="14851" max="14851" width="8.570312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9.7109375" style="557" customWidth="1"/>
    <col min="15107" max="15107" width="8.570312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9.7109375" style="557" customWidth="1"/>
    <col min="15363" max="15363" width="8.570312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9.7109375" style="557" customWidth="1"/>
    <col min="15619" max="15619" width="8.570312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9.7109375" style="557" customWidth="1"/>
    <col min="15875" max="15875" width="8.570312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9.7109375" style="557" customWidth="1"/>
    <col min="16131" max="16131" width="8.570312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164</v>
      </c>
      <c r="C3" s="1207"/>
      <c r="D3" s="1207"/>
      <c r="E3" s="1207"/>
      <c r="F3" s="558" t="s">
        <v>171</v>
      </c>
      <c r="H3" s="1190" t="s">
        <v>1838</v>
      </c>
      <c r="I3" s="1190"/>
      <c r="J3" s="558" t="s">
        <v>172</v>
      </c>
      <c r="K3" s="559">
        <v>201.5</v>
      </c>
      <c r="L3" s="558" t="s">
        <v>436</v>
      </c>
      <c r="N3" s="559">
        <v>32.24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1839</v>
      </c>
      <c r="C5" s="1192"/>
      <c r="D5" s="1192"/>
      <c r="E5" s="1193"/>
      <c r="F5" s="558" t="s">
        <v>176</v>
      </c>
      <c r="H5" s="1191" t="s">
        <v>1840</v>
      </c>
      <c r="I5" s="1192"/>
      <c r="J5" s="1193"/>
    </row>
    <row r="7" spans="1:14" ht="13.5" customHeight="1">
      <c r="A7" s="558" t="s">
        <v>178</v>
      </c>
      <c r="B7" s="1194"/>
      <c r="C7" s="1195"/>
      <c r="D7" s="1195"/>
      <c r="E7" s="1196"/>
      <c r="F7" s="1197" t="s">
        <v>1696</v>
      </c>
      <c r="G7" s="1197"/>
      <c r="H7" s="1198"/>
      <c r="I7" s="1198"/>
      <c r="J7" s="1198"/>
      <c r="K7" s="1198"/>
    </row>
    <row r="8" spans="1:14">
      <c r="F8" s="1197"/>
      <c r="G8" s="1197"/>
      <c r="H8" s="1198"/>
      <c r="I8" s="1198"/>
      <c r="J8" s="1198"/>
      <c r="K8" s="1198"/>
    </row>
    <row r="10" spans="1:14" s="561" customFormat="1" ht="20.100000000000001" customHeight="1">
      <c r="A10" s="560" t="s">
        <v>1697</v>
      </c>
      <c r="B10" s="1208" t="s">
        <v>1841</v>
      </c>
      <c r="C10" s="1208"/>
      <c r="D10" s="1208" t="s">
        <v>1842</v>
      </c>
      <c r="E10" s="1208"/>
      <c r="F10" s="1208"/>
      <c r="G10" s="1208"/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 t="s">
        <v>1843</v>
      </c>
      <c r="C11" s="1208"/>
      <c r="D11" s="1208" t="s">
        <v>1844</v>
      </c>
      <c r="E11" s="1208"/>
      <c r="F11" s="1208"/>
      <c r="G11" s="1208"/>
      <c r="H11" s="1208"/>
      <c r="I11" s="1208"/>
      <c r="J11" s="1208"/>
      <c r="K11" s="1208"/>
      <c r="L11" s="1208"/>
      <c r="M11" s="1208"/>
    </row>
    <row r="12" spans="1:14" s="561" customFormat="1" ht="26.25" customHeight="1">
      <c r="A12" s="560" t="s">
        <v>1707</v>
      </c>
      <c r="B12" s="1208" t="s">
        <v>1845</v>
      </c>
      <c r="C12" s="1208"/>
      <c r="D12" s="1208" t="s">
        <v>1846</v>
      </c>
      <c r="E12" s="1208"/>
      <c r="F12" s="1208"/>
      <c r="G12" s="1208" t="s">
        <v>1847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2</v>
      </c>
      <c r="C15" s="1203" t="s">
        <v>1490</v>
      </c>
      <c r="D15" s="1197"/>
      <c r="E15" s="1197"/>
      <c r="F15" s="563">
        <v>2</v>
      </c>
      <c r="G15" s="562" t="s">
        <v>1712</v>
      </c>
      <c r="H15" s="563">
        <v>6</v>
      </c>
      <c r="I15" s="562" t="s">
        <v>1492</v>
      </c>
      <c r="J15" s="563">
        <v>2</v>
      </c>
      <c r="K15" s="562" t="s">
        <v>1386</v>
      </c>
      <c r="L15" s="563">
        <v>5</v>
      </c>
    </row>
    <row r="16" spans="1:14" s="561" customFormat="1">
      <c r="A16" s="562"/>
    </row>
    <row r="17" spans="1:15" s="562" customFormat="1" ht="12" customHeight="1">
      <c r="A17" s="562" t="s">
        <v>203</v>
      </c>
      <c r="B17" s="562" t="s">
        <v>204</v>
      </c>
      <c r="C17" s="564">
        <v>82</v>
      </c>
      <c r="D17" s="562" t="s">
        <v>205</v>
      </c>
      <c r="E17" s="564"/>
      <c r="F17" s="562" t="s">
        <v>206</v>
      </c>
      <c r="G17" s="564"/>
      <c r="H17" s="562" t="s">
        <v>230</v>
      </c>
      <c r="I17" s="564">
        <v>82</v>
      </c>
      <c r="J17" s="562" t="s">
        <v>207</v>
      </c>
      <c r="K17" s="564">
        <v>14</v>
      </c>
      <c r="L17" s="1203" t="s">
        <v>1360</v>
      </c>
      <c r="M17" s="1204"/>
      <c r="N17" s="564">
        <v>10</v>
      </c>
    </row>
    <row r="18" spans="1:15" s="562" customFormat="1">
      <c r="A18" s="562" t="s">
        <v>209</v>
      </c>
      <c r="B18" s="562" t="s">
        <v>210</v>
      </c>
      <c r="C18" s="564">
        <v>144</v>
      </c>
      <c r="D18" s="562" t="s">
        <v>211</v>
      </c>
      <c r="E18" s="564"/>
      <c r="F18" s="562" t="s">
        <v>212</v>
      </c>
      <c r="G18" s="564"/>
      <c r="H18" s="562" t="s">
        <v>411</v>
      </c>
      <c r="I18" s="564">
        <v>144</v>
      </c>
    </row>
    <row r="19" spans="1:15" s="562" customFormat="1" ht="13.5" customHeight="1">
      <c r="B19" s="562" t="s">
        <v>213</v>
      </c>
      <c r="C19" s="564">
        <v>165</v>
      </c>
      <c r="D19" s="562" t="s">
        <v>214</v>
      </c>
      <c r="E19" s="564"/>
      <c r="F19" s="562" t="s">
        <v>215</v>
      </c>
      <c r="G19" s="564"/>
      <c r="H19" s="562" t="s">
        <v>410</v>
      </c>
      <c r="I19" s="564">
        <v>165</v>
      </c>
    </row>
    <row r="20" spans="1:15" s="562" customFormat="1">
      <c r="G20" s="565"/>
    </row>
    <row r="21" spans="1:15" s="561" customFormat="1">
      <c r="A21" s="562"/>
    </row>
    <row r="23" spans="1:15">
      <c r="E23" s="574"/>
    </row>
    <row r="24" spans="1:15">
      <c r="E24" s="574"/>
    </row>
    <row r="25" spans="1:15">
      <c r="A25" s="567" t="s">
        <v>216</v>
      </c>
      <c r="B25" s="561"/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</row>
    <row r="26" spans="1:15">
      <c r="A26" s="562"/>
      <c r="B26" s="561"/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</row>
    <row r="27" spans="1:15">
      <c r="A27" s="1205" t="s">
        <v>217</v>
      </c>
      <c r="B27" s="1205" t="s">
        <v>218</v>
      </c>
      <c r="C27" s="1205" t="s">
        <v>219</v>
      </c>
      <c r="D27" s="1205" t="s">
        <v>1363</v>
      </c>
      <c r="E27" s="1205" t="s">
        <v>1713</v>
      </c>
      <c r="F27" s="1200" t="s">
        <v>1714</v>
      </c>
      <c r="G27" s="1201"/>
      <c r="H27" s="1201"/>
      <c r="I27" s="1201"/>
      <c r="J27" s="1201"/>
      <c r="K27" s="1201"/>
      <c r="L27" s="1201"/>
      <c r="M27" s="1201"/>
      <c r="N27" s="1202"/>
    </row>
    <row r="28" spans="1:15" ht="25.5">
      <c r="A28" s="1206"/>
      <c r="B28" s="1206"/>
      <c r="C28" s="1206"/>
      <c r="D28" s="1206"/>
      <c r="E28" s="1206"/>
      <c r="F28" s="568" t="s">
        <v>224</v>
      </c>
      <c r="G28" s="568" t="s">
        <v>225</v>
      </c>
      <c r="H28" s="568" t="s">
        <v>226</v>
      </c>
      <c r="I28" s="568" t="s">
        <v>227</v>
      </c>
      <c r="J28" s="568" t="s">
        <v>228</v>
      </c>
      <c r="K28" s="568" t="s">
        <v>229</v>
      </c>
      <c r="L28" s="568" t="s">
        <v>1499</v>
      </c>
      <c r="M28" s="569" t="s">
        <v>230</v>
      </c>
      <c r="N28" s="569" t="s">
        <v>231</v>
      </c>
    </row>
    <row r="29" spans="1:15">
      <c r="A29" s="560" t="s">
        <v>232</v>
      </c>
      <c r="B29" s="564">
        <v>8000</v>
      </c>
      <c r="C29" s="560" t="s">
        <v>233</v>
      </c>
      <c r="D29" s="570">
        <v>16.12</v>
      </c>
      <c r="E29" s="570">
        <v>16.12</v>
      </c>
      <c r="F29" s="591">
        <v>0</v>
      </c>
      <c r="G29" s="591">
        <v>0</v>
      </c>
      <c r="H29" s="570">
        <v>4.5983499999999999</v>
      </c>
      <c r="I29" s="570">
        <v>9.3022399999999994</v>
      </c>
      <c r="J29" s="570">
        <v>3.1696900000000001</v>
      </c>
      <c r="K29" s="570">
        <v>0</v>
      </c>
      <c r="L29" s="591">
        <v>0</v>
      </c>
      <c r="M29" s="576">
        <v>17.07028</v>
      </c>
      <c r="N29" s="570">
        <v>112.09851116625309</v>
      </c>
      <c r="O29" s="592"/>
    </row>
    <row r="30" spans="1:15">
      <c r="A30" s="560" t="s">
        <v>1715</v>
      </c>
      <c r="B30" s="564">
        <v>7000</v>
      </c>
      <c r="C30" s="560" t="s">
        <v>233</v>
      </c>
      <c r="D30" s="570">
        <v>2.2568000000000001</v>
      </c>
      <c r="E30" s="570">
        <v>2.2568000000000001</v>
      </c>
      <c r="F30" s="591">
        <v>0</v>
      </c>
      <c r="G30" s="591">
        <v>0</v>
      </c>
      <c r="H30" s="570">
        <v>0</v>
      </c>
      <c r="I30" s="570">
        <v>0</v>
      </c>
      <c r="J30" s="570">
        <v>0.6048</v>
      </c>
      <c r="K30" s="570">
        <v>1.3623499999999999</v>
      </c>
      <c r="L30" s="591">
        <v>0</v>
      </c>
      <c r="M30" s="576">
        <v>1.96715</v>
      </c>
      <c r="N30" s="570">
        <v>87.165455512229698</v>
      </c>
      <c r="O30" s="592"/>
    </row>
    <row r="31" spans="1:15">
      <c r="A31" s="560" t="s">
        <v>235</v>
      </c>
      <c r="B31" s="564">
        <v>43000</v>
      </c>
      <c r="C31" s="560" t="s">
        <v>236</v>
      </c>
      <c r="D31" s="570">
        <v>0.43</v>
      </c>
      <c r="E31" s="570">
        <v>0.43</v>
      </c>
      <c r="F31" s="591">
        <v>0</v>
      </c>
      <c r="G31" s="591">
        <v>0</v>
      </c>
      <c r="H31" s="570">
        <v>0</v>
      </c>
      <c r="I31" s="570">
        <v>0.20860000000000001</v>
      </c>
      <c r="J31" s="570">
        <v>0.2823</v>
      </c>
      <c r="K31" s="570">
        <v>1.4999999999999999E-2</v>
      </c>
      <c r="L31" s="591">
        <v>0</v>
      </c>
      <c r="M31" s="576">
        <v>0.50590000000000002</v>
      </c>
      <c r="N31" s="570">
        <v>117.65116279069767</v>
      </c>
      <c r="O31" s="592"/>
    </row>
    <row r="32" spans="1:15">
      <c r="A32" s="560" t="s">
        <v>396</v>
      </c>
      <c r="B32" s="564">
        <v>34000</v>
      </c>
      <c r="C32" s="560" t="s">
        <v>236</v>
      </c>
      <c r="D32" s="570">
        <v>0.34</v>
      </c>
      <c r="E32" s="570">
        <v>0.34</v>
      </c>
      <c r="F32" s="591">
        <v>0</v>
      </c>
      <c r="G32" s="591">
        <v>0</v>
      </c>
      <c r="H32" s="570">
        <v>0</v>
      </c>
      <c r="I32" s="570">
        <v>0.11914</v>
      </c>
      <c r="J32" s="570">
        <v>0.12286</v>
      </c>
      <c r="K32" s="570">
        <v>0.06</v>
      </c>
      <c r="L32" s="591">
        <v>0</v>
      </c>
      <c r="M32" s="576">
        <v>0.30199999999999999</v>
      </c>
      <c r="N32" s="570">
        <v>88.823529411764696</v>
      </c>
      <c r="O32" s="592"/>
    </row>
    <row r="33" spans="1:15">
      <c r="A33" s="560" t="s">
        <v>238</v>
      </c>
      <c r="B33" s="564">
        <v>1200</v>
      </c>
      <c r="C33" s="560" t="s">
        <v>233</v>
      </c>
      <c r="D33" s="570">
        <v>2.4180000000000001</v>
      </c>
      <c r="E33" s="570">
        <v>2.9372199999999999</v>
      </c>
      <c r="F33" s="591">
        <v>0</v>
      </c>
      <c r="G33" s="591">
        <v>0</v>
      </c>
      <c r="H33" s="570">
        <v>0</v>
      </c>
      <c r="I33" s="570">
        <v>2.4695999999999998</v>
      </c>
      <c r="J33" s="570">
        <v>0</v>
      </c>
      <c r="K33" s="570">
        <v>0</v>
      </c>
      <c r="L33" s="591">
        <v>0</v>
      </c>
      <c r="M33" s="576">
        <v>2.4695999999999998</v>
      </c>
      <c r="N33" s="570">
        <v>84.079503748442391</v>
      </c>
      <c r="O33" s="592"/>
    </row>
    <row r="34" spans="1:15">
      <c r="A34" s="560" t="s">
        <v>667</v>
      </c>
      <c r="B34" s="564">
        <v>565</v>
      </c>
      <c r="C34" s="560" t="s">
        <v>233</v>
      </c>
      <c r="D34" s="570">
        <v>1.1384749999999999</v>
      </c>
      <c r="E34" s="570">
        <v>1.1384700000000001</v>
      </c>
      <c r="F34" s="591">
        <v>0</v>
      </c>
      <c r="G34" s="591">
        <v>0</v>
      </c>
      <c r="H34" s="570">
        <v>0</v>
      </c>
      <c r="I34" s="570">
        <v>1.1384700000000001</v>
      </c>
      <c r="J34" s="570">
        <v>0</v>
      </c>
      <c r="K34" s="570">
        <v>0</v>
      </c>
      <c r="L34" s="591">
        <v>0</v>
      </c>
      <c r="M34" s="576">
        <v>1.1384700000000001</v>
      </c>
      <c r="N34" s="570">
        <v>100</v>
      </c>
      <c r="O34" s="592"/>
    </row>
    <row r="35" spans="1:15">
      <c r="A35" s="560" t="s">
        <v>240</v>
      </c>
      <c r="B35" s="564">
        <v>1000</v>
      </c>
      <c r="C35" s="560" t="s">
        <v>233</v>
      </c>
      <c r="D35" s="570">
        <v>2.0150000000000001</v>
      </c>
      <c r="E35" s="570">
        <v>1.5457799999999999</v>
      </c>
      <c r="F35" s="591">
        <v>0</v>
      </c>
      <c r="G35" s="591">
        <v>0</v>
      </c>
      <c r="H35" s="570">
        <v>0</v>
      </c>
      <c r="I35" s="570">
        <v>0</v>
      </c>
      <c r="J35" s="570">
        <v>0</v>
      </c>
      <c r="K35" s="570">
        <v>1.0794999999999999</v>
      </c>
      <c r="L35" s="591">
        <v>0</v>
      </c>
      <c r="M35" s="576">
        <v>1.0794999999999999</v>
      </c>
      <c r="N35" s="570">
        <v>69.835293508778733</v>
      </c>
      <c r="O35" s="592"/>
    </row>
    <row r="36" spans="1:15">
      <c r="A36" s="560" t="s">
        <v>394</v>
      </c>
      <c r="B36" s="564">
        <v>2750</v>
      </c>
      <c r="C36" s="560" t="s">
        <v>1716</v>
      </c>
      <c r="D36" s="570">
        <v>1.75</v>
      </c>
      <c r="E36" s="570">
        <v>1.2375</v>
      </c>
      <c r="F36" s="591">
        <v>0</v>
      </c>
      <c r="G36" s="591">
        <v>0</v>
      </c>
      <c r="H36" s="570">
        <v>0.27239000000000002</v>
      </c>
      <c r="I36" s="570">
        <v>0.33384000000000003</v>
      </c>
      <c r="J36" s="570">
        <v>0.26950000000000002</v>
      </c>
      <c r="K36" s="570">
        <v>0.33</v>
      </c>
      <c r="L36" s="591">
        <v>0</v>
      </c>
      <c r="M36" s="576">
        <v>1.2057300000000002</v>
      </c>
      <c r="N36" s="570">
        <v>97.432727272727277</v>
      </c>
      <c r="O36" s="592"/>
    </row>
    <row r="37" spans="1:15">
      <c r="A37" s="560" t="s">
        <v>1717</v>
      </c>
      <c r="B37" s="564">
        <v>10000</v>
      </c>
      <c r="C37" s="560" t="s">
        <v>244</v>
      </c>
      <c r="D37" s="570">
        <v>0</v>
      </c>
      <c r="E37" s="564">
        <v>0</v>
      </c>
      <c r="F37" s="591">
        <v>0</v>
      </c>
      <c r="G37" s="591">
        <v>0</v>
      </c>
      <c r="H37" s="570">
        <v>0</v>
      </c>
      <c r="I37" s="570">
        <v>0</v>
      </c>
      <c r="J37" s="570">
        <v>0</v>
      </c>
      <c r="K37" s="570">
        <v>0</v>
      </c>
      <c r="L37" s="591">
        <v>0</v>
      </c>
      <c r="M37" s="576">
        <v>0</v>
      </c>
      <c r="N37" s="570">
        <v>0</v>
      </c>
      <c r="O37" s="592"/>
    </row>
    <row r="38" spans="1:15">
      <c r="A38" s="572" t="s">
        <v>230</v>
      </c>
      <c r="B38" s="564"/>
      <c r="C38" s="560"/>
      <c r="D38" s="573">
        <v>26.468274999999998</v>
      </c>
      <c r="E38" s="573">
        <v>26.005770000000005</v>
      </c>
      <c r="F38" s="573">
        <v>0</v>
      </c>
      <c r="G38" s="573">
        <v>0</v>
      </c>
      <c r="H38" s="573">
        <v>4.8707399999999996</v>
      </c>
      <c r="I38" s="573">
        <v>13.57189</v>
      </c>
      <c r="J38" s="573">
        <v>4.4491500000000004</v>
      </c>
      <c r="K38" s="573">
        <v>2.8468499999999999</v>
      </c>
      <c r="L38" s="573">
        <v>0</v>
      </c>
      <c r="M38" s="573">
        <v>25.738630000000001</v>
      </c>
      <c r="N38" s="573">
        <v>757.08618341089368</v>
      </c>
      <c r="O38" s="593"/>
    </row>
    <row r="41" spans="1:15">
      <c r="M41" s="593"/>
    </row>
  </sheetData>
  <mergeCells count="34">
    <mergeCell ref="A27:A28"/>
    <mergeCell ref="B27:B28"/>
    <mergeCell ref="C27:C28"/>
    <mergeCell ref="D27:D28"/>
    <mergeCell ref="E27:E28"/>
    <mergeCell ref="F27:N27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9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8.42578125" style="557" customWidth="1"/>
    <col min="3" max="3" width="8.14062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8.42578125" style="557" customWidth="1"/>
    <col min="259" max="259" width="8.14062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8.42578125" style="557" customWidth="1"/>
    <col min="515" max="515" width="8.14062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8.42578125" style="557" customWidth="1"/>
    <col min="771" max="771" width="8.14062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8.42578125" style="557" customWidth="1"/>
    <col min="1027" max="1027" width="8.14062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8.42578125" style="557" customWidth="1"/>
    <col min="1283" max="1283" width="8.14062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8.42578125" style="557" customWidth="1"/>
    <col min="1539" max="1539" width="8.14062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8.42578125" style="557" customWidth="1"/>
    <col min="1795" max="1795" width="8.14062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8.42578125" style="557" customWidth="1"/>
    <col min="2051" max="2051" width="8.14062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8.42578125" style="557" customWidth="1"/>
    <col min="2307" max="2307" width="8.14062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8.42578125" style="557" customWidth="1"/>
    <col min="2563" max="2563" width="8.14062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8.42578125" style="557" customWidth="1"/>
    <col min="2819" max="2819" width="8.14062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8.42578125" style="557" customWidth="1"/>
    <col min="3075" max="3075" width="8.14062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8.42578125" style="557" customWidth="1"/>
    <col min="3331" max="3331" width="8.14062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8.42578125" style="557" customWidth="1"/>
    <col min="3587" max="3587" width="8.14062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8.42578125" style="557" customWidth="1"/>
    <col min="3843" max="3843" width="8.14062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8.42578125" style="557" customWidth="1"/>
    <col min="4099" max="4099" width="8.14062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8.42578125" style="557" customWidth="1"/>
    <col min="4355" max="4355" width="8.14062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8.42578125" style="557" customWidth="1"/>
    <col min="4611" max="4611" width="8.14062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8.42578125" style="557" customWidth="1"/>
    <col min="4867" max="4867" width="8.14062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8.42578125" style="557" customWidth="1"/>
    <col min="5123" max="5123" width="8.14062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8.42578125" style="557" customWidth="1"/>
    <col min="5379" max="5379" width="8.14062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8.42578125" style="557" customWidth="1"/>
    <col min="5635" max="5635" width="8.14062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8.42578125" style="557" customWidth="1"/>
    <col min="5891" max="5891" width="8.14062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8.42578125" style="557" customWidth="1"/>
    <col min="6147" max="6147" width="8.14062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8.42578125" style="557" customWidth="1"/>
    <col min="6403" max="6403" width="8.14062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8.42578125" style="557" customWidth="1"/>
    <col min="6659" max="6659" width="8.14062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8.42578125" style="557" customWidth="1"/>
    <col min="6915" max="6915" width="8.14062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8.42578125" style="557" customWidth="1"/>
    <col min="7171" max="7171" width="8.14062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8.42578125" style="557" customWidth="1"/>
    <col min="7427" max="7427" width="8.14062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8.42578125" style="557" customWidth="1"/>
    <col min="7683" max="7683" width="8.14062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8.42578125" style="557" customWidth="1"/>
    <col min="7939" max="7939" width="8.14062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8.42578125" style="557" customWidth="1"/>
    <col min="8195" max="8195" width="8.14062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8.42578125" style="557" customWidth="1"/>
    <col min="8451" max="8451" width="8.14062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8.42578125" style="557" customWidth="1"/>
    <col min="8707" max="8707" width="8.14062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8.42578125" style="557" customWidth="1"/>
    <col min="8963" max="8963" width="8.14062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8.42578125" style="557" customWidth="1"/>
    <col min="9219" max="9219" width="8.14062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8.42578125" style="557" customWidth="1"/>
    <col min="9475" max="9475" width="8.14062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8.42578125" style="557" customWidth="1"/>
    <col min="9731" max="9731" width="8.14062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8.42578125" style="557" customWidth="1"/>
    <col min="9987" max="9987" width="8.14062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8.42578125" style="557" customWidth="1"/>
    <col min="10243" max="10243" width="8.14062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8.42578125" style="557" customWidth="1"/>
    <col min="10499" max="10499" width="8.14062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8.42578125" style="557" customWidth="1"/>
    <col min="10755" max="10755" width="8.14062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8.42578125" style="557" customWidth="1"/>
    <col min="11011" max="11011" width="8.14062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8.42578125" style="557" customWidth="1"/>
    <col min="11267" max="11267" width="8.14062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8.42578125" style="557" customWidth="1"/>
    <col min="11523" max="11523" width="8.14062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8.42578125" style="557" customWidth="1"/>
    <col min="11779" max="11779" width="8.14062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8.42578125" style="557" customWidth="1"/>
    <col min="12035" max="12035" width="8.14062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8.42578125" style="557" customWidth="1"/>
    <col min="12291" max="12291" width="8.14062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8.42578125" style="557" customWidth="1"/>
    <col min="12547" max="12547" width="8.14062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8.42578125" style="557" customWidth="1"/>
    <col min="12803" max="12803" width="8.14062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8.42578125" style="557" customWidth="1"/>
    <col min="13059" max="13059" width="8.14062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8.42578125" style="557" customWidth="1"/>
    <col min="13315" max="13315" width="8.14062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8.42578125" style="557" customWidth="1"/>
    <col min="13571" max="13571" width="8.14062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8.42578125" style="557" customWidth="1"/>
    <col min="13827" max="13827" width="8.14062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8.42578125" style="557" customWidth="1"/>
    <col min="14083" max="14083" width="8.14062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8.42578125" style="557" customWidth="1"/>
    <col min="14339" max="14339" width="8.14062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8.42578125" style="557" customWidth="1"/>
    <col min="14595" max="14595" width="8.14062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8.42578125" style="557" customWidth="1"/>
    <col min="14851" max="14851" width="8.14062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8.42578125" style="557" customWidth="1"/>
    <col min="15107" max="15107" width="8.14062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8.42578125" style="557" customWidth="1"/>
    <col min="15363" max="15363" width="8.14062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8.42578125" style="557" customWidth="1"/>
    <col min="15619" max="15619" width="8.14062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8.42578125" style="557" customWidth="1"/>
    <col min="15875" max="15875" width="8.14062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8.42578125" style="557" customWidth="1"/>
    <col min="16131" max="16131" width="8.14062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1848</v>
      </c>
      <c r="C3" s="1207"/>
      <c r="D3" s="1207"/>
      <c r="E3" s="1207"/>
      <c r="F3" s="558" t="s">
        <v>171</v>
      </c>
      <c r="H3" s="1190" t="s">
        <v>1849</v>
      </c>
      <c r="I3" s="1190"/>
      <c r="J3" s="558" t="s">
        <v>172</v>
      </c>
      <c r="K3" s="559">
        <v>135</v>
      </c>
      <c r="L3" s="558" t="s">
        <v>436</v>
      </c>
      <c r="N3" s="559">
        <v>21.6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191" t="s">
        <v>1850</v>
      </c>
      <c r="C5" s="1192"/>
      <c r="D5" s="1192"/>
      <c r="E5" s="1193"/>
      <c r="F5" s="558" t="s">
        <v>176</v>
      </c>
      <c r="H5" s="1191" t="s">
        <v>1851</v>
      </c>
      <c r="I5" s="1192"/>
      <c r="J5" s="1193"/>
    </row>
    <row r="7" spans="1:14" ht="13.5" customHeight="1">
      <c r="A7" s="558" t="s">
        <v>178</v>
      </c>
      <c r="B7" s="1191" t="s">
        <v>1852</v>
      </c>
      <c r="C7" s="1192"/>
      <c r="D7" s="1192"/>
      <c r="E7" s="1193"/>
      <c r="F7" s="1197" t="s">
        <v>1696</v>
      </c>
      <c r="G7" s="1197"/>
      <c r="H7" s="1242" t="s">
        <v>5668</v>
      </c>
      <c r="I7" s="1243"/>
      <c r="J7" s="1243"/>
      <c r="K7" s="1244"/>
    </row>
    <row r="8" spans="1:14">
      <c r="F8" s="1197"/>
      <c r="G8" s="1197"/>
      <c r="H8" s="1245"/>
      <c r="I8" s="1246"/>
      <c r="J8" s="1246"/>
      <c r="K8" s="1247"/>
    </row>
    <row r="10" spans="1:14" s="561" customFormat="1" ht="20.100000000000001" customHeight="1">
      <c r="A10" s="560" t="s">
        <v>1697</v>
      </c>
      <c r="B10" s="1208" t="s">
        <v>1853</v>
      </c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/>
      <c r="C11" s="1208"/>
      <c r="D11" s="1208"/>
      <c r="E11" s="1208"/>
      <c r="F11" s="1208"/>
      <c r="G11" s="1208"/>
      <c r="H11" s="1208"/>
      <c r="I11" s="1208"/>
      <c r="J11" s="1208"/>
      <c r="K11" s="1208"/>
      <c r="L11" s="1208"/>
      <c r="M11" s="1208"/>
    </row>
    <row r="12" spans="1:14" s="561" customFormat="1" ht="25.5" customHeight="1">
      <c r="A12" s="560" t="s">
        <v>1707</v>
      </c>
      <c r="B12" s="1208" t="s">
        <v>1854</v>
      </c>
      <c r="C12" s="1208"/>
      <c r="D12" s="1208" t="s">
        <v>1855</v>
      </c>
      <c r="E12" s="1208"/>
      <c r="F12" s="1208"/>
      <c r="G12" s="1208" t="s">
        <v>1856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1</v>
      </c>
      <c r="C15" s="1203" t="s">
        <v>1490</v>
      </c>
      <c r="D15" s="1197"/>
      <c r="E15" s="1197"/>
      <c r="F15" s="563">
        <v>1</v>
      </c>
      <c r="G15" s="562" t="s">
        <v>1712</v>
      </c>
      <c r="H15" s="563">
        <v>9</v>
      </c>
      <c r="I15" s="562" t="s">
        <v>1492</v>
      </c>
      <c r="J15" s="563">
        <v>1</v>
      </c>
      <c r="K15" s="562" t="s">
        <v>1386</v>
      </c>
      <c r="L15" s="563">
        <v>3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77</v>
      </c>
      <c r="D17" s="562" t="s">
        <v>205</v>
      </c>
      <c r="E17" s="564">
        <v>18</v>
      </c>
      <c r="F17" s="562" t="s">
        <v>206</v>
      </c>
      <c r="G17" s="564"/>
      <c r="H17" s="562" t="s">
        <v>230</v>
      </c>
      <c r="I17" s="564">
        <f>+C17+E17</f>
        <v>95</v>
      </c>
      <c r="J17" s="562" t="s">
        <v>207</v>
      </c>
      <c r="K17" s="564">
        <v>7</v>
      </c>
      <c r="L17" s="1203" t="s">
        <v>1360</v>
      </c>
      <c r="M17" s="1204"/>
      <c r="N17" s="564">
        <v>6</v>
      </c>
    </row>
    <row r="18" spans="1:14" s="562" customFormat="1">
      <c r="A18" s="562" t="s">
        <v>209</v>
      </c>
      <c r="B18" s="562" t="s">
        <v>210</v>
      </c>
      <c r="C18" s="564">
        <v>201</v>
      </c>
      <c r="D18" s="562" t="s">
        <v>211</v>
      </c>
      <c r="E18" s="564">
        <v>48</v>
      </c>
      <c r="F18" s="562" t="s">
        <v>212</v>
      </c>
      <c r="G18" s="564"/>
      <c r="H18" s="562" t="s">
        <v>411</v>
      </c>
      <c r="I18" s="564">
        <f>+C18+E18</f>
        <v>249</v>
      </c>
    </row>
    <row r="19" spans="1:14" s="562" customFormat="1" ht="13.5" customHeight="1">
      <c r="B19" s="562" t="s">
        <v>213</v>
      </c>
      <c r="C19" s="564">
        <v>218</v>
      </c>
      <c r="D19" s="562" t="s">
        <v>214</v>
      </c>
      <c r="E19" s="564">
        <v>57</v>
      </c>
      <c r="F19" s="562" t="s">
        <v>215</v>
      </c>
      <c r="G19" s="564"/>
      <c r="H19" s="562" t="s">
        <v>410</v>
      </c>
      <c r="I19" s="564">
        <f>+C19+E19</f>
        <v>275</v>
      </c>
    </row>
    <row r="20" spans="1:14" s="562" customFormat="1">
      <c r="G20" s="565"/>
    </row>
    <row r="21" spans="1:14">
      <c r="E21" s="574"/>
      <c r="F21" s="566"/>
    </row>
    <row r="22" spans="1:14">
      <c r="A22" s="567" t="s">
        <v>216</v>
      </c>
      <c r="B22" s="561"/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</row>
    <row r="23" spans="1:14">
      <c r="A23" s="562"/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1205" t="s">
        <v>217</v>
      </c>
      <c r="B24" s="1205" t="s">
        <v>218</v>
      </c>
      <c r="C24" s="1205" t="s">
        <v>219</v>
      </c>
      <c r="D24" s="1205" t="s">
        <v>1363</v>
      </c>
      <c r="E24" s="1205" t="s">
        <v>1713</v>
      </c>
      <c r="F24" s="1200" t="s">
        <v>1714</v>
      </c>
      <c r="G24" s="1201"/>
      <c r="H24" s="1201"/>
      <c r="I24" s="1201"/>
      <c r="J24" s="1201"/>
      <c r="K24" s="1201"/>
      <c r="L24" s="1201"/>
      <c r="M24" s="1201"/>
      <c r="N24" s="1202"/>
    </row>
    <row r="25" spans="1:14" ht="25.5">
      <c r="A25" s="1206"/>
      <c r="B25" s="1206"/>
      <c r="C25" s="1206"/>
      <c r="D25" s="1206"/>
      <c r="E25" s="1206"/>
      <c r="F25" s="568" t="s">
        <v>224</v>
      </c>
      <c r="G25" s="568" t="s">
        <v>225</v>
      </c>
      <c r="H25" s="568" t="s">
        <v>226</v>
      </c>
      <c r="I25" s="568" t="s">
        <v>227</v>
      </c>
      <c r="J25" s="568" t="s">
        <v>228</v>
      </c>
      <c r="K25" s="568" t="s">
        <v>229</v>
      </c>
      <c r="L25" s="568" t="s">
        <v>1499</v>
      </c>
      <c r="M25" s="569" t="s">
        <v>230</v>
      </c>
      <c r="N25" s="569" t="s">
        <v>231</v>
      </c>
    </row>
    <row r="26" spans="1:14">
      <c r="A26" s="560" t="s">
        <v>232</v>
      </c>
      <c r="B26" s="564">
        <v>8000</v>
      </c>
      <c r="C26" s="560" t="s">
        <v>233</v>
      </c>
      <c r="D26" s="570">
        <v>10.8</v>
      </c>
      <c r="E26" s="570">
        <v>10.8</v>
      </c>
      <c r="F26" s="594">
        <v>0</v>
      </c>
      <c r="G26" s="594">
        <v>0</v>
      </c>
      <c r="H26" s="570">
        <v>5.2190799999999999</v>
      </c>
      <c r="I26" s="570">
        <v>1.6423399999999999</v>
      </c>
      <c r="J26" s="570">
        <v>0.115</v>
      </c>
      <c r="K26" s="594">
        <v>0</v>
      </c>
      <c r="L26" s="594">
        <v>0</v>
      </c>
      <c r="M26" s="576">
        <v>6.9764200000000001</v>
      </c>
      <c r="N26" s="570">
        <v>64.596481481481476</v>
      </c>
    </row>
    <row r="27" spans="1:14">
      <c r="A27" s="560" t="s">
        <v>1715</v>
      </c>
      <c r="B27" s="564">
        <v>7000</v>
      </c>
      <c r="C27" s="560" t="s">
        <v>233</v>
      </c>
      <c r="D27" s="570">
        <v>1.512</v>
      </c>
      <c r="E27" s="570">
        <v>1.512</v>
      </c>
      <c r="F27" s="594">
        <v>0</v>
      </c>
      <c r="G27" s="594">
        <v>0</v>
      </c>
      <c r="H27" s="570">
        <v>0</v>
      </c>
      <c r="I27" s="570">
        <v>0</v>
      </c>
      <c r="J27" s="570">
        <v>0</v>
      </c>
      <c r="K27" s="594">
        <v>0</v>
      </c>
      <c r="L27" s="594">
        <v>0</v>
      </c>
      <c r="M27" s="576">
        <v>0</v>
      </c>
      <c r="N27" s="576">
        <v>0</v>
      </c>
    </row>
    <row r="28" spans="1:14">
      <c r="A28" s="560" t="s">
        <v>235</v>
      </c>
      <c r="B28" s="564">
        <v>43000</v>
      </c>
      <c r="C28" s="560" t="s">
        <v>236</v>
      </c>
      <c r="D28" s="570">
        <v>0.43</v>
      </c>
      <c r="E28" s="570">
        <v>0.43</v>
      </c>
      <c r="F28" s="594">
        <v>0</v>
      </c>
      <c r="G28" s="594">
        <v>0</v>
      </c>
      <c r="H28" s="570">
        <v>0</v>
      </c>
      <c r="I28" s="570">
        <v>0</v>
      </c>
      <c r="J28" s="570">
        <v>0.112</v>
      </c>
      <c r="K28" s="594">
        <v>0</v>
      </c>
      <c r="L28" s="594">
        <v>0</v>
      </c>
      <c r="M28" s="576">
        <v>0.112</v>
      </c>
      <c r="N28" s="570">
        <v>26.046511627906977</v>
      </c>
    </row>
    <row r="29" spans="1:14">
      <c r="A29" s="560" t="s">
        <v>396</v>
      </c>
      <c r="B29" s="564">
        <v>34000</v>
      </c>
      <c r="C29" s="560" t="s">
        <v>236</v>
      </c>
      <c r="D29" s="570">
        <v>0.34</v>
      </c>
      <c r="E29" s="570">
        <v>0.34</v>
      </c>
      <c r="F29" s="594">
        <v>0</v>
      </c>
      <c r="G29" s="594">
        <v>0</v>
      </c>
      <c r="H29" s="570">
        <v>0</v>
      </c>
      <c r="I29" s="570">
        <v>0</v>
      </c>
      <c r="J29" s="570">
        <v>0.11914</v>
      </c>
      <c r="K29" s="594">
        <v>0</v>
      </c>
      <c r="L29" s="594">
        <v>0</v>
      </c>
      <c r="M29" s="576">
        <v>0.11914</v>
      </c>
      <c r="N29" s="570">
        <v>35.041176470588233</v>
      </c>
    </row>
    <row r="30" spans="1:14">
      <c r="A30" s="560" t="s">
        <v>238</v>
      </c>
      <c r="B30" s="564">
        <v>1200</v>
      </c>
      <c r="C30" s="560" t="s">
        <v>233</v>
      </c>
      <c r="D30" s="570">
        <v>1.62</v>
      </c>
      <c r="E30" s="570">
        <v>2.8914800000000001</v>
      </c>
      <c r="F30" s="594">
        <v>0</v>
      </c>
      <c r="G30" s="594">
        <v>0</v>
      </c>
      <c r="H30" s="570">
        <v>1.7149799999999999</v>
      </c>
      <c r="I30" s="570">
        <v>0.26900000000000002</v>
      </c>
      <c r="J30" s="570">
        <v>1.0821700000000001</v>
      </c>
      <c r="K30" s="594">
        <v>0</v>
      </c>
      <c r="L30" s="594">
        <v>0</v>
      </c>
      <c r="M30" s="576">
        <v>3.0661499999999999</v>
      </c>
      <c r="N30" s="570">
        <v>106.04085105205638</v>
      </c>
    </row>
    <row r="31" spans="1:14">
      <c r="A31" s="560" t="s">
        <v>667</v>
      </c>
      <c r="B31" s="564">
        <v>565</v>
      </c>
      <c r="C31" s="560" t="s">
        <v>233</v>
      </c>
      <c r="D31" s="570">
        <v>0.76275000000000004</v>
      </c>
      <c r="E31" s="570">
        <v>0.95399999999999996</v>
      </c>
      <c r="F31" s="594">
        <v>0</v>
      </c>
      <c r="G31" s="594">
        <v>0</v>
      </c>
      <c r="H31" s="570">
        <v>0</v>
      </c>
      <c r="I31" s="570">
        <v>0.96863999999999995</v>
      </c>
      <c r="J31" s="570">
        <v>0</v>
      </c>
      <c r="K31" s="594">
        <v>0</v>
      </c>
      <c r="L31" s="594">
        <v>0</v>
      </c>
      <c r="M31" s="576">
        <v>0.96</v>
      </c>
      <c r="N31" s="570">
        <v>100.62893081761007</v>
      </c>
    </row>
    <row r="32" spans="1:14">
      <c r="A32" s="560" t="s">
        <v>240</v>
      </c>
      <c r="B32" s="564">
        <v>1000</v>
      </c>
      <c r="C32" s="560" t="s">
        <v>233</v>
      </c>
      <c r="D32" s="570">
        <v>1.35</v>
      </c>
      <c r="E32" s="570">
        <v>9.8000000000000004E-2</v>
      </c>
      <c r="F32" s="594">
        <v>0</v>
      </c>
      <c r="G32" s="594">
        <v>0</v>
      </c>
      <c r="H32" s="570">
        <v>0</v>
      </c>
      <c r="I32" s="570">
        <v>0</v>
      </c>
      <c r="J32" s="570">
        <v>0</v>
      </c>
      <c r="K32" s="594">
        <v>0</v>
      </c>
      <c r="L32" s="594">
        <v>0</v>
      </c>
      <c r="M32" s="576">
        <v>0</v>
      </c>
      <c r="N32" s="576">
        <v>0</v>
      </c>
    </row>
    <row r="33" spans="1:14">
      <c r="A33" s="560" t="s">
        <v>394</v>
      </c>
      <c r="B33" s="564">
        <v>2750</v>
      </c>
      <c r="C33" s="560" t="s">
        <v>1716</v>
      </c>
      <c r="D33" s="570">
        <v>1.75</v>
      </c>
      <c r="E33" s="570">
        <v>1.2375</v>
      </c>
      <c r="F33" s="594">
        <v>0</v>
      </c>
      <c r="G33" s="594">
        <v>0</v>
      </c>
      <c r="H33" s="570">
        <v>0.20599999999999999</v>
      </c>
      <c r="I33" s="570">
        <v>0.1125</v>
      </c>
      <c r="J33" s="570">
        <v>0.30049999999999999</v>
      </c>
      <c r="K33" s="594">
        <v>0</v>
      </c>
      <c r="L33" s="594">
        <v>0</v>
      </c>
      <c r="M33" s="576">
        <v>0.61899999999999999</v>
      </c>
      <c r="N33" s="570">
        <v>50.020202020202021</v>
      </c>
    </row>
    <row r="34" spans="1:14">
      <c r="A34" s="560" t="s">
        <v>1717</v>
      </c>
      <c r="B34" s="564">
        <v>10000</v>
      </c>
      <c r="C34" s="560" t="s">
        <v>244</v>
      </c>
      <c r="D34" s="570">
        <v>0</v>
      </c>
      <c r="E34" s="570">
        <v>0</v>
      </c>
      <c r="F34" s="594">
        <v>0</v>
      </c>
      <c r="G34" s="594">
        <v>0</v>
      </c>
      <c r="H34" s="570">
        <v>0</v>
      </c>
      <c r="I34" s="570">
        <v>0</v>
      </c>
      <c r="J34" s="570">
        <v>0</v>
      </c>
      <c r="K34" s="594">
        <v>0</v>
      </c>
      <c r="L34" s="594">
        <v>0</v>
      </c>
      <c r="M34" s="576">
        <v>0</v>
      </c>
      <c r="N34" s="576">
        <v>0</v>
      </c>
    </row>
    <row r="35" spans="1:14">
      <c r="A35" s="572" t="s">
        <v>230</v>
      </c>
      <c r="B35" s="564"/>
      <c r="C35" s="560"/>
      <c r="D35" s="573">
        <v>18.564750000000004</v>
      </c>
      <c r="E35" s="573">
        <v>18.262980000000002</v>
      </c>
      <c r="F35" s="573">
        <v>0</v>
      </c>
      <c r="G35" s="573">
        <v>0</v>
      </c>
      <c r="H35" s="573">
        <v>7.1400600000000001</v>
      </c>
      <c r="I35" s="573">
        <v>2.9924799999999996</v>
      </c>
      <c r="J35" s="573">
        <v>1.7288100000000002</v>
      </c>
      <c r="K35" s="573">
        <v>0</v>
      </c>
      <c r="L35" s="573">
        <v>0</v>
      </c>
      <c r="M35" s="573">
        <v>11.852710000000002</v>
      </c>
      <c r="N35" s="573"/>
    </row>
  </sheetData>
  <mergeCells count="34">
    <mergeCell ref="A24:A25"/>
    <mergeCell ref="B24:B25"/>
    <mergeCell ref="C24:C25"/>
    <mergeCell ref="D24:D25"/>
    <mergeCell ref="E24:E25"/>
    <mergeCell ref="F24:N24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92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8.42578125" style="557" customWidth="1"/>
    <col min="3" max="3" width="8.28515625" style="557" customWidth="1"/>
    <col min="4" max="4" width="9.5703125" style="557" customWidth="1"/>
    <col min="5" max="5" width="9" style="557" customWidth="1"/>
    <col min="6" max="6" width="9.85546875" style="557" customWidth="1"/>
    <col min="7" max="7" width="8.28515625" style="557" customWidth="1"/>
    <col min="8" max="8" width="8.5703125" style="557" customWidth="1"/>
    <col min="9" max="9" width="8.28515625" style="557" customWidth="1"/>
    <col min="10" max="10" width="8.85546875" style="557" customWidth="1"/>
    <col min="11" max="11" width="6.85546875" style="557" customWidth="1"/>
    <col min="12" max="12" width="7.28515625" style="557" customWidth="1"/>
    <col min="13" max="13" width="7.7109375" style="557" customWidth="1"/>
    <col min="14" max="14" width="6.7109375" style="557" customWidth="1"/>
    <col min="15" max="256" width="9.140625" style="557"/>
    <col min="257" max="257" width="24.140625" style="557" customWidth="1"/>
    <col min="258" max="258" width="8.42578125" style="557" customWidth="1"/>
    <col min="259" max="259" width="8.28515625" style="557" customWidth="1"/>
    <col min="260" max="260" width="9.5703125" style="557" customWidth="1"/>
    <col min="261" max="261" width="9" style="557" customWidth="1"/>
    <col min="262" max="262" width="9.85546875" style="557" customWidth="1"/>
    <col min="263" max="263" width="8.28515625" style="557" customWidth="1"/>
    <col min="264" max="264" width="8.5703125" style="557" customWidth="1"/>
    <col min="265" max="265" width="8.28515625" style="557" customWidth="1"/>
    <col min="266" max="266" width="8.85546875" style="557" customWidth="1"/>
    <col min="267" max="267" width="6.85546875" style="557" customWidth="1"/>
    <col min="268" max="268" width="7.28515625" style="557" customWidth="1"/>
    <col min="269" max="269" width="7.7109375" style="557" customWidth="1"/>
    <col min="270" max="270" width="6.7109375" style="557" customWidth="1"/>
    <col min="271" max="512" width="9.140625" style="557"/>
    <col min="513" max="513" width="24.140625" style="557" customWidth="1"/>
    <col min="514" max="514" width="8.42578125" style="557" customWidth="1"/>
    <col min="515" max="515" width="8.28515625" style="557" customWidth="1"/>
    <col min="516" max="516" width="9.5703125" style="557" customWidth="1"/>
    <col min="517" max="517" width="9" style="557" customWidth="1"/>
    <col min="518" max="518" width="9.85546875" style="557" customWidth="1"/>
    <col min="519" max="519" width="8.28515625" style="557" customWidth="1"/>
    <col min="520" max="520" width="8.5703125" style="557" customWidth="1"/>
    <col min="521" max="521" width="8.28515625" style="557" customWidth="1"/>
    <col min="522" max="522" width="8.85546875" style="557" customWidth="1"/>
    <col min="523" max="523" width="6.85546875" style="557" customWidth="1"/>
    <col min="524" max="524" width="7.28515625" style="557" customWidth="1"/>
    <col min="525" max="525" width="7.7109375" style="557" customWidth="1"/>
    <col min="526" max="526" width="6.7109375" style="557" customWidth="1"/>
    <col min="527" max="768" width="9.140625" style="557"/>
    <col min="769" max="769" width="24.140625" style="557" customWidth="1"/>
    <col min="770" max="770" width="8.42578125" style="557" customWidth="1"/>
    <col min="771" max="771" width="8.28515625" style="557" customWidth="1"/>
    <col min="772" max="772" width="9.5703125" style="557" customWidth="1"/>
    <col min="773" max="773" width="9" style="557" customWidth="1"/>
    <col min="774" max="774" width="9.85546875" style="557" customWidth="1"/>
    <col min="775" max="775" width="8.28515625" style="557" customWidth="1"/>
    <col min="776" max="776" width="8.5703125" style="557" customWidth="1"/>
    <col min="777" max="777" width="8.28515625" style="557" customWidth="1"/>
    <col min="778" max="778" width="8.85546875" style="557" customWidth="1"/>
    <col min="779" max="779" width="6.85546875" style="557" customWidth="1"/>
    <col min="780" max="780" width="7.28515625" style="557" customWidth="1"/>
    <col min="781" max="781" width="7.7109375" style="557" customWidth="1"/>
    <col min="782" max="782" width="6.7109375" style="557" customWidth="1"/>
    <col min="783" max="1024" width="9.140625" style="557"/>
    <col min="1025" max="1025" width="24.140625" style="557" customWidth="1"/>
    <col min="1026" max="1026" width="8.42578125" style="557" customWidth="1"/>
    <col min="1027" max="1027" width="8.28515625" style="557" customWidth="1"/>
    <col min="1028" max="1028" width="9.5703125" style="557" customWidth="1"/>
    <col min="1029" max="1029" width="9" style="557" customWidth="1"/>
    <col min="1030" max="1030" width="9.85546875" style="557" customWidth="1"/>
    <col min="1031" max="1031" width="8.28515625" style="557" customWidth="1"/>
    <col min="1032" max="1032" width="8.5703125" style="557" customWidth="1"/>
    <col min="1033" max="1033" width="8.28515625" style="557" customWidth="1"/>
    <col min="1034" max="1034" width="8.85546875" style="557" customWidth="1"/>
    <col min="1035" max="1035" width="6.85546875" style="557" customWidth="1"/>
    <col min="1036" max="1036" width="7.28515625" style="557" customWidth="1"/>
    <col min="1037" max="1037" width="7.7109375" style="557" customWidth="1"/>
    <col min="1038" max="1038" width="6.7109375" style="557" customWidth="1"/>
    <col min="1039" max="1280" width="9.140625" style="557"/>
    <col min="1281" max="1281" width="24.140625" style="557" customWidth="1"/>
    <col min="1282" max="1282" width="8.42578125" style="557" customWidth="1"/>
    <col min="1283" max="1283" width="8.28515625" style="557" customWidth="1"/>
    <col min="1284" max="1284" width="9.5703125" style="557" customWidth="1"/>
    <col min="1285" max="1285" width="9" style="557" customWidth="1"/>
    <col min="1286" max="1286" width="9.85546875" style="557" customWidth="1"/>
    <col min="1287" max="1287" width="8.28515625" style="557" customWidth="1"/>
    <col min="1288" max="1288" width="8.5703125" style="557" customWidth="1"/>
    <col min="1289" max="1289" width="8.28515625" style="557" customWidth="1"/>
    <col min="1290" max="1290" width="8.85546875" style="557" customWidth="1"/>
    <col min="1291" max="1291" width="6.85546875" style="557" customWidth="1"/>
    <col min="1292" max="1292" width="7.28515625" style="557" customWidth="1"/>
    <col min="1293" max="1293" width="7.7109375" style="557" customWidth="1"/>
    <col min="1294" max="1294" width="6.7109375" style="557" customWidth="1"/>
    <col min="1295" max="1536" width="9.140625" style="557"/>
    <col min="1537" max="1537" width="24.140625" style="557" customWidth="1"/>
    <col min="1538" max="1538" width="8.42578125" style="557" customWidth="1"/>
    <col min="1539" max="1539" width="8.28515625" style="557" customWidth="1"/>
    <col min="1540" max="1540" width="9.5703125" style="557" customWidth="1"/>
    <col min="1541" max="1541" width="9" style="557" customWidth="1"/>
    <col min="1542" max="1542" width="9.85546875" style="557" customWidth="1"/>
    <col min="1543" max="1543" width="8.28515625" style="557" customWidth="1"/>
    <col min="1544" max="1544" width="8.5703125" style="557" customWidth="1"/>
    <col min="1545" max="1545" width="8.28515625" style="557" customWidth="1"/>
    <col min="1546" max="1546" width="8.85546875" style="557" customWidth="1"/>
    <col min="1547" max="1547" width="6.85546875" style="557" customWidth="1"/>
    <col min="1548" max="1548" width="7.28515625" style="557" customWidth="1"/>
    <col min="1549" max="1549" width="7.7109375" style="557" customWidth="1"/>
    <col min="1550" max="1550" width="6.7109375" style="557" customWidth="1"/>
    <col min="1551" max="1792" width="9.140625" style="557"/>
    <col min="1793" max="1793" width="24.140625" style="557" customWidth="1"/>
    <col min="1794" max="1794" width="8.42578125" style="557" customWidth="1"/>
    <col min="1795" max="1795" width="8.28515625" style="557" customWidth="1"/>
    <col min="1796" max="1796" width="9.5703125" style="557" customWidth="1"/>
    <col min="1797" max="1797" width="9" style="557" customWidth="1"/>
    <col min="1798" max="1798" width="9.85546875" style="557" customWidth="1"/>
    <col min="1799" max="1799" width="8.28515625" style="557" customWidth="1"/>
    <col min="1800" max="1800" width="8.5703125" style="557" customWidth="1"/>
    <col min="1801" max="1801" width="8.28515625" style="557" customWidth="1"/>
    <col min="1802" max="1802" width="8.85546875" style="557" customWidth="1"/>
    <col min="1803" max="1803" width="6.85546875" style="557" customWidth="1"/>
    <col min="1804" max="1804" width="7.28515625" style="557" customWidth="1"/>
    <col min="1805" max="1805" width="7.7109375" style="557" customWidth="1"/>
    <col min="1806" max="1806" width="6.7109375" style="557" customWidth="1"/>
    <col min="1807" max="2048" width="9.140625" style="557"/>
    <col min="2049" max="2049" width="24.140625" style="557" customWidth="1"/>
    <col min="2050" max="2050" width="8.42578125" style="557" customWidth="1"/>
    <col min="2051" max="2051" width="8.28515625" style="557" customWidth="1"/>
    <col min="2052" max="2052" width="9.5703125" style="557" customWidth="1"/>
    <col min="2053" max="2053" width="9" style="557" customWidth="1"/>
    <col min="2054" max="2054" width="9.85546875" style="557" customWidth="1"/>
    <col min="2055" max="2055" width="8.28515625" style="557" customWidth="1"/>
    <col min="2056" max="2056" width="8.5703125" style="557" customWidth="1"/>
    <col min="2057" max="2057" width="8.28515625" style="557" customWidth="1"/>
    <col min="2058" max="2058" width="8.85546875" style="557" customWidth="1"/>
    <col min="2059" max="2059" width="6.85546875" style="557" customWidth="1"/>
    <col min="2060" max="2060" width="7.28515625" style="557" customWidth="1"/>
    <col min="2061" max="2061" width="7.7109375" style="557" customWidth="1"/>
    <col min="2062" max="2062" width="6.7109375" style="557" customWidth="1"/>
    <col min="2063" max="2304" width="9.140625" style="557"/>
    <col min="2305" max="2305" width="24.140625" style="557" customWidth="1"/>
    <col min="2306" max="2306" width="8.42578125" style="557" customWidth="1"/>
    <col min="2307" max="2307" width="8.28515625" style="557" customWidth="1"/>
    <col min="2308" max="2308" width="9.5703125" style="557" customWidth="1"/>
    <col min="2309" max="2309" width="9" style="557" customWidth="1"/>
    <col min="2310" max="2310" width="9.85546875" style="557" customWidth="1"/>
    <col min="2311" max="2311" width="8.28515625" style="557" customWidth="1"/>
    <col min="2312" max="2312" width="8.5703125" style="557" customWidth="1"/>
    <col min="2313" max="2313" width="8.28515625" style="557" customWidth="1"/>
    <col min="2314" max="2314" width="8.85546875" style="557" customWidth="1"/>
    <col min="2315" max="2315" width="6.85546875" style="557" customWidth="1"/>
    <col min="2316" max="2316" width="7.28515625" style="557" customWidth="1"/>
    <col min="2317" max="2317" width="7.7109375" style="557" customWidth="1"/>
    <col min="2318" max="2318" width="6.7109375" style="557" customWidth="1"/>
    <col min="2319" max="2560" width="9.140625" style="557"/>
    <col min="2561" max="2561" width="24.140625" style="557" customWidth="1"/>
    <col min="2562" max="2562" width="8.42578125" style="557" customWidth="1"/>
    <col min="2563" max="2563" width="8.28515625" style="557" customWidth="1"/>
    <col min="2564" max="2564" width="9.5703125" style="557" customWidth="1"/>
    <col min="2565" max="2565" width="9" style="557" customWidth="1"/>
    <col min="2566" max="2566" width="9.85546875" style="557" customWidth="1"/>
    <col min="2567" max="2567" width="8.28515625" style="557" customWidth="1"/>
    <col min="2568" max="2568" width="8.5703125" style="557" customWidth="1"/>
    <col min="2569" max="2569" width="8.28515625" style="557" customWidth="1"/>
    <col min="2570" max="2570" width="8.85546875" style="557" customWidth="1"/>
    <col min="2571" max="2571" width="6.85546875" style="557" customWidth="1"/>
    <col min="2572" max="2572" width="7.28515625" style="557" customWidth="1"/>
    <col min="2573" max="2573" width="7.7109375" style="557" customWidth="1"/>
    <col min="2574" max="2574" width="6.7109375" style="557" customWidth="1"/>
    <col min="2575" max="2816" width="9.140625" style="557"/>
    <col min="2817" max="2817" width="24.140625" style="557" customWidth="1"/>
    <col min="2818" max="2818" width="8.42578125" style="557" customWidth="1"/>
    <col min="2819" max="2819" width="8.28515625" style="557" customWidth="1"/>
    <col min="2820" max="2820" width="9.5703125" style="557" customWidth="1"/>
    <col min="2821" max="2821" width="9" style="557" customWidth="1"/>
    <col min="2822" max="2822" width="9.85546875" style="557" customWidth="1"/>
    <col min="2823" max="2823" width="8.28515625" style="557" customWidth="1"/>
    <col min="2824" max="2824" width="8.5703125" style="557" customWidth="1"/>
    <col min="2825" max="2825" width="8.28515625" style="557" customWidth="1"/>
    <col min="2826" max="2826" width="8.85546875" style="557" customWidth="1"/>
    <col min="2827" max="2827" width="6.85546875" style="557" customWidth="1"/>
    <col min="2828" max="2828" width="7.28515625" style="557" customWidth="1"/>
    <col min="2829" max="2829" width="7.7109375" style="557" customWidth="1"/>
    <col min="2830" max="2830" width="6.7109375" style="557" customWidth="1"/>
    <col min="2831" max="3072" width="9.140625" style="557"/>
    <col min="3073" max="3073" width="24.140625" style="557" customWidth="1"/>
    <col min="3074" max="3074" width="8.42578125" style="557" customWidth="1"/>
    <col min="3075" max="3075" width="8.28515625" style="557" customWidth="1"/>
    <col min="3076" max="3076" width="9.5703125" style="557" customWidth="1"/>
    <col min="3077" max="3077" width="9" style="557" customWidth="1"/>
    <col min="3078" max="3078" width="9.85546875" style="557" customWidth="1"/>
    <col min="3079" max="3079" width="8.28515625" style="557" customWidth="1"/>
    <col min="3080" max="3080" width="8.5703125" style="557" customWidth="1"/>
    <col min="3081" max="3081" width="8.28515625" style="557" customWidth="1"/>
    <col min="3082" max="3082" width="8.85546875" style="557" customWidth="1"/>
    <col min="3083" max="3083" width="6.85546875" style="557" customWidth="1"/>
    <col min="3084" max="3084" width="7.28515625" style="557" customWidth="1"/>
    <col min="3085" max="3085" width="7.7109375" style="557" customWidth="1"/>
    <col min="3086" max="3086" width="6.7109375" style="557" customWidth="1"/>
    <col min="3087" max="3328" width="9.140625" style="557"/>
    <col min="3329" max="3329" width="24.140625" style="557" customWidth="1"/>
    <col min="3330" max="3330" width="8.42578125" style="557" customWidth="1"/>
    <col min="3331" max="3331" width="8.28515625" style="557" customWidth="1"/>
    <col min="3332" max="3332" width="9.5703125" style="557" customWidth="1"/>
    <col min="3333" max="3333" width="9" style="557" customWidth="1"/>
    <col min="3334" max="3334" width="9.85546875" style="557" customWidth="1"/>
    <col min="3335" max="3335" width="8.28515625" style="557" customWidth="1"/>
    <col min="3336" max="3336" width="8.5703125" style="557" customWidth="1"/>
    <col min="3337" max="3337" width="8.28515625" style="557" customWidth="1"/>
    <col min="3338" max="3338" width="8.85546875" style="557" customWidth="1"/>
    <col min="3339" max="3339" width="6.85546875" style="557" customWidth="1"/>
    <col min="3340" max="3340" width="7.28515625" style="557" customWidth="1"/>
    <col min="3341" max="3341" width="7.7109375" style="557" customWidth="1"/>
    <col min="3342" max="3342" width="6.7109375" style="557" customWidth="1"/>
    <col min="3343" max="3584" width="9.140625" style="557"/>
    <col min="3585" max="3585" width="24.140625" style="557" customWidth="1"/>
    <col min="3586" max="3586" width="8.42578125" style="557" customWidth="1"/>
    <col min="3587" max="3587" width="8.28515625" style="557" customWidth="1"/>
    <col min="3588" max="3588" width="9.5703125" style="557" customWidth="1"/>
    <col min="3589" max="3589" width="9" style="557" customWidth="1"/>
    <col min="3590" max="3590" width="9.85546875" style="557" customWidth="1"/>
    <col min="3591" max="3591" width="8.28515625" style="557" customWidth="1"/>
    <col min="3592" max="3592" width="8.5703125" style="557" customWidth="1"/>
    <col min="3593" max="3593" width="8.28515625" style="557" customWidth="1"/>
    <col min="3594" max="3594" width="8.85546875" style="557" customWidth="1"/>
    <col min="3595" max="3595" width="6.85546875" style="557" customWidth="1"/>
    <col min="3596" max="3596" width="7.28515625" style="557" customWidth="1"/>
    <col min="3597" max="3597" width="7.7109375" style="557" customWidth="1"/>
    <col min="3598" max="3598" width="6.7109375" style="557" customWidth="1"/>
    <col min="3599" max="3840" width="9.140625" style="557"/>
    <col min="3841" max="3841" width="24.140625" style="557" customWidth="1"/>
    <col min="3842" max="3842" width="8.42578125" style="557" customWidth="1"/>
    <col min="3843" max="3843" width="8.28515625" style="557" customWidth="1"/>
    <col min="3844" max="3844" width="9.5703125" style="557" customWidth="1"/>
    <col min="3845" max="3845" width="9" style="557" customWidth="1"/>
    <col min="3846" max="3846" width="9.85546875" style="557" customWidth="1"/>
    <col min="3847" max="3847" width="8.28515625" style="557" customWidth="1"/>
    <col min="3848" max="3848" width="8.5703125" style="557" customWidth="1"/>
    <col min="3849" max="3849" width="8.28515625" style="557" customWidth="1"/>
    <col min="3850" max="3850" width="8.85546875" style="557" customWidth="1"/>
    <col min="3851" max="3851" width="6.85546875" style="557" customWidth="1"/>
    <col min="3852" max="3852" width="7.28515625" style="557" customWidth="1"/>
    <col min="3853" max="3853" width="7.7109375" style="557" customWidth="1"/>
    <col min="3854" max="3854" width="6.7109375" style="557" customWidth="1"/>
    <col min="3855" max="4096" width="9.140625" style="557"/>
    <col min="4097" max="4097" width="24.140625" style="557" customWidth="1"/>
    <col min="4098" max="4098" width="8.42578125" style="557" customWidth="1"/>
    <col min="4099" max="4099" width="8.28515625" style="557" customWidth="1"/>
    <col min="4100" max="4100" width="9.5703125" style="557" customWidth="1"/>
    <col min="4101" max="4101" width="9" style="557" customWidth="1"/>
    <col min="4102" max="4102" width="9.85546875" style="557" customWidth="1"/>
    <col min="4103" max="4103" width="8.28515625" style="557" customWidth="1"/>
    <col min="4104" max="4104" width="8.5703125" style="557" customWidth="1"/>
    <col min="4105" max="4105" width="8.28515625" style="557" customWidth="1"/>
    <col min="4106" max="4106" width="8.85546875" style="557" customWidth="1"/>
    <col min="4107" max="4107" width="6.85546875" style="557" customWidth="1"/>
    <col min="4108" max="4108" width="7.28515625" style="557" customWidth="1"/>
    <col min="4109" max="4109" width="7.7109375" style="557" customWidth="1"/>
    <col min="4110" max="4110" width="6.7109375" style="557" customWidth="1"/>
    <col min="4111" max="4352" width="9.140625" style="557"/>
    <col min="4353" max="4353" width="24.140625" style="557" customWidth="1"/>
    <col min="4354" max="4354" width="8.42578125" style="557" customWidth="1"/>
    <col min="4355" max="4355" width="8.28515625" style="557" customWidth="1"/>
    <col min="4356" max="4356" width="9.5703125" style="557" customWidth="1"/>
    <col min="4357" max="4357" width="9" style="557" customWidth="1"/>
    <col min="4358" max="4358" width="9.85546875" style="557" customWidth="1"/>
    <col min="4359" max="4359" width="8.28515625" style="557" customWidth="1"/>
    <col min="4360" max="4360" width="8.5703125" style="557" customWidth="1"/>
    <col min="4361" max="4361" width="8.28515625" style="557" customWidth="1"/>
    <col min="4362" max="4362" width="8.85546875" style="557" customWidth="1"/>
    <col min="4363" max="4363" width="6.85546875" style="557" customWidth="1"/>
    <col min="4364" max="4364" width="7.28515625" style="557" customWidth="1"/>
    <col min="4365" max="4365" width="7.7109375" style="557" customWidth="1"/>
    <col min="4366" max="4366" width="6.7109375" style="557" customWidth="1"/>
    <col min="4367" max="4608" width="9.140625" style="557"/>
    <col min="4609" max="4609" width="24.140625" style="557" customWidth="1"/>
    <col min="4610" max="4610" width="8.42578125" style="557" customWidth="1"/>
    <col min="4611" max="4611" width="8.28515625" style="557" customWidth="1"/>
    <col min="4612" max="4612" width="9.5703125" style="557" customWidth="1"/>
    <col min="4613" max="4613" width="9" style="557" customWidth="1"/>
    <col min="4614" max="4614" width="9.85546875" style="557" customWidth="1"/>
    <col min="4615" max="4615" width="8.28515625" style="557" customWidth="1"/>
    <col min="4616" max="4616" width="8.5703125" style="557" customWidth="1"/>
    <col min="4617" max="4617" width="8.28515625" style="557" customWidth="1"/>
    <col min="4618" max="4618" width="8.85546875" style="557" customWidth="1"/>
    <col min="4619" max="4619" width="6.85546875" style="557" customWidth="1"/>
    <col min="4620" max="4620" width="7.28515625" style="557" customWidth="1"/>
    <col min="4621" max="4621" width="7.7109375" style="557" customWidth="1"/>
    <col min="4622" max="4622" width="6.7109375" style="557" customWidth="1"/>
    <col min="4623" max="4864" width="9.140625" style="557"/>
    <col min="4865" max="4865" width="24.140625" style="557" customWidth="1"/>
    <col min="4866" max="4866" width="8.42578125" style="557" customWidth="1"/>
    <col min="4867" max="4867" width="8.28515625" style="557" customWidth="1"/>
    <col min="4868" max="4868" width="9.5703125" style="557" customWidth="1"/>
    <col min="4869" max="4869" width="9" style="557" customWidth="1"/>
    <col min="4870" max="4870" width="9.85546875" style="557" customWidth="1"/>
    <col min="4871" max="4871" width="8.28515625" style="557" customWidth="1"/>
    <col min="4872" max="4872" width="8.5703125" style="557" customWidth="1"/>
    <col min="4873" max="4873" width="8.28515625" style="557" customWidth="1"/>
    <col min="4874" max="4874" width="8.85546875" style="557" customWidth="1"/>
    <col min="4875" max="4875" width="6.85546875" style="557" customWidth="1"/>
    <col min="4876" max="4876" width="7.28515625" style="557" customWidth="1"/>
    <col min="4877" max="4877" width="7.7109375" style="557" customWidth="1"/>
    <col min="4878" max="4878" width="6.7109375" style="557" customWidth="1"/>
    <col min="4879" max="5120" width="9.140625" style="557"/>
    <col min="5121" max="5121" width="24.140625" style="557" customWidth="1"/>
    <col min="5122" max="5122" width="8.42578125" style="557" customWidth="1"/>
    <col min="5123" max="5123" width="8.28515625" style="557" customWidth="1"/>
    <col min="5124" max="5124" width="9.5703125" style="557" customWidth="1"/>
    <col min="5125" max="5125" width="9" style="557" customWidth="1"/>
    <col min="5126" max="5126" width="9.85546875" style="557" customWidth="1"/>
    <col min="5127" max="5127" width="8.28515625" style="557" customWidth="1"/>
    <col min="5128" max="5128" width="8.5703125" style="557" customWidth="1"/>
    <col min="5129" max="5129" width="8.28515625" style="557" customWidth="1"/>
    <col min="5130" max="5130" width="8.85546875" style="557" customWidth="1"/>
    <col min="5131" max="5131" width="6.85546875" style="557" customWidth="1"/>
    <col min="5132" max="5132" width="7.28515625" style="557" customWidth="1"/>
    <col min="5133" max="5133" width="7.7109375" style="557" customWidth="1"/>
    <col min="5134" max="5134" width="6.7109375" style="557" customWidth="1"/>
    <col min="5135" max="5376" width="9.140625" style="557"/>
    <col min="5377" max="5377" width="24.140625" style="557" customWidth="1"/>
    <col min="5378" max="5378" width="8.42578125" style="557" customWidth="1"/>
    <col min="5379" max="5379" width="8.28515625" style="557" customWidth="1"/>
    <col min="5380" max="5380" width="9.5703125" style="557" customWidth="1"/>
    <col min="5381" max="5381" width="9" style="557" customWidth="1"/>
    <col min="5382" max="5382" width="9.85546875" style="557" customWidth="1"/>
    <col min="5383" max="5383" width="8.28515625" style="557" customWidth="1"/>
    <col min="5384" max="5384" width="8.5703125" style="557" customWidth="1"/>
    <col min="5385" max="5385" width="8.28515625" style="557" customWidth="1"/>
    <col min="5386" max="5386" width="8.85546875" style="557" customWidth="1"/>
    <col min="5387" max="5387" width="6.85546875" style="557" customWidth="1"/>
    <col min="5388" max="5388" width="7.28515625" style="557" customWidth="1"/>
    <col min="5389" max="5389" width="7.7109375" style="557" customWidth="1"/>
    <col min="5390" max="5390" width="6.7109375" style="557" customWidth="1"/>
    <col min="5391" max="5632" width="9.140625" style="557"/>
    <col min="5633" max="5633" width="24.140625" style="557" customWidth="1"/>
    <col min="5634" max="5634" width="8.42578125" style="557" customWidth="1"/>
    <col min="5635" max="5635" width="8.28515625" style="557" customWidth="1"/>
    <col min="5636" max="5636" width="9.5703125" style="557" customWidth="1"/>
    <col min="5637" max="5637" width="9" style="557" customWidth="1"/>
    <col min="5638" max="5638" width="9.85546875" style="557" customWidth="1"/>
    <col min="5639" max="5639" width="8.28515625" style="557" customWidth="1"/>
    <col min="5640" max="5640" width="8.5703125" style="557" customWidth="1"/>
    <col min="5641" max="5641" width="8.28515625" style="557" customWidth="1"/>
    <col min="5642" max="5642" width="8.85546875" style="557" customWidth="1"/>
    <col min="5643" max="5643" width="6.85546875" style="557" customWidth="1"/>
    <col min="5644" max="5644" width="7.28515625" style="557" customWidth="1"/>
    <col min="5645" max="5645" width="7.7109375" style="557" customWidth="1"/>
    <col min="5646" max="5646" width="6.7109375" style="557" customWidth="1"/>
    <col min="5647" max="5888" width="9.140625" style="557"/>
    <col min="5889" max="5889" width="24.140625" style="557" customWidth="1"/>
    <col min="5890" max="5890" width="8.42578125" style="557" customWidth="1"/>
    <col min="5891" max="5891" width="8.28515625" style="557" customWidth="1"/>
    <col min="5892" max="5892" width="9.5703125" style="557" customWidth="1"/>
    <col min="5893" max="5893" width="9" style="557" customWidth="1"/>
    <col min="5894" max="5894" width="9.85546875" style="557" customWidth="1"/>
    <col min="5895" max="5895" width="8.28515625" style="557" customWidth="1"/>
    <col min="5896" max="5896" width="8.5703125" style="557" customWidth="1"/>
    <col min="5897" max="5897" width="8.28515625" style="557" customWidth="1"/>
    <col min="5898" max="5898" width="8.85546875" style="557" customWidth="1"/>
    <col min="5899" max="5899" width="6.85546875" style="557" customWidth="1"/>
    <col min="5900" max="5900" width="7.28515625" style="557" customWidth="1"/>
    <col min="5901" max="5901" width="7.7109375" style="557" customWidth="1"/>
    <col min="5902" max="5902" width="6.7109375" style="557" customWidth="1"/>
    <col min="5903" max="6144" width="9.140625" style="557"/>
    <col min="6145" max="6145" width="24.140625" style="557" customWidth="1"/>
    <col min="6146" max="6146" width="8.42578125" style="557" customWidth="1"/>
    <col min="6147" max="6147" width="8.28515625" style="557" customWidth="1"/>
    <col min="6148" max="6148" width="9.5703125" style="557" customWidth="1"/>
    <col min="6149" max="6149" width="9" style="557" customWidth="1"/>
    <col min="6150" max="6150" width="9.85546875" style="557" customWidth="1"/>
    <col min="6151" max="6151" width="8.28515625" style="557" customWidth="1"/>
    <col min="6152" max="6152" width="8.5703125" style="557" customWidth="1"/>
    <col min="6153" max="6153" width="8.28515625" style="557" customWidth="1"/>
    <col min="6154" max="6154" width="8.85546875" style="557" customWidth="1"/>
    <col min="6155" max="6155" width="6.85546875" style="557" customWidth="1"/>
    <col min="6156" max="6156" width="7.28515625" style="557" customWidth="1"/>
    <col min="6157" max="6157" width="7.7109375" style="557" customWidth="1"/>
    <col min="6158" max="6158" width="6.7109375" style="557" customWidth="1"/>
    <col min="6159" max="6400" width="9.140625" style="557"/>
    <col min="6401" max="6401" width="24.140625" style="557" customWidth="1"/>
    <col min="6402" max="6402" width="8.42578125" style="557" customWidth="1"/>
    <col min="6403" max="6403" width="8.28515625" style="557" customWidth="1"/>
    <col min="6404" max="6404" width="9.5703125" style="557" customWidth="1"/>
    <col min="6405" max="6405" width="9" style="557" customWidth="1"/>
    <col min="6406" max="6406" width="9.85546875" style="557" customWidth="1"/>
    <col min="6407" max="6407" width="8.28515625" style="557" customWidth="1"/>
    <col min="6408" max="6408" width="8.5703125" style="557" customWidth="1"/>
    <col min="6409" max="6409" width="8.28515625" style="557" customWidth="1"/>
    <col min="6410" max="6410" width="8.85546875" style="557" customWidth="1"/>
    <col min="6411" max="6411" width="6.85546875" style="557" customWidth="1"/>
    <col min="6412" max="6412" width="7.28515625" style="557" customWidth="1"/>
    <col min="6413" max="6413" width="7.7109375" style="557" customWidth="1"/>
    <col min="6414" max="6414" width="6.7109375" style="557" customWidth="1"/>
    <col min="6415" max="6656" width="9.140625" style="557"/>
    <col min="6657" max="6657" width="24.140625" style="557" customWidth="1"/>
    <col min="6658" max="6658" width="8.42578125" style="557" customWidth="1"/>
    <col min="6659" max="6659" width="8.28515625" style="557" customWidth="1"/>
    <col min="6660" max="6660" width="9.5703125" style="557" customWidth="1"/>
    <col min="6661" max="6661" width="9" style="557" customWidth="1"/>
    <col min="6662" max="6662" width="9.85546875" style="557" customWidth="1"/>
    <col min="6663" max="6663" width="8.28515625" style="557" customWidth="1"/>
    <col min="6664" max="6664" width="8.5703125" style="557" customWidth="1"/>
    <col min="6665" max="6665" width="8.28515625" style="557" customWidth="1"/>
    <col min="6666" max="6666" width="8.85546875" style="557" customWidth="1"/>
    <col min="6667" max="6667" width="6.85546875" style="557" customWidth="1"/>
    <col min="6668" max="6668" width="7.28515625" style="557" customWidth="1"/>
    <col min="6669" max="6669" width="7.7109375" style="557" customWidth="1"/>
    <col min="6670" max="6670" width="6.7109375" style="557" customWidth="1"/>
    <col min="6671" max="6912" width="9.140625" style="557"/>
    <col min="6913" max="6913" width="24.140625" style="557" customWidth="1"/>
    <col min="6914" max="6914" width="8.42578125" style="557" customWidth="1"/>
    <col min="6915" max="6915" width="8.28515625" style="557" customWidth="1"/>
    <col min="6916" max="6916" width="9.5703125" style="557" customWidth="1"/>
    <col min="6917" max="6917" width="9" style="557" customWidth="1"/>
    <col min="6918" max="6918" width="9.85546875" style="557" customWidth="1"/>
    <col min="6919" max="6919" width="8.28515625" style="557" customWidth="1"/>
    <col min="6920" max="6920" width="8.5703125" style="557" customWidth="1"/>
    <col min="6921" max="6921" width="8.28515625" style="557" customWidth="1"/>
    <col min="6922" max="6922" width="8.85546875" style="557" customWidth="1"/>
    <col min="6923" max="6923" width="6.85546875" style="557" customWidth="1"/>
    <col min="6924" max="6924" width="7.28515625" style="557" customWidth="1"/>
    <col min="6925" max="6925" width="7.7109375" style="557" customWidth="1"/>
    <col min="6926" max="6926" width="6.7109375" style="557" customWidth="1"/>
    <col min="6927" max="7168" width="9.140625" style="557"/>
    <col min="7169" max="7169" width="24.140625" style="557" customWidth="1"/>
    <col min="7170" max="7170" width="8.42578125" style="557" customWidth="1"/>
    <col min="7171" max="7171" width="8.28515625" style="557" customWidth="1"/>
    <col min="7172" max="7172" width="9.5703125" style="557" customWidth="1"/>
    <col min="7173" max="7173" width="9" style="557" customWidth="1"/>
    <col min="7174" max="7174" width="9.85546875" style="557" customWidth="1"/>
    <col min="7175" max="7175" width="8.28515625" style="557" customWidth="1"/>
    <col min="7176" max="7176" width="8.5703125" style="557" customWidth="1"/>
    <col min="7177" max="7177" width="8.28515625" style="557" customWidth="1"/>
    <col min="7178" max="7178" width="8.85546875" style="557" customWidth="1"/>
    <col min="7179" max="7179" width="6.85546875" style="557" customWidth="1"/>
    <col min="7180" max="7180" width="7.28515625" style="557" customWidth="1"/>
    <col min="7181" max="7181" width="7.7109375" style="557" customWidth="1"/>
    <col min="7182" max="7182" width="6.7109375" style="557" customWidth="1"/>
    <col min="7183" max="7424" width="9.140625" style="557"/>
    <col min="7425" max="7425" width="24.140625" style="557" customWidth="1"/>
    <col min="7426" max="7426" width="8.42578125" style="557" customWidth="1"/>
    <col min="7427" max="7427" width="8.28515625" style="557" customWidth="1"/>
    <col min="7428" max="7428" width="9.5703125" style="557" customWidth="1"/>
    <col min="7429" max="7429" width="9" style="557" customWidth="1"/>
    <col min="7430" max="7430" width="9.85546875" style="557" customWidth="1"/>
    <col min="7431" max="7431" width="8.28515625" style="557" customWidth="1"/>
    <col min="7432" max="7432" width="8.5703125" style="557" customWidth="1"/>
    <col min="7433" max="7433" width="8.28515625" style="557" customWidth="1"/>
    <col min="7434" max="7434" width="8.85546875" style="557" customWidth="1"/>
    <col min="7435" max="7435" width="6.85546875" style="557" customWidth="1"/>
    <col min="7436" max="7436" width="7.28515625" style="557" customWidth="1"/>
    <col min="7437" max="7437" width="7.7109375" style="557" customWidth="1"/>
    <col min="7438" max="7438" width="6.7109375" style="557" customWidth="1"/>
    <col min="7439" max="7680" width="9.140625" style="557"/>
    <col min="7681" max="7681" width="24.140625" style="557" customWidth="1"/>
    <col min="7682" max="7682" width="8.42578125" style="557" customWidth="1"/>
    <col min="7683" max="7683" width="8.28515625" style="557" customWidth="1"/>
    <col min="7684" max="7684" width="9.5703125" style="557" customWidth="1"/>
    <col min="7685" max="7685" width="9" style="557" customWidth="1"/>
    <col min="7686" max="7686" width="9.85546875" style="557" customWidth="1"/>
    <col min="7687" max="7687" width="8.28515625" style="557" customWidth="1"/>
    <col min="7688" max="7688" width="8.5703125" style="557" customWidth="1"/>
    <col min="7689" max="7689" width="8.28515625" style="557" customWidth="1"/>
    <col min="7690" max="7690" width="8.85546875" style="557" customWidth="1"/>
    <col min="7691" max="7691" width="6.85546875" style="557" customWidth="1"/>
    <col min="7692" max="7692" width="7.28515625" style="557" customWidth="1"/>
    <col min="7693" max="7693" width="7.7109375" style="557" customWidth="1"/>
    <col min="7694" max="7694" width="6.7109375" style="557" customWidth="1"/>
    <col min="7695" max="7936" width="9.140625" style="557"/>
    <col min="7937" max="7937" width="24.140625" style="557" customWidth="1"/>
    <col min="7938" max="7938" width="8.42578125" style="557" customWidth="1"/>
    <col min="7939" max="7939" width="8.28515625" style="557" customWidth="1"/>
    <col min="7940" max="7940" width="9.5703125" style="557" customWidth="1"/>
    <col min="7941" max="7941" width="9" style="557" customWidth="1"/>
    <col min="7942" max="7942" width="9.85546875" style="557" customWidth="1"/>
    <col min="7943" max="7943" width="8.28515625" style="557" customWidth="1"/>
    <col min="7944" max="7944" width="8.5703125" style="557" customWidth="1"/>
    <col min="7945" max="7945" width="8.28515625" style="557" customWidth="1"/>
    <col min="7946" max="7946" width="8.85546875" style="557" customWidth="1"/>
    <col min="7947" max="7947" width="6.85546875" style="557" customWidth="1"/>
    <col min="7948" max="7948" width="7.28515625" style="557" customWidth="1"/>
    <col min="7949" max="7949" width="7.7109375" style="557" customWidth="1"/>
    <col min="7950" max="7950" width="6.7109375" style="557" customWidth="1"/>
    <col min="7951" max="8192" width="9.140625" style="557"/>
    <col min="8193" max="8193" width="24.140625" style="557" customWidth="1"/>
    <col min="8194" max="8194" width="8.42578125" style="557" customWidth="1"/>
    <col min="8195" max="8195" width="8.28515625" style="557" customWidth="1"/>
    <col min="8196" max="8196" width="9.5703125" style="557" customWidth="1"/>
    <col min="8197" max="8197" width="9" style="557" customWidth="1"/>
    <col min="8198" max="8198" width="9.85546875" style="557" customWidth="1"/>
    <col min="8199" max="8199" width="8.28515625" style="557" customWidth="1"/>
    <col min="8200" max="8200" width="8.5703125" style="557" customWidth="1"/>
    <col min="8201" max="8201" width="8.28515625" style="557" customWidth="1"/>
    <col min="8202" max="8202" width="8.85546875" style="557" customWidth="1"/>
    <col min="8203" max="8203" width="6.85546875" style="557" customWidth="1"/>
    <col min="8204" max="8204" width="7.28515625" style="557" customWidth="1"/>
    <col min="8205" max="8205" width="7.7109375" style="557" customWidth="1"/>
    <col min="8206" max="8206" width="6.7109375" style="557" customWidth="1"/>
    <col min="8207" max="8448" width="9.140625" style="557"/>
    <col min="8449" max="8449" width="24.140625" style="557" customWidth="1"/>
    <col min="8450" max="8450" width="8.42578125" style="557" customWidth="1"/>
    <col min="8451" max="8451" width="8.28515625" style="557" customWidth="1"/>
    <col min="8452" max="8452" width="9.5703125" style="557" customWidth="1"/>
    <col min="8453" max="8453" width="9" style="557" customWidth="1"/>
    <col min="8454" max="8454" width="9.85546875" style="557" customWidth="1"/>
    <col min="8455" max="8455" width="8.28515625" style="557" customWidth="1"/>
    <col min="8456" max="8456" width="8.5703125" style="557" customWidth="1"/>
    <col min="8457" max="8457" width="8.28515625" style="557" customWidth="1"/>
    <col min="8458" max="8458" width="8.85546875" style="557" customWidth="1"/>
    <col min="8459" max="8459" width="6.85546875" style="557" customWidth="1"/>
    <col min="8460" max="8460" width="7.28515625" style="557" customWidth="1"/>
    <col min="8461" max="8461" width="7.7109375" style="557" customWidth="1"/>
    <col min="8462" max="8462" width="6.7109375" style="557" customWidth="1"/>
    <col min="8463" max="8704" width="9.140625" style="557"/>
    <col min="8705" max="8705" width="24.140625" style="557" customWidth="1"/>
    <col min="8706" max="8706" width="8.42578125" style="557" customWidth="1"/>
    <col min="8707" max="8707" width="8.28515625" style="557" customWidth="1"/>
    <col min="8708" max="8708" width="9.5703125" style="557" customWidth="1"/>
    <col min="8709" max="8709" width="9" style="557" customWidth="1"/>
    <col min="8710" max="8710" width="9.85546875" style="557" customWidth="1"/>
    <col min="8711" max="8711" width="8.28515625" style="557" customWidth="1"/>
    <col min="8712" max="8712" width="8.5703125" style="557" customWidth="1"/>
    <col min="8713" max="8713" width="8.28515625" style="557" customWidth="1"/>
    <col min="8714" max="8714" width="8.85546875" style="557" customWidth="1"/>
    <col min="8715" max="8715" width="6.85546875" style="557" customWidth="1"/>
    <col min="8716" max="8716" width="7.28515625" style="557" customWidth="1"/>
    <col min="8717" max="8717" width="7.7109375" style="557" customWidth="1"/>
    <col min="8718" max="8718" width="6.7109375" style="557" customWidth="1"/>
    <col min="8719" max="8960" width="9.140625" style="557"/>
    <col min="8961" max="8961" width="24.140625" style="557" customWidth="1"/>
    <col min="8962" max="8962" width="8.42578125" style="557" customWidth="1"/>
    <col min="8963" max="8963" width="8.28515625" style="557" customWidth="1"/>
    <col min="8964" max="8964" width="9.5703125" style="557" customWidth="1"/>
    <col min="8965" max="8965" width="9" style="557" customWidth="1"/>
    <col min="8966" max="8966" width="9.85546875" style="557" customWidth="1"/>
    <col min="8967" max="8967" width="8.28515625" style="557" customWidth="1"/>
    <col min="8968" max="8968" width="8.5703125" style="557" customWidth="1"/>
    <col min="8969" max="8969" width="8.28515625" style="557" customWidth="1"/>
    <col min="8970" max="8970" width="8.85546875" style="557" customWidth="1"/>
    <col min="8971" max="8971" width="6.85546875" style="557" customWidth="1"/>
    <col min="8972" max="8972" width="7.28515625" style="557" customWidth="1"/>
    <col min="8973" max="8973" width="7.7109375" style="557" customWidth="1"/>
    <col min="8974" max="8974" width="6.7109375" style="557" customWidth="1"/>
    <col min="8975" max="9216" width="9.140625" style="557"/>
    <col min="9217" max="9217" width="24.140625" style="557" customWidth="1"/>
    <col min="9218" max="9218" width="8.42578125" style="557" customWidth="1"/>
    <col min="9219" max="9219" width="8.28515625" style="557" customWidth="1"/>
    <col min="9220" max="9220" width="9.5703125" style="557" customWidth="1"/>
    <col min="9221" max="9221" width="9" style="557" customWidth="1"/>
    <col min="9222" max="9222" width="9.85546875" style="557" customWidth="1"/>
    <col min="9223" max="9223" width="8.28515625" style="557" customWidth="1"/>
    <col min="9224" max="9224" width="8.5703125" style="557" customWidth="1"/>
    <col min="9225" max="9225" width="8.28515625" style="557" customWidth="1"/>
    <col min="9226" max="9226" width="8.85546875" style="557" customWidth="1"/>
    <col min="9227" max="9227" width="6.85546875" style="557" customWidth="1"/>
    <col min="9228" max="9228" width="7.28515625" style="557" customWidth="1"/>
    <col min="9229" max="9229" width="7.7109375" style="557" customWidth="1"/>
    <col min="9230" max="9230" width="6.7109375" style="557" customWidth="1"/>
    <col min="9231" max="9472" width="9.140625" style="557"/>
    <col min="9473" max="9473" width="24.140625" style="557" customWidth="1"/>
    <col min="9474" max="9474" width="8.42578125" style="557" customWidth="1"/>
    <col min="9475" max="9475" width="8.28515625" style="557" customWidth="1"/>
    <col min="9476" max="9476" width="9.5703125" style="557" customWidth="1"/>
    <col min="9477" max="9477" width="9" style="557" customWidth="1"/>
    <col min="9478" max="9478" width="9.85546875" style="557" customWidth="1"/>
    <col min="9479" max="9479" width="8.28515625" style="557" customWidth="1"/>
    <col min="9480" max="9480" width="8.5703125" style="557" customWidth="1"/>
    <col min="9481" max="9481" width="8.28515625" style="557" customWidth="1"/>
    <col min="9482" max="9482" width="8.85546875" style="557" customWidth="1"/>
    <col min="9483" max="9483" width="6.85546875" style="557" customWidth="1"/>
    <col min="9484" max="9484" width="7.28515625" style="557" customWidth="1"/>
    <col min="9485" max="9485" width="7.7109375" style="557" customWidth="1"/>
    <col min="9486" max="9486" width="6.7109375" style="557" customWidth="1"/>
    <col min="9487" max="9728" width="9.140625" style="557"/>
    <col min="9729" max="9729" width="24.140625" style="557" customWidth="1"/>
    <col min="9730" max="9730" width="8.42578125" style="557" customWidth="1"/>
    <col min="9731" max="9731" width="8.28515625" style="557" customWidth="1"/>
    <col min="9732" max="9732" width="9.5703125" style="557" customWidth="1"/>
    <col min="9733" max="9733" width="9" style="557" customWidth="1"/>
    <col min="9734" max="9734" width="9.85546875" style="557" customWidth="1"/>
    <col min="9735" max="9735" width="8.28515625" style="557" customWidth="1"/>
    <col min="9736" max="9736" width="8.5703125" style="557" customWidth="1"/>
    <col min="9737" max="9737" width="8.28515625" style="557" customWidth="1"/>
    <col min="9738" max="9738" width="8.85546875" style="557" customWidth="1"/>
    <col min="9739" max="9739" width="6.85546875" style="557" customWidth="1"/>
    <col min="9740" max="9740" width="7.28515625" style="557" customWidth="1"/>
    <col min="9741" max="9741" width="7.7109375" style="557" customWidth="1"/>
    <col min="9742" max="9742" width="6.7109375" style="557" customWidth="1"/>
    <col min="9743" max="9984" width="9.140625" style="557"/>
    <col min="9985" max="9985" width="24.140625" style="557" customWidth="1"/>
    <col min="9986" max="9986" width="8.42578125" style="557" customWidth="1"/>
    <col min="9987" max="9987" width="8.28515625" style="557" customWidth="1"/>
    <col min="9988" max="9988" width="9.5703125" style="557" customWidth="1"/>
    <col min="9989" max="9989" width="9" style="557" customWidth="1"/>
    <col min="9990" max="9990" width="9.85546875" style="557" customWidth="1"/>
    <col min="9991" max="9991" width="8.28515625" style="557" customWidth="1"/>
    <col min="9992" max="9992" width="8.5703125" style="557" customWidth="1"/>
    <col min="9993" max="9993" width="8.28515625" style="557" customWidth="1"/>
    <col min="9994" max="9994" width="8.85546875" style="557" customWidth="1"/>
    <col min="9995" max="9995" width="6.85546875" style="557" customWidth="1"/>
    <col min="9996" max="9996" width="7.28515625" style="557" customWidth="1"/>
    <col min="9997" max="9997" width="7.7109375" style="557" customWidth="1"/>
    <col min="9998" max="9998" width="6.7109375" style="557" customWidth="1"/>
    <col min="9999" max="10240" width="9.140625" style="557"/>
    <col min="10241" max="10241" width="24.140625" style="557" customWidth="1"/>
    <col min="10242" max="10242" width="8.42578125" style="557" customWidth="1"/>
    <col min="10243" max="10243" width="8.28515625" style="557" customWidth="1"/>
    <col min="10244" max="10244" width="9.5703125" style="557" customWidth="1"/>
    <col min="10245" max="10245" width="9" style="557" customWidth="1"/>
    <col min="10246" max="10246" width="9.85546875" style="557" customWidth="1"/>
    <col min="10247" max="10247" width="8.28515625" style="557" customWidth="1"/>
    <col min="10248" max="10248" width="8.5703125" style="557" customWidth="1"/>
    <col min="10249" max="10249" width="8.28515625" style="557" customWidth="1"/>
    <col min="10250" max="10250" width="8.85546875" style="557" customWidth="1"/>
    <col min="10251" max="10251" width="6.85546875" style="557" customWidth="1"/>
    <col min="10252" max="10252" width="7.28515625" style="557" customWidth="1"/>
    <col min="10253" max="10253" width="7.7109375" style="557" customWidth="1"/>
    <col min="10254" max="10254" width="6.7109375" style="557" customWidth="1"/>
    <col min="10255" max="10496" width="9.140625" style="557"/>
    <col min="10497" max="10497" width="24.140625" style="557" customWidth="1"/>
    <col min="10498" max="10498" width="8.42578125" style="557" customWidth="1"/>
    <col min="10499" max="10499" width="8.28515625" style="557" customWidth="1"/>
    <col min="10500" max="10500" width="9.5703125" style="557" customWidth="1"/>
    <col min="10501" max="10501" width="9" style="557" customWidth="1"/>
    <col min="10502" max="10502" width="9.85546875" style="557" customWidth="1"/>
    <col min="10503" max="10503" width="8.28515625" style="557" customWidth="1"/>
    <col min="10504" max="10504" width="8.5703125" style="557" customWidth="1"/>
    <col min="10505" max="10505" width="8.28515625" style="557" customWidth="1"/>
    <col min="10506" max="10506" width="8.85546875" style="557" customWidth="1"/>
    <col min="10507" max="10507" width="6.85546875" style="557" customWidth="1"/>
    <col min="10508" max="10508" width="7.28515625" style="557" customWidth="1"/>
    <col min="10509" max="10509" width="7.7109375" style="557" customWidth="1"/>
    <col min="10510" max="10510" width="6.7109375" style="557" customWidth="1"/>
    <col min="10511" max="10752" width="9.140625" style="557"/>
    <col min="10753" max="10753" width="24.140625" style="557" customWidth="1"/>
    <col min="10754" max="10754" width="8.42578125" style="557" customWidth="1"/>
    <col min="10755" max="10755" width="8.28515625" style="557" customWidth="1"/>
    <col min="10756" max="10756" width="9.5703125" style="557" customWidth="1"/>
    <col min="10757" max="10757" width="9" style="557" customWidth="1"/>
    <col min="10758" max="10758" width="9.85546875" style="557" customWidth="1"/>
    <col min="10759" max="10759" width="8.28515625" style="557" customWidth="1"/>
    <col min="10760" max="10760" width="8.5703125" style="557" customWidth="1"/>
    <col min="10761" max="10761" width="8.28515625" style="557" customWidth="1"/>
    <col min="10762" max="10762" width="8.85546875" style="557" customWidth="1"/>
    <col min="10763" max="10763" width="6.85546875" style="557" customWidth="1"/>
    <col min="10764" max="10764" width="7.28515625" style="557" customWidth="1"/>
    <col min="10765" max="10765" width="7.7109375" style="557" customWidth="1"/>
    <col min="10766" max="10766" width="6.7109375" style="557" customWidth="1"/>
    <col min="10767" max="11008" width="9.140625" style="557"/>
    <col min="11009" max="11009" width="24.140625" style="557" customWidth="1"/>
    <col min="11010" max="11010" width="8.42578125" style="557" customWidth="1"/>
    <col min="11011" max="11011" width="8.28515625" style="557" customWidth="1"/>
    <col min="11012" max="11012" width="9.5703125" style="557" customWidth="1"/>
    <col min="11013" max="11013" width="9" style="557" customWidth="1"/>
    <col min="11014" max="11014" width="9.85546875" style="557" customWidth="1"/>
    <col min="11015" max="11015" width="8.28515625" style="557" customWidth="1"/>
    <col min="11016" max="11016" width="8.5703125" style="557" customWidth="1"/>
    <col min="11017" max="11017" width="8.28515625" style="557" customWidth="1"/>
    <col min="11018" max="11018" width="8.85546875" style="557" customWidth="1"/>
    <col min="11019" max="11019" width="6.85546875" style="557" customWidth="1"/>
    <col min="11020" max="11020" width="7.28515625" style="557" customWidth="1"/>
    <col min="11021" max="11021" width="7.7109375" style="557" customWidth="1"/>
    <col min="11022" max="11022" width="6.7109375" style="557" customWidth="1"/>
    <col min="11023" max="11264" width="9.140625" style="557"/>
    <col min="11265" max="11265" width="24.140625" style="557" customWidth="1"/>
    <col min="11266" max="11266" width="8.42578125" style="557" customWidth="1"/>
    <col min="11267" max="11267" width="8.28515625" style="557" customWidth="1"/>
    <col min="11268" max="11268" width="9.5703125" style="557" customWidth="1"/>
    <col min="11269" max="11269" width="9" style="557" customWidth="1"/>
    <col min="11270" max="11270" width="9.85546875" style="557" customWidth="1"/>
    <col min="11271" max="11271" width="8.28515625" style="557" customWidth="1"/>
    <col min="11272" max="11272" width="8.5703125" style="557" customWidth="1"/>
    <col min="11273" max="11273" width="8.28515625" style="557" customWidth="1"/>
    <col min="11274" max="11274" width="8.85546875" style="557" customWidth="1"/>
    <col min="11275" max="11275" width="6.85546875" style="557" customWidth="1"/>
    <col min="11276" max="11276" width="7.28515625" style="557" customWidth="1"/>
    <col min="11277" max="11277" width="7.7109375" style="557" customWidth="1"/>
    <col min="11278" max="11278" width="6.7109375" style="557" customWidth="1"/>
    <col min="11279" max="11520" width="9.140625" style="557"/>
    <col min="11521" max="11521" width="24.140625" style="557" customWidth="1"/>
    <col min="11522" max="11522" width="8.42578125" style="557" customWidth="1"/>
    <col min="11523" max="11523" width="8.28515625" style="557" customWidth="1"/>
    <col min="11524" max="11524" width="9.5703125" style="557" customWidth="1"/>
    <col min="11525" max="11525" width="9" style="557" customWidth="1"/>
    <col min="11526" max="11526" width="9.85546875" style="557" customWidth="1"/>
    <col min="11527" max="11527" width="8.28515625" style="557" customWidth="1"/>
    <col min="11528" max="11528" width="8.5703125" style="557" customWidth="1"/>
    <col min="11529" max="11529" width="8.28515625" style="557" customWidth="1"/>
    <col min="11530" max="11530" width="8.85546875" style="557" customWidth="1"/>
    <col min="11531" max="11531" width="6.85546875" style="557" customWidth="1"/>
    <col min="11532" max="11532" width="7.28515625" style="557" customWidth="1"/>
    <col min="11533" max="11533" width="7.7109375" style="557" customWidth="1"/>
    <col min="11534" max="11534" width="6.7109375" style="557" customWidth="1"/>
    <col min="11535" max="11776" width="9.140625" style="557"/>
    <col min="11777" max="11777" width="24.140625" style="557" customWidth="1"/>
    <col min="11778" max="11778" width="8.42578125" style="557" customWidth="1"/>
    <col min="11779" max="11779" width="8.28515625" style="557" customWidth="1"/>
    <col min="11780" max="11780" width="9.5703125" style="557" customWidth="1"/>
    <col min="11781" max="11781" width="9" style="557" customWidth="1"/>
    <col min="11782" max="11782" width="9.85546875" style="557" customWidth="1"/>
    <col min="11783" max="11783" width="8.28515625" style="557" customWidth="1"/>
    <col min="11784" max="11784" width="8.5703125" style="557" customWidth="1"/>
    <col min="11785" max="11785" width="8.28515625" style="557" customWidth="1"/>
    <col min="11786" max="11786" width="8.85546875" style="557" customWidth="1"/>
    <col min="11787" max="11787" width="6.85546875" style="557" customWidth="1"/>
    <col min="11788" max="11788" width="7.28515625" style="557" customWidth="1"/>
    <col min="11789" max="11789" width="7.7109375" style="557" customWidth="1"/>
    <col min="11790" max="11790" width="6.7109375" style="557" customWidth="1"/>
    <col min="11791" max="12032" width="9.140625" style="557"/>
    <col min="12033" max="12033" width="24.140625" style="557" customWidth="1"/>
    <col min="12034" max="12034" width="8.42578125" style="557" customWidth="1"/>
    <col min="12035" max="12035" width="8.28515625" style="557" customWidth="1"/>
    <col min="12036" max="12036" width="9.5703125" style="557" customWidth="1"/>
    <col min="12037" max="12037" width="9" style="557" customWidth="1"/>
    <col min="12038" max="12038" width="9.85546875" style="557" customWidth="1"/>
    <col min="12039" max="12039" width="8.28515625" style="557" customWidth="1"/>
    <col min="12040" max="12040" width="8.5703125" style="557" customWidth="1"/>
    <col min="12041" max="12041" width="8.28515625" style="557" customWidth="1"/>
    <col min="12042" max="12042" width="8.85546875" style="557" customWidth="1"/>
    <col min="12043" max="12043" width="6.85546875" style="557" customWidth="1"/>
    <col min="12044" max="12044" width="7.28515625" style="557" customWidth="1"/>
    <col min="12045" max="12045" width="7.7109375" style="557" customWidth="1"/>
    <col min="12046" max="12046" width="6.7109375" style="557" customWidth="1"/>
    <col min="12047" max="12288" width="9.140625" style="557"/>
    <col min="12289" max="12289" width="24.140625" style="557" customWidth="1"/>
    <col min="12290" max="12290" width="8.42578125" style="557" customWidth="1"/>
    <col min="12291" max="12291" width="8.28515625" style="557" customWidth="1"/>
    <col min="12292" max="12292" width="9.5703125" style="557" customWidth="1"/>
    <col min="12293" max="12293" width="9" style="557" customWidth="1"/>
    <col min="12294" max="12294" width="9.85546875" style="557" customWidth="1"/>
    <col min="12295" max="12295" width="8.28515625" style="557" customWidth="1"/>
    <col min="12296" max="12296" width="8.5703125" style="557" customWidth="1"/>
    <col min="12297" max="12297" width="8.28515625" style="557" customWidth="1"/>
    <col min="12298" max="12298" width="8.85546875" style="557" customWidth="1"/>
    <col min="12299" max="12299" width="6.85546875" style="557" customWidth="1"/>
    <col min="12300" max="12300" width="7.28515625" style="557" customWidth="1"/>
    <col min="12301" max="12301" width="7.7109375" style="557" customWidth="1"/>
    <col min="12302" max="12302" width="6.7109375" style="557" customWidth="1"/>
    <col min="12303" max="12544" width="9.140625" style="557"/>
    <col min="12545" max="12545" width="24.140625" style="557" customWidth="1"/>
    <col min="12546" max="12546" width="8.42578125" style="557" customWidth="1"/>
    <col min="12547" max="12547" width="8.28515625" style="557" customWidth="1"/>
    <col min="12548" max="12548" width="9.5703125" style="557" customWidth="1"/>
    <col min="12549" max="12549" width="9" style="557" customWidth="1"/>
    <col min="12550" max="12550" width="9.85546875" style="557" customWidth="1"/>
    <col min="12551" max="12551" width="8.28515625" style="557" customWidth="1"/>
    <col min="12552" max="12552" width="8.5703125" style="557" customWidth="1"/>
    <col min="12553" max="12553" width="8.28515625" style="557" customWidth="1"/>
    <col min="12554" max="12554" width="8.85546875" style="557" customWidth="1"/>
    <col min="12555" max="12555" width="6.85546875" style="557" customWidth="1"/>
    <col min="12556" max="12556" width="7.28515625" style="557" customWidth="1"/>
    <col min="12557" max="12557" width="7.7109375" style="557" customWidth="1"/>
    <col min="12558" max="12558" width="6.7109375" style="557" customWidth="1"/>
    <col min="12559" max="12800" width="9.140625" style="557"/>
    <col min="12801" max="12801" width="24.140625" style="557" customWidth="1"/>
    <col min="12802" max="12802" width="8.42578125" style="557" customWidth="1"/>
    <col min="12803" max="12803" width="8.28515625" style="557" customWidth="1"/>
    <col min="12804" max="12804" width="9.5703125" style="557" customWidth="1"/>
    <col min="12805" max="12805" width="9" style="557" customWidth="1"/>
    <col min="12806" max="12806" width="9.85546875" style="557" customWidth="1"/>
    <col min="12807" max="12807" width="8.28515625" style="557" customWidth="1"/>
    <col min="12808" max="12808" width="8.5703125" style="557" customWidth="1"/>
    <col min="12809" max="12809" width="8.28515625" style="557" customWidth="1"/>
    <col min="12810" max="12810" width="8.85546875" style="557" customWidth="1"/>
    <col min="12811" max="12811" width="6.85546875" style="557" customWidth="1"/>
    <col min="12812" max="12812" width="7.28515625" style="557" customWidth="1"/>
    <col min="12813" max="12813" width="7.7109375" style="557" customWidth="1"/>
    <col min="12814" max="12814" width="6.7109375" style="557" customWidth="1"/>
    <col min="12815" max="13056" width="9.140625" style="557"/>
    <col min="13057" max="13057" width="24.140625" style="557" customWidth="1"/>
    <col min="13058" max="13058" width="8.42578125" style="557" customWidth="1"/>
    <col min="13059" max="13059" width="8.28515625" style="557" customWidth="1"/>
    <col min="13060" max="13060" width="9.5703125" style="557" customWidth="1"/>
    <col min="13061" max="13061" width="9" style="557" customWidth="1"/>
    <col min="13062" max="13062" width="9.85546875" style="557" customWidth="1"/>
    <col min="13063" max="13063" width="8.28515625" style="557" customWidth="1"/>
    <col min="13064" max="13064" width="8.5703125" style="557" customWidth="1"/>
    <col min="13065" max="13065" width="8.28515625" style="557" customWidth="1"/>
    <col min="13066" max="13066" width="8.85546875" style="557" customWidth="1"/>
    <col min="13067" max="13067" width="6.85546875" style="557" customWidth="1"/>
    <col min="13068" max="13068" width="7.28515625" style="557" customWidth="1"/>
    <col min="13069" max="13069" width="7.7109375" style="557" customWidth="1"/>
    <col min="13070" max="13070" width="6.7109375" style="557" customWidth="1"/>
    <col min="13071" max="13312" width="9.140625" style="557"/>
    <col min="13313" max="13313" width="24.140625" style="557" customWidth="1"/>
    <col min="13314" max="13314" width="8.42578125" style="557" customWidth="1"/>
    <col min="13315" max="13315" width="8.28515625" style="557" customWidth="1"/>
    <col min="13316" max="13316" width="9.5703125" style="557" customWidth="1"/>
    <col min="13317" max="13317" width="9" style="557" customWidth="1"/>
    <col min="13318" max="13318" width="9.85546875" style="557" customWidth="1"/>
    <col min="13319" max="13319" width="8.28515625" style="557" customWidth="1"/>
    <col min="13320" max="13320" width="8.5703125" style="557" customWidth="1"/>
    <col min="13321" max="13321" width="8.28515625" style="557" customWidth="1"/>
    <col min="13322" max="13322" width="8.85546875" style="557" customWidth="1"/>
    <col min="13323" max="13323" width="6.85546875" style="557" customWidth="1"/>
    <col min="13324" max="13324" width="7.28515625" style="557" customWidth="1"/>
    <col min="13325" max="13325" width="7.7109375" style="557" customWidth="1"/>
    <col min="13326" max="13326" width="6.7109375" style="557" customWidth="1"/>
    <col min="13327" max="13568" width="9.140625" style="557"/>
    <col min="13569" max="13569" width="24.140625" style="557" customWidth="1"/>
    <col min="13570" max="13570" width="8.42578125" style="557" customWidth="1"/>
    <col min="13571" max="13571" width="8.28515625" style="557" customWidth="1"/>
    <col min="13572" max="13572" width="9.5703125" style="557" customWidth="1"/>
    <col min="13573" max="13573" width="9" style="557" customWidth="1"/>
    <col min="13574" max="13574" width="9.85546875" style="557" customWidth="1"/>
    <col min="13575" max="13575" width="8.28515625" style="557" customWidth="1"/>
    <col min="13576" max="13576" width="8.5703125" style="557" customWidth="1"/>
    <col min="13577" max="13577" width="8.28515625" style="557" customWidth="1"/>
    <col min="13578" max="13578" width="8.85546875" style="557" customWidth="1"/>
    <col min="13579" max="13579" width="6.85546875" style="557" customWidth="1"/>
    <col min="13580" max="13580" width="7.28515625" style="557" customWidth="1"/>
    <col min="13581" max="13581" width="7.7109375" style="557" customWidth="1"/>
    <col min="13582" max="13582" width="6.7109375" style="557" customWidth="1"/>
    <col min="13583" max="13824" width="9.140625" style="557"/>
    <col min="13825" max="13825" width="24.140625" style="557" customWidth="1"/>
    <col min="13826" max="13826" width="8.42578125" style="557" customWidth="1"/>
    <col min="13827" max="13827" width="8.28515625" style="557" customWidth="1"/>
    <col min="13828" max="13828" width="9.5703125" style="557" customWidth="1"/>
    <col min="13829" max="13829" width="9" style="557" customWidth="1"/>
    <col min="13830" max="13830" width="9.85546875" style="557" customWidth="1"/>
    <col min="13831" max="13831" width="8.28515625" style="557" customWidth="1"/>
    <col min="13832" max="13832" width="8.5703125" style="557" customWidth="1"/>
    <col min="13833" max="13833" width="8.28515625" style="557" customWidth="1"/>
    <col min="13834" max="13834" width="8.85546875" style="557" customWidth="1"/>
    <col min="13835" max="13835" width="6.85546875" style="557" customWidth="1"/>
    <col min="13836" max="13836" width="7.28515625" style="557" customWidth="1"/>
    <col min="13837" max="13837" width="7.7109375" style="557" customWidth="1"/>
    <col min="13838" max="13838" width="6.7109375" style="557" customWidth="1"/>
    <col min="13839" max="14080" width="9.140625" style="557"/>
    <col min="14081" max="14081" width="24.140625" style="557" customWidth="1"/>
    <col min="14082" max="14082" width="8.42578125" style="557" customWidth="1"/>
    <col min="14083" max="14083" width="8.28515625" style="557" customWidth="1"/>
    <col min="14084" max="14084" width="9.5703125" style="557" customWidth="1"/>
    <col min="14085" max="14085" width="9" style="557" customWidth="1"/>
    <col min="14086" max="14086" width="9.85546875" style="557" customWidth="1"/>
    <col min="14087" max="14087" width="8.28515625" style="557" customWidth="1"/>
    <col min="14088" max="14088" width="8.5703125" style="557" customWidth="1"/>
    <col min="14089" max="14089" width="8.28515625" style="557" customWidth="1"/>
    <col min="14090" max="14090" width="8.85546875" style="557" customWidth="1"/>
    <col min="14091" max="14091" width="6.85546875" style="557" customWidth="1"/>
    <col min="14092" max="14092" width="7.28515625" style="557" customWidth="1"/>
    <col min="14093" max="14093" width="7.7109375" style="557" customWidth="1"/>
    <col min="14094" max="14094" width="6.7109375" style="557" customWidth="1"/>
    <col min="14095" max="14336" width="9.140625" style="557"/>
    <col min="14337" max="14337" width="24.140625" style="557" customWidth="1"/>
    <col min="14338" max="14338" width="8.42578125" style="557" customWidth="1"/>
    <col min="14339" max="14339" width="8.28515625" style="557" customWidth="1"/>
    <col min="14340" max="14340" width="9.5703125" style="557" customWidth="1"/>
    <col min="14341" max="14341" width="9" style="557" customWidth="1"/>
    <col min="14342" max="14342" width="9.85546875" style="557" customWidth="1"/>
    <col min="14343" max="14343" width="8.28515625" style="557" customWidth="1"/>
    <col min="14344" max="14344" width="8.5703125" style="557" customWidth="1"/>
    <col min="14345" max="14345" width="8.28515625" style="557" customWidth="1"/>
    <col min="14346" max="14346" width="8.85546875" style="557" customWidth="1"/>
    <col min="14347" max="14347" width="6.85546875" style="557" customWidth="1"/>
    <col min="14348" max="14348" width="7.28515625" style="557" customWidth="1"/>
    <col min="14349" max="14349" width="7.7109375" style="557" customWidth="1"/>
    <col min="14350" max="14350" width="6.7109375" style="557" customWidth="1"/>
    <col min="14351" max="14592" width="9.140625" style="557"/>
    <col min="14593" max="14593" width="24.140625" style="557" customWidth="1"/>
    <col min="14594" max="14594" width="8.42578125" style="557" customWidth="1"/>
    <col min="14595" max="14595" width="8.28515625" style="557" customWidth="1"/>
    <col min="14596" max="14596" width="9.5703125" style="557" customWidth="1"/>
    <col min="14597" max="14597" width="9" style="557" customWidth="1"/>
    <col min="14598" max="14598" width="9.85546875" style="557" customWidth="1"/>
    <col min="14599" max="14599" width="8.28515625" style="557" customWidth="1"/>
    <col min="14600" max="14600" width="8.5703125" style="557" customWidth="1"/>
    <col min="14601" max="14601" width="8.28515625" style="557" customWidth="1"/>
    <col min="14602" max="14602" width="8.85546875" style="557" customWidth="1"/>
    <col min="14603" max="14603" width="6.85546875" style="557" customWidth="1"/>
    <col min="14604" max="14604" width="7.28515625" style="557" customWidth="1"/>
    <col min="14605" max="14605" width="7.7109375" style="557" customWidth="1"/>
    <col min="14606" max="14606" width="6.7109375" style="557" customWidth="1"/>
    <col min="14607" max="14848" width="9.140625" style="557"/>
    <col min="14849" max="14849" width="24.140625" style="557" customWidth="1"/>
    <col min="14850" max="14850" width="8.42578125" style="557" customWidth="1"/>
    <col min="14851" max="14851" width="8.28515625" style="557" customWidth="1"/>
    <col min="14852" max="14852" width="9.5703125" style="557" customWidth="1"/>
    <col min="14853" max="14853" width="9" style="557" customWidth="1"/>
    <col min="14854" max="14854" width="9.85546875" style="557" customWidth="1"/>
    <col min="14855" max="14855" width="8.28515625" style="557" customWidth="1"/>
    <col min="14856" max="14856" width="8.5703125" style="557" customWidth="1"/>
    <col min="14857" max="14857" width="8.28515625" style="557" customWidth="1"/>
    <col min="14858" max="14858" width="8.85546875" style="557" customWidth="1"/>
    <col min="14859" max="14859" width="6.85546875" style="557" customWidth="1"/>
    <col min="14860" max="14860" width="7.28515625" style="557" customWidth="1"/>
    <col min="14861" max="14861" width="7.7109375" style="557" customWidth="1"/>
    <col min="14862" max="14862" width="6.7109375" style="557" customWidth="1"/>
    <col min="14863" max="15104" width="9.140625" style="557"/>
    <col min="15105" max="15105" width="24.140625" style="557" customWidth="1"/>
    <col min="15106" max="15106" width="8.42578125" style="557" customWidth="1"/>
    <col min="15107" max="15107" width="8.28515625" style="557" customWidth="1"/>
    <col min="15108" max="15108" width="9.5703125" style="557" customWidth="1"/>
    <col min="15109" max="15109" width="9" style="557" customWidth="1"/>
    <col min="15110" max="15110" width="9.85546875" style="557" customWidth="1"/>
    <col min="15111" max="15111" width="8.28515625" style="557" customWidth="1"/>
    <col min="15112" max="15112" width="8.5703125" style="557" customWidth="1"/>
    <col min="15113" max="15113" width="8.28515625" style="557" customWidth="1"/>
    <col min="15114" max="15114" width="8.85546875" style="557" customWidth="1"/>
    <col min="15115" max="15115" width="6.85546875" style="557" customWidth="1"/>
    <col min="15116" max="15116" width="7.28515625" style="557" customWidth="1"/>
    <col min="15117" max="15117" width="7.7109375" style="557" customWidth="1"/>
    <col min="15118" max="15118" width="6.7109375" style="557" customWidth="1"/>
    <col min="15119" max="15360" width="9.140625" style="557"/>
    <col min="15361" max="15361" width="24.140625" style="557" customWidth="1"/>
    <col min="15362" max="15362" width="8.42578125" style="557" customWidth="1"/>
    <col min="15363" max="15363" width="8.28515625" style="557" customWidth="1"/>
    <col min="15364" max="15364" width="9.5703125" style="557" customWidth="1"/>
    <col min="15365" max="15365" width="9" style="557" customWidth="1"/>
    <col min="15366" max="15366" width="9.85546875" style="557" customWidth="1"/>
    <col min="15367" max="15367" width="8.28515625" style="557" customWidth="1"/>
    <col min="15368" max="15368" width="8.5703125" style="557" customWidth="1"/>
    <col min="15369" max="15369" width="8.28515625" style="557" customWidth="1"/>
    <col min="15370" max="15370" width="8.85546875" style="557" customWidth="1"/>
    <col min="15371" max="15371" width="6.85546875" style="557" customWidth="1"/>
    <col min="15372" max="15372" width="7.28515625" style="557" customWidth="1"/>
    <col min="15373" max="15373" width="7.7109375" style="557" customWidth="1"/>
    <col min="15374" max="15374" width="6.7109375" style="557" customWidth="1"/>
    <col min="15375" max="15616" width="9.140625" style="557"/>
    <col min="15617" max="15617" width="24.140625" style="557" customWidth="1"/>
    <col min="15618" max="15618" width="8.42578125" style="557" customWidth="1"/>
    <col min="15619" max="15619" width="8.28515625" style="557" customWidth="1"/>
    <col min="15620" max="15620" width="9.5703125" style="557" customWidth="1"/>
    <col min="15621" max="15621" width="9" style="557" customWidth="1"/>
    <col min="15622" max="15622" width="9.85546875" style="557" customWidth="1"/>
    <col min="15623" max="15623" width="8.28515625" style="557" customWidth="1"/>
    <col min="15624" max="15624" width="8.5703125" style="557" customWidth="1"/>
    <col min="15625" max="15625" width="8.28515625" style="557" customWidth="1"/>
    <col min="15626" max="15626" width="8.85546875" style="557" customWidth="1"/>
    <col min="15627" max="15627" width="6.85546875" style="557" customWidth="1"/>
    <col min="15628" max="15628" width="7.28515625" style="557" customWidth="1"/>
    <col min="15629" max="15629" width="7.7109375" style="557" customWidth="1"/>
    <col min="15630" max="15630" width="6.7109375" style="557" customWidth="1"/>
    <col min="15631" max="15872" width="9.140625" style="557"/>
    <col min="15873" max="15873" width="24.140625" style="557" customWidth="1"/>
    <col min="15874" max="15874" width="8.42578125" style="557" customWidth="1"/>
    <col min="15875" max="15875" width="8.28515625" style="557" customWidth="1"/>
    <col min="15876" max="15876" width="9.5703125" style="557" customWidth="1"/>
    <col min="15877" max="15877" width="9" style="557" customWidth="1"/>
    <col min="15878" max="15878" width="9.85546875" style="557" customWidth="1"/>
    <col min="15879" max="15879" width="8.28515625" style="557" customWidth="1"/>
    <col min="15880" max="15880" width="8.5703125" style="557" customWidth="1"/>
    <col min="15881" max="15881" width="8.28515625" style="557" customWidth="1"/>
    <col min="15882" max="15882" width="8.85546875" style="557" customWidth="1"/>
    <col min="15883" max="15883" width="6.85546875" style="557" customWidth="1"/>
    <col min="15884" max="15884" width="7.28515625" style="557" customWidth="1"/>
    <col min="15885" max="15885" width="7.7109375" style="557" customWidth="1"/>
    <col min="15886" max="15886" width="6.7109375" style="557" customWidth="1"/>
    <col min="15887" max="16128" width="9.140625" style="557"/>
    <col min="16129" max="16129" width="24.140625" style="557" customWidth="1"/>
    <col min="16130" max="16130" width="8.42578125" style="557" customWidth="1"/>
    <col min="16131" max="16131" width="8.28515625" style="557" customWidth="1"/>
    <col min="16132" max="16132" width="9.5703125" style="557" customWidth="1"/>
    <col min="16133" max="16133" width="9" style="557" customWidth="1"/>
    <col min="16134" max="16134" width="9.85546875" style="557" customWidth="1"/>
    <col min="16135" max="16135" width="8.28515625" style="557" customWidth="1"/>
    <col min="16136" max="16136" width="8.5703125" style="557" customWidth="1"/>
    <col min="16137" max="16137" width="8.28515625" style="557" customWidth="1"/>
    <col min="16138" max="16138" width="8.85546875" style="557" customWidth="1"/>
    <col min="16139" max="16139" width="6.85546875" style="557" customWidth="1"/>
    <col min="16140" max="16140" width="7.28515625" style="557" customWidth="1"/>
    <col min="16141" max="16141" width="7.7109375" style="557" customWidth="1"/>
    <col min="16142" max="16142" width="6.71093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207" t="s">
        <v>166</v>
      </c>
      <c r="C3" s="1207"/>
      <c r="D3" s="1207"/>
      <c r="E3" s="1207"/>
      <c r="F3" s="558" t="s">
        <v>171</v>
      </c>
      <c r="H3" s="1190" t="s">
        <v>1857</v>
      </c>
      <c r="I3" s="1190"/>
      <c r="J3" s="558" t="s">
        <v>172</v>
      </c>
      <c r="K3" s="559">
        <v>271</v>
      </c>
      <c r="L3" s="558" t="s">
        <v>436</v>
      </c>
      <c r="N3" s="559">
        <v>0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248" t="s">
        <v>1858</v>
      </c>
      <c r="C5" s="1249"/>
      <c r="D5" s="1249"/>
      <c r="E5" s="1250"/>
      <c r="F5" s="558" t="s">
        <v>176</v>
      </c>
      <c r="H5" s="1248" t="s">
        <v>1859</v>
      </c>
      <c r="I5" s="1249"/>
      <c r="J5" s="1250"/>
    </row>
    <row r="7" spans="1:14" ht="13.5" customHeight="1">
      <c r="A7" s="558" t="s">
        <v>178</v>
      </c>
      <c r="B7" s="1191" t="s">
        <v>1860</v>
      </c>
      <c r="C7" s="1192"/>
      <c r="D7" s="1192"/>
      <c r="E7" s="1193"/>
      <c r="F7" s="1197" t="s">
        <v>1696</v>
      </c>
      <c r="G7" s="1197"/>
      <c r="H7" s="1210" t="s">
        <v>1861</v>
      </c>
      <c r="I7" s="1211"/>
      <c r="J7" s="1211"/>
      <c r="K7" s="1212"/>
    </row>
    <row r="8" spans="1:14" ht="24" customHeight="1">
      <c r="F8" s="1197"/>
      <c r="G8" s="1197"/>
      <c r="H8" s="1213"/>
      <c r="I8" s="1214"/>
      <c r="J8" s="1214"/>
      <c r="K8" s="1215"/>
    </row>
    <row r="10" spans="1:14" s="561" customFormat="1" ht="20.100000000000001" customHeight="1">
      <c r="A10" s="560" t="s">
        <v>1697</v>
      </c>
      <c r="B10" s="1208" t="s">
        <v>1862</v>
      </c>
      <c r="C10" s="1208"/>
      <c r="D10" s="1208" t="s">
        <v>1863</v>
      </c>
      <c r="E10" s="1208"/>
      <c r="F10" s="1208"/>
      <c r="G10" s="1208"/>
      <c r="H10" s="1208"/>
      <c r="I10" s="1208"/>
      <c r="J10" s="1208"/>
      <c r="K10" s="1208"/>
      <c r="L10" s="1208"/>
      <c r="M10" s="1208"/>
    </row>
    <row r="11" spans="1:14" s="561" customFormat="1" ht="20.100000000000001" customHeight="1">
      <c r="A11" s="560" t="s">
        <v>1702</v>
      </c>
      <c r="B11" s="1208" t="s">
        <v>1864</v>
      </c>
      <c r="C11" s="1208"/>
      <c r="D11" s="1208" t="s">
        <v>1860</v>
      </c>
      <c r="E11" s="1208"/>
      <c r="F11" s="1208"/>
      <c r="G11" s="1208"/>
      <c r="H11" s="1208"/>
      <c r="I11" s="1208"/>
      <c r="J11" s="1208"/>
      <c r="K11" s="1208"/>
      <c r="L11" s="1208"/>
      <c r="M11" s="1208"/>
    </row>
    <row r="12" spans="1:14" s="561" customFormat="1" ht="34.5" customHeight="1">
      <c r="A12" s="560" t="s">
        <v>1707</v>
      </c>
      <c r="B12" s="1208" t="s">
        <v>1865</v>
      </c>
      <c r="C12" s="1208"/>
      <c r="D12" s="1208" t="s">
        <v>1866</v>
      </c>
      <c r="E12" s="1208"/>
      <c r="F12" s="1208"/>
      <c r="G12" s="1208" t="s">
        <v>1867</v>
      </c>
      <c r="H12" s="1208"/>
      <c r="I12" s="1208"/>
      <c r="J12" s="1208"/>
      <c r="K12" s="1208"/>
      <c r="L12" s="1208"/>
      <c r="M12" s="1208"/>
    </row>
    <row r="13" spans="1:14" s="561" customFormat="1" ht="20.100000000000001" customHeight="1">
      <c r="A13" s="560" t="s">
        <v>197</v>
      </c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8"/>
    </row>
    <row r="14" spans="1:14" s="561" customFormat="1">
      <c r="A14" s="562"/>
    </row>
    <row r="15" spans="1:14" s="561" customFormat="1" ht="13.5" customHeight="1">
      <c r="A15" s="562" t="s">
        <v>1356</v>
      </c>
      <c r="B15" s="563">
        <v>2</v>
      </c>
      <c r="C15" s="1203" t="s">
        <v>1490</v>
      </c>
      <c r="D15" s="1197"/>
      <c r="E15" s="1197"/>
      <c r="F15" s="563">
        <v>2</v>
      </c>
      <c r="G15" s="562" t="s">
        <v>1712</v>
      </c>
      <c r="H15" s="563">
        <v>5</v>
      </c>
      <c r="I15" s="562" t="s">
        <v>1492</v>
      </c>
      <c r="J15" s="563">
        <v>0</v>
      </c>
      <c r="K15" s="562" t="s">
        <v>1386</v>
      </c>
      <c r="L15" s="563">
        <v>12</v>
      </c>
    </row>
    <row r="16" spans="1:14" s="561" customFormat="1">
      <c r="A16" s="562"/>
    </row>
    <row r="17" spans="1:14" s="562" customFormat="1" ht="12" customHeight="1">
      <c r="A17" s="562" t="s">
        <v>203</v>
      </c>
      <c r="B17" s="562" t="s">
        <v>204</v>
      </c>
      <c r="C17" s="564">
        <v>36</v>
      </c>
      <c r="D17" s="562" t="s">
        <v>205</v>
      </c>
      <c r="E17" s="564">
        <v>159</v>
      </c>
      <c r="F17" s="562" t="s">
        <v>206</v>
      </c>
      <c r="G17" s="564">
        <v>2</v>
      </c>
      <c r="H17" s="562" t="s">
        <v>230</v>
      </c>
      <c r="I17" s="564">
        <f>+C17+E17+G17</f>
        <v>197</v>
      </c>
      <c r="J17" s="562" t="s">
        <v>207</v>
      </c>
      <c r="K17" s="564">
        <v>9</v>
      </c>
      <c r="L17" s="1203" t="s">
        <v>1360</v>
      </c>
      <c r="M17" s="1204"/>
      <c r="N17" s="564">
        <v>3</v>
      </c>
    </row>
    <row r="18" spans="1:14" s="562" customFormat="1">
      <c r="A18" s="562" t="s">
        <v>209</v>
      </c>
      <c r="B18" s="562" t="s">
        <v>210</v>
      </c>
      <c r="C18" s="564">
        <v>74</v>
      </c>
      <c r="D18" s="562" t="s">
        <v>211</v>
      </c>
      <c r="E18" s="564">
        <v>289</v>
      </c>
      <c r="F18" s="562" t="s">
        <v>212</v>
      </c>
      <c r="G18" s="564">
        <v>5</v>
      </c>
      <c r="H18" s="562" t="s">
        <v>411</v>
      </c>
      <c r="I18" s="564">
        <f>+C18+E18+G18</f>
        <v>368</v>
      </c>
    </row>
    <row r="19" spans="1:14" s="562" customFormat="1" ht="13.5" customHeight="1">
      <c r="B19" s="562" t="s">
        <v>213</v>
      </c>
      <c r="C19" s="564">
        <v>79</v>
      </c>
      <c r="D19" s="562" t="s">
        <v>214</v>
      </c>
      <c r="E19" s="564">
        <v>284</v>
      </c>
      <c r="F19" s="562" t="s">
        <v>215</v>
      </c>
      <c r="G19" s="564">
        <v>6</v>
      </c>
      <c r="H19" s="562" t="s">
        <v>410</v>
      </c>
      <c r="I19" s="564">
        <f>+C19+E19+G19</f>
        <v>369</v>
      </c>
    </row>
    <row r="20" spans="1:14" s="562" customFormat="1">
      <c r="G20" s="565"/>
    </row>
    <row r="21" spans="1:14">
      <c r="E21" s="574"/>
    </row>
    <row r="22" spans="1:14">
      <c r="A22" s="567" t="s">
        <v>216</v>
      </c>
      <c r="B22" s="561"/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</row>
    <row r="23" spans="1:14">
      <c r="A23" s="562"/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</row>
    <row r="24" spans="1:14">
      <c r="A24" s="1205" t="s">
        <v>217</v>
      </c>
      <c r="B24" s="1205" t="s">
        <v>218</v>
      </c>
      <c r="C24" s="1205" t="s">
        <v>219</v>
      </c>
      <c r="D24" s="1205" t="s">
        <v>1363</v>
      </c>
      <c r="E24" s="1205" t="s">
        <v>1713</v>
      </c>
      <c r="F24" s="1200" t="s">
        <v>1714</v>
      </c>
      <c r="G24" s="1201"/>
      <c r="H24" s="1201"/>
      <c r="I24" s="1201"/>
      <c r="J24" s="1201"/>
      <c r="K24" s="1201"/>
      <c r="L24" s="1201"/>
      <c r="M24" s="1201"/>
      <c r="N24" s="1202"/>
    </row>
    <row r="25" spans="1:14" ht="25.5">
      <c r="A25" s="1206"/>
      <c r="B25" s="1206"/>
      <c r="C25" s="1206"/>
      <c r="D25" s="1206"/>
      <c r="E25" s="1206"/>
      <c r="F25" s="568" t="s">
        <v>224</v>
      </c>
      <c r="G25" s="568" t="s">
        <v>225</v>
      </c>
      <c r="H25" s="568" t="s">
        <v>226</v>
      </c>
      <c r="I25" s="568" t="s">
        <v>227</v>
      </c>
      <c r="J25" s="568" t="s">
        <v>228</v>
      </c>
      <c r="K25" s="568" t="s">
        <v>229</v>
      </c>
      <c r="L25" s="568" t="s">
        <v>1499</v>
      </c>
      <c r="M25" s="569" t="s">
        <v>230</v>
      </c>
      <c r="N25" s="569" t="s">
        <v>231</v>
      </c>
    </row>
    <row r="26" spans="1:14">
      <c r="A26" s="560" t="s">
        <v>232</v>
      </c>
      <c r="B26" s="564">
        <v>8000</v>
      </c>
      <c r="C26" s="560" t="s">
        <v>233</v>
      </c>
      <c r="D26" s="570">
        <v>21.68</v>
      </c>
      <c r="E26" s="570">
        <v>21.68</v>
      </c>
      <c r="F26" s="564"/>
      <c r="G26" s="564"/>
      <c r="H26" s="564"/>
      <c r="I26" s="570">
        <v>4.6644500000000004</v>
      </c>
      <c r="J26" s="570">
        <v>6.3728999999999996</v>
      </c>
      <c r="K26" s="570">
        <v>9.1321999999999992</v>
      </c>
      <c r="L26" s="595">
        <v>0</v>
      </c>
      <c r="M26" s="576">
        <v>20.169550000000001</v>
      </c>
      <c r="N26" s="570">
        <v>93.032979704797057</v>
      </c>
    </row>
    <row r="27" spans="1:14">
      <c r="A27" s="560" t="s">
        <v>1715</v>
      </c>
      <c r="B27" s="564">
        <v>7000</v>
      </c>
      <c r="C27" s="560" t="s">
        <v>233</v>
      </c>
      <c r="D27" s="570">
        <v>3.0352000000000001</v>
      </c>
      <c r="E27" s="570">
        <v>2.71</v>
      </c>
      <c r="F27" s="564"/>
      <c r="G27" s="564"/>
      <c r="H27" s="564"/>
      <c r="I27" s="570">
        <v>0</v>
      </c>
      <c r="J27" s="570">
        <v>0</v>
      </c>
      <c r="K27" s="570">
        <v>0</v>
      </c>
      <c r="L27" s="595">
        <v>0</v>
      </c>
      <c r="M27" s="576">
        <v>0</v>
      </c>
      <c r="N27" s="570">
        <v>0</v>
      </c>
    </row>
    <row r="28" spans="1:14">
      <c r="A28" s="560" t="s">
        <v>235</v>
      </c>
      <c r="B28" s="564">
        <v>43000</v>
      </c>
      <c r="C28" s="560" t="s">
        <v>236</v>
      </c>
      <c r="D28" s="570">
        <v>0.43</v>
      </c>
      <c r="E28" s="570">
        <v>0.43</v>
      </c>
      <c r="F28" s="564"/>
      <c r="G28" s="564"/>
      <c r="H28" s="564"/>
      <c r="I28" s="570">
        <v>0.26879999999999998</v>
      </c>
      <c r="J28" s="570">
        <v>0.13250000000000001</v>
      </c>
      <c r="K28" s="570">
        <v>0.06</v>
      </c>
      <c r="L28" s="595">
        <v>0</v>
      </c>
      <c r="M28" s="576">
        <v>0.46129999999999999</v>
      </c>
      <c r="N28" s="570">
        <v>107.27906976744185</v>
      </c>
    </row>
    <row r="29" spans="1:14">
      <c r="A29" s="560" t="s">
        <v>396</v>
      </c>
      <c r="B29" s="564">
        <v>34000</v>
      </c>
      <c r="C29" s="560" t="s">
        <v>236</v>
      </c>
      <c r="D29" s="570">
        <v>0.34</v>
      </c>
      <c r="E29" s="570">
        <v>0.34</v>
      </c>
      <c r="F29" s="564"/>
      <c r="G29" s="564"/>
      <c r="H29" s="564"/>
      <c r="I29" s="570">
        <v>0</v>
      </c>
      <c r="J29" s="570">
        <v>4.086E-2</v>
      </c>
      <c r="K29" s="570">
        <v>0.1</v>
      </c>
      <c r="L29" s="595">
        <v>0</v>
      </c>
      <c r="M29" s="576">
        <v>0.14086000000000001</v>
      </c>
      <c r="N29" s="570">
        <v>41.429411764705883</v>
      </c>
    </row>
    <row r="30" spans="1:14">
      <c r="A30" s="560" t="s">
        <v>238</v>
      </c>
      <c r="B30" s="564">
        <v>1200</v>
      </c>
      <c r="C30" s="560" t="s">
        <v>233</v>
      </c>
      <c r="D30" s="570">
        <v>3.2519999999999998</v>
      </c>
      <c r="E30" s="570">
        <v>3.2519999999999998</v>
      </c>
      <c r="F30" s="564"/>
      <c r="G30" s="564"/>
      <c r="H30" s="564"/>
      <c r="I30" s="570">
        <v>3.2067000000000001</v>
      </c>
      <c r="J30" s="570">
        <v>0.97519999999999996</v>
      </c>
      <c r="K30" s="570">
        <v>0</v>
      </c>
      <c r="L30" s="595">
        <v>0</v>
      </c>
      <c r="M30" s="576">
        <v>4.1818999999999997</v>
      </c>
      <c r="N30" s="570">
        <v>128.59471094710949</v>
      </c>
    </row>
    <row r="31" spans="1:14">
      <c r="A31" s="560" t="s">
        <v>667</v>
      </c>
      <c r="B31" s="564">
        <v>565</v>
      </c>
      <c r="C31" s="560" t="s">
        <v>233</v>
      </c>
      <c r="D31" s="570">
        <v>1.53115</v>
      </c>
      <c r="E31" s="570">
        <v>1.3081199999999999</v>
      </c>
      <c r="F31" s="564"/>
      <c r="G31" s="564"/>
      <c r="H31" s="564"/>
      <c r="I31" s="570">
        <v>1.3081199999999999</v>
      </c>
      <c r="J31" s="570">
        <v>0</v>
      </c>
      <c r="K31" s="570">
        <v>0</v>
      </c>
      <c r="L31" s="595">
        <v>0</v>
      </c>
      <c r="M31" s="576">
        <v>1.3081199999999999</v>
      </c>
      <c r="N31" s="570">
        <v>100</v>
      </c>
    </row>
    <row r="32" spans="1:14">
      <c r="A32" s="560" t="s">
        <v>240</v>
      </c>
      <c r="B32" s="564">
        <v>1000</v>
      </c>
      <c r="C32" s="560" t="s">
        <v>233</v>
      </c>
      <c r="D32" s="570">
        <v>2.71</v>
      </c>
      <c r="E32" s="570">
        <v>2.71</v>
      </c>
      <c r="F32" s="564"/>
      <c r="G32" s="564"/>
      <c r="H32" s="564"/>
      <c r="I32" s="570">
        <v>0</v>
      </c>
      <c r="J32" s="570">
        <v>0</v>
      </c>
      <c r="K32" s="570">
        <v>0.91110000000000002</v>
      </c>
      <c r="L32" s="595">
        <v>0</v>
      </c>
      <c r="M32" s="576">
        <v>0.91110000000000002</v>
      </c>
      <c r="N32" s="570">
        <v>33.619926199261997</v>
      </c>
    </row>
    <row r="33" spans="1:14">
      <c r="A33" s="560" t="s">
        <v>394</v>
      </c>
      <c r="B33" s="564">
        <v>2750</v>
      </c>
      <c r="C33" s="560" t="s">
        <v>1716</v>
      </c>
      <c r="D33" s="570">
        <v>1.75</v>
      </c>
      <c r="E33" s="570">
        <v>0.90749999999999997</v>
      </c>
      <c r="F33" s="564"/>
      <c r="G33" s="564"/>
      <c r="H33" s="564"/>
      <c r="I33" s="570">
        <v>0.27055000000000001</v>
      </c>
      <c r="J33" s="570">
        <v>0.19320000000000001</v>
      </c>
      <c r="K33" s="570">
        <v>0.2175</v>
      </c>
      <c r="L33" s="595">
        <v>0</v>
      </c>
      <c r="M33" s="576">
        <v>0.68125000000000002</v>
      </c>
      <c r="N33" s="570">
        <v>75.068870523415981</v>
      </c>
    </row>
    <row r="34" spans="1:14">
      <c r="A34" s="560" t="s">
        <v>1717</v>
      </c>
      <c r="B34" s="564">
        <v>10000</v>
      </c>
      <c r="C34" s="560" t="s">
        <v>244</v>
      </c>
      <c r="D34" s="570">
        <v>0</v>
      </c>
      <c r="E34" s="564">
        <v>0</v>
      </c>
      <c r="F34" s="564"/>
      <c r="G34" s="564"/>
      <c r="H34" s="564"/>
      <c r="I34" s="570">
        <v>0</v>
      </c>
      <c r="J34" s="570">
        <v>0</v>
      </c>
      <c r="K34" s="570">
        <v>0</v>
      </c>
      <c r="L34" s="595">
        <v>0</v>
      </c>
      <c r="M34" s="576">
        <v>0</v>
      </c>
      <c r="N34" s="576">
        <v>0</v>
      </c>
    </row>
    <row r="35" spans="1:14">
      <c r="A35" s="572" t="s">
        <v>230</v>
      </c>
      <c r="B35" s="564"/>
      <c r="C35" s="560"/>
      <c r="D35" s="573">
        <v>34.728349999999999</v>
      </c>
      <c r="E35" s="573">
        <v>33.337620000000001</v>
      </c>
      <c r="F35" s="596">
        <v>0</v>
      </c>
      <c r="G35" s="596">
        <v>0</v>
      </c>
      <c r="H35" s="596">
        <v>0</v>
      </c>
      <c r="I35" s="573">
        <v>9.7186200000000014</v>
      </c>
      <c r="J35" s="573">
        <v>7.7146600000000003</v>
      </c>
      <c r="K35" s="573">
        <v>10.420799999999998</v>
      </c>
      <c r="L35" s="573">
        <v>0</v>
      </c>
      <c r="M35" s="573">
        <v>27.854080000000003</v>
      </c>
      <c r="N35" s="589"/>
    </row>
  </sheetData>
  <mergeCells count="34">
    <mergeCell ref="A24:A25"/>
    <mergeCell ref="B24:B25"/>
    <mergeCell ref="C24:C25"/>
    <mergeCell ref="D24:D25"/>
    <mergeCell ref="E24:E25"/>
    <mergeCell ref="F24:N24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569</v>
      </c>
      <c r="H6" t="s">
        <v>437</v>
      </c>
      <c r="K6" t="s">
        <v>5719</v>
      </c>
      <c r="R6" t="s">
        <v>172</v>
      </c>
      <c r="T6">
        <v>536</v>
      </c>
      <c r="U6" t="s">
        <v>436</v>
      </c>
      <c r="W6">
        <v>80</v>
      </c>
    </row>
    <row r="9" spans="1:23">
      <c r="A9" t="s">
        <v>435</v>
      </c>
      <c r="D9" t="s">
        <v>568</v>
      </c>
      <c r="H9" t="s">
        <v>176</v>
      </c>
      <c r="K9" t="s">
        <v>567</v>
      </c>
    </row>
    <row r="12" spans="1:23">
      <c r="A12" t="s">
        <v>432</v>
      </c>
      <c r="H12" t="s">
        <v>431</v>
      </c>
      <c r="K12" t="s">
        <v>566</v>
      </c>
    </row>
    <row r="13" spans="1:23">
      <c r="H13" t="s">
        <v>429</v>
      </c>
    </row>
    <row r="17" spans="1:24">
      <c r="A17" t="s">
        <v>428</v>
      </c>
      <c r="D17" t="s">
        <v>565</v>
      </c>
      <c r="G17" t="s">
        <v>564</v>
      </c>
      <c r="K17" t="s">
        <v>563</v>
      </c>
      <c r="O17" t="s">
        <v>562</v>
      </c>
    </row>
    <row r="18" spans="1:24">
      <c r="A18" t="s">
        <v>425</v>
      </c>
      <c r="D18" t="s">
        <v>561</v>
      </c>
      <c r="G18" t="s">
        <v>560</v>
      </c>
      <c r="K18" t="s">
        <v>559</v>
      </c>
      <c r="O18" t="s">
        <v>558</v>
      </c>
    </row>
    <row r="19" spans="1:24">
      <c r="A19" t="s">
        <v>192</v>
      </c>
      <c r="D19" t="s">
        <v>557</v>
      </c>
      <c r="G19" t="s">
        <v>556</v>
      </c>
      <c r="K19" t="s">
        <v>555</v>
      </c>
      <c r="O19" t="s">
        <v>554</v>
      </c>
    </row>
    <row r="20" spans="1:24">
      <c r="A20" t="s">
        <v>420</v>
      </c>
      <c r="G20" t="s">
        <v>419</v>
      </c>
      <c r="O20" t="s">
        <v>419</v>
      </c>
    </row>
    <row r="23" spans="1:24">
      <c r="A23" t="s">
        <v>198</v>
      </c>
      <c r="E23">
        <v>5</v>
      </c>
      <c r="G23" t="s">
        <v>418</v>
      </c>
      <c r="J23">
        <v>4</v>
      </c>
      <c r="L23" t="s">
        <v>200</v>
      </c>
      <c r="N23">
        <v>8</v>
      </c>
      <c r="S23" t="s">
        <v>417</v>
      </c>
      <c r="U23">
        <v>1</v>
      </c>
      <c r="W23" t="s">
        <v>202</v>
      </c>
      <c r="X23">
        <v>36</v>
      </c>
    </row>
    <row r="26" spans="1:24">
      <c r="A26" t="s">
        <v>416</v>
      </c>
      <c r="D26" t="s">
        <v>204</v>
      </c>
      <c r="E26">
        <v>98</v>
      </c>
      <c r="G26" t="s">
        <v>205</v>
      </c>
      <c r="H26">
        <v>5</v>
      </c>
      <c r="J26" t="s">
        <v>415</v>
      </c>
      <c r="K26">
        <v>0</v>
      </c>
      <c r="M26" t="s">
        <v>230</v>
      </c>
      <c r="N26">
        <f>E26+H26+K26</f>
        <v>103</v>
      </c>
      <c r="S26" t="s">
        <v>414</v>
      </c>
      <c r="T26">
        <v>45</v>
      </c>
      <c r="V26" t="s">
        <v>553</v>
      </c>
    </row>
    <row r="27" spans="1:24">
      <c r="A27" t="s">
        <v>412</v>
      </c>
      <c r="D27" t="s">
        <v>210</v>
      </c>
      <c r="E27">
        <v>218</v>
      </c>
      <c r="G27" t="s">
        <v>211</v>
      </c>
      <c r="H27">
        <v>13</v>
      </c>
      <c r="J27" t="s">
        <v>212</v>
      </c>
      <c r="K27">
        <v>0</v>
      </c>
      <c r="M27" t="s">
        <v>411</v>
      </c>
      <c r="N27">
        <f>E27+H27+K27</f>
        <v>231</v>
      </c>
    </row>
    <row r="28" spans="1:24">
      <c r="D28" t="s">
        <v>213</v>
      </c>
      <c r="E28">
        <v>209</v>
      </c>
      <c r="G28" t="s">
        <v>214</v>
      </c>
      <c r="H28">
        <v>12</v>
      </c>
      <c r="J28" t="s">
        <v>215</v>
      </c>
      <c r="K28">
        <v>0</v>
      </c>
      <c r="M28" t="s">
        <v>410</v>
      </c>
      <c r="N28">
        <f>E28+H28+K28</f>
        <v>221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42.88</v>
      </c>
      <c r="G37">
        <v>4288000</v>
      </c>
      <c r="J37">
        <f>54865-5312</f>
        <v>49553</v>
      </c>
      <c r="L37">
        <v>1343604</v>
      </c>
      <c r="N37">
        <v>1032119</v>
      </c>
      <c r="S37">
        <v>785848</v>
      </c>
      <c r="U37">
        <v>556154</v>
      </c>
      <c r="X37">
        <f t="shared" ref="X37:X45" si="0">J37+L37+N37+S37+U37+W37</f>
        <v>3767278</v>
      </c>
      <c r="Y37">
        <f t="shared" ref="Y37:Y44" si="1">X37*100/G37</f>
        <v>87.856296641791047</v>
      </c>
    </row>
    <row r="38" spans="1:25">
      <c r="A38" t="s">
        <v>234</v>
      </c>
      <c r="D38">
        <v>7000</v>
      </c>
      <c r="E38" t="str">
        <f>+E37</f>
        <v>Hectare</v>
      </c>
      <c r="F38">
        <v>5.6</v>
      </c>
      <c r="G38">
        <v>560000</v>
      </c>
      <c r="J38">
        <v>0</v>
      </c>
      <c r="L38">
        <v>66028</v>
      </c>
      <c r="N38">
        <v>187944</v>
      </c>
      <c r="S38">
        <v>280049</v>
      </c>
      <c r="U38">
        <v>143914</v>
      </c>
      <c r="X38">
        <f t="shared" si="0"/>
        <v>677935</v>
      </c>
      <c r="Y38">
        <f t="shared" si="1"/>
        <v>121.05982142857142</v>
      </c>
    </row>
    <row r="39" spans="1:25">
      <c r="A39" t="s">
        <v>397</v>
      </c>
      <c r="D39">
        <v>86</v>
      </c>
      <c r="E39" t="str">
        <f>+E38</f>
        <v>Hectare</v>
      </c>
      <c r="F39">
        <v>0.46</v>
      </c>
      <c r="G39">
        <v>43000</v>
      </c>
      <c r="J39">
        <v>6590</v>
      </c>
      <c r="L39">
        <v>0</v>
      </c>
      <c r="N39">
        <v>34800</v>
      </c>
      <c r="S39">
        <v>4367</v>
      </c>
      <c r="U39">
        <v>0</v>
      </c>
      <c r="X39">
        <f t="shared" si="0"/>
        <v>45757</v>
      </c>
      <c r="Y39">
        <f t="shared" si="1"/>
        <v>106.41162790697675</v>
      </c>
    </row>
    <row r="40" spans="1:25">
      <c r="A40" t="s">
        <v>396</v>
      </c>
      <c r="D40">
        <v>68</v>
      </c>
      <c r="E40" t="str">
        <f>+E39</f>
        <v>Hectare</v>
      </c>
      <c r="F40">
        <v>0.36</v>
      </c>
      <c r="G40">
        <v>34000</v>
      </c>
      <c r="J40">
        <v>0</v>
      </c>
      <c r="L40">
        <v>16200</v>
      </c>
      <c r="N40">
        <v>2797</v>
      </c>
      <c r="S40">
        <v>12937</v>
      </c>
      <c r="U40">
        <v>0</v>
      </c>
      <c r="X40">
        <f t="shared" si="0"/>
        <v>31934</v>
      </c>
      <c r="Y40">
        <f t="shared" si="1"/>
        <v>93.923529411764704</v>
      </c>
    </row>
    <row r="41" spans="1:25">
      <c r="A41" t="s">
        <v>238</v>
      </c>
      <c r="D41">
        <v>1200</v>
      </c>
      <c r="E41" t="str">
        <f>+E38</f>
        <v>Hectare</v>
      </c>
      <c r="F41">
        <v>6.43</v>
      </c>
      <c r="G41">
        <v>510100</v>
      </c>
      <c r="J41">
        <v>0</v>
      </c>
      <c r="L41">
        <v>24400</v>
      </c>
      <c r="N41">
        <v>49929</v>
      </c>
      <c r="S41">
        <v>0</v>
      </c>
      <c r="U41">
        <v>166074</v>
      </c>
      <c r="X41">
        <f t="shared" si="0"/>
        <v>240403</v>
      </c>
      <c r="Y41">
        <f t="shared" si="1"/>
        <v>47.128602234855911</v>
      </c>
    </row>
    <row r="42" spans="1:25">
      <c r="A42" t="s">
        <v>395</v>
      </c>
      <c r="D42">
        <v>565</v>
      </c>
      <c r="E42" t="str">
        <f>+E38</f>
        <v>Hectare</v>
      </c>
      <c r="F42">
        <v>2.54</v>
      </c>
      <c r="G42">
        <v>207500</v>
      </c>
      <c r="J42">
        <v>0</v>
      </c>
      <c r="L42">
        <v>0</v>
      </c>
      <c r="N42">
        <v>52700</v>
      </c>
      <c r="S42">
        <v>182300</v>
      </c>
      <c r="U42">
        <v>0</v>
      </c>
      <c r="X42">
        <f t="shared" si="0"/>
        <v>235000</v>
      </c>
      <c r="Y42">
        <f t="shared" si="1"/>
        <v>113.25301204819277</v>
      </c>
    </row>
    <row r="43" spans="1:25">
      <c r="A43" t="s">
        <v>240</v>
      </c>
      <c r="D43">
        <v>1000</v>
      </c>
      <c r="E43" t="str">
        <f>+E41</f>
        <v>Hectare</v>
      </c>
      <c r="F43">
        <v>5.36</v>
      </c>
      <c r="G43">
        <v>536000</v>
      </c>
      <c r="J43">
        <v>26595</v>
      </c>
      <c r="L43">
        <v>6300</v>
      </c>
      <c r="N43">
        <v>134751</v>
      </c>
      <c r="S43">
        <v>140755</v>
      </c>
      <c r="U43">
        <v>0</v>
      </c>
      <c r="X43">
        <f t="shared" si="0"/>
        <v>308401</v>
      </c>
      <c r="Y43">
        <f t="shared" si="1"/>
        <v>57.537500000000001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115500</v>
      </c>
      <c r="J44">
        <v>17354</v>
      </c>
      <c r="L44">
        <v>29327</v>
      </c>
      <c r="N44">
        <v>14654</v>
      </c>
      <c r="S44">
        <v>26141</v>
      </c>
      <c r="U44">
        <v>11089</v>
      </c>
      <c r="X44">
        <f t="shared" si="0"/>
        <v>98565</v>
      </c>
      <c r="Y44">
        <f t="shared" si="1"/>
        <v>85.337662337662337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66.039999999999992</v>
      </c>
      <c r="G46">
        <f>SUM(G37:G45)</f>
        <v>6294100</v>
      </c>
      <c r="J46">
        <f>SUM(J37:J45)</f>
        <v>100092</v>
      </c>
      <c r="L46">
        <f>SUM(L37:L45)</f>
        <v>1485859</v>
      </c>
      <c r="N46">
        <f>SUM(N37:N45)</f>
        <v>1509694</v>
      </c>
      <c r="S46">
        <f>SUM(S37:S45)</f>
        <v>1432397</v>
      </c>
      <c r="U46">
        <f>SUM(U37:U45)</f>
        <v>877231</v>
      </c>
      <c r="X46">
        <f>SUM(X37:X45)</f>
        <v>5405273</v>
      </c>
      <c r="Y46">
        <f>SUM(Y37:Y45)</f>
        <v>712.50805200981495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220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U103"/>
  <sheetViews>
    <sheetView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10.42578125" style="211" customWidth="1"/>
    <col min="3" max="3" width="7.28515625" style="211" customWidth="1"/>
    <col min="4" max="4" width="7.140625" style="211" customWidth="1"/>
    <col min="5" max="5" width="7.42578125" style="211" customWidth="1"/>
    <col min="6" max="6" width="9.140625" style="211" customWidth="1"/>
    <col min="7" max="7" width="8.140625" style="211" customWidth="1"/>
    <col min="8" max="8" width="7.28515625" style="211" customWidth="1"/>
    <col min="9" max="9" width="9.140625" style="211" customWidth="1"/>
    <col min="10" max="10" width="7.7109375" style="211" customWidth="1"/>
    <col min="11" max="11" width="8.7109375" style="211" customWidth="1"/>
    <col min="12" max="12" width="6.28515625" style="211" customWidth="1"/>
    <col min="13" max="13" width="7.28515625" style="211" customWidth="1"/>
    <col min="14" max="14" width="6.7109375" style="211" customWidth="1"/>
    <col min="15" max="15" width="8.28515625" style="211" customWidth="1"/>
    <col min="16" max="16" width="7.85546875" style="211" customWidth="1"/>
    <col min="17" max="17" width="8.28515625" style="211" customWidth="1"/>
    <col min="18" max="18" width="7.7109375" style="211" customWidth="1"/>
    <col min="19" max="256" width="8.85546875" style="211"/>
    <col min="257" max="257" width="11.28515625" style="211" customWidth="1"/>
    <col min="258" max="258" width="10.42578125" style="211" customWidth="1"/>
    <col min="259" max="259" width="7.28515625" style="211" customWidth="1"/>
    <col min="260" max="260" width="7.140625" style="211" customWidth="1"/>
    <col min="261" max="261" width="7.42578125" style="211" customWidth="1"/>
    <col min="262" max="262" width="9.140625" style="211" customWidth="1"/>
    <col min="263" max="263" width="8.140625" style="211" customWidth="1"/>
    <col min="264" max="264" width="7.28515625" style="211" customWidth="1"/>
    <col min="265" max="265" width="9.140625" style="211" customWidth="1"/>
    <col min="266" max="266" width="7.7109375" style="211" customWidth="1"/>
    <col min="267" max="267" width="8.7109375" style="211" customWidth="1"/>
    <col min="268" max="268" width="6.28515625" style="211" customWidth="1"/>
    <col min="269" max="269" width="7.28515625" style="211" customWidth="1"/>
    <col min="270" max="270" width="6.7109375" style="211" customWidth="1"/>
    <col min="271" max="271" width="8.28515625" style="211" customWidth="1"/>
    <col min="272" max="272" width="7.85546875" style="211" customWidth="1"/>
    <col min="273" max="273" width="8.28515625" style="211" customWidth="1"/>
    <col min="274" max="274" width="7.7109375" style="211" customWidth="1"/>
    <col min="275" max="512" width="8.85546875" style="211"/>
    <col min="513" max="513" width="11.28515625" style="211" customWidth="1"/>
    <col min="514" max="514" width="10.42578125" style="211" customWidth="1"/>
    <col min="515" max="515" width="7.28515625" style="211" customWidth="1"/>
    <col min="516" max="516" width="7.140625" style="211" customWidth="1"/>
    <col min="517" max="517" width="7.42578125" style="211" customWidth="1"/>
    <col min="518" max="518" width="9.140625" style="211" customWidth="1"/>
    <col min="519" max="519" width="8.140625" style="211" customWidth="1"/>
    <col min="520" max="520" width="7.28515625" style="211" customWidth="1"/>
    <col min="521" max="521" width="9.140625" style="211" customWidth="1"/>
    <col min="522" max="522" width="7.7109375" style="211" customWidth="1"/>
    <col min="523" max="523" width="8.7109375" style="211" customWidth="1"/>
    <col min="524" max="524" width="6.28515625" style="211" customWidth="1"/>
    <col min="525" max="525" width="7.28515625" style="211" customWidth="1"/>
    <col min="526" max="526" width="6.7109375" style="211" customWidth="1"/>
    <col min="527" max="527" width="8.28515625" style="211" customWidth="1"/>
    <col min="528" max="528" width="7.85546875" style="211" customWidth="1"/>
    <col min="529" max="529" width="8.28515625" style="211" customWidth="1"/>
    <col min="530" max="530" width="7.7109375" style="211" customWidth="1"/>
    <col min="531" max="768" width="8.85546875" style="211"/>
    <col min="769" max="769" width="11.28515625" style="211" customWidth="1"/>
    <col min="770" max="770" width="10.42578125" style="211" customWidth="1"/>
    <col min="771" max="771" width="7.28515625" style="211" customWidth="1"/>
    <col min="772" max="772" width="7.140625" style="211" customWidth="1"/>
    <col min="773" max="773" width="7.42578125" style="211" customWidth="1"/>
    <col min="774" max="774" width="9.140625" style="211" customWidth="1"/>
    <col min="775" max="775" width="8.140625" style="211" customWidth="1"/>
    <col min="776" max="776" width="7.28515625" style="211" customWidth="1"/>
    <col min="777" max="777" width="9.140625" style="211" customWidth="1"/>
    <col min="778" max="778" width="7.7109375" style="211" customWidth="1"/>
    <col min="779" max="779" width="8.7109375" style="211" customWidth="1"/>
    <col min="780" max="780" width="6.28515625" style="211" customWidth="1"/>
    <col min="781" max="781" width="7.28515625" style="211" customWidth="1"/>
    <col min="782" max="782" width="6.7109375" style="211" customWidth="1"/>
    <col min="783" max="783" width="8.28515625" style="211" customWidth="1"/>
    <col min="784" max="784" width="7.85546875" style="211" customWidth="1"/>
    <col min="785" max="785" width="8.28515625" style="211" customWidth="1"/>
    <col min="786" max="786" width="7.7109375" style="211" customWidth="1"/>
    <col min="787" max="1024" width="8.85546875" style="211"/>
    <col min="1025" max="1025" width="11.28515625" style="211" customWidth="1"/>
    <col min="1026" max="1026" width="10.42578125" style="211" customWidth="1"/>
    <col min="1027" max="1027" width="7.28515625" style="211" customWidth="1"/>
    <col min="1028" max="1028" width="7.140625" style="211" customWidth="1"/>
    <col min="1029" max="1029" width="7.42578125" style="211" customWidth="1"/>
    <col min="1030" max="1030" width="9.140625" style="211" customWidth="1"/>
    <col min="1031" max="1031" width="8.140625" style="211" customWidth="1"/>
    <col min="1032" max="1032" width="7.28515625" style="211" customWidth="1"/>
    <col min="1033" max="1033" width="9.140625" style="211" customWidth="1"/>
    <col min="1034" max="1034" width="7.7109375" style="211" customWidth="1"/>
    <col min="1035" max="1035" width="8.7109375" style="211" customWidth="1"/>
    <col min="1036" max="1036" width="6.28515625" style="211" customWidth="1"/>
    <col min="1037" max="1037" width="7.28515625" style="211" customWidth="1"/>
    <col min="1038" max="1038" width="6.7109375" style="211" customWidth="1"/>
    <col min="1039" max="1039" width="8.28515625" style="211" customWidth="1"/>
    <col min="1040" max="1040" width="7.85546875" style="211" customWidth="1"/>
    <col min="1041" max="1041" width="8.28515625" style="211" customWidth="1"/>
    <col min="1042" max="1042" width="7.7109375" style="211" customWidth="1"/>
    <col min="1043" max="1280" width="8.85546875" style="211"/>
    <col min="1281" max="1281" width="11.28515625" style="211" customWidth="1"/>
    <col min="1282" max="1282" width="10.42578125" style="211" customWidth="1"/>
    <col min="1283" max="1283" width="7.28515625" style="211" customWidth="1"/>
    <col min="1284" max="1284" width="7.140625" style="211" customWidth="1"/>
    <col min="1285" max="1285" width="7.42578125" style="211" customWidth="1"/>
    <col min="1286" max="1286" width="9.140625" style="211" customWidth="1"/>
    <col min="1287" max="1287" width="8.140625" style="211" customWidth="1"/>
    <col min="1288" max="1288" width="7.28515625" style="211" customWidth="1"/>
    <col min="1289" max="1289" width="9.140625" style="211" customWidth="1"/>
    <col min="1290" max="1290" width="7.7109375" style="211" customWidth="1"/>
    <col min="1291" max="1291" width="8.7109375" style="211" customWidth="1"/>
    <col min="1292" max="1292" width="6.28515625" style="211" customWidth="1"/>
    <col min="1293" max="1293" width="7.28515625" style="211" customWidth="1"/>
    <col min="1294" max="1294" width="6.7109375" style="211" customWidth="1"/>
    <col min="1295" max="1295" width="8.28515625" style="211" customWidth="1"/>
    <col min="1296" max="1296" width="7.85546875" style="211" customWidth="1"/>
    <col min="1297" max="1297" width="8.28515625" style="211" customWidth="1"/>
    <col min="1298" max="1298" width="7.7109375" style="211" customWidth="1"/>
    <col min="1299" max="1536" width="8.85546875" style="211"/>
    <col min="1537" max="1537" width="11.28515625" style="211" customWidth="1"/>
    <col min="1538" max="1538" width="10.42578125" style="211" customWidth="1"/>
    <col min="1539" max="1539" width="7.28515625" style="211" customWidth="1"/>
    <col min="1540" max="1540" width="7.140625" style="211" customWidth="1"/>
    <col min="1541" max="1541" width="7.42578125" style="211" customWidth="1"/>
    <col min="1542" max="1542" width="9.140625" style="211" customWidth="1"/>
    <col min="1543" max="1543" width="8.140625" style="211" customWidth="1"/>
    <col min="1544" max="1544" width="7.28515625" style="211" customWidth="1"/>
    <col min="1545" max="1545" width="9.140625" style="211" customWidth="1"/>
    <col min="1546" max="1546" width="7.7109375" style="211" customWidth="1"/>
    <col min="1547" max="1547" width="8.7109375" style="211" customWidth="1"/>
    <col min="1548" max="1548" width="6.28515625" style="211" customWidth="1"/>
    <col min="1549" max="1549" width="7.28515625" style="211" customWidth="1"/>
    <col min="1550" max="1550" width="6.7109375" style="211" customWidth="1"/>
    <col min="1551" max="1551" width="8.28515625" style="211" customWidth="1"/>
    <col min="1552" max="1552" width="7.85546875" style="211" customWidth="1"/>
    <col min="1553" max="1553" width="8.28515625" style="211" customWidth="1"/>
    <col min="1554" max="1554" width="7.7109375" style="211" customWidth="1"/>
    <col min="1555" max="1792" width="8.85546875" style="211"/>
    <col min="1793" max="1793" width="11.28515625" style="211" customWidth="1"/>
    <col min="1794" max="1794" width="10.42578125" style="211" customWidth="1"/>
    <col min="1795" max="1795" width="7.28515625" style="211" customWidth="1"/>
    <col min="1796" max="1796" width="7.140625" style="211" customWidth="1"/>
    <col min="1797" max="1797" width="7.42578125" style="211" customWidth="1"/>
    <col min="1798" max="1798" width="9.140625" style="211" customWidth="1"/>
    <col min="1799" max="1799" width="8.140625" style="211" customWidth="1"/>
    <col min="1800" max="1800" width="7.28515625" style="211" customWidth="1"/>
    <col min="1801" max="1801" width="9.140625" style="211" customWidth="1"/>
    <col min="1802" max="1802" width="7.7109375" style="211" customWidth="1"/>
    <col min="1803" max="1803" width="8.7109375" style="211" customWidth="1"/>
    <col min="1804" max="1804" width="6.28515625" style="211" customWidth="1"/>
    <col min="1805" max="1805" width="7.28515625" style="211" customWidth="1"/>
    <col min="1806" max="1806" width="6.7109375" style="211" customWidth="1"/>
    <col min="1807" max="1807" width="8.28515625" style="211" customWidth="1"/>
    <col min="1808" max="1808" width="7.85546875" style="211" customWidth="1"/>
    <col min="1809" max="1809" width="8.28515625" style="211" customWidth="1"/>
    <col min="1810" max="1810" width="7.7109375" style="211" customWidth="1"/>
    <col min="1811" max="2048" width="8.85546875" style="211"/>
    <col min="2049" max="2049" width="11.28515625" style="211" customWidth="1"/>
    <col min="2050" max="2050" width="10.42578125" style="211" customWidth="1"/>
    <col min="2051" max="2051" width="7.28515625" style="211" customWidth="1"/>
    <col min="2052" max="2052" width="7.140625" style="211" customWidth="1"/>
    <col min="2053" max="2053" width="7.42578125" style="211" customWidth="1"/>
    <col min="2054" max="2054" width="9.140625" style="211" customWidth="1"/>
    <col min="2055" max="2055" width="8.140625" style="211" customWidth="1"/>
    <col min="2056" max="2056" width="7.28515625" style="211" customWidth="1"/>
    <col min="2057" max="2057" width="9.140625" style="211" customWidth="1"/>
    <col min="2058" max="2058" width="7.7109375" style="211" customWidth="1"/>
    <col min="2059" max="2059" width="8.7109375" style="211" customWidth="1"/>
    <col min="2060" max="2060" width="6.28515625" style="211" customWidth="1"/>
    <col min="2061" max="2061" width="7.28515625" style="211" customWidth="1"/>
    <col min="2062" max="2062" width="6.7109375" style="211" customWidth="1"/>
    <col min="2063" max="2063" width="8.28515625" style="211" customWidth="1"/>
    <col min="2064" max="2064" width="7.85546875" style="211" customWidth="1"/>
    <col min="2065" max="2065" width="8.28515625" style="211" customWidth="1"/>
    <col min="2066" max="2066" width="7.7109375" style="211" customWidth="1"/>
    <col min="2067" max="2304" width="8.85546875" style="211"/>
    <col min="2305" max="2305" width="11.28515625" style="211" customWidth="1"/>
    <col min="2306" max="2306" width="10.42578125" style="211" customWidth="1"/>
    <col min="2307" max="2307" width="7.28515625" style="211" customWidth="1"/>
    <col min="2308" max="2308" width="7.140625" style="211" customWidth="1"/>
    <col min="2309" max="2309" width="7.42578125" style="211" customWidth="1"/>
    <col min="2310" max="2310" width="9.140625" style="211" customWidth="1"/>
    <col min="2311" max="2311" width="8.140625" style="211" customWidth="1"/>
    <col min="2312" max="2312" width="7.28515625" style="211" customWidth="1"/>
    <col min="2313" max="2313" width="9.140625" style="211" customWidth="1"/>
    <col min="2314" max="2314" width="7.7109375" style="211" customWidth="1"/>
    <col min="2315" max="2315" width="8.7109375" style="211" customWidth="1"/>
    <col min="2316" max="2316" width="6.28515625" style="211" customWidth="1"/>
    <col min="2317" max="2317" width="7.28515625" style="211" customWidth="1"/>
    <col min="2318" max="2318" width="6.7109375" style="211" customWidth="1"/>
    <col min="2319" max="2319" width="8.28515625" style="211" customWidth="1"/>
    <col min="2320" max="2320" width="7.85546875" style="211" customWidth="1"/>
    <col min="2321" max="2321" width="8.28515625" style="211" customWidth="1"/>
    <col min="2322" max="2322" width="7.7109375" style="211" customWidth="1"/>
    <col min="2323" max="2560" width="8.85546875" style="211"/>
    <col min="2561" max="2561" width="11.28515625" style="211" customWidth="1"/>
    <col min="2562" max="2562" width="10.42578125" style="211" customWidth="1"/>
    <col min="2563" max="2563" width="7.28515625" style="211" customWidth="1"/>
    <col min="2564" max="2564" width="7.140625" style="211" customWidth="1"/>
    <col min="2565" max="2565" width="7.42578125" style="211" customWidth="1"/>
    <col min="2566" max="2566" width="9.140625" style="211" customWidth="1"/>
    <col min="2567" max="2567" width="8.140625" style="211" customWidth="1"/>
    <col min="2568" max="2568" width="7.28515625" style="211" customWidth="1"/>
    <col min="2569" max="2569" width="9.140625" style="211" customWidth="1"/>
    <col min="2570" max="2570" width="7.7109375" style="211" customWidth="1"/>
    <col min="2571" max="2571" width="8.7109375" style="211" customWidth="1"/>
    <col min="2572" max="2572" width="6.28515625" style="211" customWidth="1"/>
    <col min="2573" max="2573" width="7.28515625" style="211" customWidth="1"/>
    <col min="2574" max="2574" width="6.7109375" style="211" customWidth="1"/>
    <col min="2575" max="2575" width="8.28515625" style="211" customWidth="1"/>
    <col min="2576" max="2576" width="7.85546875" style="211" customWidth="1"/>
    <col min="2577" max="2577" width="8.28515625" style="211" customWidth="1"/>
    <col min="2578" max="2578" width="7.7109375" style="211" customWidth="1"/>
    <col min="2579" max="2816" width="8.85546875" style="211"/>
    <col min="2817" max="2817" width="11.28515625" style="211" customWidth="1"/>
    <col min="2818" max="2818" width="10.42578125" style="211" customWidth="1"/>
    <col min="2819" max="2819" width="7.28515625" style="211" customWidth="1"/>
    <col min="2820" max="2820" width="7.140625" style="211" customWidth="1"/>
    <col min="2821" max="2821" width="7.42578125" style="211" customWidth="1"/>
    <col min="2822" max="2822" width="9.140625" style="211" customWidth="1"/>
    <col min="2823" max="2823" width="8.140625" style="211" customWidth="1"/>
    <col min="2824" max="2824" width="7.28515625" style="211" customWidth="1"/>
    <col min="2825" max="2825" width="9.140625" style="211" customWidth="1"/>
    <col min="2826" max="2826" width="7.7109375" style="211" customWidth="1"/>
    <col min="2827" max="2827" width="8.7109375" style="211" customWidth="1"/>
    <col min="2828" max="2828" width="6.28515625" style="211" customWidth="1"/>
    <col min="2829" max="2829" width="7.28515625" style="211" customWidth="1"/>
    <col min="2830" max="2830" width="6.7109375" style="211" customWidth="1"/>
    <col min="2831" max="2831" width="8.28515625" style="211" customWidth="1"/>
    <col min="2832" max="2832" width="7.85546875" style="211" customWidth="1"/>
    <col min="2833" max="2833" width="8.28515625" style="211" customWidth="1"/>
    <col min="2834" max="2834" width="7.7109375" style="211" customWidth="1"/>
    <col min="2835" max="3072" width="8.85546875" style="211"/>
    <col min="3073" max="3073" width="11.28515625" style="211" customWidth="1"/>
    <col min="3074" max="3074" width="10.42578125" style="211" customWidth="1"/>
    <col min="3075" max="3075" width="7.28515625" style="211" customWidth="1"/>
    <col min="3076" max="3076" width="7.140625" style="211" customWidth="1"/>
    <col min="3077" max="3077" width="7.42578125" style="211" customWidth="1"/>
    <col min="3078" max="3078" width="9.140625" style="211" customWidth="1"/>
    <col min="3079" max="3079" width="8.140625" style="211" customWidth="1"/>
    <col min="3080" max="3080" width="7.28515625" style="211" customWidth="1"/>
    <col min="3081" max="3081" width="9.140625" style="211" customWidth="1"/>
    <col min="3082" max="3082" width="7.7109375" style="211" customWidth="1"/>
    <col min="3083" max="3083" width="8.7109375" style="211" customWidth="1"/>
    <col min="3084" max="3084" width="6.28515625" style="211" customWidth="1"/>
    <col min="3085" max="3085" width="7.28515625" style="211" customWidth="1"/>
    <col min="3086" max="3086" width="6.7109375" style="211" customWidth="1"/>
    <col min="3087" max="3087" width="8.28515625" style="211" customWidth="1"/>
    <col min="3088" max="3088" width="7.85546875" style="211" customWidth="1"/>
    <col min="3089" max="3089" width="8.28515625" style="211" customWidth="1"/>
    <col min="3090" max="3090" width="7.7109375" style="211" customWidth="1"/>
    <col min="3091" max="3328" width="8.85546875" style="211"/>
    <col min="3329" max="3329" width="11.28515625" style="211" customWidth="1"/>
    <col min="3330" max="3330" width="10.42578125" style="211" customWidth="1"/>
    <col min="3331" max="3331" width="7.28515625" style="211" customWidth="1"/>
    <col min="3332" max="3332" width="7.140625" style="211" customWidth="1"/>
    <col min="3333" max="3333" width="7.42578125" style="211" customWidth="1"/>
    <col min="3334" max="3334" width="9.140625" style="211" customWidth="1"/>
    <col min="3335" max="3335" width="8.140625" style="211" customWidth="1"/>
    <col min="3336" max="3336" width="7.28515625" style="211" customWidth="1"/>
    <col min="3337" max="3337" width="9.140625" style="211" customWidth="1"/>
    <col min="3338" max="3338" width="7.7109375" style="211" customWidth="1"/>
    <col min="3339" max="3339" width="8.7109375" style="211" customWidth="1"/>
    <col min="3340" max="3340" width="6.28515625" style="211" customWidth="1"/>
    <col min="3341" max="3341" width="7.28515625" style="211" customWidth="1"/>
    <col min="3342" max="3342" width="6.7109375" style="211" customWidth="1"/>
    <col min="3343" max="3343" width="8.28515625" style="211" customWidth="1"/>
    <col min="3344" max="3344" width="7.85546875" style="211" customWidth="1"/>
    <col min="3345" max="3345" width="8.28515625" style="211" customWidth="1"/>
    <col min="3346" max="3346" width="7.7109375" style="211" customWidth="1"/>
    <col min="3347" max="3584" width="8.85546875" style="211"/>
    <col min="3585" max="3585" width="11.28515625" style="211" customWidth="1"/>
    <col min="3586" max="3586" width="10.42578125" style="211" customWidth="1"/>
    <col min="3587" max="3587" width="7.28515625" style="211" customWidth="1"/>
    <col min="3588" max="3588" width="7.140625" style="211" customWidth="1"/>
    <col min="3589" max="3589" width="7.42578125" style="211" customWidth="1"/>
    <col min="3590" max="3590" width="9.140625" style="211" customWidth="1"/>
    <col min="3591" max="3591" width="8.140625" style="211" customWidth="1"/>
    <col min="3592" max="3592" width="7.28515625" style="211" customWidth="1"/>
    <col min="3593" max="3593" width="9.140625" style="211" customWidth="1"/>
    <col min="3594" max="3594" width="7.7109375" style="211" customWidth="1"/>
    <col min="3595" max="3595" width="8.7109375" style="211" customWidth="1"/>
    <col min="3596" max="3596" width="6.28515625" style="211" customWidth="1"/>
    <col min="3597" max="3597" width="7.28515625" style="211" customWidth="1"/>
    <col min="3598" max="3598" width="6.7109375" style="211" customWidth="1"/>
    <col min="3599" max="3599" width="8.28515625" style="211" customWidth="1"/>
    <col min="3600" max="3600" width="7.85546875" style="211" customWidth="1"/>
    <col min="3601" max="3601" width="8.28515625" style="211" customWidth="1"/>
    <col min="3602" max="3602" width="7.7109375" style="211" customWidth="1"/>
    <col min="3603" max="3840" width="8.85546875" style="211"/>
    <col min="3841" max="3841" width="11.28515625" style="211" customWidth="1"/>
    <col min="3842" max="3842" width="10.42578125" style="211" customWidth="1"/>
    <col min="3843" max="3843" width="7.28515625" style="211" customWidth="1"/>
    <col min="3844" max="3844" width="7.140625" style="211" customWidth="1"/>
    <col min="3845" max="3845" width="7.42578125" style="211" customWidth="1"/>
    <col min="3846" max="3846" width="9.140625" style="211" customWidth="1"/>
    <col min="3847" max="3847" width="8.140625" style="211" customWidth="1"/>
    <col min="3848" max="3848" width="7.28515625" style="211" customWidth="1"/>
    <col min="3849" max="3849" width="9.140625" style="211" customWidth="1"/>
    <col min="3850" max="3850" width="7.7109375" style="211" customWidth="1"/>
    <col min="3851" max="3851" width="8.7109375" style="211" customWidth="1"/>
    <col min="3852" max="3852" width="6.28515625" style="211" customWidth="1"/>
    <col min="3853" max="3853" width="7.28515625" style="211" customWidth="1"/>
    <col min="3854" max="3854" width="6.7109375" style="211" customWidth="1"/>
    <col min="3855" max="3855" width="8.28515625" style="211" customWidth="1"/>
    <col min="3856" max="3856" width="7.85546875" style="211" customWidth="1"/>
    <col min="3857" max="3857" width="8.28515625" style="211" customWidth="1"/>
    <col min="3858" max="3858" width="7.7109375" style="211" customWidth="1"/>
    <col min="3859" max="4096" width="8.85546875" style="211"/>
    <col min="4097" max="4097" width="11.28515625" style="211" customWidth="1"/>
    <col min="4098" max="4098" width="10.42578125" style="211" customWidth="1"/>
    <col min="4099" max="4099" width="7.28515625" style="211" customWidth="1"/>
    <col min="4100" max="4100" width="7.140625" style="211" customWidth="1"/>
    <col min="4101" max="4101" width="7.42578125" style="211" customWidth="1"/>
    <col min="4102" max="4102" width="9.140625" style="211" customWidth="1"/>
    <col min="4103" max="4103" width="8.140625" style="211" customWidth="1"/>
    <col min="4104" max="4104" width="7.28515625" style="211" customWidth="1"/>
    <col min="4105" max="4105" width="9.140625" style="211" customWidth="1"/>
    <col min="4106" max="4106" width="7.7109375" style="211" customWidth="1"/>
    <col min="4107" max="4107" width="8.7109375" style="211" customWidth="1"/>
    <col min="4108" max="4108" width="6.28515625" style="211" customWidth="1"/>
    <col min="4109" max="4109" width="7.28515625" style="211" customWidth="1"/>
    <col min="4110" max="4110" width="6.7109375" style="211" customWidth="1"/>
    <col min="4111" max="4111" width="8.28515625" style="211" customWidth="1"/>
    <col min="4112" max="4112" width="7.85546875" style="211" customWidth="1"/>
    <col min="4113" max="4113" width="8.28515625" style="211" customWidth="1"/>
    <col min="4114" max="4114" width="7.7109375" style="211" customWidth="1"/>
    <col min="4115" max="4352" width="8.85546875" style="211"/>
    <col min="4353" max="4353" width="11.28515625" style="211" customWidth="1"/>
    <col min="4354" max="4354" width="10.42578125" style="211" customWidth="1"/>
    <col min="4355" max="4355" width="7.28515625" style="211" customWidth="1"/>
    <col min="4356" max="4356" width="7.140625" style="211" customWidth="1"/>
    <col min="4357" max="4357" width="7.42578125" style="211" customWidth="1"/>
    <col min="4358" max="4358" width="9.140625" style="211" customWidth="1"/>
    <col min="4359" max="4359" width="8.140625" style="211" customWidth="1"/>
    <col min="4360" max="4360" width="7.28515625" style="211" customWidth="1"/>
    <col min="4361" max="4361" width="9.140625" style="211" customWidth="1"/>
    <col min="4362" max="4362" width="7.7109375" style="211" customWidth="1"/>
    <col min="4363" max="4363" width="8.7109375" style="211" customWidth="1"/>
    <col min="4364" max="4364" width="6.28515625" style="211" customWidth="1"/>
    <col min="4365" max="4365" width="7.28515625" style="211" customWidth="1"/>
    <col min="4366" max="4366" width="6.7109375" style="211" customWidth="1"/>
    <col min="4367" max="4367" width="8.28515625" style="211" customWidth="1"/>
    <col min="4368" max="4368" width="7.85546875" style="211" customWidth="1"/>
    <col min="4369" max="4369" width="8.28515625" style="211" customWidth="1"/>
    <col min="4370" max="4370" width="7.7109375" style="211" customWidth="1"/>
    <col min="4371" max="4608" width="8.85546875" style="211"/>
    <col min="4609" max="4609" width="11.28515625" style="211" customWidth="1"/>
    <col min="4610" max="4610" width="10.42578125" style="211" customWidth="1"/>
    <col min="4611" max="4611" width="7.28515625" style="211" customWidth="1"/>
    <col min="4612" max="4612" width="7.140625" style="211" customWidth="1"/>
    <col min="4613" max="4613" width="7.42578125" style="211" customWidth="1"/>
    <col min="4614" max="4614" width="9.140625" style="211" customWidth="1"/>
    <col min="4615" max="4615" width="8.140625" style="211" customWidth="1"/>
    <col min="4616" max="4616" width="7.28515625" style="211" customWidth="1"/>
    <col min="4617" max="4617" width="9.140625" style="211" customWidth="1"/>
    <col min="4618" max="4618" width="7.7109375" style="211" customWidth="1"/>
    <col min="4619" max="4619" width="8.7109375" style="211" customWidth="1"/>
    <col min="4620" max="4620" width="6.28515625" style="211" customWidth="1"/>
    <col min="4621" max="4621" width="7.28515625" style="211" customWidth="1"/>
    <col min="4622" max="4622" width="6.7109375" style="211" customWidth="1"/>
    <col min="4623" max="4623" width="8.28515625" style="211" customWidth="1"/>
    <col min="4624" max="4624" width="7.85546875" style="211" customWidth="1"/>
    <col min="4625" max="4625" width="8.28515625" style="211" customWidth="1"/>
    <col min="4626" max="4626" width="7.7109375" style="211" customWidth="1"/>
    <col min="4627" max="4864" width="8.85546875" style="211"/>
    <col min="4865" max="4865" width="11.28515625" style="211" customWidth="1"/>
    <col min="4866" max="4866" width="10.42578125" style="211" customWidth="1"/>
    <col min="4867" max="4867" width="7.28515625" style="211" customWidth="1"/>
    <col min="4868" max="4868" width="7.140625" style="211" customWidth="1"/>
    <col min="4869" max="4869" width="7.42578125" style="211" customWidth="1"/>
    <col min="4870" max="4870" width="9.140625" style="211" customWidth="1"/>
    <col min="4871" max="4871" width="8.140625" style="211" customWidth="1"/>
    <col min="4872" max="4872" width="7.28515625" style="211" customWidth="1"/>
    <col min="4873" max="4873" width="9.140625" style="211" customWidth="1"/>
    <col min="4874" max="4874" width="7.7109375" style="211" customWidth="1"/>
    <col min="4875" max="4875" width="8.7109375" style="211" customWidth="1"/>
    <col min="4876" max="4876" width="6.28515625" style="211" customWidth="1"/>
    <col min="4877" max="4877" width="7.28515625" style="211" customWidth="1"/>
    <col min="4878" max="4878" width="6.7109375" style="211" customWidth="1"/>
    <col min="4879" max="4879" width="8.28515625" style="211" customWidth="1"/>
    <col min="4880" max="4880" width="7.85546875" style="211" customWidth="1"/>
    <col min="4881" max="4881" width="8.28515625" style="211" customWidth="1"/>
    <col min="4882" max="4882" width="7.7109375" style="211" customWidth="1"/>
    <col min="4883" max="5120" width="8.85546875" style="211"/>
    <col min="5121" max="5121" width="11.28515625" style="211" customWidth="1"/>
    <col min="5122" max="5122" width="10.42578125" style="211" customWidth="1"/>
    <col min="5123" max="5123" width="7.28515625" style="211" customWidth="1"/>
    <col min="5124" max="5124" width="7.140625" style="211" customWidth="1"/>
    <col min="5125" max="5125" width="7.42578125" style="211" customWidth="1"/>
    <col min="5126" max="5126" width="9.140625" style="211" customWidth="1"/>
    <col min="5127" max="5127" width="8.140625" style="211" customWidth="1"/>
    <col min="5128" max="5128" width="7.28515625" style="211" customWidth="1"/>
    <col min="5129" max="5129" width="9.140625" style="211" customWidth="1"/>
    <col min="5130" max="5130" width="7.7109375" style="211" customWidth="1"/>
    <col min="5131" max="5131" width="8.7109375" style="211" customWidth="1"/>
    <col min="5132" max="5132" width="6.28515625" style="211" customWidth="1"/>
    <col min="5133" max="5133" width="7.28515625" style="211" customWidth="1"/>
    <col min="5134" max="5134" width="6.7109375" style="211" customWidth="1"/>
    <col min="5135" max="5135" width="8.28515625" style="211" customWidth="1"/>
    <col min="5136" max="5136" width="7.85546875" style="211" customWidth="1"/>
    <col min="5137" max="5137" width="8.28515625" style="211" customWidth="1"/>
    <col min="5138" max="5138" width="7.7109375" style="211" customWidth="1"/>
    <col min="5139" max="5376" width="8.85546875" style="211"/>
    <col min="5377" max="5377" width="11.28515625" style="211" customWidth="1"/>
    <col min="5378" max="5378" width="10.42578125" style="211" customWidth="1"/>
    <col min="5379" max="5379" width="7.28515625" style="211" customWidth="1"/>
    <col min="5380" max="5380" width="7.140625" style="211" customWidth="1"/>
    <col min="5381" max="5381" width="7.42578125" style="211" customWidth="1"/>
    <col min="5382" max="5382" width="9.140625" style="211" customWidth="1"/>
    <col min="5383" max="5383" width="8.140625" style="211" customWidth="1"/>
    <col min="5384" max="5384" width="7.28515625" style="211" customWidth="1"/>
    <col min="5385" max="5385" width="9.140625" style="211" customWidth="1"/>
    <col min="5386" max="5386" width="7.7109375" style="211" customWidth="1"/>
    <col min="5387" max="5387" width="8.7109375" style="211" customWidth="1"/>
    <col min="5388" max="5388" width="6.28515625" style="211" customWidth="1"/>
    <col min="5389" max="5389" width="7.28515625" style="211" customWidth="1"/>
    <col min="5390" max="5390" width="6.7109375" style="211" customWidth="1"/>
    <col min="5391" max="5391" width="8.28515625" style="211" customWidth="1"/>
    <col min="5392" max="5392" width="7.85546875" style="211" customWidth="1"/>
    <col min="5393" max="5393" width="8.28515625" style="211" customWidth="1"/>
    <col min="5394" max="5394" width="7.7109375" style="211" customWidth="1"/>
    <col min="5395" max="5632" width="8.85546875" style="211"/>
    <col min="5633" max="5633" width="11.28515625" style="211" customWidth="1"/>
    <col min="5634" max="5634" width="10.42578125" style="211" customWidth="1"/>
    <col min="5635" max="5635" width="7.28515625" style="211" customWidth="1"/>
    <col min="5636" max="5636" width="7.140625" style="211" customWidth="1"/>
    <col min="5637" max="5637" width="7.42578125" style="211" customWidth="1"/>
    <col min="5638" max="5638" width="9.140625" style="211" customWidth="1"/>
    <col min="5639" max="5639" width="8.140625" style="211" customWidth="1"/>
    <col min="5640" max="5640" width="7.28515625" style="211" customWidth="1"/>
    <col min="5641" max="5641" width="9.140625" style="211" customWidth="1"/>
    <col min="5642" max="5642" width="7.7109375" style="211" customWidth="1"/>
    <col min="5643" max="5643" width="8.7109375" style="211" customWidth="1"/>
    <col min="5644" max="5644" width="6.28515625" style="211" customWidth="1"/>
    <col min="5645" max="5645" width="7.28515625" style="211" customWidth="1"/>
    <col min="5646" max="5646" width="6.7109375" style="211" customWidth="1"/>
    <col min="5647" max="5647" width="8.28515625" style="211" customWidth="1"/>
    <col min="5648" max="5648" width="7.85546875" style="211" customWidth="1"/>
    <col min="5649" max="5649" width="8.28515625" style="211" customWidth="1"/>
    <col min="5650" max="5650" width="7.7109375" style="211" customWidth="1"/>
    <col min="5651" max="5888" width="8.85546875" style="211"/>
    <col min="5889" max="5889" width="11.28515625" style="211" customWidth="1"/>
    <col min="5890" max="5890" width="10.42578125" style="211" customWidth="1"/>
    <col min="5891" max="5891" width="7.28515625" style="211" customWidth="1"/>
    <col min="5892" max="5892" width="7.140625" style="211" customWidth="1"/>
    <col min="5893" max="5893" width="7.42578125" style="211" customWidth="1"/>
    <col min="5894" max="5894" width="9.140625" style="211" customWidth="1"/>
    <col min="5895" max="5895" width="8.140625" style="211" customWidth="1"/>
    <col min="5896" max="5896" width="7.28515625" style="211" customWidth="1"/>
    <col min="5897" max="5897" width="9.140625" style="211" customWidth="1"/>
    <col min="5898" max="5898" width="7.7109375" style="211" customWidth="1"/>
    <col min="5899" max="5899" width="8.7109375" style="211" customWidth="1"/>
    <col min="5900" max="5900" width="6.28515625" style="211" customWidth="1"/>
    <col min="5901" max="5901" width="7.28515625" style="211" customWidth="1"/>
    <col min="5902" max="5902" width="6.7109375" style="211" customWidth="1"/>
    <col min="5903" max="5903" width="8.28515625" style="211" customWidth="1"/>
    <col min="5904" max="5904" width="7.85546875" style="211" customWidth="1"/>
    <col min="5905" max="5905" width="8.28515625" style="211" customWidth="1"/>
    <col min="5906" max="5906" width="7.7109375" style="211" customWidth="1"/>
    <col min="5907" max="6144" width="8.85546875" style="211"/>
    <col min="6145" max="6145" width="11.28515625" style="211" customWidth="1"/>
    <col min="6146" max="6146" width="10.42578125" style="211" customWidth="1"/>
    <col min="6147" max="6147" width="7.28515625" style="211" customWidth="1"/>
    <col min="6148" max="6148" width="7.140625" style="211" customWidth="1"/>
    <col min="6149" max="6149" width="7.42578125" style="211" customWidth="1"/>
    <col min="6150" max="6150" width="9.140625" style="211" customWidth="1"/>
    <col min="6151" max="6151" width="8.140625" style="211" customWidth="1"/>
    <col min="6152" max="6152" width="7.28515625" style="211" customWidth="1"/>
    <col min="6153" max="6153" width="9.140625" style="211" customWidth="1"/>
    <col min="6154" max="6154" width="7.7109375" style="211" customWidth="1"/>
    <col min="6155" max="6155" width="8.7109375" style="211" customWidth="1"/>
    <col min="6156" max="6156" width="6.28515625" style="211" customWidth="1"/>
    <col min="6157" max="6157" width="7.28515625" style="211" customWidth="1"/>
    <col min="6158" max="6158" width="6.7109375" style="211" customWidth="1"/>
    <col min="6159" max="6159" width="8.28515625" style="211" customWidth="1"/>
    <col min="6160" max="6160" width="7.85546875" style="211" customWidth="1"/>
    <col min="6161" max="6161" width="8.28515625" style="211" customWidth="1"/>
    <col min="6162" max="6162" width="7.7109375" style="211" customWidth="1"/>
    <col min="6163" max="6400" width="8.85546875" style="211"/>
    <col min="6401" max="6401" width="11.28515625" style="211" customWidth="1"/>
    <col min="6402" max="6402" width="10.42578125" style="211" customWidth="1"/>
    <col min="6403" max="6403" width="7.28515625" style="211" customWidth="1"/>
    <col min="6404" max="6404" width="7.140625" style="211" customWidth="1"/>
    <col min="6405" max="6405" width="7.42578125" style="211" customWidth="1"/>
    <col min="6406" max="6406" width="9.140625" style="211" customWidth="1"/>
    <col min="6407" max="6407" width="8.140625" style="211" customWidth="1"/>
    <col min="6408" max="6408" width="7.28515625" style="211" customWidth="1"/>
    <col min="6409" max="6409" width="9.140625" style="211" customWidth="1"/>
    <col min="6410" max="6410" width="7.7109375" style="211" customWidth="1"/>
    <col min="6411" max="6411" width="8.7109375" style="211" customWidth="1"/>
    <col min="6412" max="6412" width="6.28515625" style="211" customWidth="1"/>
    <col min="6413" max="6413" width="7.28515625" style="211" customWidth="1"/>
    <col min="6414" max="6414" width="6.7109375" style="211" customWidth="1"/>
    <col min="6415" max="6415" width="8.28515625" style="211" customWidth="1"/>
    <col min="6416" max="6416" width="7.85546875" style="211" customWidth="1"/>
    <col min="6417" max="6417" width="8.28515625" style="211" customWidth="1"/>
    <col min="6418" max="6418" width="7.7109375" style="211" customWidth="1"/>
    <col min="6419" max="6656" width="8.85546875" style="211"/>
    <col min="6657" max="6657" width="11.28515625" style="211" customWidth="1"/>
    <col min="6658" max="6658" width="10.42578125" style="211" customWidth="1"/>
    <col min="6659" max="6659" width="7.28515625" style="211" customWidth="1"/>
    <col min="6660" max="6660" width="7.140625" style="211" customWidth="1"/>
    <col min="6661" max="6661" width="7.42578125" style="211" customWidth="1"/>
    <col min="6662" max="6662" width="9.140625" style="211" customWidth="1"/>
    <col min="6663" max="6663" width="8.140625" style="211" customWidth="1"/>
    <col min="6664" max="6664" width="7.28515625" style="211" customWidth="1"/>
    <col min="6665" max="6665" width="9.140625" style="211" customWidth="1"/>
    <col min="6666" max="6666" width="7.7109375" style="211" customWidth="1"/>
    <col min="6667" max="6667" width="8.7109375" style="211" customWidth="1"/>
    <col min="6668" max="6668" width="6.28515625" style="211" customWidth="1"/>
    <col min="6669" max="6669" width="7.28515625" style="211" customWidth="1"/>
    <col min="6670" max="6670" width="6.7109375" style="211" customWidth="1"/>
    <col min="6671" max="6671" width="8.28515625" style="211" customWidth="1"/>
    <col min="6672" max="6672" width="7.85546875" style="211" customWidth="1"/>
    <col min="6673" max="6673" width="8.28515625" style="211" customWidth="1"/>
    <col min="6674" max="6674" width="7.7109375" style="211" customWidth="1"/>
    <col min="6675" max="6912" width="8.85546875" style="211"/>
    <col min="6913" max="6913" width="11.28515625" style="211" customWidth="1"/>
    <col min="6914" max="6914" width="10.42578125" style="211" customWidth="1"/>
    <col min="6915" max="6915" width="7.28515625" style="211" customWidth="1"/>
    <col min="6916" max="6916" width="7.140625" style="211" customWidth="1"/>
    <col min="6917" max="6917" width="7.42578125" style="211" customWidth="1"/>
    <col min="6918" max="6918" width="9.140625" style="211" customWidth="1"/>
    <col min="6919" max="6919" width="8.140625" style="211" customWidth="1"/>
    <col min="6920" max="6920" width="7.28515625" style="211" customWidth="1"/>
    <col min="6921" max="6921" width="9.140625" style="211" customWidth="1"/>
    <col min="6922" max="6922" width="7.7109375" style="211" customWidth="1"/>
    <col min="6923" max="6923" width="8.7109375" style="211" customWidth="1"/>
    <col min="6924" max="6924" width="6.28515625" style="211" customWidth="1"/>
    <col min="6925" max="6925" width="7.28515625" style="211" customWidth="1"/>
    <col min="6926" max="6926" width="6.7109375" style="211" customWidth="1"/>
    <col min="6927" max="6927" width="8.28515625" style="211" customWidth="1"/>
    <col min="6928" max="6928" width="7.85546875" style="211" customWidth="1"/>
    <col min="6929" max="6929" width="8.28515625" style="211" customWidth="1"/>
    <col min="6930" max="6930" width="7.7109375" style="211" customWidth="1"/>
    <col min="6931" max="7168" width="8.85546875" style="211"/>
    <col min="7169" max="7169" width="11.28515625" style="211" customWidth="1"/>
    <col min="7170" max="7170" width="10.42578125" style="211" customWidth="1"/>
    <col min="7171" max="7171" width="7.28515625" style="211" customWidth="1"/>
    <col min="7172" max="7172" width="7.140625" style="211" customWidth="1"/>
    <col min="7173" max="7173" width="7.42578125" style="211" customWidth="1"/>
    <col min="7174" max="7174" width="9.140625" style="211" customWidth="1"/>
    <col min="7175" max="7175" width="8.140625" style="211" customWidth="1"/>
    <col min="7176" max="7176" width="7.28515625" style="211" customWidth="1"/>
    <col min="7177" max="7177" width="9.140625" style="211" customWidth="1"/>
    <col min="7178" max="7178" width="7.7109375" style="211" customWidth="1"/>
    <col min="7179" max="7179" width="8.7109375" style="211" customWidth="1"/>
    <col min="7180" max="7180" width="6.28515625" style="211" customWidth="1"/>
    <col min="7181" max="7181" width="7.28515625" style="211" customWidth="1"/>
    <col min="7182" max="7182" width="6.7109375" style="211" customWidth="1"/>
    <col min="7183" max="7183" width="8.28515625" style="211" customWidth="1"/>
    <col min="7184" max="7184" width="7.85546875" style="211" customWidth="1"/>
    <col min="7185" max="7185" width="8.28515625" style="211" customWidth="1"/>
    <col min="7186" max="7186" width="7.7109375" style="211" customWidth="1"/>
    <col min="7187" max="7424" width="8.85546875" style="211"/>
    <col min="7425" max="7425" width="11.28515625" style="211" customWidth="1"/>
    <col min="7426" max="7426" width="10.42578125" style="211" customWidth="1"/>
    <col min="7427" max="7427" width="7.28515625" style="211" customWidth="1"/>
    <col min="7428" max="7428" width="7.140625" style="211" customWidth="1"/>
    <col min="7429" max="7429" width="7.42578125" style="211" customWidth="1"/>
    <col min="7430" max="7430" width="9.140625" style="211" customWidth="1"/>
    <col min="7431" max="7431" width="8.140625" style="211" customWidth="1"/>
    <col min="7432" max="7432" width="7.28515625" style="211" customWidth="1"/>
    <col min="7433" max="7433" width="9.140625" style="211" customWidth="1"/>
    <col min="7434" max="7434" width="7.7109375" style="211" customWidth="1"/>
    <col min="7435" max="7435" width="8.7109375" style="211" customWidth="1"/>
    <col min="7436" max="7436" width="6.28515625" style="211" customWidth="1"/>
    <col min="7437" max="7437" width="7.28515625" style="211" customWidth="1"/>
    <col min="7438" max="7438" width="6.7109375" style="211" customWidth="1"/>
    <col min="7439" max="7439" width="8.28515625" style="211" customWidth="1"/>
    <col min="7440" max="7440" width="7.85546875" style="211" customWidth="1"/>
    <col min="7441" max="7441" width="8.28515625" style="211" customWidth="1"/>
    <col min="7442" max="7442" width="7.7109375" style="211" customWidth="1"/>
    <col min="7443" max="7680" width="8.85546875" style="211"/>
    <col min="7681" max="7681" width="11.28515625" style="211" customWidth="1"/>
    <col min="7682" max="7682" width="10.42578125" style="211" customWidth="1"/>
    <col min="7683" max="7683" width="7.28515625" style="211" customWidth="1"/>
    <col min="7684" max="7684" width="7.140625" style="211" customWidth="1"/>
    <col min="7685" max="7685" width="7.42578125" style="211" customWidth="1"/>
    <col min="7686" max="7686" width="9.140625" style="211" customWidth="1"/>
    <col min="7687" max="7687" width="8.140625" style="211" customWidth="1"/>
    <col min="7688" max="7688" width="7.28515625" style="211" customWidth="1"/>
    <col min="7689" max="7689" width="9.140625" style="211" customWidth="1"/>
    <col min="7690" max="7690" width="7.7109375" style="211" customWidth="1"/>
    <col min="7691" max="7691" width="8.7109375" style="211" customWidth="1"/>
    <col min="7692" max="7692" width="6.28515625" style="211" customWidth="1"/>
    <col min="7693" max="7693" width="7.28515625" style="211" customWidth="1"/>
    <col min="7694" max="7694" width="6.7109375" style="211" customWidth="1"/>
    <col min="7695" max="7695" width="8.28515625" style="211" customWidth="1"/>
    <col min="7696" max="7696" width="7.85546875" style="211" customWidth="1"/>
    <col min="7697" max="7697" width="8.28515625" style="211" customWidth="1"/>
    <col min="7698" max="7698" width="7.7109375" style="211" customWidth="1"/>
    <col min="7699" max="7936" width="8.85546875" style="211"/>
    <col min="7937" max="7937" width="11.28515625" style="211" customWidth="1"/>
    <col min="7938" max="7938" width="10.42578125" style="211" customWidth="1"/>
    <col min="7939" max="7939" width="7.28515625" style="211" customWidth="1"/>
    <col min="7940" max="7940" width="7.140625" style="211" customWidth="1"/>
    <col min="7941" max="7941" width="7.42578125" style="211" customWidth="1"/>
    <col min="7942" max="7942" width="9.140625" style="211" customWidth="1"/>
    <col min="7943" max="7943" width="8.140625" style="211" customWidth="1"/>
    <col min="7944" max="7944" width="7.28515625" style="211" customWidth="1"/>
    <col min="7945" max="7945" width="9.140625" style="211" customWidth="1"/>
    <col min="7946" max="7946" width="7.7109375" style="211" customWidth="1"/>
    <col min="7947" max="7947" width="8.7109375" style="211" customWidth="1"/>
    <col min="7948" max="7948" width="6.28515625" style="211" customWidth="1"/>
    <col min="7949" max="7949" width="7.28515625" style="211" customWidth="1"/>
    <col min="7950" max="7950" width="6.7109375" style="211" customWidth="1"/>
    <col min="7951" max="7951" width="8.28515625" style="211" customWidth="1"/>
    <col min="7952" max="7952" width="7.85546875" style="211" customWidth="1"/>
    <col min="7953" max="7953" width="8.28515625" style="211" customWidth="1"/>
    <col min="7954" max="7954" width="7.7109375" style="211" customWidth="1"/>
    <col min="7955" max="8192" width="8.85546875" style="211"/>
    <col min="8193" max="8193" width="11.28515625" style="211" customWidth="1"/>
    <col min="8194" max="8194" width="10.42578125" style="211" customWidth="1"/>
    <col min="8195" max="8195" width="7.28515625" style="211" customWidth="1"/>
    <col min="8196" max="8196" width="7.140625" style="211" customWidth="1"/>
    <col min="8197" max="8197" width="7.42578125" style="211" customWidth="1"/>
    <col min="8198" max="8198" width="9.140625" style="211" customWidth="1"/>
    <col min="8199" max="8199" width="8.140625" style="211" customWidth="1"/>
    <col min="8200" max="8200" width="7.28515625" style="211" customWidth="1"/>
    <col min="8201" max="8201" width="9.140625" style="211" customWidth="1"/>
    <col min="8202" max="8202" width="7.7109375" style="211" customWidth="1"/>
    <col min="8203" max="8203" width="8.7109375" style="211" customWidth="1"/>
    <col min="8204" max="8204" width="6.28515625" style="211" customWidth="1"/>
    <col min="8205" max="8205" width="7.28515625" style="211" customWidth="1"/>
    <col min="8206" max="8206" width="6.7109375" style="211" customWidth="1"/>
    <col min="8207" max="8207" width="8.28515625" style="211" customWidth="1"/>
    <col min="8208" max="8208" width="7.85546875" style="211" customWidth="1"/>
    <col min="8209" max="8209" width="8.28515625" style="211" customWidth="1"/>
    <col min="8210" max="8210" width="7.7109375" style="211" customWidth="1"/>
    <col min="8211" max="8448" width="8.85546875" style="211"/>
    <col min="8449" max="8449" width="11.28515625" style="211" customWidth="1"/>
    <col min="8450" max="8450" width="10.42578125" style="211" customWidth="1"/>
    <col min="8451" max="8451" width="7.28515625" style="211" customWidth="1"/>
    <col min="8452" max="8452" width="7.140625" style="211" customWidth="1"/>
    <col min="8453" max="8453" width="7.42578125" style="211" customWidth="1"/>
    <col min="8454" max="8454" width="9.140625" style="211" customWidth="1"/>
    <col min="8455" max="8455" width="8.140625" style="211" customWidth="1"/>
    <col min="8456" max="8456" width="7.28515625" style="211" customWidth="1"/>
    <col min="8457" max="8457" width="9.140625" style="211" customWidth="1"/>
    <col min="8458" max="8458" width="7.7109375" style="211" customWidth="1"/>
    <col min="8459" max="8459" width="8.7109375" style="211" customWidth="1"/>
    <col min="8460" max="8460" width="6.28515625" style="211" customWidth="1"/>
    <col min="8461" max="8461" width="7.28515625" style="211" customWidth="1"/>
    <col min="8462" max="8462" width="6.7109375" style="211" customWidth="1"/>
    <col min="8463" max="8463" width="8.28515625" style="211" customWidth="1"/>
    <col min="8464" max="8464" width="7.85546875" style="211" customWidth="1"/>
    <col min="8465" max="8465" width="8.28515625" style="211" customWidth="1"/>
    <col min="8466" max="8466" width="7.7109375" style="211" customWidth="1"/>
    <col min="8467" max="8704" width="8.85546875" style="211"/>
    <col min="8705" max="8705" width="11.28515625" style="211" customWidth="1"/>
    <col min="8706" max="8706" width="10.42578125" style="211" customWidth="1"/>
    <col min="8707" max="8707" width="7.28515625" style="211" customWidth="1"/>
    <col min="8708" max="8708" width="7.140625" style="211" customWidth="1"/>
    <col min="8709" max="8709" width="7.42578125" style="211" customWidth="1"/>
    <col min="8710" max="8710" width="9.140625" style="211" customWidth="1"/>
    <col min="8711" max="8711" width="8.140625" style="211" customWidth="1"/>
    <col min="8712" max="8712" width="7.28515625" style="211" customWidth="1"/>
    <col min="8713" max="8713" width="9.140625" style="211" customWidth="1"/>
    <col min="8714" max="8714" width="7.7109375" style="211" customWidth="1"/>
    <col min="8715" max="8715" width="8.7109375" style="211" customWidth="1"/>
    <col min="8716" max="8716" width="6.28515625" style="211" customWidth="1"/>
    <col min="8717" max="8717" width="7.28515625" style="211" customWidth="1"/>
    <col min="8718" max="8718" width="6.7109375" style="211" customWidth="1"/>
    <col min="8719" max="8719" width="8.28515625" style="211" customWidth="1"/>
    <col min="8720" max="8720" width="7.85546875" style="211" customWidth="1"/>
    <col min="8721" max="8721" width="8.28515625" style="211" customWidth="1"/>
    <col min="8722" max="8722" width="7.7109375" style="211" customWidth="1"/>
    <col min="8723" max="8960" width="8.85546875" style="211"/>
    <col min="8961" max="8961" width="11.28515625" style="211" customWidth="1"/>
    <col min="8962" max="8962" width="10.42578125" style="211" customWidth="1"/>
    <col min="8963" max="8963" width="7.28515625" style="211" customWidth="1"/>
    <col min="8964" max="8964" width="7.140625" style="211" customWidth="1"/>
    <col min="8965" max="8965" width="7.42578125" style="211" customWidth="1"/>
    <col min="8966" max="8966" width="9.140625" style="211" customWidth="1"/>
    <col min="8967" max="8967" width="8.140625" style="211" customWidth="1"/>
    <col min="8968" max="8968" width="7.28515625" style="211" customWidth="1"/>
    <col min="8969" max="8969" width="9.140625" style="211" customWidth="1"/>
    <col min="8970" max="8970" width="7.7109375" style="211" customWidth="1"/>
    <col min="8971" max="8971" width="8.7109375" style="211" customWidth="1"/>
    <col min="8972" max="8972" width="6.28515625" style="211" customWidth="1"/>
    <col min="8973" max="8973" width="7.28515625" style="211" customWidth="1"/>
    <col min="8974" max="8974" width="6.7109375" style="211" customWidth="1"/>
    <col min="8975" max="8975" width="8.28515625" style="211" customWidth="1"/>
    <col min="8976" max="8976" width="7.85546875" style="211" customWidth="1"/>
    <col min="8977" max="8977" width="8.28515625" style="211" customWidth="1"/>
    <col min="8978" max="8978" width="7.7109375" style="211" customWidth="1"/>
    <col min="8979" max="9216" width="8.85546875" style="211"/>
    <col min="9217" max="9217" width="11.28515625" style="211" customWidth="1"/>
    <col min="9218" max="9218" width="10.42578125" style="211" customWidth="1"/>
    <col min="9219" max="9219" width="7.28515625" style="211" customWidth="1"/>
    <col min="9220" max="9220" width="7.140625" style="211" customWidth="1"/>
    <col min="9221" max="9221" width="7.42578125" style="211" customWidth="1"/>
    <col min="9222" max="9222" width="9.140625" style="211" customWidth="1"/>
    <col min="9223" max="9223" width="8.140625" style="211" customWidth="1"/>
    <col min="9224" max="9224" width="7.28515625" style="211" customWidth="1"/>
    <col min="9225" max="9225" width="9.140625" style="211" customWidth="1"/>
    <col min="9226" max="9226" width="7.7109375" style="211" customWidth="1"/>
    <col min="9227" max="9227" width="8.7109375" style="211" customWidth="1"/>
    <col min="9228" max="9228" width="6.28515625" style="211" customWidth="1"/>
    <col min="9229" max="9229" width="7.28515625" style="211" customWidth="1"/>
    <col min="9230" max="9230" width="6.7109375" style="211" customWidth="1"/>
    <col min="9231" max="9231" width="8.28515625" style="211" customWidth="1"/>
    <col min="9232" max="9232" width="7.85546875" style="211" customWidth="1"/>
    <col min="9233" max="9233" width="8.28515625" style="211" customWidth="1"/>
    <col min="9234" max="9234" width="7.7109375" style="211" customWidth="1"/>
    <col min="9235" max="9472" width="8.85546875" style="211"/>
    <col min="9473" max="9473" width="11.28515625" style="211" customWidth="1"/>
    <col min="9474" max="9474" width="10.42578125" style="211" customWidth="1"/>
    <col min="9475" max="9475" width="7.28515625" style="211" customWidth="1"/>
    <col min="9476" max="9476" width="7.140625" style="211" customWidth="1"/>
    <col min="9477" max="9477" width="7.42578125" style="211" customWidth="1"/>
    <col min="9478" max="9478" width="9.140625" style="211" customWidth="1"/>
    <col min="9479" max="9479" width="8.140625" style="211" customWidth="1"/>
    <col min="9480" max="9480" width="7.28515625" style="211" customWidth="1"/>
    <col min="9481" max="9481" width="9.140625" style="211" customWidth="1"/>
    <col min="9482" max="9482" width="7.7109375" style="211" customWidth="1"/>
    <col min="9483" max="9483" width="8.7109375" style="211" customWidth="1"/>
    <col min="9484" max="9484" width="6.28515625" style="211" customWidth="1"/>
    <col min="9485" max="9485" width="7.28515625" style="211" customWidth="1"/>
    <col min="9486" max="9486" width="6.7109375" style="211" customWidth="1"/>
    <col min="9487" max="9487" width="8.28515625" style="211" customWidth="1"/>
    <col min="9488" max="9488" width="7.85546875" style="211" customWidth="1"/>
    <col min="9489" max="9489" width="8.28515625" style="211" customWidth="1"/>
    <col min="9490" max="9490" width="7.7109375" style="211" customWidth="1"/>
    <col min="9491" max="9728" width="8.85546875" style="211"/>
    <col min="9729" max="9729" width="11.28515625" style="211" customWidth="1"/>
    <col min="9730" max="9730" width="10.42578125" style="211" customWidth="1"/>
    <col min="9731" max="9731" width="7.28515625" style="211" customWidth="1"/>
    <col min="9732" max="9732" width="7.140625" style="211" customWidth="1"/>
    <col min="9733" max="9733" width="7.42578125" style="211" customWidth="1"/>
    <col min="9734" max="9734" width="9.140625" style="211" customWidth="1"/>
    <col min="9735" max="9735" width="8.140625" style="211" customWidth="1"/>
    <col min="9736" max="9736" width="7.28515625" style="211" customWidth="1"/>
    <col min="9737" max="9737" width="9.140625" style="211" customWidth="1"/>
    <col min="9738" max="9738" width="7.7109375" style="211" customWidth="1"/>
    <col min="9739" max="9739" width="8.7109375" style="211" customWidth="1"/>
    <col min="9740" max="9740" width="6.28515625" style="211" customWidth="1"/>
    <col min="9741" max="9741" width="7.28515625" style="211" customWidth="1"/>
    <col min="9742" max="9742" width="6.7109375" style="211" customWidth="1"/>
    <col min="9743" max="9743" width="8.28515625" style="211" customWidth="1"/>
    <col min="9744" max="9744" width="7.85546875" style="211" customWidth="1"/>
    <col min="9745" max="9745" width="8.28515625" style="211" customWidth="1"/>
    <col min="9746" max="9746" width="7.7109375" style="211" customWidth="1"/>
    <col min="9747" max="9984" width="8.85546875" style="211"/>
    <col min="9985" max="9985" width="11.28515625" style="211" customWidth="1"/>
    <col min="9986" max="9986" width="10.42578125" style="211" customWidth="1"/>
    <col min="9987" max="9987" width="7.28515625" style="211" customWidth="1"/>
    <col min="9988" max="9988" width="7.140625" style="211" customWidth="1"/>
    <col min="9989" max="9989" width="7.42578125" style="211" customWidth="1"/>
    <col min="9990" max="9990" width="9.140625" style="211" customWidth="1"/>
    <col min="9991" max="9991" width="8.140625" style="211" customWidth="1"/>
    <col min="9992" max="9992" width="7.28515625" style="211" customWidth="1"/>
    <col min="9993" max="9993" width="9.140625" style="211" customWidth="1"/>
    <col min="9994" max="9994" width="7.7109375" style="211" customWidth="1"/>
    <col min="9995" max="9995" width="8.7109375" style="211" customWidth="1"/>
    <col min="9996" max="9996" width="6.28515625" style="211" customWidth="1"/>
    <col min="9997" max="9997" width="7.28515625" style="211" customWidth="1"/>
    <col min="9998" max="9998" width="6.7109375" style="211" customWidth="1"/>
    <col min="9999" max="9999" width="8.28515625" style="211" customWidth="1"/>
    <col min="10000" max="10000" width="7.85546875" style="211" customWidth="1"/>
    <col min="10001" max="10001" width="8.28515625" style="211" customWidth="1"/>
    <col min="10002" max="10002" width="7.7109375" style="211" customWidth="1"/>
    <col min="10003" max="10240" width="8.85546875" style="211"/>
    <col min="10241" max="10241" width="11.28515625" style="211" customWidth="1"/>
    <col min="10242" max="10242" width="10.42578125" style="211" customWidth="1"/>
    <col min="10243" max="10243" width="7.28515625" style="211" customWidth="1"/>
    <col min="10244" max="10244" width="7.140625" style="211" customWidth="1"/>
    <col min="10245" max="10245" width="7.42578125" style="211" customWidth="1"/>
    <col min="10246" max="10246" width="9.140625" style="211" customWidth="1"/>
    <col min="10247" max="10247" width="8.140625" style="211" customWidth="1"/>
    <col min="10248" max="10248" width="7.28515625" style="211" customWidth="1"/>
    <col min="10249" max="10249" width="9.140625" style="211" customWidth="1"/>
    <col min="10250" max="10250" width="7.7109375" style="211" customWidth="1"/>
    <col min="10251" max="10251" width="8.7109375" style="211" customWidth="1"/>
    <col min="10252" max="10252" width="6.28515625" style="211" customWidth="1"/>
    <col min="10253" max="10253" width="7.28515625" style="211" customWidth="1"/>
    <col min="10254" max="10254" width="6.7109375" style="211" customWidth="1"/>
    <col min="10255" max="10255" width="8.28515625" style="211" customWidth="1"/>
    <col min="10256" max="10256" width="7.85546875" style="211" customWidth="1"/>
    <col min="10257" max="10257" width="8.28515625" style="211" customWidth="1"/>
    <col min="10258" max="10258" width="7.7109375" style="211" customWidth="1"/>
    <col min="10259" max="10496" width="8.85546875" style="211"/>
    <col min="10497" max="10497" width="11.28515625" style="211" customWidth="1"/>
    <col min="10498" max="10498" width="10.42578125" style="211" customWidth="1"/>
    <col min="10499" max="10499" width="7.28515625" style="211" customWidth="1"/>
    <col min="10500" max="10500" width="7.140625" style="211" customWidth="1"/>
    <col min="10501" max="10501" width="7.42578125" style="211" customWidth="1"/>
    <col min="10502" max="10502" width="9.140625" style="211" customWidth="1"/>
    <col min="10503" max="10503" width="8.140625" style="211" customWidth="1"/>
    <col min="10504" max="10504" width="7.28515625" style="211" customWidth="1"/>
    <col min="10505" max="10505" width="9.140625" style="211" customWidth="1"/>
    <col min="10506" max="10506" width="7.7109375" style="211" customWidth="1"/>
    <col min="10507" max="10507" width="8.7109375" style="211" customWidth="1"/>
    <col min="10508" max="10508" width="6.28515625" style="211" customWidth="1"/>
    <col min="10509" max="10509" width="7.28515625" style="211" customWidth="1"/>
    <col min="10510" max="10510" width="6.7109375" style="211" customWidth="1"/>
    <col min="10511" max="10511" width="8.28515625" style="211" customWidth="1"/>
    <col min="10512" max="10512" width="7.85546875" style="211" customWidth="1"/>
    <col min="10513" max="10513" width="8.28515625" style="211" customWidth="1"/>
    <col min="10514" max="10514" width="7.7109375" style="211" customWidth="1"/>
    <col min="10515" max="10752" width="8.85546875" style="211"/>
    <col min="10753" max="10753" width="11.28515625" style="211" customWidth="1"/>
    <col min="10754" max="10754" width="10.42578125" style="211" customWidth="1"/>
    <col min="10755" max="10755" width="7.28515625" style="211" customWidth="1"/>
    <col min="10756" max="10756" width="7.140625" style="211" customWidth="1"/>
    <col min="10757" max="10757" width="7.42578125" style="211" customWidth="1"/>
    <col min="10758" max="10758" width="9.140625" style="211" customWidth="1"/>
    <col min="10759" max="10759" width="8.140625" style="211" customWidth="1"/>
    <col min="10760" max="10760" width="7.28515625" style="211" customWidth="1"/>
    <col min="10761" max="10761" width="9.140625" style="211" customWidth="1"/>
    <col min="10762" max="10762" width="7.7109375" style="211" customWidth="1"/>
    <col min="10763" max="10763" width="8.7109375" style="211" customWidth="1"/>
    <col min="10764" max="10764" width="6.28515625" style="211" customWidth="1"/>
    <col min="10765" max="10765" width="7.28515625" style="211" customWidth="1"/>
    <col min="10766" max="10766" width="6.7109375" style="211" customWidth="1"/>
    <col min="10767" max="10767" width="8.28515625" style="211" customWidth="1"/>
    <col min="10768" max="10768" width="7.85546875" style="211" customWidth="1"/>
    <col min="10769" max="10769" width="8.28515625" style="211" customWidth="1"/>
    <col min="10770" max="10770" width="7.7109375" style="211" customWidth="1"/>
    <col min="10771" max="11008" width="8.85546875" style="211"/>
    <col min="11009" max="11009" width="11.28515625" style="211" customWidth="1"/>
    <col min="11010" max="11010" width="10.42578125" style="211" customWidth="1"/>
    <col min="11011" max="11011" width="7.28515625" style="211" customWidth="1"/>
    <col min="11012" max="11012" width="7.140625" style="211" customWidth="1"/>
    <col min="11013" max="11013" width="7.42578125" style="211" customWidth="1"/>
    <col min="11014" max="11014" width="9.140625" style="211" customWidth="1"/>
    <col min="11015" max="11015" width="8.140625" style="211" customWidth="1"/>
    <col min="11016" max="11016" width="7.28515625" style="211" customWidth="1"/>
    <col min="11017" max="11017" width="9.140625" style="211" customWidth="1"/>
    <col min="11018" max="11018" width="7.7109375" style="211" customWidth="1"/>
    <col min="11019" max="11019" width="8.7109375" style="211" customWidth="1"/>
    <col min="11020" max="11020" width="6.28515625" style="211" customWidth="1"/>
    <col min="11021" max="11021" width="7.28515625" style="211" customWidth="1"/>
    <col min="11022" max="11022" width="6.7109375" style="211" customWidth="1"/>
    <col min="11023" max="11023" width="8.28515625" style="211" customWidth="1"/>
    <col min="11024" max="11024" width="7.85546875" style="211" customWidth="1"/>
    <col min="11025" max="11025" width="8.28515625" style="211" customWidth="1"/>
    <col min="11026" max="11026" width="7.7109375" style="211" customWidth="1"/>
    <col min="11027" max="11264" width="8.85546875" style="211"/>
    <col min="11265" max="11265" width="11.28515625" style="211" customWidth="1"/>
    <col min="11266" max="11266" width="10.42578125" style="211" customWidth="1"/>
    <col min="11267" max="11267" width="7.28515625" style="211" customWidth="1"/>
    <col min="11268" max="11268" width="7.140625" style="211" customWidth="1"/>
    <col min="11269" max="11269" width="7.42578125" style="211" customWidth="1"/>
    <col min="11270" max="11270" width="9.140625" style="211" customWidth="1"/>
    <col min="11271" max="11271" width="8.140625" style="211" customWidth="1"/>
    <col min="11272" max="11272" width="7.28515625" style="211" customWidth="1"/>
    <col min="11273" max="11273" width="9.140625" style="211" customWidth="1"/>
    <col min="11274" max="11274" width="7.7109375" style="211" customWidth="1"/>
    <col min="11275" max="11275" width="8.7109375" style="211" customWidth="1"/>
    <col min="11276" max="11276" width="6.28515625" style="211" customWidth="1"/>
    <col min="11277" max="11277" width="7.28515625" style="211" customWidth="1"/>
    <col min="11278" max="11278" width="6.7109375" style="211" customWidth="1"/>
    <col min="11279" max="11279" width="8.28515625" style="211" customWidth="1"/>
    <col min="11280" max="11280" width="7.85546875" style="211" customWidth="1"/>
    <col min="11281" max="11281" width="8.28515625" style="211" customWidth="1"/>
    <col min="11282" max="11282" width="7.7109375" style="211" customWidth="1"/>
    <col min="11283" max="11520" width="8.85546875" style="211"/>
    <col min="11521" max="11521" width="11.28515625" style="211" customWidth="1"/>
    <col min="11522" max="11522" width="10.42578125" style="211" customWidth="1"/>
    <col min="11523" max="11523" width="7.28515625" style="211" customWidth="1"/>
    <col min="11524" max="11524" width="7.140625" style="211" customWidth="1"/>
    <col min="11525" max="11525" width="7.42578125" style="211" customWidth="1"/>
    <col min="11526" max="11526" width="9.140625" style="211" customWidth="1"/>
    <col min="11527" max="11527" width="8.140625" style="211" customWidth="1"/>
    <col min="11528" max="11528" width="7.28515625" style="211" customWidth="1"/>
    <col min="11529" max="11529" width="9.140625" style="211" customWidth="1"/>
    <col min="11530" max="11530" width="7.7109375" style="211" customWidth="1"/>
    <col min="11531" max="11531" width="8.7109375" style="211" customWidth="1"/>
    <col min="11532" max="11532" width="6.28515625" style="211" customWidth="1"/>
    <col min="11533" max="11533" width="7.28515625" style="211" customWidth="1"/>
    <col min="11534" max="11534" width="6.7109375" style="211" customWidth="1"/>
    <col min="11535" max="11535" width="8.28515625" style="211" customWidth="1"/>
    <col min="11536" max="11536" width="7.85546875" style="211" customWidth="1"/>
    <col min="11537" max="11537" width="8.28515625" style="211" customWidth="1"/>
    <col min="11538" max="11538" width="7.7109375" style="211" customWidth="1"/>
    <col min="11539" max="11776" width="8.85546875" style="211"/>
    <col min="11777" max="11777" width="11.28515625" style="211" customWidth="1"/>
    <col min="11778" max="11778" width="10.42578125" style="211" customWidth="1"/>
    <col min="11779" max="11779" width="7.28515625" style="211" customWidth="1"/>
    <col min="11780" max="11780" width="7.140625" style="211" customWidth="1"/>
    <col min="11781" max="11781" width="7.42578125" style="211" customWidth="1"/>
    <col min="11782" max="11782" width="9.140625" style="211" customWidth="1"/>
    <col min="11783" max="11783" width="8.140625" style="211" customWidth="1"/>
    <col min="11784" max="11784" width="7.28515625" style="211" customWidth="1"/>
    <col min="11785" max="11785" width="9.140625" style="211" customWidth="1"/>
    <col min="11786" max="11786" width="7.7109375" style="211" customWidth="1"/>
    <col min="11787" max="11787" width="8.7109375" style="211" customWidth="1"/>
    <col min="11788" max="11788" width="6.28515625" style="211" customWidth="1"/>
    <col min="11789" max="11789" width="7.28515625" style="211" customWidth="1"/>
    <col min="11790" max="11790" width="6.7109375" style="211" customWidth="1"/>
    <col min="11791" max="11791" width="8.28515625" style="211" customWidth="1"/>
    <col min="11792" max="11792" width="7.85546875" style="211" customWidth="1"/>
    <col min="11793" max="11793" width="8.28515625" style="211" customWidth="1"/>
    <col min="11794" max="11794" width="7.7109375" style="211" customWidth="1"/>
    <col min="11795" max="12032" width="8.85546875" style="211"/>
    <col min="12033" max="12033" width="11.28515625" style="211" customWidth="1"/>
    <col min="12034" max="12034" width="10.42578125" style="211" customWidth="1"/>
    <col min="12035" max="12035" width="7.28515625" style="211" customWidth="1"/>
    <col min="12036" max="12036" width="7.140625" style="211" customWidth="1"/>
    <col min="12037" max="12037" width="7.42578125" style="211" customWidth="1"/>
    <col min="12038" max="12038" width="9.140625" style="211" customWidth="1"/>
    <col min="12039" max="12039" width="8.140625" style="211" customWidth="1"/>
    <col min="12040" max="12040" width="7.28515625" style="211" customWidth="1"/>
    <col min="12041" max="12041" width="9.140625" style="211" customWidth="1"/>
    <col min="12042" max="12042" width="7.7109375" style="211" customWidth="1"/>
    <col min="12043" max="12043" width="8.7109375" style="211" customWidth="1"/>
    <col min="12044" max="12044" width="6.28515625" style="211" customWidth="1"/>
    <col min="12045" max="12045" width="7.28515625" style="211" customWidth="1"/>
    <col min="12046" max="12046" width="6.7109375" style="211" customWidth="1"/>
    <col min="12047" max="12047" width="8.28515625" style="211" customWidth="1"/>
    <col min="12048" max="12048" width="7.85546875" style="211" customWidth="1"/>
    <col min="12049" max="12049" width="8.28515625" style="211" customWidth="1"/>
    <col min="12050" max="12050" width="7.7109375" style="211" customWidth="1"/>
    <col min="12051" max="12288" width="8.85546875" style="211"/>
    <col min="12289" max="12289" width="11.28515625" style="211" customWidth="1"/>
    <col min="12290" max="12290" width="10.42578125" style="211" customWidth="1"/>
    <col min="12291" max="12291" width="7.28515625" style="211" customWidth="1"/>
    <col min="12292" max="12292" width="7.140625" style="211" customWidth="1"/>
    <col min="12293" max="12293" width="7.42578125" style="211" customWidth="1"/>
    <col min="12294" max="12294" width="9.140625" style="211" customWidth="1"/>
    <col min="12295" max="12295" width="8.140625" style="211" customWidth="1"/>
    <col min="12296" max="12296" width="7.28515625" style="211" customWidth="1"/>
    <col min="12297" max="12297" width="9.140625" style="211" customWidth="1"/>
    <col min="12298" max="12298" width="7.7109375" style="211" customWidth="1"/>
    <col min="12299" max="12299" width="8.7109375" style="211" customWidth="1"/>
    <col min="12300" max="12300" width="6.28515625" style="211" customWidth="1"/>
    <col min="12301" max="12301" width="7.28515625" style="211" customWidth="1"/>
    <col min="12302" max="12302" width="6.7109375" style="211" customWidth="1"/>
    <col min="12303" max="12303" width="8.28515625" style="211" customWidth="1"/>
    <col min="12304" max="12304" width="7.85546875" style="211" customWidth="1"/>
    <col min="12305" max="12305" width="8.28515625" style="211" customWidth="1"/>
    <col min="12306" max="12306" width="7.7109375" style="211" customWidth="1"/>
    <col min="12307" max="12544" width="8.85546875" style="211"/>
    <col min="12545" max="12545" width="11.28515625" style="211" customWidth="1"/>
    <col min="12546" max="12546" width="10.42578125" style="211" customWidth="1"/>
    <col min="12547" max="12547" width="7.28515625" style="211" customWidth="1"/>
    <col min="12548" max="12548" width="7.140625" style="211" customWidth="1"/>
    <col min="12549" max="12549" width="7.42578125" style="211" customWidth="1"/>
    <col min="12550" max="12550" width="9.140625" style="211" customWidth="1"/>
    <col min="12551" max="12551" width="8.140625" style="211" customWidth="1"/>
    <col min="12552" max="12552" width="7.28515625" style="211" customWidth="1"/>
    <col min="12553" max="12553" width="9.140625" style="211" customWidth="1"/>
    <col min="12554" max="12554" width="7.7109375" style="211" customWidth="1"/>
    <col min="12555" max="12555" width="8.7109375" style="211" customWidth="1"/>
    <col min="12556" max="12556" width="6.28515625" style="211" customWidth="1"/>
    <col min="12557" max="12557" width="7.28515625" style="211" customWidth="1"/>
    <col min="12558" max="12558" width="6.7109375" style="211" customWidth="1"/>
    <col min="12559" max="12559" width="8.28515625" style="211" customWidth="1"/>
    <col min="12560" max="12560" width="7.85546875" style="211" customWidth="1"/>
    <col min="12561" max="12561" width="8.28515625" style="211" customWidth="1"/>
    <col min="12562" max="12562" width="7.7109375" style="211" customWidth="1"/>
    <col min="12563" max="12800" width="8.85546875" style="211"/>
    <col min="12801" max="12801" width="11.28515625" style="211" customWidth="1"/>
    <col min="12802" max="12802" width="10.42578125" style="211" customWidth="1"/>
    <col min="12803" max="12803" width="7.28515625" style="211" customWidth="1"/>
    <col min="12804" max="12804" width="7.140625" style="211" customWidth="1"/>
    <col min="12805" max="12805" width="7.42578125" style="211" customWidth="1"/>
    <col min="12806" max="12806" width="9.140625" style="211" customWidth="1"/>
    <col min="12807" max="12807" width="8.140625" style="211" customWidth="1"/>
    <col min="12808" max="12808" width="7.28515625" style="211" customWidth="1"/>
    <col min="12809" max="12809" width="9.140625" style="211" customWidth="1"/>
    <col min="12810" max="12810" width="7.7109375" style="211" customWidth="1"/>
    <col min="12811" max="12811" width="8.7109375" style="211" customWidth="1"/>
    <col min="12812" max="12812" width="6.28515625" style="211" customWidth="1"/>
    <col min="12813" max="12813" width="7.28515625" style="211" customWidth="1"/>
    <col min="12814" max="12814" width="6.7109375" style="211" customWidth="1"/>
    <col min="12815" max="12815" width="8.28515625" style="211" customWidth="1"/>
    <col min="12816" max="12816" width="7.85546875" style="211" customWidth="1"/>
    <col min="12817" max="12817" width="8.28515625" style="211" customWidth="1"/>
    <col min="12818" max="12818" width="7.7109375" style="211" customWidth="1"/>
    <col min="12819" max="13056" width="8.85546875" style="211"/>
    <col min="13057" max="13057" width="11.28515625" style="211" customWidth="1"/>
    <col min="13058" max="13058" width="10.42578125" style="211" customWidth="1"/>
    <col min="13059" max="13059" width="7.28515625" style="211" customWidth="1"/>
    <col min="13060" max="13060" width="7.140625" style="211" customWidth="1"/>
    <col min="13061" max="13061" width="7.42578125" style="211" customWidth="1"/>
    <col min="13062" max="13062" width="9.140625" style="211" customWidth="1"/>
    <col min="13063" max="13063" width="8.140625" style="211" customWidth="1"/>
    <col min="13064" max="13064" width="7.28515625" style="211" customWidth="1"/>
    <col min="13065" max="13065" width="9.140625" style="211" customWidth="1"/>
    <col min="13066" max="13066" width="7.7109375" style="211" customWidth="1"/>
    <col min="13067" max="13067" width="8.7109375" style="211" customWidth="1"/>
    <col min="13068" max="13068" width="6.28515625" style="211" customWidth="1"/>
    <col min="13069" max="13069" width="7.28515625" style="211" customWidth="1"/>
    <col min="13070" max="13070" width="6.7109375" style="211" customWidth="1"/>
    <col min="13071" max="13071" width="8.28515625" style="211" customWidth="1"/>
    <col min="13072" max="13072" width="7.85546875" style="211" customWidth="1"/>
    <col min="13073" max="13073" width="8.28515625" style="211" customWidth="1"/>
    <col min="13074" max="13074" width="7.7109375" style="211" customWidth="1"/>
    <col min="13075" max="13312" width="8.85546875" style="211"/>
    <col min="13313" max="13313" width="11.28515625" style="211" customWidth="1"/>
    <col min="13314" max="13314" width="10.42578125" style="211" customWidth="1"/>
    <col min="13315" max="13315" width="7.28515625" style="211" customWidth="1"/>
    <col min="13316" max="13316" width="7.140625" style="211" customWidth="1"/>
    <col min="13317" max="13317" width="7.42578125" style="211" customWidth="1"/>
    <col min="13318" max="13318" width="9.140625" style="211" customWidth="1"/>
    <col min="13319" max="13319" width="8.140625" style="211" customWidth="1"/>
    <col min="13320" max="13320" width="7.28515625" style="211" customWidth="1"/>
    <col min="13321" max="13321" width="9.140625" style="211" customWidth="1"/>
    <col min="13322" max="13322" width="7.7109375" style="211" customWidth="1"/>
    <col min="13323" max="13323" width="8.7109375" style="211" customWidth="1"/>
    <col min="13324" max="13324" width="6.28515625" style="211" customWidth="1"/>
    <col min="13325" max="13325" width="7.28515625" style="211" customWidth="1"/>
    <col min="13326" max="13326" width="6.7109375" style="211" customWidth="1"/>
    <col min="13327" max="13327" width="8.28515625" style="211" customWidth="1"/>
    <col min="13328" max="13328" width="7.85546875" style="211" customWidth="1"/>
    <col min="13329" max="13329" width="8.28515625" style="211" customWidth="1"/>
    <col min="13330" max="13330" width="7.7109375" style="211" customWidth="1"/>
    <col min="13331" max="13568" width="8.85546875" style="211"/>
    <col min="13569" max="13569" width="11.28515625" style="211" customWidth="1"/>
    <col min="13570" max="13570" width="10.42578125" style="211" customWidth="1"/>
    <col min="13571" max="13571" width="7.28515625" style="211" customWidth="1"/>
    <col min="13572" max="13572" width="7.140625" style="211" customWidth="1"/>
    <col min="13573" max="13573" width="7.42578125" style="211" customWidth="1"/>
    <col min="13574" max="13574" width="9.140625" style="211" customWidth="1"/>
    <col min="13575" max="13575" width="8.140625" style="211" customWidth="1"/>
    <col min="13576" max="13576" width="7.28515625" style="211" customWidth="1"/>
    <col min="13577" max="13577" width="9.140625" style="211" customWidth="1"/>
    <col min="13578" max="13578" width="7.7109375" style="211" customWidth="1"/>
    <col min="13579" max="13579" width="8.7109375" style="211" customWidth="1"/>
    <col min="13580" max="13580" width="6.28515625" style="211" customWidth="1"/>
    <col min="13581" max="13581" width="7.28515625" style="211" customWidth="1"/>
    <col min="13582" max="13582" width="6.7109375" style="211" customWidth="1"/>
    <col min="13583" max="13583" width="8.28515625" style="211" customWidth="1"/>
    <col min="13584" max="13584" width="7.85546875" style="211" customWidth="1"/>
    <col min="13585" max="13585" width="8.28515625" style="211" customWidth="1"/>
    <col min="13586" max="13586" width="7.7109375" style="211" customWidth="1"/>
    <col min="13587" max="13824" width="8.85546875" style="211"/>
    <col min="13825" max="13825" width="11.28515625" style="211" customWidth="1"/>
    <col min="13826" max="13826" width="10.42578125" style="211" customWidth="1"/>
    <col min="13827" max="13827" width="7.28515625" style="211" customWidth="1"/>
    <col min="13828" max="13828" width="7.140625" style="211" customWidth="1"/>
    <col min="13829" max="13829" width="7.42578125" style="211" customWidth="1"/>
    <col min="13830" max="13830" width="9.140625" style="211" customWidth="1"/>
    <col min="13831" max="13831" width="8.140625" style="211" customWidth="1"/>
    <col min="13832" max="13832" width="7.28515625" style="211" customWidth="1"/>
    <col min="13833" max="13833" width="9.140625" style="211" customWidth="1"/>
    <col min="13834" max="13834" width="7.7109375" style="211" customWidth="1"/>
    <col min="13835" max="13835" width="8.7109375" style="211" customWidth="1"/>
    <col min="13836" max="13836" width="6.28515625" style="211" customWidth="1"/>
    <col min="13837" max="13837" width="7.28515625" style="211" customWidth="1"/>
    <col min="13838" max="13838" width="6.7109375" style="211" customWidth="1"/>
    <col min="13839" max="13839" width="8.28515625" style="211" customWidth="1"/>
    <col min="13840" max="13840" width="7.85546875" style="211" customWidth="1"/>
    <col min="13841" max="13841" width="8.28515625" style="211" customWidth="1"/>
    <col min="13842" max="13842" width="7.7109375" style="211" customWidth="1"/>
    <col min="13843" max="14080" width="8.85546875" style="211"/>
    <col min="14081" max="14081" width="11.28515625" style="211" customWidth="1"/>
    <col min="14082" max="14082" width="10.42578125" style="211" customWidth="1"/>
    <col min="14083" max="14083" width="7.28515625" style="211" customWidth="1"/>
    <col min="14084" max="14084" width="7.140625" style="211" customWidth="1"/>
    <col min="14085" max="14085" width="7.42578125" style="211" customWidth="1"/>
    <col min="14086" max="14086" width="9.140625" style="211" customWidth="1"/>
    <col min="14087" max="14087" width="8.140625" style="211" customWidth="1"/>
    <col min="14088" max="14088" width="7.28515625" style="211" customWidth="1"/>
    <col min="14089" max="14089" width="9.140625" style="211" customWidth="1"/>
    <col min="14090" max="14090" width="7.7109375" style="211" customWidth="1"/>
    <col min="14091" max="14091" width="8.7109375" style="211" customWidth="1"/>
    <col min="14092" max="14092" width="6.28515625" style="211" customWidth="1"/>
    <col min="14093" max="14093" width="7.28515625" style="211" customWidth="1"/>
    <col min="14094" max="14094" width="6.7109375" style="211" customWidth="1"/>
    <col min="14095" max="14095" width="8.28515625" style="211" customWidth="1"/>
    <col min="14096" max="14096" width="7.85546875" style="211" customWidth="1"/>
    <col min="14097" max="14097" width="8.28515625" style="211" customWidth="1"/>
    <col min="14098" max="14098" width="7.7109375" style="211" customWidth="1"/>
    <col min="14099" max="14336" width="8.85546875" style="211"/>
    <col min="14337" max="14337" width="11.28515625" style="211" customWidth="1"/>
    <col min="14338" max="14338" width="10.42578125" style="211" customWidth="1"/>
    <col min="14339" max="14339" width="7.28515625" style="211" customWidth="1"/>
    <col min="14340" max="14340" width="7.140625" style="211" customWidth="1"/>
    <col min="14341" max="14341" width="7.42578125" style="211" customWidth="1"/>
    <col min="14342" max="14342" width="9.140625" style="211" customWidth="1"/>
    <col min="14343" max="14343" width="8.140625" style="211" customWidth="1"/>
    <col min="14344" max="14344" width="7.28515625" style="211" customWidth="1"/>
    <col min="14345" max="14345" width="9.140625" style="211" customWidth="1"/>
    <col min="14346" max="14346" width="7.7109375" style="211" customWidth="1"/>
    <col min="14347" max="14347" width="8.7109375" style="211" customWidth="1"/>
    <col min="14348" max="14348" width="6.28515625" style="211" customWidth="1"/>
    <col min="14349" max="14349" width="7.28515625" style="211" customWidth="1"/>
    <col min="14350" max="14350" width="6.7109375" style="211" customWidth="1"/>
    <col min="14351" max="14351" width="8.28515625" style="211" customWidth="1"/>
    <col min="14352" max="14352" width="7.85546875" style="211" customWidth="1"/>
    <col min="14353" max="14353" width="8.28515625" style="211" customWidth="1"/>
    <col min="14354" max="14354" width="7.7109375" style="211" customWidth="1"/>
    <col min="14355" max="14592" width="8.85546875" style="211"/>
    <col min="14593" max="14593" width="11.28515625" style="211" customWidth="1"/>
    <col min="14594" max="14594" width="10.42578125" style="211" customWidth="1"/>
    <col min="14595" max="14595" width="7.28515625" style="211" customWidth="1"/>
    <col min="14596" max="14596" width="7.140625" style="211" customWidth="1"/>
    <col min="14597" max="14597" width="7.42578125" style="211" customWidth="1"/>
    <col min="14598" max="14598" width="9.140625" style="211" customWidth="1"/>
    <col min="14599" max="14599" width="8.140625" style="211" customWidth="1"/>
    <col min="14600" max="14600" width="7.28515625" style="211" customWidth="1"/>
    <col min="14601" max="14601" width="9.140625" style="211" customWidth="1"/>
    <col min="14602" max="14602" width="7.7109375" style="211" customWidth="1"/>
    <col min="14603" max="14603" width="8.7109375" style="211" customWidth="1"/>
    <col min="14604" max="14604" width="6.28515625" style="211" customWidth="1"/>
    <col min="14605" max="14605" width="7.28515625" style="211" customWidth="1"/>
    <col min="14606" max="14606" width="6.7109375" style="211" customWidth="1"/>
    <col min="14607" max="14607" width="8.28515625" style="211" customWidth="1"/>
    <col min="14608" max="14608" width="7.85546875" style="211" customWidth="1"/>
    <col min="14609" max="14609" width="8.28515625" style="211" customWidth="1"/>
    <col min="14610" max="14610" width="7.7109375" style="211" customWidth="1"/>
    <col min="14611" max="14848" width="8.85546875" style="211"/>
    <col min="14849" max="14849" width="11.28515625" style="211" customWidth="1"/>
    <col min="14850" max="14850" width="10.42578125" style="211" customWidth="1"/>
    <col min="14851" max="14851" width="7.28515625" style="211" customWidth="1"/>
    <col min="14852" max="14852" width="7.140625" style="211" customWidth="1"/>
    <col min="14853" max="14853" width="7.42578125" style="211" customWidth="1"/>
    <col min="14854" max="14854" width="9.140625" style="211" customWidth="1"/>
    <col min="14855" max="14855" width="8.140625" style="211" customWidth="1"/>
    <col min="14856" max="14856" width="7.28515625" style="211" customWidth="1"/>
    <col min="14857" max="14857" width="9.140625" style="211" customWidth="1"/>
    <col min="14858" max="14858" width="7.7109375" style="211" customWidth="1"/>
    <col min="14859" max="14859" width="8.7109375" style="211" customWidth="1"/>
    <col min="14860" max="14860" width="6.28515625" style="211" customWidth="1"/>
    <col min="14861" max="14861" width="7.28515625" style="211" customWidth="1"/>
    <col min="14862" max="14862" width="6.7109375" style="211" customWidth="1"/>
    <col min="14863" max="14863" width="8.28515625" style="211" customWidth="1"/>
    <col min="14864" max="14864" width="7.85546875" style="211" customWidth="1"/>
    <col min="14865" max="14865" width="8.28515625" style="211" customWidth="1"/>
    <col min="14866" max="14866" width="7.7109375" style="211" customWidth="1"/>
    <col min="14867" max="15104" width="8.85546875" style="211"/>
    <col min="15105" max="15105" width="11.28515625" style="211" customWidth="1"/>
    <col min="15106" max="15106" width="10.42578125" style="211" customWidth="1"/>
    <col min="15107" max="15107" width="7.28515625" style="211" customWidth="1"/>
    <col min="15108" max="15108" width="7.140625" style="211" customWidth="1"/>
    <col min="15109" max="15109" width="7.42578125" style="211" customWidth="1"/>
    <col min="15110" max="15110" width="9.140625" style="211" customWidth="1"/>
    <col min="15111" max="15111" width="8.140625" style="211" customWidth="1"/>
    <col min="15112" max="15112" width="7.28515625" style="211" customWidth="1"/>
    <col min="15113" max="15113" width="9.140625" style="211" customWidth="1"/>
    <col min="15114" max="15114" width="7.7109375" style="211" customWidth="1"/>
    <col min="15115" max="15115" width="8.7109375" style="211" customWidth="1"/>
    <col min="15116" max="15116" width="6.28515625" style="211" customWidth="1"/>
    <col min="15117" max="15117" width="7.28515625" style="211" customWidth="1"/>
    <col min="15118" max="15118" width="6.7109375" style="211" customWidth="1"/>
    <col min="15119" max="15119" width="8.28515625" style="211" customWidth="1"/>
    <col min="15120" max="15120" width="7.85546875" style="211" customWidth="1"/>
    <col min="15121" max="15121" width="8.28515625" style="211" customWidth="1"/>
    <col min="15122" max="15122" width="7.7109375" style="211" customWidth="1"/>
    <col min="15123" max="15360" width="8.85546875" style="211"/>
    <col min="15361" max="15361" width="11.28515625" style="211" customWidth="1"/>
    <col min="15362" max="15362" width="10.42578125" style="211" customWidth="1"/>
    <col min="15363" max="15363" width="7.28515625" style="211" customWidth="1"/>
    <col min="15364" max="15364" width="7.140625" style="211" customWidth="1"/>
    <col min="15365" max="15365" width="7.42578125" style="211" customWidth="1"/>
    <col min="15366" max="15366" width="9.140625" style="211" customWidth="1"/>
    <col min="15367" max="15367" width="8.140625" style="211" customWidth="1"/>
    <col min="15368" max="15368" width="7.28515625" style="211" customWidth="1"/>
    <col min="15369" max="15369" width="9.140625" style="211" customWidth="1"/>
    <col min="15370" max="15370" width="7.7109375" style="211" customWidth="1"/>
    <col min="15371" max="15371" width="8.7109375" style="211" customWidth="1"/>
    <col min="15372" max="15372" width="6.28515625" style="211" customWidth="1"/>
    <col min="15373" max="15373" width="7.28515625" style="211" customWidth="1"/>
    <col min="15374" max="15374" width="6.7109375" style="211" customWidth="1"/>
    <col min="15375" max="15375" width="8.28515625" style="211" customWidth="1"/>
    <col min="15376" max="15376" width="7.85546875" style="211" customWidth="1"/>
    <col min="15377" max="15377" width="8.28515625" style="211" customWidth="1"/>
    <col min="15378" max="15378" width="7.7109375" style="211" customWidth="1"/>
    <col min="15379" max="15616" width="8.85546875" style="211"/>
    <col min="15617" max="15617" width="11.28515625" style="211" customWidth="1"/>
    <col min="15618" max="15618" width="10.42578125" style="211" customWidth="1"/>
    <col min="15619" max="15619" width="7.28515625" style="211" customWidth="1"/>
    <col min="15620" max="15620" width="7.140625" style="211" customWidth="1"/>
    <col min="15621" max="15621" width="7.42578125" style="211" customWidth="1"/>
    <col min="15622" max="15622" width="9.140625" style="211" customWidth="1"/>
    <col min="15623" max="15623" width="8.140625" style="211" customWidth="1"/>
    <col min="15624" max="15624" width="7.28515625" style="211" customWidth="1"/>
    <col min="15625" max="15625" width="9.140625" style="211" customWidth="1"/>
    <col min="15626" max="15626" width="7.7109375" style="211" customWidth="1"/>
    <col min="15627" max="15627" width="8.7109375" style="211" customWidth="1"/>
    <col min="15628" max="15628" width="6.28515625" style="211" customWidth="1"/>
    <col min="15629" max="15629" width="7.28515625" style="211" customWidth="1"/>
    <col min="15630" max="15630" width="6.7109375" style="211" customWidth="1"/>
    <col min="15631" max="15631" width="8.28515625" style="211" customWidth="1"/>
    <col min="15632" max="15632" width="7.85546875" style="211" customWidth="1"/>
    <col min="15633" max="15633" width="8.28515625" style="211" customWidth="1"/>
    <col min="15634" max="15634" width="7.7109375" style="211" customWidth="1"/>
    <col min="15635" max="15872" width="8.85546875" style="211"/>
    <col min="15873" max="15873" width="11.28515625" style="211" customWidth="1"/>
    <col min="15874" max="15874" width="10.42578125" style="211" customWidth="1"/>
    <col min="15875" max="15875" width="7.28515625" style="211" customWidth="1"/>
    <col min="15876" max="15876" width="7.140625" style="211" customWidth="1"/>
    <col min="15877" max="15877" width="7.42578125" style="211" customWidth="1"/>
    <col min="15878" max="15878" width="9.140625" style="211" customWidth="1"/>
    <col min="15879" max="15879" width="8.140625" style="211" customWidth="1"/>
    <col min="15880" max="15880" width="7.28515625" style="211" customWidth="1"/>
    <col min="15881" max="15881" width="9.140625" style="211" customWidth="1"/>
    <col min="15882" max="15882" width="7.7109375" style="211" customWidth="1"/>
    <col min="15883" max="15883" width="8.7109375" style="211" customWidth="1"/>
    <col min="15884" max="15884" width="6.28515625" style="211" customWidth="1"/>
    <col min="15885" max="15885" width="7.28515625" style="211" customWidth="1"/>
    <col min="15886" max="15886" width="6.7109375" style="211" customWidth="1"/>
    <col min="15887" max="15887" width="8.28515625" style="211" customWidth="1"/>
    <col min="15888" max="15888" width="7.85546875" style="211" customWidth="1"/>
    <col min="15889" max="15889" width="8.28515625" style="211" customWidth="1"/>
    <col min="15890" max="15890" width="7.7109375" style="211" customWidth="1"/>
    <col min="15891" max="16128" width="8.85546875" style="211"/>
    <col min="16129" max="16129" width="11.28515625" style="211" customWidth="1"/>
    <col min="16130" max="16130" width="10.42578125" style="211" customWidth="1"/>
    <col min="16131" max="16131" width="7.28515625" style="211" customWidth="1"/>
    <col min="16132" max="16132" width="7.140625" style="211" customWidth="1"/>
    <col min="16133" max="16133" width="7.42578125" style="211" customWidth="1"/>
    <col min="16134" max="16134" width="9.140625" style="211" customWidth="1"/>
    <col min="16135" max="16135" width="8.140625" style="211" customWidth="1"/>
    <col min="16136" max="16136" width="7.28515625" style="211" customWidth="1"/>
    <col min="16137" max="16137" width="9.140625" style="211" customWidth="1"/>
    <col min="16138" max="16138" width="7.7109375" style="211" customWidth="1"/>
    <col min="16139" max="16139" width="8.7109375" style="211" customWidth="1"/>
    <col min="16140" max="16140" width="6.28515625" style="211" customWidth="1"/>
    <col min="16141" max="16141" width="7.28515625" style="211" customWidth="1"/>
    <col min="16142" max="16142" width="6.7109375" style="211" customWidth="1"/>
    <col min="16143" max="16143" width="8.28515625" style="211" customWidth="1"/>
    <col min="16144" max="16144" width="7.85546875" style="211" customWidth="1"/>
    <col min="16145" max="16145" width="8.28515625" style="211" customWidth="1"/>
    <col min="16146" max="16146" width="7.7109375" style="211" customWidth="1"/>
    <col min="16147" max="16384" width="8.85546875" style="211"/>
  </cols>
  <sheetData>
    <row r="1" spans="1:21" ht="15" customHeight="1"/>
    <row r="2" spans="1:21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21" ht="15.6" customHeight="1">
      <c r="E3" s="1255" t="s">
        <v>168</v>
      </c>
      <c r="F3" s="1255"/>
      <c r="G3" s="1255"/>
      <c r="H3" s="1255"/>
      <c r="I3" s="1255"/>
      <c r="J3" s="1255"/>
    </row>
    <row r="4" spans="1:21" ht="23.45" customHeight="1">
      <c r="A4" s="1256" t="s">
        <v>1900</v>
      </c>
      <c r="B4" s="1256"/>
      <c r="C4" s="1257"/>
      <c r="D4" s="1258" t="s">
        <v>1901</v>
      </c>
      <c r="E4" s="1259"/>
      <c r="F4" s="1260"/>
      <c r="G4" s="212"/>
      <c r="H4" s="212" t="s">
        <v>1902</v>
      </c>
      <c r="I4" s="212"/>
      <c r="J4" s="212"/>
      <c r="K4" s="1261" t="s">
        <v>1903</v>
      </c>
      <c r="L4" s="1262"/>
      <c r="M4" s="1263"/>
      <c r="N4" s="212" t="s">
        <v>5</v>
      </c>
      <c r="O4" s="212"/>
      <c r="P4" s="213">
        <v>681.35799999999995</v>
      </c>
      <c r="Q4" s="214" t="s">
        <v>436</v>
      </c>
      <c r="R4" s="214"/>
      <c r="S4" s="212"/>
      <c r="T4" s="212"/>
      <c r="U4" s="212"/>
    </row>
    <row r="5" spans="1:21" ht="12" customHeight="1">
      <c r="A5" s="808" t="s">
        <v>4176</v>
      </c>
      <c r="B5" s="808"/>
      <c r="C5" s="808"/>
      <c r="D5" s="516"/>
      <c r="E5" s="516"/>
      <c r="F5" s="516"/>
      <c r="G5" s="212"/>
      <c r="H5" s="212"/>
      <c r="I5" s="212"/>
      <c r="J5" s="212"/>
      <c r="K5" s="516"/>
      <c r="L5" s="516"/>
      <c r="M5" s="516"/>
      <c r="N5" s="212"/>
      <c r="O5" s="212"/>
      <c r="P5" s="212"/>
      <c r="Q5" s="214"/>
      <c r="R5" s="215">
        <v>80</v>
      </c>
      <c r="S5" s="212"/>
      <c r="T5" s="212"/>
      <c r="U5" s="212"/>
    </row>
    <row r="6" spans="1:21" ht="12" customHeight="1">
      <c r="A6" s="212" t="s">
        <v>832</v>
      </c>
      <c r="B6" s="212"/>
      <c r="C6" s="212"/>
      <c r="D6" s="1251" t="s">
        <v>1904</v>
      </c>
      <c r="E6" s="1252"/>
      <c r="F6" s="1253"/>
      <c r="G6" s="212"/>
      <c r="H6" s="212" t="s">
        <v>1208</v>
      </c>
      <c r="I6" s="212"/>
      <c r="J6" s="212"/>
      <c r="K6" s="1251" t="s">
        <v>1905</v>
      </c>
      <c r="L6" s="1252"/>
      <c r="M6" s="1253"/>
      <c r="N6" s="212"/>
      <c r="O6" s="212"/>
      <c r="P6" s="212"/>
      <c r="Q6" s="212"/>
      <c r="R6" s="212"/>
      <c r="S6" s="212"/>
      <c r="T6" s="212"/>
      <c r="U6" s="212"/>
    </row>
    <row r="7" spans="1:21" ht="12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</row>
    <row r="8" spans="1:21" ht="12" customHeight="1">
      <c r="A8" s="212" t="s">
        <v>1906</v>
      </c>
      <c r="B8" s="212"/>
      <c r="C8" s="212"/>
      <c r="D8" s="1251" t="s">
        <v>1907</v>
      </c>
      <c r="E8" s="1252"/>
      <c r="F8" s="1253"/>
      <c r="G8" s="212"/>
      <c r="H8" s="1264" t="s">
        <v>1908</v>
      </c>
      <c r="I8" s="1264"/>
      <c r="J8" s="1264"/>
      <c r="K8" s="1265" t="s">
        <v>1907</v>
      </c>
      <c r="L8" s="1265"/>
      <c r="M8" s="1265"/>
      <c r="N8" s="1265"/>
      <c r="O8" s="1265"/>
      <c r="P8" s="212"/>
      <c r="Q8" s="212"/>
      <c r="R8" s="212"/>
      <c r="S8" s="212"/>
      <c r="T8" s="212"/>
      <c r="U8" s="212"/>
    </row>
    <row r="9" spans="1:21" ht="12" customHeight="1">
      <c r="A9" s="212"/>
      <c r="B9" s="212"/>
      <c r="C9" s="212"/>
      <c r="D9" s="212"/>
      <c r="E9" s="212"/>
      <c r="F9" s="212"/>
      <c r="G9" s="212"/>
      <c r="H9" s="1264"/>
      <c r="I9" s="1264"/>
      <c r="J9" s="1264"/>
      <c r="K9" s="1265"/>
      <c r="L9" s="1265"/>
      <c r="M9" s="1265"/>
      <c r="N9" s="1265"/>
      <c r="O9" s="1265"/>
      <c r="P9" s="212"/>
      <c r="Q9" s="212"/>
      <c r="R9" s="212"/>
      <c r="S9" s="212"/>
      <c r="T9" s="212"/>
      <c r="U9" s="212"/>
    </row>
    <row r="10" spans="1:21" ht="12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</row>
    <row r="11" spans="1:21" ht="12" customHeight="1">
      <c r="A11" s="1266" t="s">
        <v>1909</v>
      </c>
      <c r="B11" s="1267"/>
      <c r="C11" s="1268"/>
      <c r="D11" s="1269" t="s">
        <v>1910</v>
      </c>
      <c r="E11" s="1269"/>
      <c r="F11" s="1269"/>
      <c r="G11" s="1269"/>
      <c r="H11" s="1269"/>
      <c r="I11" s="1269"/>
      <c r="J11" s="1269"/>
      <c r="K11" s="1269"/>
      <c r="L11" s="1269"/>
      <c r="M11" s="1270" t="s">
        <v>1911</v>
      </c>
      <c r="N11" s="1270"/>
      <c r="O11" s="1270"/>
      <c r="P11" s="1270"/>
      <c r="Q11" s="1270"/>
      <c r="R11" s="1270"/>
      <c r="S11" s="212"/>
      <c r="T11" s="212"/>
      <c r="U11" s="212"/>
    </row>
    <row r="12" spans="1:21" ht="12" customHeight="1">
      <c r="A12" s="1266" t="s">
        <v>1346</v>
      </c>
      <c r="B12" s="1267"/>
      <c r="C12" s="1268"/>
      <c r="D12" s="1269" t="s">
        <v>1912</v>
      </c>
      <c r="E12" s="1269"/>
      <c r="F12" s="1269"/>
      <c r="G12" s="1269"/>
      <c r="H12" s="1269"/>
      <c r="I12" s="1269"/>
      <c r="J12" s="1269"/>
      <c r="K12" s="1269"/>
      <c r="L12" s="1269"/>
      <c r="M12" s="1269" t="s">
        <v>1913</v>
      </c>
      <c r="N12" s="1269"/>
      <c r="O12" s="1269"/>
      <c r="P12" s="1269"/>
      <c r="Q12" s="1269"/>
      <c r="R12" s="1269"/>
      <c r="S12" s="212"/>
      <c r="T12" s="212"/>
      <c r="U12" s="212"/>
    </row>
    <row r="13" spans="1:21" ht="12.6" customHeight="1">
      <c r="A13" s="1266" t="s">
        <v>844</v>
      </c>
      <c r="B13" s="1267"/>
      <c r="C13" s="1268"/>
      <c r="D13" s="1269" t="s">
        <v>1914</v>
      </c>
      <c r="E13" s="1269"/>
      <c r="F13" s="1269"/>
      <c r="G13" s="1269"/>
      <c r="H13" s="1269"/>
      <c r="I13" s="1269"/>
      <c r="J13" s="1269"/>
      <c r="K13" s="1269"/>
      <c r="L13" s="1269"/>
      <c r="M13" s="1269" t="s">
        <v>1915</v>
      </c>
      <c r="N13" s="1269"/>
      <c r="O13" s="1269"/>
      <c r="P13" s="1269"/>
      <c r="Q13" s="1269"/>
      <c r="R13" s="1269"/>
      <c r="S13" s="212"/>
      <c r="T13" s="212"/>
      <c r="U13" s="212"/>
    </row>
    <row r="14" spans="1:21" ht="12" customHeight="1">
      <c r="A14" s="1266" t="s">
        <v>1196</v>
      </c>
      <c r="B14" s="1267"/>
      <c r="C14" s="1268"/>
      <c r="D14" s="1269" t="s">
        <v>1907</v>
      </c>
      <c r="E14" s="1269"/>
      <c r="F14" s="1269"/>
      <c r="G14" s="1269"/>
      <c r="H14" s="1269"/>
      <c r="I14" s="1269"/>
      <c r="J14" s="1269"/>
      <c r="K14" s="1269"/>
      <c r="L14" s="1269"/>
      <c r="M14" s="1269" t="s">
        <v>1907</v>
      </c>
      <c r="N14" s="1269"/>
      <c r="O14" s="1269"/>
      <c r="P14" s="1269"/>
      <c r="Q14" s="1269"/>
      <c r="R14" s="1269"/>
      <c r="S14" s="212"/>
      <c r="T14" s="212"/>
      <c r="U14" s="212"/>
    </row>
    <row r="15" spans="1:21" ht="12" customHeight="1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</row>
    <row r="16" spans="1:21" ht="12" customHeight="1">
      <c r="A16" s="212" t="s">
        <v>1916</v>
      </c>
      <c r="B16" s="212"/>
      <c r="C16" s="212"/>
      <c r="D16" s="215">
        <v>2</v>
      </c>
      <c r="E16" s="212" t="s">
        <v>1917</v>
      </c>
      <c r="F16" s="212"/>
      <c r="G16" s="212"/>
      <c r="H16" s="215">
        <v>2</v>
      </c>
      <c r="I16" s="212" t="s">
        <v>1918</v>
      </c>
      <c r="J16" s="215">
        <v>7</v>
      </c>
      <c r="K16" s="212" t="s">
        <v>1492</v>
      </c>
      <c r="L16" s="215">
        <v>2</v>
      </c>
      <c r="M16" s="212" t="s">
        <v>1493</v>
      </c>
      <c r="N16" s="1270">
        <v>5</v>
      </c>
      <c r="O16" s="1270"/>
      <c r="P16" s="212"/>
      <c r="Q16" s="212"/>
      <c r="R16" s="212"/>
      <c r="S16" s="212"/>
      <c r="T16" s="212"/>
      <c r="U16" s="212"/>
    </row>
    <row r="17" spans="1:21" ht="12" customHeight="1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</row>
    <row r="18" spans="1:21" ht="12" customHeight="1">
      <c r="A18" s="1271" t="s">
        <v>203</v>
      </c>
      <c r="B18" s="1271"/>
      <c r="C18" s="212"/>
      <c r="D18" s="212" t="s">
        <v>204</v>
      </c>
      <c r="E18" s="215">
        <v>29</v>
      </c>
      <c r="F18" s="212" t="s">
        <v>205</v>
      </c>
      <c r="G18" s="215">
        <v>46</v>
      </c>
      <c r="H18" s="1272" t="s">
        <v>206</v>
      </c>
      <c r="I18" s="1257"/>
      <c r="J18" s="215">
        <v>0</v>
      </c>
      <c r="K18" s="1272" t="s">
        <v>245</v>
      </c>
      <c r="L18" s="1257"/>
      <c r="M18" s="215">
        <v>75</v>
      </c>
      <c r="N18" s="212" t="s">
        <v>207</v>
      </c>
      <c r="O18" s="215">
        <v>11</v>
      </c>
      <c r="P18" s="514" t="s">
        <v>855</v>
      </c>
      <c r="Q18" s="514"/>
      <c r="R18" s="215">
        <v>5</v>
      </c>
      <c r="S18" s="212"/>
      <c r="T18" s="212"/>
      <c r="U18" s="212"/>
    </row>
    <row r="19" spans="1:21" ht="12" customHeight="1">
      <c r="A19" s="1271" t="s">
        <v>1029</v>
      </c>
      <c r="B19" s="1271"/>
      <c r="C19" s="212"/>
      <c r="D19" s="212" t="s">
        <v>210</v>
      </c>
      <c r="E19" s="215">
        <v>86</v>
      </c>
      <c r="F19" s="212" t="s">
        <v>1919</v>
      </c>
      <c r="G19" s="215">
        <v>132</v>
      </c>
      <c r="H19" s="514" t="s">
        <v>212</v>
      </c>
      <c r="I19" s="514"/>
      <c r="J19" s="215">
        <v>0</v>
      </c>
      <c r="K19" s="1272" t="s">
        <v>1920</v>
      </c>
      <c r="L19" s="1257"/>
      <c r="M19" s="215">
        <v>218</v>
      </c>
      <c r="N19" s="212"/>
      <c r="O19" s="212"/>
      <c r="P19" s="212"/>
      <c r="Q19" s="212"/>
      <c r="R19" s="214"/>
      <c r="S19" s="212"/>
      <c r="T19" s="212"/>
      <c r="U19" s="212"/>
    </row>
    <row r="20" spans="1:21" ht="12" customHeight="1">
      <c r="A20" s="212"/>
      <c r="B20" s="212"/>
      <c r="C20" s="212"/>
      <c r="D20" s="212" t="s">
        <v>213</v>
      </c>
      <c r="E20" s="215">
        <v>98</v>
      </c>
      <c r="F20" s="212" t="s">
        <v>214</v>
      </c>
      <c r="G20" s="215">
        <v>141</v>
      </c>
      <c r="H20" s="1272" t="s">
        <v>215</v>
      </c>
      <c r="I20" s="1257"/>
      <c r="J20" s="215">
        <v>0</v>
      </c>
      <c r="K20" s="1272" t="s">
        <v>1921</v>
      </c>
      <c r="L20" s="1257"/>
      <c r="M20" s="215">
        <v>239</v>
      </c>
      <c r="N20" s="212"/>
      <c r="O20" s="212"/>
      <c r="P20" s="212"/>
      <c r="Q20" s="212"/>
      <c r="R20" s="212"/>
      <c r="S20" s="212"/>
      <c r="T20" s="212"/>
      <c r="U20" s="212"/>
    </row>
    <row r="21" spans="1:21" ht="12" customHeigh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</row>
    <row r="22" spans="1:21" ht="12" customHeight="1">
      <c r="A22" s="1273" t="s">
        <v>409</v>
      </c>
      <c r="B22" s="1273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</row>
    <row r="23" spans="1:21" s="217" customFormat="1" ht="12" customHeight="1">
      <c r="A23" s="1274" t="s">
        <v>217</v>
      </c>
      <c r="B23" s="1275"/>
      <c r="C23" s="1276"/>
      <c r="D23" s="1280" t="s">
        <v>1922</v>
      </c>
      <c r="E23" s="1280" t="s">
        <v>219</v>
      </c>
      <c r="F23" s="1280" t="s">
        <v>1923</v>
      </c>
      <c r="G23" s="1280" t="s">
        <v>1924</v>
      </c>
      <c r="H23" s="1282" t="s">
        <v>1925</v>
      </c>
      <c r="I23" s="1283"/>
      <c r="J23" s="1283"/>
      <c r="K23" s="1283"/>
      <c r="L23" s="1283"/>
      <c r="M23" s="1283"/>
      <c r="N23" s="1283"/>
      <c r="O23" s="1283"/>
      <c r="P23" s="1284"/>
      <c r="Q23" s="216"/>
      <c r="R23" s="216"/>
      <c r="S23" s="216"/>
      <c r="T23" s="216"/>
      <c r="U23" s="216"/>
    </row>
    <row r="24" spans="1:21" s="217" customFormat="1" ht="31.15" customHeight="1">
      <c r="A24" s="1277"/>
      <c r="B24" s="1278"/>
      <c r="C24" s="1279"/>
      <c r="D24" s="1281"/>
      <c r="E24" s="1281"/>
      <c r="F24" s="1281"/>
      <c r="G24" s="1281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517" t="s">
        <v>230</v>
      </c>
      <c r="P24" s="517" t="s">
        <v>662</v>
      </c>
      <c r="Q24" s="216"/>
      <c r="R24" s="216"/>
      <c r="S24" s="216"/>
      <c r="T24" s="216"/>
      <c r="U24" s="216"/>
    </row>
    <row r="25" spans="1:21" ht="16.899999999999999" customHeight="1">
      <c r="A25" s="1266" t="s">
        <v>232</v>
      </c>
      <c r="B25" s="1267"/>
      <c r="C25" s="1268"/>
      <c r="D25" s="218">
        <v>8000</v>
      </c>
      <c r="E25" s="513" t="s">
        <v>233</v>
      </c>
      <c r="F25" s="219">
        <v>54.50864</v>
      </c>
      <c r="G25" s="219">
        <v>21.805</v>
      </c>
      <c r="H25" s="220">
        <v>0</v>
      </c>
      <c r="I25" s="220">
        <v>0</v>
      </c>
      <c r="J25" s="219">
        <v>4.4554</v>
      </c>
      <c r="K25" s="219">
        <v>11.466200000000001</v>
      </c>
      <c r="L25" s="220">
        <v>0</v>
      </c>
      <c r="M25" s="220">
        <v>0</v>
      </c>
      <c r="N25" s="220">
        <v>0</v>
      </c>
      <c r="O25" s="219">
        <v>15.921600000000002</v>
      </c>
      <c r="P25" s="219">
        <v>73.018115111213035</v>
      </c>
      <c r="Q25" s="212"/>
      <c r="R25" s="212"/>
      <c r="S25" s="212"/>
      <c r="T25" s="212"/>
      <c r="U25" s="212"/>
    </row>
    <row r="26" spans="1:21" ht="12" customHeight="1">
      <c r="A26" s="1266" t="s">
        <v>234</v>
      </c>
      <c r="B26" s="1267"/>
      <c r="C26" s="1268"/>
      <c r="D26" s="218">
        <v>7000</v>
      </c>
      <c r="E26" s="513" t="s">
        <v>233</v>
      </c>
      <c r="F26" s="219">
        <v>40.6</v>
      </c>
      <c r="G26" s="219">
        <v>0</v>
      </c>
      <c r="H26" s="220">
        <v>0</v>
      </c>
      <c r="I26" s="220">
        <v>0</v>
      </c>
      <c r="J26" s="219">
        <v>0</v>
      </c>
      <c r="K26" s="219">
        <v>0</v>
      </c>
      <c r="L26" s="220">
        <v>0</v>
      </c>
      <c r="M26" s="220">
        <v>0</v>
      </c>
      <c r="N26" s="220">
        <v>0</v>
      </c>
      <c r="O26" s="219">
        <v>0</v>
      </c>
      <c r="P26" s="219">
        <v>0</v>
      </c>
      <c r="Q26" s="212"/>
      <c r="R26" s="212"/>
      <c r="S26" s="212"/>
      <c r="T26" s="212"/>
      <c r="U26" s="212"/>
    </row>
    <row r="27" spans="1:21" ht="12" customHeight="1">
      <c r="A27" s="1266" t="s">
        <v>235</v>
      </c>
      <c r="B27" s="1267"/>
      <c r="C27" s="1268"/>
      <c r="D27" s="218">
        <v>43000</v>
      </c>
      <c r="E27" s="513" t="s">
        <v>236</v>
      </c>
      <c r="F27" s="219">
        <v>0.43</v>
      </c>
      <c r="G27" s="219">
        <v>0.18</v>
      </c>
      <c r="H27" s="220">
        <v>0</v>
      </c>
      <c r="I27" s="220">
        <v>0</v>
      </c>
      <c r="J27" s="219">
        <v>0</v>
      </c>
      <c r="K27" s="219">
        <v>0.18</v>
      </c>
      <c r="L27" s="220">
        <v>0</v>
      </c>
      <c r="M27" s="220">
        <v>0</v>
      </c>
      <c r="N27" s="220">
        <v>0</v>
      </c>
      <c r="O27" s="219">
        <v>0.18</v>
      </c>
      <c r="P27" s="219">
        <v>100</v>
      </c>
      <c r="Q27" s="212"/>
      <c r="R27" s="212"/>
      <c r="S27" s="212"/>
      <c r="T27" s="212"/>
      <c r="U27" s="212"/>
    </row>
    <row r="28" spans="1:21" ht="12" customHeight="1">
      <c r="A28" s="1266" t="s">
        <v>237</v>
      </c>
      <c r="B28" s="1267"/>
      <c r="C28" s="1268"/>
      <c r="D28" s="218">
        <v>34000</v>
      </c>
      <c r="E28" s="513" t="s">
        <v>236</v>
      </c>
      <c r="F28" s="219">
        <v>0.34</v>
      </c>
      <c r="G28" s="219">
        <v>0.16</v>
      </c>
      <c r="H28" s="220">
        <v>0</v>
      </c>
      <c r="I28" s="220">
        <v>0</v>
      </c>
      <c r="J28" s="219">
        <v>0</v>
      </c>
      <c r="K28" s="219">
        <v>0.16</v>
      </c>
      <c r="L28" s="220">
        <v>0</v>
      </c>
      <c r="M28" s="220">
        <v>0</v>
      </c>
      <c r="N28" s="220">
        <v>0</v>
      </c>
      <c r="O28" s="219">
        <v>0.16</v>
      </c>
      <c r="P28" s="219">
        <v>100</v>
      </c>
      <c r="Q28" s="212"/>
      <c r="R28" s="212"/>
      <c r="S28" s="212"/>
      <c r="T28" s="212"/>
      <c r="U28" s="212"/>
    </row>
    <row r="29" spans="1:21" ht="12" customHeight="1">
      <c r="A29" s="1266" t="s">
        <v>238</v>
      </c>
      <c r="B29" s="1267"/>
      <c r="C29" s="1268"/>
      <c r="D29" s="218">
        <v>1200</v>
      </c>
      <c r="E29" s="513" t="s">
        <v>233</v>
      </c>
      <c r="F29" s="219">
        <v>8.1762959999999989</v>
      </c>
      <c r="G29" s="219">
        <v>2</v>
      </c>
      <c r="H29" s="220">
        <v>0</v>
      </c>
      <c r="I29" s="220">
        <v>0</v>
      </c>
      <c r="J29" s="219">
        <v>0</v>
      </c>
      <c r="K29" s="219">
        <v>0</v>
      </c>
      <c r="L29" s="220">
        <v>0</v>
      </c>
      <c r="M29" s="220">
        <v>0</v>
      </c>
      <c r="N29" s="220">
        <v>0</v>
      </c>
      <c r="O29" s="219">
        <v>0</v>
      </c>
      <c r="P29" s="219">
        <v>0</v>
      </c>
      <c r="Q29" s="212"/>
      <c r="R29" s="212"/>
      <c r="S29" s="212"/>
      <c r="T29" s="212"/>
      <c r="U29" s="212"/>
    </row>
    <row r="30" spans="1:21" ht="12" customHeight="1">
      <c r="A30" s="1266" t="s">
        <v>667</v>
      </c>
      <c r="B30" s="1267"/>
      <c r="C30" s="1268"/>
      <c r="D30" s="218">
        <v>565</v>
      </c>
      <c r="E30" s="513" t="s">
        <v>233</v>
      </c>
      <c r="F30" s="219">
        <v>3.8496726999999997</v>
      </c>
      <c r="G30" s="219">
        <v>3.7474699999999999</v>
      </c>
      <c r="H30" s="220">
        <v>0</v>
      </c>
      <c r="I30" s="220">
        <v>0</v>
      </c>
      <c r="J30" s="219">
        <v>0</v>
      </c>
      <c r="K30" s="219">
        <v>3.7474699999999999</v>
      </c>
      <c r="L30" s="220">
        <v>0</v>
      </c>
      <c r="M30" s="220">
        <v>0</v>
      </c>
      <c r="N30" s="220">
        <v>0</v>
      </c>
      <c r="O30" s="219">
        <v>3.7474699999999999</v>
      </c>
      <c r="P30" s="219">
        <v>100</v>
      </c>
      <c r="Q30" s="212"/>
      <c r="R30" s="212"/>
      <c r="S30" s="212"/>
      <c r="T30" s="212"/>
      <c r="U30" s="212"/>
    </row>
    <row r="31" spans="1:21" ht="12" customHeight="1">
      <c r="A31" s="1266" t="s">
        <v>1503</v>
      </c>
      <c r="B31" s="1267"/>
      <c r="C31" s="1268"/>
      <c r="D31" s="218">
        <v>1000</v>
      </c>
      <c r="E31" s="513" t="s">
        <v>233</v>
      </c>
      <c r="F31" s="219">
        <v>6.81358</v>
      </c>
      <c r="G31" s="219">
        <v>0</v>
      </c>
      <c r="H31" s="220">
        <v>0</v>
      </c>
      <c r="I31" s="220">
        <v>0</v>
      </c>
      <c r="J31" s="219">
        <v>0</v>
      </c>
      <c r="K31" s="219">
        <v>0</v>
      </c>
      <c r="L31" s="220">
        <v>0</v>
      </c>
      <c r="M31" s="220">
        <v>0</v>
      </c>
      <c r="N31" s="220">
        <v>0</v>
      </c>
      <c r="O31" s="219">
        <v>0</v>
      </c>
      <c r="P31" s="219">
        <v>0</v>
      </c>
      <c r="Q31" s="212"/>
      <c r="R31" s="212"/>
      <c r="S31" s="212"/>
      <c r="T31" s="212"/>
      <c r="U31" s="212"/>
    </row>
    <row r="32" spans="1:21" ht="12" customHeight="1">
      <c r="A32" s="1266" t="s">
        <v>394</v>
      </c>
      <c r="B32" s="1267"/>
      <c r="C32" s="1268"/>
      <c r="D32" s="218">
        <v>2750</v>
      </c>
      <c r="E32" s="513" t="s">
        <v>242</v>
      </c>
      <c r="F32" s="219">
        <v>2.1</v>
      </c>
      <c r="G32" s="219">
        <v>0.41249999999999998</v>
      </c>
      <c r="H32" s="220">
        <v>0</v>
      </c>
      <c r="I32" s="220">
        <v>0</v>
      </c>
      <c r="J32" s="219">
        <v>3.7500000000000006E-2</v>
      </c>
      <c r="K32" s="219">
        <v>0.27500000000000002</v>
      </c>
      <c r="L32" s="220">
        <v>0</v>
      </c>
      <c r="M32" s="220">
        <v>0</v>
      </c>
      <c r="N32" s="220">
        <v>0</v>
      </c>
      <c r="O32" s="219">
        <v>0.3125</v>
      </c>
      <c r="P32" s="219">
        <v>75.757575757575751</v>
      </c>
      <c r="Q32" s="212"/>
      <c r="R32" s="212"/>
      <c r="S32" s="212"/>
      <c r="T32" s="212"/>
      <c r="U32" s="212"/>
    </row>
    <row r="33" spans="1:21" ht="12" customHeight="1">
      <c r="A33" s="1266" t="s">
        <v>670</v>
      </c>
      <c r="B33" s="1267"/>
      <c r="C33" s="1268"/>
      <c r="D33" s="218">
        <v>10000</v>
      </c>
      <c r="E33" s="513" t="s">
        <v>244</v>
      </c>
      <c r="F33" s="219">
        <v>0.1</v>
      </c>
      <c r="G33" s="219">
        <v>0.1</v>
      </c>
      <c r="H33" s="220">
        <v>0</v>
      </c>
      <c r="I33" s="220">
        <v>0</v>
      </c>
      <c r="J33" s="219">
        <v>0.1</v>
      </c>
      <c r="K33" s="219">
        <v>0</v>
      </c>
      <c r="L33" s="220">
        <v>0</v>
      </c>
      <c r="M33" s="220">
        <v>0</v>
      </c>
      <c r="N33" s="220">
        <v>0</v>
      </c>
      <c r="O33" s="219">
        <v>0.1</v>
      </c>
      <c r="P33" s="219">
        <v>100</v>
      </c>
      <c r="Q33" s="212"/>
      <c r="R33" s="212"/>
      <c r="S33" s="212"/>
      <c r="T33" s="212"/>
      <c r="U33" s="212"/>
    </row>
    <row r="34" spans="1:21" s="224" customFormat="1" ht="12" customHeight="1">
      <c r="A34" s="1258" t="s">
        <v>230</v>
      </c>
      <c r="B34" s="1259"/>
      <c r="C34" s="1260"/>
      <c r="D34" s="221"/>
      <c r="E34" s="221"/>
      <c r="F34" s="222">
        <v>116.9181887</v>
      </c>
      <c r="G34" s="222">
        <v>28.404970000000002</v>
      </c>
      <c r="H34" s="222">
        <v>0</v>
      </c>
      <c r="I34" s="222">
        <v>0</v>
      </c>
      <c r="J34" s="222">
        <v>4.5928999999999993</v>
      </c>
      <c r="K34" s="222">
        <v>15.828670000000001</v>
      </c>
      <c r="L34" s="222">
        <v>0</v>
      </c>
      <c r="M34" s="222">
        <v>0</v>
      </c>
      <c r="N34" s="222">
        <v>0</v>
      </c>
      <c r="O34" s="222">
        <v>20.421570000000003</v>
      </c>
      <c r="P34" s="222"/>
      <c r="Q34" s="223"/>
      <c r="R34" s="223"/>
      <c r="S34" s="223"/>
      <c r="T34" s="223"/>
      <c r="U34" s="223"/>
    </row>
    <row r="35" spans="1:21" ht="19.899999999999999" customHeight="1">
      <c r="A35" s="212"/>
      <c r="B35" s="212"/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</row>
    <row r="36" spans="1:21" ht="19.899999999999999" customHeight="1">
      <c r="A36" s="212"/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</row>
    <row r="37" spans="1:21" ht="19.899999999999999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</row>
    <row r="38" spans="1:21" ht="19.899999999999999" customHeight="1">
      <c r="A38" s="212"/>
      <c r="B38" s="212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</row>
    <row r="39" spans="1:21" ht="19.899999999999999" customHeight="1">
      <c r="A39" s="212"/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</row>
    <row r="40" spans="1:21" ht="19.899999999999999" customHeight="1">
      <c r="A40" s="212"/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</row>
    <row r="41" spans="1:21" ht="19.899999999999999" customHeight="1">
      <c r="A41" s="212"/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</row>
    <row r="42" spans="1:21" ht="19.899999999999999" customHeight="1">
      <c r="A42" s="212"/>
      <c r="B42" s="212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</row>
    <row r="43" spans="1:21" ht="19.899999999999999" customHeight="1">
      <c r="A43" s="212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</row>
    <row r="44" spans="1:21" ht="19.899999999999999" customHeight="1">
      <c r="A44" s="212"/>
      <c r="B44" s="212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</row>
    <row r="45" spans="1:21" ht="19.899999999999999" customHeight="1">
      <c r="A45" s="212"/>
      <c r="B45" s="212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</row>
    <row r="46" spans="1:21" ht="19.899999999999999" customHeight="1">
      <c r="A46" s="212"/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</row>
    <row r="47" spans="1:21" ht="19.899999999999999" customHeight="1">
      <c r="A47" s="212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</row>
    <row r="48" spans="1:21" ht="19.899999999999999" customHeight="1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</row>
    <row r="49" spans="1:21" ht="19.899999999999999" customHeight="1">
      <c r="A49" s="212"/>
      <c r="B49" s="212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</row>
    <row r="50" spans="1:21" ht="19.899999999999999" customHeight="1">
      <c r="A50" s="212"/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</row>
    <row r="51" spans="1:21" ht="19.899999999999999" customHeight="1">
      <c r="A51" s="212"/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</row>
    <row r="52" spans="1:21" ht="19.899999999999999" customHeight="1">
      <c r="A52" s="212"/>
      <c r="B52" s="212"/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</row>
    <row r="53" spans="1:21" ht="19.899999999999999" customHeight="1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</row>
    <row r="54" spans="1:21" ht="19.899999999999999" customHeight="1">
      <c r="A54" s="212"/>
      <c r="B54" s="212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2"/>
    </row>
    <row r="55" spans="1:21" ht="19.899999999999999" customHeight="1">
      <c r="A55" s="212"/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</row>
    <row r="56" spans="1:21" ht="19.899999999999999" customHeight="1">
      <c r="A56" s="212"/>
      <c r="B56" s="212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2"/>
    </row>
    <row r="57" spans="1:21" ht="19.899999999999999" customHeight="1">
      <c r="A57" s="212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</row>
    <row r="58" spans="1:21" ht="19.899999999999999" customHeight="1">
      <c r="A58" s="212"/>
      <c r="B58" s="212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</row>
    <row r="59" spans="1:21" ht="19.899999999999999" customHeight="1">
      <c r="A59" s="212"/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</row>
    <row r="60" spans="1:21" ht="19.899999999999999" customHeight="1">
      <c r="A60" s="212"/>
      <c r="B60" s="212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</row>
    <row r="61" spans="1:21" ht="19.899999999999999" customHeight="1">
      <c r="A61" s="212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</row>
    <row r="62" spans="1:21" ht="19.899999999999999" customHeight="1"/>
    <row r="63" spans="1:21" ht="19.899999999999999" customHeight="1"/>
    <row r="64" spans="1:21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</sheetData>
  <mergeCells count="48">
    <mergeCell ref="A30:C30"/>
    <mergeCell ref="A31:C31"/>
    <mergeCell ref="A32:C32"/>
    <mergeCell ref="A33:C33"/>
    <mergeCell ref="A34:C34"/>
    <mergeCell ref="A29:C29"/>
    <mergeCell ref="A19:B19"/>
    <mergeCell ref="K19:L19"/>
    <mergeCell ref="H20:I20"/>
    <mergeCell ref="K20:L20"/>
    <mergeCell ref="A22:B22"/>
    <mergeCell ref="A23:C24"/>
    <mergeCell ref="D23:D24"/>
    <mergeCell ref="E23:E24"/>
    <mergeCell ref="F23:F24"/>
    <mergeCell ref="G23:G24"/>
    <mergeCell ref="H23:P23"/>
    <mergeCell ref="A25:C25"/>
    <mergeCell ref="A26:C26"/>
    <mergeCell ref="A27:C27"/>
    <mergeCell ref="A28:C28"/>
    <mergeCell ref="A14:C14"/>
    <mergeCell ref="D14:L14"/>
    <mergeCell ref="M14:R14"/>
    <mergeCell ref="N16:O16"/>
    <mergeCell ref="A18:B18"/>
    <mergeCell ref="H18:I18"/>
    <mergeCell ref="K18:L18"/>
    <mergeCell ref="A12:C12"/>
    <mergeCell ref="D12:L12"/>
    <mergeCell ref="M12:R12"/>
    <mergeCell ref="A13:C13"/>
    <mergeCell ref="D13:L13"/>
    <mergeCell ref="M13:R13"/>
    <mergeCell ref="D8:F8"/>
    <mergeCell ref="H8:J9"/>
    <mergeCell ref="K8:O9"/>
    <mergeCell ref="A11:C11"/>
    <mergeCell ref="D11:L11"/>
    <mergeCell ref="M11:R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221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S103"/>
  <sheetViews>
    <sheetView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10.42578125" style="211" customWidth="1"/>
    <col min="3" max="3" width="7.28515625" style="211" customWidth="1"/>
    <col min="4" max="4" width="7.5703125" style="211" customWidth="1"/>
    <col min="5" max="5" width="7.42578125" style="211" customWidth="1"/>
    <col min="6" max="6" width="8.7109375" style="211" customWidth="1"/>
    <col min="7" max="7" width="8.140625" style="211" customWidth="1"/>
    <col min="8" max="8" width="7.28515625" style="211" customWidth="1"/>
    <col min="9" max="9" width="9.140625" style="211" customWidth="1"/>
    <col min="10" max="10" width="7.7109375" style="211" customWidth="1"/>
    <col min="11" max="11" width="9.28515625" style="211" customWidth="1"/>
    <col min="12" max="12" width="9.7109375" style="211" customWidth="1"/>
    <col min="13" max="13" width="6.42578125" style="211" customWidth="1"/>
    <col min="14" max="14" width="6.7109375" style="211" customWidth="1"/>
    <col min="15" max="15" width="7.28515625" style="211" customWidth="1"/>
    <col min="16" max="16" width="7.140625" style="211" customWidth="1"/>
    <col min="17" max="17" width="8.28515625" style="211" customWidth="1"/>
    <col min="18" max="18" width="7.7109375" style="211" customWidth="1"/>
    <col min="19" max="256" width="8.85546875" style="211"/>
    <col min="257" max="257" width="11.28515625" style="211" customWidth="1"/>
    <col min="258" max="258" width="10.42578125" style="211" customWidth="1"/>
    <col min="259" max="259" width="7.28515625" style="211" customWidth="1"/>
    <col min="260" max="260" width="7.5703125" style="211" customWidth="1"/>
    <col min="261" max="261" width="7.42578125" style="211" customWidth="1"/>
    <col min="262" max="262" width="8.7109375" style="211" customWidth="1"/>
    <col min="263" max="263" width="8.140625" style="211" customWidth="1"/>
    <col min="264" max="264" width="7.28515625" style="211" customWidth="1"/>
    <col min="265" max="265" width="9.140625" style="211" customWidth="1"/>
    <col min="266" max="266" width="7.7109375" style="211" customWidth="1"/>
    <col min="267" max="267" width="9.28515625" style="211" customWidth="1"/>
    <col min="268" max="268" width="9.7109375" style="211" customWidth="1"/>
    <col min="269" max="269" width="6.42578125" style="211" customWidth="1"/>
    <col min="270" max="270" width="6.7109375" style="211" customWidth="1"/>
    <col min="271" max="271" width="7.28515625" style="211" customWidth="1"/>
    <col min="272" max="272" width="7.140625" style="211" customWidth="1"/>
    <col min="273" max="273" width="8.28515625" style="211" customWidth="1"/>
    <col min="274" max="274" width="7.7109375" style="211" customWidth="1"/>
    <col min="275" max="512" width="8.85546875" style="211"/>
    <col min="513" max="513" width="11.28515625" style="211" customWidth="1"/>
    <col min="514" max="514" width="10.42578125" style="211" customWidth="1"/>
    <col min="515" max="515" width="7.28515625" style="211" customWidth="1"/>
    <col min="516" max="516" width="7.5703125" style="211" customWidth="1"/>
    <col min="517" max="517" width="7.42578125" style="211" customWidth="1"/>
    <col min="518" max="518" width="8.7109375" style="211" customWidth="1"/>
    <col min="519" max="519" width="8.140625" style="211" customWidth="1"/>
    <col min="520" max="520" width="7.28515625" style="211" customWidth="1"/>
    <col min="521" max="521" width="9.140625" style="211" customWidth="1"/>
    <col min="522" max="522" width="7.7109375" style="211" customWidth="1"/>
    <col min="523" max="523" width="9.28515625" style="211" customWidth="1"/>
    <col min="524" max="524" width="9.7109375" style="211" customWidth="1"/>
    <col min="525" max="525" width="6.42578125" style="211" customWidth="1"/>
    <col min="526" max="526" width="6.7109375" style="211" customWidth="1"/>
    <col min="527" max="527" width="7.28515625" style="211" customWidth="1"/>
    <col min="528" max="528" width="7.140625" style="211" customWidth="1"/>
    <col min="529" max="529" width="8.28515625" style="211" customWidth="1"/>
    <col min="530" max="530" width="7.7109375" style="211" customWidth="1"/>
    <col min="531" max="768" width="8.85546875" style="211"/>
    <col min="769" max="769" width="11.28515625" style="211" customWidth="1"/>
    <col min="770" max="770" width="10.42578125" style="211" customWidth="1"/>
    <col min="771" max="771" width="7.28515625" style="211" customWidth="1"/>
    <col min="772" max="772" width="7.5703125" style="211" customWidth="1"/>
    <col min="773" max="773" width="7.42578125" style="211" customWidth="1"/>
    <col min="774" max="774" width="8.7109375" style="211" customWidth="1"/>
    <col min="775" max="775" width="8.140625" style="211" customWidth="1"/>
    <col min="776" max="776" width="7.28515625" style="211" customWidth="1"/>
    <col min="777" max="777" width="9.140625" style="211" customWidth="1"/>
    <col min="778" max="778" width="7.7109375" style="211" customWidth="1"/>
    <col min="779" max="779" width="9.28515625" style="211" customWidth="1"/>
    <col min="780" max="780" width="9.7109375" style="211" customWidth="1"/>
    <col min="781" max="781" width="6.42578125" style="211" customWidth="1"/>
    <col min="782" max="782" width="6.7109375" style="211" customWidth="1"/>
    <col min="783" max="783" width="7.28515625" style="211" customWidth="1"/>
    <col min="784" max="784" width="7.140625" style="211" customWidth="1"/>
    <col min="785" max="785" width="8.28515625" style="211" customWidth="1"/>
    <col min="786" max="786" width="7.7109375" style="211" customWidth="1"/>
    <col min="787" max="1024" width="8.85546875" style="211"/>
    <col min="1025" max="1025" width="11.28515625" style="211" customWidth="1"/>
    <col min="1026" max="1026" width="10.42578125" style="211" customWidth="1"/>
    <col min="1027" max="1027" width="7.28515625" style="211" customWidth="1"/>
    <col min="1028" max="1028" width="7.5703125" style="211" customWidth="1"/>
    <col min="1029" max="1029" width="7.42578125" style="211" customWidth="1"/>
    <col min="1030" max="1030" width="8.7109375" style="211" customWidth="1"/>
    <col min="1031" max="1031" width="8.140625" style="211" customWidth="1"/>
    <col min="1032" max="1032" width="7.28515625" style="211" customWidth="1"/>
    <col min="1033" max="1033" width="9.140625" style="211" customWidth="1"/>
    <col min="1034" max="1034" width="7.7109375" style="211" customWidth="1"/>
    <col min="1035" max="1035" width="9.28515625" style="211" customWidth="1"/>
    <col min="1036" max="1036" width="9.7109375" style="211" customWidth="1"/>
    <col min="1037" max="1037" width="6.42578125" style="211" customWidth="1"/>
    <col min="1038" max="1038" width="6.7109375" style="211" customWidth="1"/>
    <col min="1039" max="1039" width="7.28515625" style="211" customWidth="1"/>
    <col min="1040" max="1040" width="7.140625" style="211" customWidth="1"/>
    <col min="1041" max="1041" width="8.28515625" style="211" customWidth="1"/>
    <col min="1042" max="1042" width="7.7109375" style="211" customWidth="1"/>
    <col min="1043" max="1280" width="8.85546875" style="211"/>
    <col min="1281" max="1281" width="11.28515625" style="211" customWidth="1"/>
    <col min="1282" max="1282" width="10.42578125" style="211" customWidth="1"/>
    <col min="1283" max="1283" width="7.28515625" style="211" customWidth="1"/>
    <col min="1284" max="1284" width="7.5703125" style="211" customWidth="1"/>
    <col min="1285" max="1285" width="7.42578125" style="211" customWidth="1"/>
    <col min="1286" max="1286" width="8.7109375" style="211" customWidth="1"/>
    <col min="1287" max="1287" width="8.140625" style="211" customWidth="1"/>
    <col min="1288" max="1288" width="7.28515625" style="211" customWidth="1"/>
    <col min="1289" max="1289" width="9.140625" style="211" customWidth="1"/>
    <col min="1290" max="1290" width="7.7109375" style="211" customWidth="1"/>
    <col min="1291" max="1291" width="9.28515625" style="211" customWidth="1"/>
    <col min="1292" max="1292" width="9.7109375" style="211" customWidth="1"/>
    <col min="1293" max="1293" width="6.42578125" style="211" customWidth="1"/>
    <col min="1294" max="1294" width="6.7109375" style="211" customWidth="1"/>
    <col min="1295" max="1295" width="7.28515625" style="211" customWidth="1"/>
    <col min="1296" max="1296" width="7.140625" style="211" customWidth="1"/>
    <col min="1297" max="1297" width="8.28515625" style="211" customWidth="1"/>
    <col min="1298" max="1298" width="7.7109375" style="211" customWidth="1"/>
    <col min="1299" max="1536" width="8.85546875" style="211"/>
    <col min="1537" max="1537" width="11.28515625" style="211" customWidth="1"/>
    <col min="1538" max="1538" width="10.42578125" style="211" customWidth="1"/>
    <col min="1539" max="1539" width="7.28515625" style="211" customWidth="1"/>
    <col min="1540" max="1540" width="7.5703125" style="211" customWidth="1"/>
    <col min="1541" max="1541" width="7.42578125" style="211" customWidth="1"/>
    <col min="1542" max="1542" width="8.7109375" style="211" customWidth="1"/>
    <col min="1543" max="1543" width="8.140625" style="211" customWidth="1"/>
    <col min="1544" max="1544" width="7.28515625" style="211" customWidth="1"/>
    <col min="1545" max="1545" width="9.140625" style="211" customWidth="1"/>
    <col min="1546" max="1546" width="7.7109375" style="211" customWidth="1"/>
    <col min="1547" max="1547" width="9.28515625" style="211" customWidth="1"/>
    <col min="1548" max="1548" width="9.7109375" style="211" customWidth="1"/>
    <col min="1549" max="1549" width="6.42578125" style="211" customWidth="1"/>
    <col min="1550" max="1550" width="6.7109375" style="211" customWidth="1"/>
    <col min="1551" max="1551" width="7.28515625" style="211" customWidth="1"/>
    <col min="1552" max="1552" width="7.140625" style="211" customWidth="1"/>
    <col min="1553" max="1553" width="8.28515625" style="211" customWidth="1"/>
    <col min="1554" max="1554" width="7.7109375" style="211" customWidth="1"/>
    <col min="1555" max="1792" width="8.85546875" style="211"/>
    <col min="1793" max="1793" width="11.28515625" style="211" customWidth="1"/>
    <col min="1794" max="1794" width="10.42578125" style="211" customWidth="1"/>
    <col min="1795" max="1795" width="7.28515625" style="211" customWidth="1"/>
    <col min="1796" max="1796" width="7.5703125" style="211" customWidth="1"/>
    <col min="1797" max="1797" width="7.42578125" style="211" customWidth="1"/>
    <col min="1798" max="1798" width="8.7109375" style="211" customWidth="1"/>
    <col min="1799" max="1799" width="8.140625" style="211" customWidth="1"/>
    <col min="1800" max="1800" width="7.28515625" style="211" customWidth="1"/>
    <col min="1801" max="1801" width="9.140625" style="211" customWidth="1"/>
    <col min="1802" max="1802" width="7.7109375" style="211" customWidth="1"/>
    <col min="1803" max="1803" width="9.28515625" style="211" customWidth="1"/>
    <col min="1804" max="1804" width="9.7109375" style="211" customWidth="1"/>
    <col min="1805" max="1805" width="6.42578125" style="211" customWidth="1"/>
    <col min="1806" max="1806" width="6.7109375" style="211" customWidth="1"/>
    <col min="1807" max="1807" width="7.28515625" style="211" customWidth="1"/>
    <col min="1808" max="1808" width="7.140625" style="211" customWidth="1"/>
    <col min="1809" max="1809" width="8.28515625" style="211" customWidth="1"/>
    <col min="1810" max="1810" width="7.7109375" style="211" customWidth="1"/>
    <col min="1811" max="2048" width="8.85546875" style="211"/>
    <col min="2049" max="2049" width="11.28515625" style="211" customWidth="1"/>
    <col min="2050" max="2050" width="10.42578125" style="211" customWidth="1"/>
    <col min="2051" max="2051" width="7.28515625" style="211" customWidth="1"/>
    <col min="2052" max="2052" width="7.5703125" style="211" customWidth="1"/>
    <col min="2053" max="2053" width="7.42578125" style="211" customWidth="1"/>
    <col min="2054" max="2054" width="8.7109375" style="211" customWidth="1"/>
    <col min="2055" max="2055" width="8.140625" style="211" customWidth="1"/>
    <col min="2056" max="2056" width="7.28515625" style="211" customWidth="1"/>
    <col min="2057" max="2057" width="9.140625" style="211" customWidth="1"/>
    <col min="2058" max="2058" width="7.7109375" style="211" customWidth="1"/>
    <col min="2059" max="2059" width="9.28515625" style="211" customWidth="1"/>
    <col min="2060" max="2060" width="9.7109375" style="211" customWidth="1"/>
    <col min="2061" max="2061" width="6.42578125" style="211" customWidth="1"/>
    <col min="2062" max="2062" width="6.7109375" style="211" customWidth="1"/>
    <col min="2063" max="2063" width="7.28515625" style="211" customWidth="1"/>
    <col min="2064" max="2064" width="7.140625" style="211" customWidth="1"/>
    <col min="2065" max="2065" width="8.28515625" style="211" customWidth="1"/>
    <col min="2066" max="2066" width="7.7109375" style="211" customWidth="1"/>
    <col min="2067" max="2304" width="8.85546875" style="211"/>
    <col min="2305" max="2305" width="11.28515625" style="211" customWidth="1"/>
    <col min="2306" max="2306" width="10.42578125" style="211" customWidth="1"/>
    <col min="2307" max="2307" width="7.28515625" style="211" customWidth="1"/>
    <col min="2308" max="2308" width="7.5703125" style="211" customWidth="1"/>
    <col min="2309" max="2309" width="7.42578125" style="211" customWidth="1"/>
    <col min="2310" max="2310" width="8.7109375" style="211" customWidth="1"/>
    <col min="2311" max="2311" width="8.140625" style="211" customWidth="1"/>
    <col min="2312" max="2312" width="7.28515625" style="211" customWidth="1"/>
    <col min="2313" max="2313" width="9.140625" style="211" customWidth="1"/>
    <col min="2314" max="2314" width="7.7109375" style="211" customWidth="1"/>
    <col min="2315" max="2315" width="9.28515625" style="211" customWidth="1"/>
    <col min="2316" max="2316" width="9.7109375" style="211" customWidth="1"/>
    <col min="2317" max="2317" width="6.42578125" style="211" customWidth="1"/>
    <col min="2318" max="2318" width="6.7109375" style="211" customWidth="1"/>
    <col min="2319" max="2319" width="7.28515625" style="211" customWidth="1"/>
    <col min="2320" max="2320" width="7.140625" style="211" customWidth="1"/>
    <col min="2321" max="2321" width="8.28515625" style="211" customWidth="1"/>
    <col min="2322" max="2322" width="7.7109375" style="211" customWidth="1"/>
    <col min="2323" max="2560" width="8.85546875" style="211"/>
    <col min="2561" max="2561" width="11.28515625" style="211" customWidth="1"/>
    <col min="2562" max="2562" width="10.42578125" style="211" customWidth="1"/>
    <col min="2563" max="2563" width="7.28515625" style="211" customWidth="1"/>
    <col min="2564" max="2564" width="7.5703125" style="211" customWidth="1"/>
    <col min="2565" max="2565" width="7.42578125" style="211" customWidth="1"/>
    <col min="2566" max="2566" width="8.7109375" style="211" customWidth="1"/>
    <col min="2567" max="2567" width="8.140625" style="211" customWidth="1"/>
    <col min="2568" max="2568" width="7.28515625" style="211" customWidth="1"/>
    <col min="2569" max="2569" width="9.140625" style="211" customWidth="1"/>
    <col min="2570" max="2570" width="7.7109375" style="211" customWidth="1"/>
    <col min="2571" max="2571" width="9.28515625" style="211" customWidth="1"/>
    <col min="2572" max="2572" width="9.7109375" style="211" customWidth="1"/>
    <col min="2573" max="2573" width="6.42578125" style="211" customWidth="1"/>
    <col min="2574" max="2574" width="6.7109375" style="211" customWidth="1"/>
    <col min="2575" max="2575" width="7.28515625" style="211" customWidth="1"/>
    <col min="2576" max="2576" width="7.140625" style="211" customWidth="1"/>
    <col min="2577" max="2577" width="8.28515625" style="211" customWidth="1"/>
    <col min="2578" max="2578" width="7.7109375" style="211" customWidth="1"/>
    <col min="2579" max="2816" width="8.85546875" style="211"/>
    <col min="2817" max="2817" width="11.28515625" style="211" customWidth="1"/>
    <col min="2818" max="2818" width="10.42578125" style="211" customWidth="1"/>
    <col min="2819" max="2819" width="7.28515625" style="211" customWidth="1"/>
    <col min="2820" max="2820" width="7.5703125" style="211" customWidth="1"/>
    <col min="2821" max="2821" width="7.42578125" style="211" customWidth="1"/>
    <col min="2822" max="2822" width="8.7109375" style="211" customWidth="1"/>
    <col min="2823" max="2823" width="8.140625" style="211" customWidth="1"/>
    <col min="2824" max="2824" width="7.28515625" style="211" customWidth="1"/>
    <col min="2825" max="2825" width="9.140625" style="211" customWidth="1"/>
    <col min="2826" max="2826" width="7.7109375" style="211" customWidth="1"/>
    <col min="2827" max="2827" width="9.28515625" style="211" customWidth="1"/>
    <col min="2828" max="2828" width="9.7109375" style="211" customWidth="1"/>
    <col min="2829" max="2829" width="6.42578125" style="211" customWidth="1"/>
    <col min="2830" max="2830" width="6.7109375" style="211" customWidth="1"/>
    <col min="2831" max="2831" width="7.28515625" style="211" customWidth="1"/>
    <col min="2832" max="2832" width="7.140625" style="211" customWidth="1"/>
    <col min="2833" max="2833" width="8.28515625" style="211" customWidth="1"/>
    <col min="2834" max="2834" width="7.7109375" style="211" customWidth="1"/>
    <col min="2835" max="3072" width="8.85546875" style="211"/>
    <col min="3073" max="3073" width="11.28515625" style="211" customWidth="1"/>
    <col min="3074" max="3074" width="10.42578125" style="211" customWidth="1"/>
    <col min="3075" max="3075" width="7.28515625" style="211" customWidth="1"/>
    <col min="3076" max="3076" width="7.5703125" style="211" customWidth="1"/>
    <col min="3077" max="3077" width="7.42578125" style="211" customWidth="1"/>
    <col min="3078" max="3078" width="8.7109375" style="211" customWidth="1"/>
    <col min="3079" max="3079" width="8.140625" style="211" customWidth="1"/>
    <col min="3080" max="3080" width="7.28515625" style="211" customWidth="1"/>
    <col min="3081" max="3081" width="9.140625" style="211" customWidth="1"/>
    <col min="3082" max="3082" width="7.7109375" style="211" customWidth="1"/>
    <col min="3083" max="3083" width="9.28515625" style="211" customWidth="1"/>
    <col min="3084" max="3084" width="9.7109375" style="211" customWidth="1"/>
    <col min="3085" max="3085" width="6.42578125" style="211" customWidth="1"/>
    <col min="3086" max="3086" width="6.7109375" style="211" customWidth="1"/>
    <col min="3087" max="3087" width="7.28515625" style="211" customWidth="1"/>
    <col min="3088" max="3088" width="7.140625" style="211" customWidth="1"/>
    <col min="3089" max="3089" width="8.28515625" style="211" customWidth="1"/>
    <col min="3090" max="3090" width="7.7109375" style="211" customWidth="1"/>
    <col min="3091" max="3328" width="8.85546875" style="211"/>
    <col min="3329" max="3329" width="11.28515625" style="211" customWidth="1"/>
    <col min="3330" max="3330" width="10.42578125" style="211" customWidth="1"/>
    <col min="3331" max="3331" width="7.28515625" style="211" customWidth="1"/>
    <col min="3332" max="3332" width="7.5703125" style="211" customWidth="1"/>
    <col min="3333" max="3333" width="7.42578125" style="211" customWidth="1"/>
    <col min="3334" max="3334" width="8.7109375" style="211" customWidth="1"/>
    <col min="3335" max="3335" width="8.140625" style="211" customWidth="1"/>
    <col min="3336" max="3336" width="7.28515625" style="211" customWidth="1"/>
    <col min="3337" max="3337" width="9.140625" style="211" customWidth="1"/>
    <col min="3338" max="3338" width="7.7109375" style="211" customWidth="1"/>
    <col min="3339" max="3339" width="9.28515625" style="211" customWidth="1"/>
    <col min="3340" max="3340" width="9.7109375" style="211" customWidth="1"/>
    <col min="3341" max="3341" width="6.42578125" style="211" customWidth="1"/>
    <col min="3342" max="3342" width="6.7109375" style="211" customWidth="1"/>
    <col min="3343" max="3343" width="7.28515625" style="211" customWidth="1"/>
    <col min="3344" max="3344" width="7.140625" style="211" customWidth="1"/>
    <col min="3345" max="3345" width="8.28515625" style="211" customWidth="1"/>
    <col min="3346" max="3346" width="7.7109375" style="211" customWidth="1"/>
    <col min="3347" max="3584" width="8.85546875" style="211"/>
    <col min="3585" max="3585" width="11.28515625" style="211" customWidth="1"/>
    <col min="3586" max="3586" width="10.42578125" style="211" customWidth="1"/>
    <col min="3587" max="3587" width="7.28515625" style="211" customWidth="1"/>
    <col min="3588" max="3588" width="7.5703125" style="211" customWidth="1"/>
    <col min="3589" max="3589" width="7.42578125" style="211" customWidth="1"/>
    <col min="3590" max="3590" width="8.7109375" style="211" customWidth="1"/>
    <col min="3591" max="3591" width="8.140625" style="211" customWidth="1"/>
    <col min="3592" max="3592" width="7.28515625" style="211" customWidth="1"/>
    <col min="3593" max="3593" width="9.140625" style="211" customWidth="1"/>
    <col min="3594" max="3594" width="7.7109375" style="211" customWidth="1"/>
    <col min="3595" max="3595" width="9.28515625" style="211" customWidth="1"/>
    <col min="3596" max="3596" width="9.7109375" style="211" customWidth="1"/>
    <col min="3597" max="3597" width="6.42578125" style="211" customWidth="1"/>
    <col min="3598" max="3598" width="6.7109375" style="211" customWidth="1"/>
    <col min="3599" max="3599" width="7.28515625" style="211" customWidth="1"/>
    <col min="3600" max="3600" width="7.140625" style="211" customWidth="1"/>
    <col min="3601" max="3601" width="8.28515625" style="211" customWidth="1"/>
    <col min="3602" max="3602" width="7.7109375" style="211" customWidth="1"/>
    <col min="3603" max="3840" width="8.85546875" style="211"/>
    <col min="3841" max="3841" width="11.28515625" style="211" customWidth="1"/>
    <col min="3842" max="3842" width="10.42578125" style="211" customWidth="1"/>
    <col min="3843" max="3843" width="7.28515625" style="211" customWidth="1"/>
    <col min="3844" max="3844" width="7.5703125" style="211" customWidth="1"/>
    <col min="3845" max="3845" width="7.42578125" style="211" customWidth="1"/>
    <col min="3846" max="3846" width="8.7109375" style="211" customWidth="1"/>
    <col min="3847" max="3847" width="8.140625" style="211" customWidth="1"/>
    <col min="3848" max="3848" width="7.28515625" style="211" customWidth="1"/>
    <col min="3849" max="3849" width="9.140625" style="211" customWidth="1"/>
    <col min="3850" max="3850" width="7.7109375" style="211" customWidth="1"/>
    <col min="3851" max="3851" width="9.28515625" style="211" customWidth="1"/>
    <col min="3852" max="3852" width="9.7109375" style="211" customWidth="1"/>
    <col min="3853" max="3853" width="6.42578125" style="211" customWidth="1"/>
    <col min="3854" max="3854" width="6.7109375" style="211" customWidth="1"/>
    <col min="3855" max="3855" width="7.28515625" style="211" customWidth="1"/>
    <col min="3856" max="3856" width="7.140625" style="211" customWidth="1"/>
    <col min="3857" max="3857" width="8.28515625" style="211" customWidth="1"/>
    <col min="3858" max="3858" width="7.7109375" style="211" customWidth="1"/>
    <col min="3859" max="4096" width="8.85546875" style="211"/>
    <col min="4097" max="4097" width="11.28515625" style="211" customWidth="1"/>
    <col min="4098" max="4098" width="10.42578125" style="211" customWidth="1"/>
    <col min="4099" max="4099" width="7.28515625" style="211" customWidth="1"/>
    <col min="4100" max="4100" width="7.5703125" style="211" customWidth="1"/>
    <col min="4101" max="4101" width="7.42578125" style="211" customWidth="1"/>
    <col min="4102" max="4102" width="8.7109375" style="211" customWidth="1"/>
    <col min="4103" max="4103" width="8.140625" style="211" customWidth="1"/>
    <col min="4104" max="4104" width="7.28515625" style="211" customWidth="1"/>
    <col min="4105" max="4105" width="9.140625" style="211" customWidth="1"/>
    <col min="4106" max="4106" width="7.7109375" style="211" customWidth="1"/>
    <col min="4107" max="4107" width="9.28515625" style="211" customWidth="1"/>
    <col min="4108" max="4108" width="9.7109375" style="211" customWidth="1"/>
    <col min="4109" max="4109" width="6.42578125" style="211" customWidth="1"/>
    <col min="4110" max="4110" width="6.7109375" style="211" customWidth="1"/>
    <col min="4111" max="4111" width="7.28515625" style="211" customWidth="1"/>
    <col min="4112" max="4112" width="7.140625" style="211" customWidth="1"/>
    <col min="4113" max="4113" width="8.28515625" style="211" customWidth="1"/>
    <col min="4114" max="4114" width="7.7109375" style="211" customWidth="1"/>
    <col min="4115" max="4352" width="8.85546875" style="211"/>
    <col min="4353" max="4353" width="11.28515625" style="211" customWidth="1"/>
    <col min="4354" max="4354" width="10.42578125" style="211" customWidth="1"/>
    <col min="4355" max="4355" width="7.28515625" style="211" customWidth="1"/>
    <col min="4356" max="4356" width="7.5703125" style="211" customWidth="1"/>
    <col min="4357" max="4357" width="7.42578125" style="211" customWidth="1"/>
    <col min="4358" max="4358" width="8.7109375" style="211" customWidth="1"/>
    <col min="4359" max="4359" width="8.140625" style="211" customWidth="1"/>
    <col min="4360" max="4360" width="7.28515625" style="211" customWidth="1"/>
    <col min="4361" max="4361" width="9.140625" style="211" customWidth="1"/>
    <col min="4362" max="4362" width="7.7109375" style="211" customWidth="1"/>
    <col min="4363" max="4363" width="9.28515625" style="211" customWidth="1"/>
    <col min="4364" max="4364" width="9.7109375" style="211" customWidth="1"/>
    <col min="4365" max="4365" width="6.42578125" style="211" customWidth="1"/>
    <col min="4366" max="4366" width="6.7109375" style="211" customWidth="1"/>
    <col min="4367" max="4367" width="7.28515625" style="211" customWidth="1"/>
    <col min="4368" max="4368" width="7.140625" style="211" customWidth="1"/>
    <col min="4369" max="4369" width="8.28515625" style="211" customWidth="1"/>
    <col min="4370" max="4370" width="7.7109375" style="211" customWidth="1"/>
    <col min="4371" max="4608" width="8.85546875" style="211"/>
    <col min="4609" max="4609" width="11.28515625" style="211" customWidth="1"/>
    <col min="4610" max="4610" width="10.42578125" style="211" customWidth="1"/>
    <col min="4611" max="4611" width="7.28515625" style="211" customWidth="1"/>
    <col min="4612" max="4612" width="7.5703125" style="211" customWidth="1"/>
    <col min="4613" max="4613" width="7.42578125" style="211" customWidth="1"/>
    <col min="4614" max="4614" width="8.7109375" style="211" customWidth="1"/>
    <col min="4615" max="4615" width="8.140625" style="211" customWidth="1"/>
    <col min="4616" max="4616" width="7.28515625" style="211" customWidth="1"/>
    <col min="4617" max="4617" width="9.140625" style="211" customWidth="1"/>
    <col min="4618" max="4618" width="7.7109375" style="211" customWidth="1"/>
    <col min="4619" max="4619" width="9.28515625" style="211" customWidth="1"/>
    <col min="4620" max="4620" width="9.7109375" style="211" customWidth="1"/>
    <col min="4621" max="4621" width="6.42578125" style="211" customWidth="1"/>
    <col min="4622" max="4622" width="6.7109375" style="211" customWidth="1"/>
    <col min="4623" max="4623" width="7.28515625" style="211" customWidth="1"/>
    <col min="4624" max="4624" width="7.140625" style="211" customWidth="1"/>
    <col min="4625" max="4625" width="8.28515625" style="211" customWidth="1"/>
    <col min="4626" max="4626" width="7.7109375" style="211" customWidth="1"/>
    <col min="4627" max="4864" width="8.85546875" style="211"/>
    <col min="4865" max="4865" width="11.28515625" style="211" customWidth="1"/>
    <col min="4866" max="4866" width="10.42578125" style="211" customWidth="1"/>
    <col min="4867" max="4867" width="7.28515625" style="211" customWidth="1"/>
    <col min="4868" max="4868" width="7.5703125" style="211" customWidth="1"/>
    <col min="4869" max="4869" width="7.42578125" style="211" customWidth="1"/>
    <col min="4870" max="4870" width="8.7109375" style="211" customWidth="1"/>
    <col min="4871" max="4871" width="8.140625" style="211" customWidth="1"/>
    <col min="4872" max="4872" width="7.28515625" style="211" customWidth="1"/>
    <col min="4873" max="4873" width="9.140625" style="211" customWidth="1"/>
    <col min="4874" max="4874" width="7.7109375" style="211" customWidth="1"/>
    <col min="4875" max="4875" width="9.28515625" style="211" customWidth="1"/>
    <col min="4876" max="4876" width="9.7109375" style="211" customWidth="1"/>
    <col min="4877" max="4877" width="6.42578125" style="211" customWidth="1"/>
    <col min="4878" max="4878" width="6.7109375" style="211" customWidth="1"/>
    <col min="4879" max="4879" width="7.28515625" style="211" customWidth="1"/>
    <col min="4880" max="4880" width="7.140625" style="211" customWidth="1"/>
    <col min="4881" max="4881" width="8.28515625" style="211" customWidth="1"/>
    <col min="4882" max="4882" width="7.7109375" style="211" customWidth="1"/>
    <col min="4883" max="5120" width="8.85546875" style="211"/>
    <col min="5121" max="5121" width="11.28515625" style="211" customWidth="1"/>
    <col min="5122" max="5122" width="10.42578125" style="211" customWidth="1"/>
    <col min="5123" max="5123" width="7.28515625" style="211" customWidth="1"/>
    <col min="5124" max="5124" width="7.5703125" style="211" customWidth="1"/>
    <col min="5125" max="5125" width="7.42578125" style="211" customWidth="1"/>
    <col min="5126" max="5126" width="8.7109375" style="211" customWidth="1"/>
    <col min="5127" max="5127" width="8.140625" style="211" customWidth="1"/>
    <col min="5128" max="5128" width="7.28515625" style="211" customWidth="1"/>
    <col min="5129" max="5129" width="9.140625" style="211" customWidth="1"/>
    <col min="5130" max="5130" width="7.7109375" style="211" customWidth="1"/>
    <col min="5131" max="5131" width="9.28515625" style="211" customWidth="1"/>
    <col min="5132" max="5132" width="9.7109375" style="211" customWidth="1"/>
    <col min="5133" max="5133" width="6.42578125" style="211" customWidth="1"/>
    <col min="5134" max="5134" width="6.7109375" style="211" customWidth="1"/>
    <col min="5135" max="5135" width="7.28515625" style="211" customWidth="1"/>
    <col min="5136" max="5136" width="7.140625" style="211" customWidth="1"/>
    <col min="5137" max="5137" width="8.28515625" style="211" customWidth="1"/>
    <col min="5138" max="5138" width="7.7109375" style="211" customWidth="1"/>
    <col min="5139" max="5376" width="8.85546875" style="211"/>
    <col min="5377" max="5377" width="11.28515625" style="211" customWidth="1"/>
    <col min="5378" max="5378" width="10.42578125" style="211" customWidth="1"/>
    <col min="5379" max="5379" width="7.28515625" style="211" customWidth="1"/>
    <col min="5380" max="5380" width="7.5703125" style="211" customWidth="1"/>
    <col min="5381" max="5381" width="7.42578125" style="211" customWidth="1"/>
    <col min="5382" max="5382" width="8.7109375" style="211" customWidth="1"/>
    <col min="5383" max="5383" width="8.140625" style="211" customWidth="1"/>
    <col min="5384" max="5384" width="7.28515625" style="211" customWidth="1"/>
    <col min="5385" max="5385" width="9.140625" style="211" customWidth="1"/>
    <col min="5386" max="5386" width="7.7109375" style="211" customWidth="1"/>
    <col min="5387" max="5387" width="9.28515625" style="211" customWidth="1"/>
    <col min="5388" max="5388" width="9.7109375" style="211" customWidth="1"/>
    <col min="5389" max="5389" width="6.42578125" style="211" customWidth="1"/>
    <col min="5390" max="5390" width="6.7109375" style="211" customWidth="1"/>
    <col min="5391" max="5391" width="7.28515625" style="211" customWidth="1"/>
    <col min="5392" max="5392" width="7.140625" style="211" customWidth="1"/>
    <col min="5393" max="5393" width="8.28515625" style="211" customWidth="1"/>
    <col min="5394" max="5394" width="7.7109375" style="211" customWidth="1"/>
    <col min="5395" max="5632" width="8.85546875" style="211"/>
    <col min="5633" max="5633" width="11.28515625" style="211" customWidth="1"/>
    <col min="5634" max="5634" width="10.42578125" style="211" customWidth="1"/>
    <col min="5635" max="5635" width="7.28515625" style="211" customWidth="1"/>
    <col min="5636" max="5636" width="7.5703125" style="211" customWidth="1"/>
    <col min="5637" max="5637" width="7.42578125" style="211" customWidth="1"/>
    <col min="5638" max="5638" width="8.7109375" style="211" customWidth="1"/>
    <col min="5639" max="5639" width="8.140625" style="211" customWidth="1"/>
    <col min="5640" max="5640" width="7.28515625" style="211" customWidth="1"/>
    <col min="5641" max="5641" width="9.140625" style="211" customWidth="1"/>
    <col min="5642" max="5642" width="7.7109375" style="211" customWidth="1"/>
    <col min="5643" max="5643" width="9.28515625" style="211" customWidth="1"/>
    <col min="5644" max="5644" width="9.7109375" style="211" customWidth="1"/>
    <col min="5645" max="5645" width="6.42578125" style="211" customWidth="1"/>
    <col min="5646" max="5646" width="6.7109375" style="211" customWidth="1"/>
    <col min="5647" max="5647" width="7.28515625" style="211" customWidth="1"/>
    <col min="5648" max="5648" width="7.140625" style="211" customWidth="1"/>
    <col min="5649" max="5649" width="8.28515625" style="211" customWidth="1"/>
    <col min="5650" max="5650" width="7.7109375" style="211" customWidth="1"/>
    <col min="5651" max="5888" width="8.85546875" style="211"/>
    <col min="5889" max="5889" width="11.28515625" style="211" customWidth="1"/>
    <col min="5890" max="5890" width="10.42578125" style="211" customWidth="1"/>
    <col min="5891" max="5891" width="7.28515625" style="211" customWidth="1"/>
    <col min="5892" max="5892" width="7.5703125" style="211" customWidth="1"/>
    <col min="5893" max="5893" width="7.42578125" style="211" customWidth="1"/>
    <col min="5894" max="5894" width="8.7109375" style="211" customWidth="1"/>
    <col min="5895" max="5895" width="8.140625" style="211" customWidth="1"/>
    <col min="5896" max="5896" width="7.28515625" style="211" customWidth="1"/>
    <col min="5897" max="5897" width="9.140625" style="211" customWidth="1"/>
    <col min="5898" max="5898" width="7.7109375" style="211" customWidth="1"/>
    <col min="5899" max="5899" width="9.28515625" style="211" customWidth="1"/>
    <col min="5900" max="5900" width="9.7109375" style="211" customWidth="1"/>
    <col min="5901" max="5901" width="6.42578125" style="211" customWidth="1"/>
    <col min="5902" max="5902" width="6.7109375" style="211" customWidth="1"/>
    <col min="5903" max="5903" width="7.28515625" style="211" customWidth="1"/>
    <col min="5904" max="5904" width="7.140625" style="211" customWidth="1"/>
    <col min="5905" max="5905" width="8.28515625" style="211" customWidth="1"/>
    <col min="5906" max="5906" width="7.7109375" style="211" customWidth="1"/>
    <col min="5907" max="6144" width="8.85546875" style="211"/>
    <col min="6145" max="6145" width="11.28515625" style="211" customWidth="1"/>
    <col min="6146" max="6146" width="10.42578125" style="211" customWidth="1"/>
    <col min="6147" max="6147" width="7.28515625" style="211" customWidth="1"/>
    <col min="6148" max="6148" width="7.5703125" style="211" customWidth="1"/>
    <col min="6149" max="6149" width="7.42578125" style="211" customWidth="1"/>
    <col min="6150" max="6150" width="8.7109375" style="211" customWidth="1"/>
    <col min="6151" max="6151" width="8.140625" style="211" customWidth="1"/>
    <col min="6152" max="6152" width="7.28515625" style="211" customWidth="1"/>
    <col min="6153" max="6153" width="9.140625" style="211" customWidth="1"/>
    <col min="6154" max="6154" width="7.7109375" style="211" customWidth="1"/>
    <col min="6155" max="6155" width="9.28515625" style="211" customWidth="1"/>
    <col min="6156" max="6156" width="9.7109375" style="211" customWidth="1"/>
    <col min="6157" max="6157" width="6.42578125" style="211" customWidth="1"/>
    <col min="6158" max="6158" width="6.7109375" style="211" customWidth="1"/>
    <col min="6159" max="6159" width="7.28515625" style="211" customWidth="1"/>
    <col min="6160" max="6160" width="7.140625" style="211" customWidth="1"/>
    <col min="6161" max="6161" width="8.28515625" style="211" customWidth="1"/>
    <col min="6162" max="6162" width="7.7109375" style="211" customWidth="1"/>
    <col min="6163" max="6400" width="8.85546875" style="211"/>
    <col min="6401" max="6401" width="11.28515625" style="211" customWidth="1"/>
    <col min="6402" max="6402" width="10.42578125" style="211" customWidth="1"/>
    <col min="6403" max="6403" width="7.28515625" style="211" customWidth="1"/>
    <col min="6404" max="6404" width="7.5703125" style="211" customWidth="1"/>
    <col min="6405" max="6405" width="7.42578125" style="211" customWidth="1"/>
    <col min="6406" max="6406" width="8.7109375" style="211" customWidth="1"/>
    <col min="6407" max="6407" width="8.140625" style="211" customWidth="1"/>
    <col min="6408" max="6408" width="7.28515625" style="211" customWidth="1"/>
    <col min="6409" max="6409" width="9.140625" style="211" customWidth="1"/>
    <col min="6410" max="6410" width="7.7109375" style="211" customWidth="1"/>
    <col min="6411" max="6411" width="9.28515625" style="211" customWidth="1"/>
    <col min="6412" max="6412" width="9.7109375" style="211" customWidth="1"/>
    <col min="6413" max="6413" width="6.42578125" style="211" customWidth="1"/>
    <col min="6414" max="6414" width="6.7109375" style="211" customWidth="1"/>
    <col min="6415" max="6415" width="7.28515625" style="211" customWidth="1"/>
    <col min="6416" max="6416" width="7.140625" style="211" customWidth="1"/>
    <col min="6417" max="6417" width="8.28515625" style="211" customWidth="1"/>
    <col min="6418" max="6418" width="7.7109375" style="211" customWidth="1"/>
    <col min="6419" max="6656" width="8.85546875" style="211"/>
    <col min="6657" max="6657" width="11.28515625" style="211" customWidth="1"/>
    <col min="6658" max="6658" width="10.42578125" style="211" customWidth="1"/>
    <col min="6659" max="6659" width="7.28515625" style="211" customWidth="1"/>
    <col min="6660" max="6660" width="7.5703125" style="211" customWidth="1"/>
    <col min="6661" max="6661" width="7.42578125" style="211" customWidth="1"/>
    <col min="6662" max="6662" width="8.7109375" style="211" customWidth="1"/>
    <col min="6663" max="6663" width="8.140625" style="211" customWidth="1"/>
    <col min="6664" max="6664" width="7.28515625" style="211" customWidth="1"/>
    <col min="6665" max="6665" width="9.140625" style="211" customWidth="1"/>
    <col min="6666" max="6666" width="7.7109375" style="211" customWidth="1"/>
    <col min="6667" max="6667" width="9.28515625" style="211" customWidth="1"/>
    <col min="6668" max="6668" width="9.7109375" style="211" customWidth="1"/>
    <col min="6669" max="6669" width="6.42578125" style="211" customWidth="1"/>
    <col min="6670" max="6670" width="6.7109375" style="211" customWidth="1"/>
    <col min="6671" max="6671" width="7.28515625" style="211" customWidth="1"/>
    <col min="6672" max="6672" width="7.140625" style="211" customWidth="1"/>
    <col min="6673" max="6673" width="8.28515625" style="211" customWidth="1"/>
    <col min="6674" max="6674" width="7.7109375" style="211" customWidth="1"/>
    <col min="6675" max="6912" width="8.85546875" style="211"/>
    <col min="6913" max="6913" width="11.28515625" style="211" customWidth="1"/>
    <col min="6914" max="6914" width="10.42578125" style="211" customWidth="1"/>
    <col min="6915" max="6915" width="7.28515625" style="211" customWidth="1"/>
    <col min="6916" max="6916" width="7.5703125" style="211" customWidth="1"/>
    <col min="6917" max="6917" width="7.42578125" style="211" customWidth="1"/>
    <col min="6918" max="6918" width="8.7109375" style="211" customWidth="1"/>
    <col min="6919" max="6919" width="8.140625" style="211" customWidth="1"/>
    <col min="6920" max="6920" width="7.28515625" style="211" customWidth="1"/>
    <col min="6921" max="6921" width="9.140625" style="211" customWidth="1"/>
    <col min="6922" max="6922" width="7.7109375" style="211" customWidth="1"/>
    <col min="6923" max="6923" width="9.28515625" style="211" customWidth="1"/>
    <col min="6924" max="6924" width="9.7109375" style="211" customWidth="1"/>
    <col min="6925" max="6925" width="6.42578125" style="211" customWidth="1"/>
    <col min="6926" max="6926" width="6.7109375" style="211" customWidth="1"/>
    <col min="6927" max="6927" width="7.28515625" style="211" customWidth="1"/>
    <col min="6928" max="6928" width="7.140625" style="211" customWidth="1"/>
    <col min="6929" max="6929" width="8.28515625" style="211" customWidth="1"/>
    <col min="6930" max="6930" width="7.7109375" style="211" customWidth="1"/>
    <col min="6931" max="7168" width="8.85546875" style="211"/>
    <col min="7169" max="7169" width="11.28515625" style="211" customWidth="1"/>
    <col min="7170" max="7170" width="10.42578125" style="211" customWidth="1"/>
    <col min="7171" max="7171" width="7.28515625" style="211" customWidth="1"/>
    <col min="7172" max="7172" width="7.5703125" style="211" customWidth="1"/>
    <col min="7173" max="7173" width="7.42578125" style="211" customWidth="1"/>
    <col min="7174" max="7174" width="8.7109375" style="211" customWidth="1"/>
    <col min="7175" max="7175" width="8.140625" style="211" customWidth="1"/>
    <col min="7176" max="7176" width="7.28515625" style="211" customWidth="1"/>
    <col min="7177" max="7177" width="9.140625" style="211" customWidth="1"/>
    <col min="7178" max="7178" width="7.7109375" style="211" customWidth="1"/>
    <col min="7179" max="7179" width="9.28515625" style="211" customWidth="1"/>
    <col min="7180" max="7180" width="9.7109375" style="211" customWidth="1"/>
    <col min="7181" max="7181" width="6.42578125" style="211" customWidth="1"/>
    <col min="7182" max="7182" width="6.7109375" style="211" customWidth="1"/>
    <col min="7183" max="7183" width="7.28515625" style="211" customWidth="1"/>
    <col min="7184" max="7184" width="7.140625" style="211" customWidth="1"/>
    <col min="7185" max="7185" width="8.28515625" style="211" customWidth="1"/>
    <col min="7186" max="7186" width="7.7109375" style="211" customWidth="1"/>
    <col min="7187" max="7424" width="8.85546875" style="211"/>
    <col min="7425" max="7425" width="11.28515625" style="211" customWidth="1"/>
    <col min="7426" max="7426" width="10.42578125" style="211" customWidth="1"/>
    <col min="7427" max="7427" width="7.28515625" style="211" customWidth="1"/>
    <col min="7428" max="7428" width="7.5703125" style="211" customWidth="1"/>
    <col min="7429" max="7429" width="7.42578125" style="211" customWidth="1"/>
    <col min="7430" max="7430" width="8.7109375" style="211" customWidth="1"/>
    <col min="7431" max="7431" width="8.140625" style="211" customWidth="1"/>
    <col min="7432" max="7432" width="7.28515625" style="211" customWidth="1"/>
    <col min="7433" max="7433" width="9.140625" style="211" customWidth="1"/>
    <col min="7434" max="7434" width="7.7109375" style="211" customWidth="1"/>
    <col min="7435" max="7435" width="9.28515625" style="211" customWidth="1"/>
    <col min="7436" max="7436" width="9.7109375" style="211" customWidth="1"/>
    <col min="7437" max="7437" width="6.42578125" style="211" customWidth="1"/>
    <col min="7438" max="7438" width="6.7109375" style="211" customWidth="1"/>
    <col min="7439" max="7439" width="7.28515625" style="211" customWidth="1"/>
    <col min="7440" max="7440" width="7.140625" style="211" customWidth="1"/>
    <col min="7441" max="7441" width="8.28515625" style="211" customWidth="1"/>
    <col min="7442" max="7442" width="7.7109375" style="211" customWidth="1"/>
    <col min="7443" max="7680" width="8.85546875" style="211"/>
    <col min="7681" max="7681" width="11.28515625" style="211" customWidth="1"/>
    <col min="7682" max="7682" width="10.42578125" style="211" customWidth="1"/>
    <col min="7683" max="7683" width="7.28515625" style="211" customWidth="1"/>
    <col min="7684" max="7684" width="7.5703125" style="211" customWidth="1"/>
    <col min="7685" max="7685" width="7.42578125" style="211" customWidth="1"/>
    <col min="7686" max="7686" width="8.7109375" style="211" customWidth="1"/>
    <col min="7687" max="7687" width="8.140625" style="211" customWidth="1"/>
    <col min="7688" max="7688" width="7.28515625" style="211" customWidth="1"/>
    <col min="7689" max="7689" width="9.140625" style="211" customWidth="1"/>
    <col min="7690" max="7690" width="7.7109375" style="211" customWidth="1"/>
    <col min="7691" max="7691" width="9.28515625" style="211" customWidth="1"/>
    <col min="7692" max="7692" width="9.7109375" style="211" customWidth="1"/>
    <col min="7693" max="7693" width="6.42578125" style="211" customWidth="1"/>
    <col min="7694" max="7694" width="6.7109375" style="211" customWidth="1"/>
    <col min="7695" max="7695" width="7.28515625" style="211" customWidth="1"/>
    <col min="7696" max="7696" width="7.140625" style="211" customWidth="1"/>
    <col min="7697" max="7697" width="8.28515625" style="211" customWidth="1"/>
    <col min="7698" max="7698" width="7.7109375" style="211" customWidth="1"/>
    <col min="7699" max="7936" width="8.85546875" style="211"/>
    <col min="7937" max="7937" width="11.28515625" style="211" customWidth="1"/>
    <col min="7938" max="7938" width="10.42578125" style="211" customWidth="1"/>
    <col min="7939" max="7939" width="7.28515625" style="211" customWidth="1"/>
    <col min="7940" max="7940" width="7.5703125" style="211" customWidth="1"/>
    <col min="7941" max="7941" width="7.42578125" style="211" customWidth="1"/>
    <col min="7942" max="7942" width="8.7109375" style="211" customWidth="1"/>
    <col min="7943" max="7943" width="8.140625" style="211" customWidth="1"/>
    <col min="7944" max="7944" width="7.28515625" style="211" customWidth="1"/>
    <col min="7945" max="7945" width="9.140625" style="211" customWidth="1"/>
    <col min="7946" max="7946" width="7.7109375" style="211" customWidth="1"/>
    <col min="7947" max="7947" width="9.28515625" style="211" customWidth="1"/>
    <col min="7948" max="7948" width="9.7109375" style="211" customWidth="1"/>
    <col min="7949" max="7949" width="6.42578125" style="211" customWidth="1"/>
    <col min="7950" max="7950" width="6.7109375" style="211" customWidth="1"/>
    <col min="7951" max="7951" width="7.28515625" style="211" customWidth="1"/>
    <col min="7952" max="7952" width="7.140625" style="211" customWidth="1"/>
    <col min="7953" max="7953" width="8.28515625" style="211" customWidth="1"/>
    <col min="7954" max="7954" width="7.7109375" style="211" customWidth="1"/>
    <col min="7955" max="8192" width="8.85546875" style="211"/>
    <col min="8193" max="8193" width="11.28515625" style="211" customWidth="1"/>
    <col min="8194" max="8194" width="10.42578125" style="211" customWidth="1"/>
    <col min="8195" max="8195" width="7.28515625" style="211" customWidth="1"/>
    <col min="8196" max="8196" width="7.5703125" style="211" customWidth="1"/>
    <col min="8197" max="8197" width="7.42578125" style="211" customWidth="1"/>
    <col min="8198" max="8198" width="8.7109375" style="211" customWidth="1"/>
    <col min="8199" max="8199" width="8.140625" style="211" customWidth="1"/>
    <col min="8200" max="8200" width="7.28515625" style="211" customWidth="1"/>
    <col min="8201" max="8201" width="9.140625" style="211" customWidth="1"/>
    <col min="8202" max="8202" width="7.7109375" style="211" customWidth="1"/>
    <col min="8203" max="8203" width="9.28515625" style="211" customWidth="1"/>
    <col min="8204" max="8204" width="9.7109375" style="211" customWidth="1"/>
    <col min="8205" max="8205" width="6.42578125" style="211" customWidth="1"/>
    <col min="8206" max="8206" width="6.7109375" style="211" customWidth="1"/>
    <col min="8207" max="8207" width="7.28515625" style="211" customWidth="1"/>
    <col min="8208" max="8208" width="7.140625" style="211" customWidth="1"/>
    <col min="8209" max="8209" width="8.28515625" style="211" customWidth="1"/>
    <col min="8210" max="8210" width="7.7109375" style="211" customWidth="1"/>
    <col min="8211" max="8448" width="8.85546875" style="211"/>
    <col min="8449" max="8449" width="11.28515625" style="211" customWidth="1"/>
    <col min="8450" max="8450" width="10.42578125" style="211" customWidth="1"/>
    <col min="8451" max="8451" width="7.28515625" style="211" customWidth="1"/>
    <col min="8452" max="8452" width="7.5703125" style="211" customWidth="1"/>
    <col min="8453" max="8453" width="7.42578125" style="211" customWidth="1"/>
    <col min="8454" max="8454" width="8.7109375" style="211" customWidth="1"/>
    <col min="8455" max="8455" width="8.140625" style="211" customWidth="1"/>
    <col min="8456" max="8456" width="7.28515625" style="211" customWidth="1"/>
    <col min="8457" max="8457" width="9.140625" style="211" customWidth="1"/>
    <col min="8458" max="8458" width="7.7109375" style="211" customWidth="1"/>
    <col min="8459" max="8459" width="9.28515625" style="211" customWidth="1"/>
    <col min="8460" max="8460" width="9.7109375" style="211" customWidth="1"/>
    <col min="8461" max="8461" width="6.42578125" style="211" customWidth="1"/>
    <col min="8462" max="8462" width="6.7109375" style="211" customWidth="1"/>
    <col min="8463" max="8463" width="7.28515625" style="211" customWidth="1"/>
    <col min="8464" max="8464" width="7.140625" style="211" customWidth="1"/>
    <col min="8465" max="8465" width="8.28515625" style="211" customWidth="1"/>
    <col min="8466" max="8466" width="7.7109375" style="211" customWidth="1"/>
    <col min="8467" max="8704" width="8.85546875" style="211"/>
    <col min="8705" max="8705" width="11.28515625" style="211" customWidth="1"/>
    <col min="8706" max="8706" width="10.42578125" style="211" customWidth="1"/>
    <col min="8707" max="8707" width="7.28515625" style="211" customWidth="1"/>
    <col min="8708" max="8708" width="7.5703125" style="211" customWidth="1"/>
    <col min="8709" max="8709" width="7.42578125" style="211" customWidth="1"/>
    <col min="8710" max="8710" width="8.7109375" style="211" customWidth="1"/>
    <col min="8711" max="8711" width="8.140625" style="211" customWidth="1"/>
    <col min="8712" max="8712" width="7.28515625" style="211" customWidth="1"/>
    <col min="8713" max="8713" width="9.140625" style="211" customWidth="1"/>
    <col min="8714" max="8714" width="7.7109375" style="211" customWidth="1"/>
    <col min="8715" max="8715" width="9.28515625" style="211" customWidth="1"/>
    <col min="8716" max="8716" width="9.7109375" style="211" customWidth="1"/>
    <col min="8717" max="8717" width="6.42578125" style="211" customWidth="1"/>
    <col min="8718" max="8718" width="6.7109375" style="211" customWidth="1"/>
    <col min="8719" max="8719" width="7.28515625" style="211" customWidth="1"/>
    <col min="8720" max="8720" width="7.140625" style="211" customWidth="1"/>
    <col min="8721" max="8721" width="8.28515625" style="211" customWidth="1"/>
    <col min="8722" max="8722" width="7.7109375" style="211" customWidth="1"/>
    <col min="8723" max="8960" width="8.85546875" style="211"/>
    <col min="8961" max="8961" width="11.28515625" style="211" customWidth="1"/>
    <col min="8962" max="8962" width="10.42578125" style="211" customWidth="1"/>
    <col min="8963" max="8963" width="7.28515625" style="211" customWidth="1"/>
    <col min="8964" max="8964" width="7.5703125" style="211" customWidth="1"/>
    <col min="8965" max="8965" width="7.42578125" style="211" customWidth="1"/>
    <col min="8966" max="8966" width="8.7109375" style="211" customWidth="1"/>
    <col min="8967" max="8967" width="8.140625" style="211" customWidth="1"/>
    <col min="8968" max="8968" width="7.28515625" style="211" customWidth="1"/>
    <col min="8969" max="8969" width="9.140625" style="211" customWidth="1"/>
    <col min="8970" max="8970" width="7.7109375" style="211" customWidth="1"/>
    <col min="8971" max="8971" width="9.28515625" style="211" customWidth="1"/>
    <col min="8972" max="8972" width="9.7109375" style="211" customWidth="1"/>
    <col min="8973" max="8973" width="6.42578125" style="211" customWidth="1"/>
    <col min="8974" max="8974" width="6.7109375" style="211" customWidth="1"/>
    <col min="8975" max="8975" width="7.28515625" style="211" customWidth="1"/>
    <col min="8976" max="8976" width="7.140625" style="211" customWidth="1"/>
    <col min="8977" max="8977" width="8.28515625" style="211" customWidth="1"/>
    <col min="8978" max="8978" width="7.7109375" style="211" customWidth="1"/>
    <col min="8979" max="9216" width="8.85546875" style="211"/>
    <col min="9217" max="9217" width="11.28515625" style="211" customWidth="1"/>
    <col min="9218" max="9218" width="10.42578125" style="211" customWidth="1"/>
    <col min="9219" max="9219" width="7.28515625" style="211" customWidth="1"/>
    <col min="9220" max="9220" width="7.5703125" style="211" customWidth="1"/>
    <col min="9221" max="9221" width="7.42578125" style="211" customWidth="1"/>
    <col min="9222" max="9222" width="8.7109375" style="211" customWidth="1"/>
    <col min="9223" max="9223" width="8.140625" style="211" customWidth="1"/>
    <col min="9224" max="9224" width="7.28515625" style="211" customWidth="1"/>
    <col min="9225" max="9225" width="9.140625" style="211" customWidth="1"/>
    <col min="9226" max="9226" width="7.7109375" style="211" customWidth="1"/>
    <col min="9227" max="9227" width="9.28515625" style="211" customWidth="1"/>
    <col min="9228" max="9228" width="9.7109375" style="211" customWidth="1"/>
    <col min="9229" max="9229" width="6.42578125" style="211" customWidth="1"/>
    <col min="9230" max="9230" width="6.7109375" style="211" customWidth="1"/>
    <col min="9231" max="9231" width="7.28515625" style="211" customWidth="1"/>
    <col min="9232" max="9232" width="7.140625" style="211" customWidth="1"/>
    <col min="9233" max="9233" width="8.28515625" style="211" customWidth="1"/>
    <col min="9234" max="9234" width="7.7109375" style="211" customWidth="1"/>
    <col min="9235" max="9472" width="8.85546875" style="211"/>
    <col min="9473" max="9473" width="11.28515625" style="211" customWidth="1"/>
    <col min="9474" max="9474" width="10.42578125" style="211" customWidth="1"/>
    <col min="9475" max="9475" width="7.28515625" style="211" customWidth="1"/>
    <col min="9476" max="9476" width="7.5703125" style="211" customWidth="1"/>
    <col min="9477" max="9477" width="7.42578125" style="211" customWidth="1"/>
    <col min="9478" max="9478" width="8.7109375" style="211" customWidth="1"/>
    <col min="9479" max="9479" width="8.140625" style="211" customWidth="1"/>
    <col min="9480" max="9480" width="7.28515625" style="211" customWidth="1"/>
    <col min="9481" max="9481" width="9.140625" style="211" customWidth="1"/>
    <col min="9482" max="9482" width="7.7109375" style="211" customWidth="1"/>
    <col min="9483" max="9483" width="9.28515625" style="211" customWidth="1"/>
    <col min="9484" max="9484" width="9.7109375" style="211" customWidth="1"/>
    <col min="9485" max="9485" width="6.42578125" style="211" customWidth="1"/>
    <col min="9486" max="9486" width="6.7109375" style="211" customWidth="1"/>
    <col min="9487" max="9487" width="7.28515625" style="211" customWidth="1"/>
    <col min="9488" max="9488" width="7.140625" style="211" customWidth="1"/>
    <col min="9489" max="9489" width="8.28515625" style="211" customWidth="1"/>
    <col min="9490" max="9490" width="7.7109375" style="211" customWidth="1"/>
    <col min="9491" max="9728" width="8.85546875" style="211"/>
    <col min="9729" max="9729" width="11.28515625" style="211" customWidth="1"/>
    <col min="9730" max="9730" width="10.42578125" style="211" customWidth="1"/>
    <col min="9731" max="9731" width="7.28515625" style="211" customWidth="1"/>
    <col min="9732" max="9732" width="7.5703125" style="211" customWidth="1"/>
    <col min="9733" max="9733" width="7.42578125" style="211" customWidth="1"/>
    <col min="9734" max="9734" width="8.7109375" style="211" customWidth="1"/>
    <col min="9735" max="9735" width="8.140625" style="211" customWidth="1"/>
    <col min="9736" max="9736" width="7.28515625" style="211" customWidth="1"/>
    <col min="9737" max="9737" width="9.140625" style="211" customWidth="1"/>
    <col min="9738" max="9738" width="7.7109375" style="211" customWidth="1"/>
    <col min="9739" max="9739" width="9.28515625" style="211" customWidth="1"/>
    <col min="9740" max="9740" width="9.7109375" style="211" customWidth="1"/>
    <col min="9741" max="9741" width="6.42578125" style="211" customWidth="1"/>
    <col min="9742" max="9742" width="6.7109375" style="211" customWidth="1"/>
    <col min="9743" max="9743" width="7.28515625" style="211" customWidth="1"/>
    <col min="9744" max="9744" width="7.140625" style="211" customWidth="1"/>
    <col min="9745" max="9745" width="8.28515625" style="211" customWidth="1"/>
    <col min="9746" max="9746" width="7.7109375" style="211" customWidth="1"/>
    <col min="9747" max="9984" width="8.85546875" style="211"/>
    <col min="9985" max="9985" width="11.28515625" style="211" customWidth="1"/>
    <col min="9986" max="9986" width="10.42578125" style="211" customWidth="1"/>
    <col min="9987" max="9987" width="7.28515625" style="211" customWidth="1"/>
    <col min="9988" max="9988" width="7.5703125" style="211" customWidth="1"/>
    <col min="9989" max="9989" width="7.42578125" style="211" customWidth="1"/>
    <col min="9990" max="9990" width="8.7109375" style="211" customWidth="1"/>
    <col min="9991" max="9991" width="8.140625" style="211" customWidth="1"/>
    <col min="9992" max="9992" width="7.28515625" style="211" customWidth="1"/>
    <col min="9993" max="9993" width="9.140625" style="211" customWidth="1"/>
    <col min="9994" max="9994" width="7.7109375" style="211" customWidth="1"/>
    <col min="9995" max="9995" width="9.28515625" style="211" customWidth="1"/>
    <col min="9996" max="9996" width="9.7109375" style="211" customWidth="1"/>
    <col min="9997" max="9997" width="6.42578125" style="211" customWidth="1"/>
    <col min="9998" max="9998" width="6.7109375" style="211" customWidth="1"/>
    <col min="9999" max="9999" width="7.28515625" style="211" customWidth="1"/>
    <col min="10000" max="10000" width="7.140625" style="211" customWidth="1"/>
    <col min="10001" max="10001" width="8.28515625" style="211" customWidth="1"/>
    <col min="10002" max="10002" width="7.7109375" style="211" customWidth="1"/>
    <col min="10003" max="10240" width="8.85546875" style="211"/>
    <col min="10241" max="10241" width="11.28515625" style="211" customWidth="1"/>
    <col min="10242" max="10242" width="10.42578125" style="211" customWidth="1"/>
    <col min="10243" max="10243" width="7.28515625" style="211" customWidth="1"/>
    <col min="10244" max="10244" width="7.5703125" style="211" customWidth="1"/>
    <col min="10245" max="10245" width="7.42578125" style="211" customWidth="1"/>
    <col min="10246" max="10246" width="8.7109375" style="211" customWidth="1"/>
    <col min="10247" max="10247" width="8.140625" style="211" customWidth="1"/>
    <col min="10248" max="10248" width="7.28515625" style="211" customWidth="1"/>
    <col min="10249" max="10249" width="9.140625" style="211" customWidth="1"/>
    <col min="10250" max="10250" width="7.7109375" style="211" customWidth="1"/>
    <col min="10251" max="10251" width="9.28515625" style="211" customWidth="1"/>
    <col min="10252" max="10252" width="9.7109375" style="211" customWidth="1"/>
    <col min="10253" max="10253" width="6.42578125" style="211" customWidth="1"/>
    <col min="10254" max="10254" width="6.7109375" style="211" customWidth="1"/>
    <col min="10255" max="10255" width="7.28515625" style="211" customWidth="1"/>
    <col min="10256" max="10256" width="7.140625" style="211" customWidth="1"/>
    <col min="10257" max="10257" width="8.28515625" style="211" customWidth="1"/>
    <col min="10258" max="10258" width="7.7109375" style="211" customWidth="1"/>
    <col min="10259" max="10496" width="8.85546875" style="211"/>
    <col min="10497" max="10497" width="11.28515625" style="211" customWidth="1"/>
    <col min="10498" max="10498" width="10.42578125" style="211" customWidth="1"/>
    <col min="10499" max="10499" width="7.28515625" style="211" customWidth="1"/>
    <col min="10500" max="10500" width="7.5703125" style="211" customWidth="1"/>
    <col min="10501" max="10501" width="7.42578125" style="211" customWidth="1"/>
    <col min="10502" max="10502" width="8.7109375" style="211" customWidth="1"/>
    <col min="10503" max="10503" width="8.140625" style="211" customWidth="1"/>
    <col min="10504" max="10504" width="7.28515625" style="211" customWidth="1"/>
    <col min="10505" max="10505" width="9.140625" style="211" customWidth="1"/>
    <col min="10506" max="10506" width="7.7109375" style="211" customWidth="1"/>
    <col min="10507" max="10507" width="9.28515625" style="211" customWidth="1"/>
    <col min="10508" max="10508" width="9.7109375" style="211" customWidth="1"/>
    <col min="10509" max="10509" width="6.42578125" style="211" customWidth="1"/>
    <col min="10510" max="10510" width="6.7109375" style="211" customWidth="1"/>
    <col min="10511" max="10511" width="7.28515625" style="211" customWidth="1"/>
    <col min="10512" max="10512" width="7.140625" style="211" customWidth="1"/>
    <col min="10513" max="10513" width="8.28515625" style="211" customWidth="1"/>
    <col min="10514" max="10514" width="7.7109375" style="211" customWidth="1"/>
    <col min="10515" max="10752" width="8.85546875" style="211"/>
    <col min="10753" max="10753" width="11.28515625" style="211" customWidth="1"/>
    <col min="10754" max="10754" width="10.42578125" style="211" customWidth="1"/>
    <col min="10755" max="10755" width="7.28515625" style="211" customWidth="1"/>
    <col min="10756" max="10756" width="7.5703125" style="211" customWidth="1"/>
    <col min="10757" max="10757" width="7.42578125" style="211" customWidth="1"/>
    <col min="10758" max="10758" width="8.7109375" style="211" customWidth="1"/>
    <col min="10759" max="10759" width="8.140625" style="211" customWidth="1"/>
    <col min="10760" max="10760" width="7.28515625" style="211" customWidth="1"/>
    <col min="10761" max="10761" width="9.140625" style="211" customWidth="1"/>
    <col min="10762" max="10762" width="7.7109375" style="211" customWidth="1"/>
    <col min="10763" max="10763" width="9.28515625" style="211" customWidth="1"/>
    <col min="10764" max="10764" width="9.7109375" style="211" customWidth="1"/>
    <col min="10765" max="10765" width="6.42578125" style="211" customWidth="1"/>
    <col min="10766" max="10766" width="6.7109375" style="211" customWidth="1"/>
    <col min="10767" max="10767" width="7.28515625" style="211" customWidth="1"/>
    <col min="10768" max="10768" width="7.140625" style="211" customWidth="1"/>
    <col min="10769" max="10769" width="8.28515625" style="211" customWidth="1"/>
    <col min="10770" max="10770" width="7.7109375" style="211" customWidth="1"/>
    <col min="10771" max="11008" width="8.85546875" style="211"/>
    <col min="11009" max="11009" width="11.28515625" style="211" customWidth="1"/>
    <col min="11010" max="11010" width="10.42578125" style="211" customWidth="1"/>
    <col min="11011" max="11011" width="7.28515625" style="211" customWidth="1"/>
    <col min="11012" max="11012" width="7.5703125" style="211" customWidth="1"/>
    <col min="11013" max="11013" width="7.42578125" style="211" customWidth="1"/>
    <col min="11014" max="11014" width="8.7109375" style="211" customWidth="1"/>
    <col min="11015" max="11015" width="8.140625" style="211" customWidth="1"/>
    <col min="11016" max="11016" width="7.28515625" style="211" customWidth="1"/>
    <col min="11017" max="11017" width="9.140625" style="211" customWidth="1"/>
    <col min="11018" max="11018" width="7.7109375" style="211" customWidth="1"/>
    <col min="11019" max="11019" width="9.28515625" style="211" customWidth="1"/>
    <col min="11020" max="11020" width="9.7109375" style="211" customWidth="1"/>
    <col min="11021" max="11021" width="6.42578125" style="211" customWidth="1"/>
    <col min="11022" max="11022" width="6.7109375" style="211" customWidth="1"/>
    <col min="11023" max="11023" width="7.28515625" style="211" customWidth="1"/>
    <col min="11024" max="11024" width="7.140625" style="211" customWidth="1"/>
    <col min="11025" max="11025" width="8.28515625" style="211" customWidth="1"/>
    <col min="11026" max="11026" width="7.7109375" style="211" customWidth="1"/>
    <col min="11027" max="11264" width="8.85546875" style="211"/>
    <col min="11265" max="11265" width="11.28515625" style="211" customWidth="1"/>
    <col min="11266" max="11266" width="10.42578125" style="211" customWidth="1"/>
    <col min="11267" max="11267" width="7.28515625" style="211" customWidth="1"/>
    <col min="11268" max="11268" width="7.5703125" style="211" customWidth="1"/>
    <col min="11269" max="11269" width="7.42578125" style="211" customWidth="1"/>
    <col min="11270" max="11270" width="8.7109375" style="211" customWidth="1"/>
    <col min="11271" max="11271" width="8.140625" style="211" customWidth="1"/>
    <col min="11272" max="11272" width="7.28515625" style="211" customWidth="1"/>
    <col min="11273" max="11273" width="9.140625" style="211" customWidth="1"/>
    <col min="11274" max="11274" width="7.7109375" style="211" customWidth="1"/>
    <col min="11275" max="11275" width="9.28515625" style="211" customWidth="1"/>
    <col min="11276" max="11276" width="9.7109375" style="211" customWidth="1"/>
    <col min="11277" max="11277" width="6.42578125" style="211" customWidth="1"/>
    <col min="11278" max="11278" width="6.7109375" style="211" customWidth="1"/>
    <col min="11279" max="11279" width="7.28515625" style="211" customWidth="1"/>
    <col min="11280" max="11280" width="7.140625" style="211" customWidth="1"/>
    <col min="11281" max="11281" width="8.28515625" style="211" customWidth="1"/>
    <col min="11282" max="11282" width="7.7109375" style="211" customWidth="1"/>
    <col min="11283" max="11520" width="8.85546875" style="211"/>
    <col min="11521" max="11521" width="11.28515625" style="211" customWidth="1"/>
    <col min="11522" max="11522" width="10.42578125" style="211" customWidth="1"/>
    <col min="11523" max="11523" width="7.28515625" style="211" customWidth="1"/>
    <col min="11524" max="11524" width="7.5703125" style="211" customWidth="1"/>
    <col min="11525" max="11525" width="7.42578125" style="211" customWidth="1"/>
    <col min="11526" max="11526" width="8.7109375" style="211" customWidth="1"/>
    <col min="11527" max="11527" width="8.140625" style="211" customWidth="1"/>
    <col min="11528" max="11528" width="7.28515625" style="211" customWidth="1"/>
    <col min="11529" max="11529" width="9.140625" style="211" customWidth="1"/>
    <col min="11530" max="11530" width="7.7109375" style="211" customWidth="1"/>
    <col min="11531" max="11531" width="9.28515625" style="211" customWidth="1"/>
    <col min="11532" max="11532" width="9.7109375" style="211" customWidth="1"/>
    <col min="11533" max="11533" width="6.42578125" style="211" customWidth="1"/>
    <col min="11534" max="11534" width="6.7109375" style="211" customWidth="1"/>
    <col min="11535" max="11535" width="7.28515625" style="211" customWidth="1"/>
    <col min="11536" max="11536" width="7.140625" style="211" customWidth="1"/>
    <col min="11537" max="11537" width="8.28515625" style="211" customWidth="1"/>
    <col min="11538" max="11538" width="7.7109375" style="211" customWidth="1"/>
    <col min="11539" max="11776" width="8.85546875" style="211"/>
    <col min="11777" max="11777" width="11.28515625" style="211" customWidth="1"/>
    <col min="11778" max="11778" width="10.42578125" style="211" customWidth="1"/>
    <col min="11779" max="11779" width="7.28515625" style="211" customWidth="1"/>
    <col min="11780" max="11780" width="7.5703125" style="211" customWidth="1"/>
    <col min="11781" max="11781" width="7.42578125" style="211" customWidth="1"/>
    <col min="11782" max="11782" width="8.7109375" style="211" customWidth="1"/>
    <col min="11783" max="11783" width="8.140625" style="211" customWidth="1"/>
    <col min="11784" max="11784" width="7.28515625" style="211" customWidth="1"/>
    <col min="11785" max="11785" width="9.140625" style="211" customWidth="1"/>
    <col min="11786" max="11786" width="7.7109375" style="211" customWidth="1"/>
    <col min="11787" max="11787" width="9.28515625" style="211" customWidth="1"/>
    <col min="11788" max="11788" width="9.7109375" style="211" customWidth="1"/>
    <col min="11789" max="11789" width="6.42578125" style="211" customWidth="1"/>
    <col min="11790" max="11790" width="6.7109375" style="211" customWidth="1"/>
    <col min="11791" max="11791" width="7.28515625" style="211" customWidth="1"/>
    <col min="11792" max="11792" width="7.140625" style="211" customWidth="1"/>
    <col min="11793" max="11793" width="8.28515625" style="211" customWidth="1"/>
    <col min="11794" max="11794" width="7.7109375" style="211" customWidth="1"/>
    <col min="11795" max="12032" width="8.85546875" style="211"/>
    <col min="12033" max="12033" width="11.28515625" style="211" customWidth="1"/>
    <col min="12034" max="12034" width="10.42578125" style="211" customWidth="1"/>
    <col min="12035" max="12035" width="7.28515625" style="211" customWidth="1"/>
    <col min="12036" max="12036" width="7.5703125" style="211" customWidth="1"/>
    <col min="12037" max="12037" width="7.42578125" style="211" customWidth="1"/>
    <col min="12038" max="12038" width="8.7109375" style="211" customWidth="1"/>
    <col min="12039" max="12039" width="8.140625" style="211" customWidth="1"/>
    <col min="12040" max="12040" width="7.28515625" style="211" customWidth="1"/>
    <col min="12041" max="12041" width="9.140625" style="211" customWidth="1"/>
    <col min="12042" max="12042" width="7.7109375" style="211" customWidth="1"/>
    <col min="12043" max="12043" width="9.28515625" style="211" customWidth="1"/>
    <col min="12044" max="12044" width="9.7109375" style="211" customWidth="1"/>
    <col min="12045" max="12045" width="6.42578125" style="211" customWidth="1"/>
    <col min="12046" max="12046" width="6.7109375" style="211" customWidth="1"/>
    <col min="12047" max="12047" width="7.28515625" style="211" customWidth="1"/>
    <col min="12048" max="12048" width="7.140625" style="211" customWidth="1"/>
    <col min="12049" max="12049" width="8.28515625" style="211" customWidth="1"/>
    <col min="12050" max="12050" width="7.7109375" style="211" customWidth="1"/>
    <col min="12051" max="12288" width="8.85546875" style="211"/>
    <col min="12289" max="12289" width="11.28515625" style="211" customWidth="1"/>
    <col min="12290" max="12290" width="10.42578125" style="211" customWidth="1"/>
    <col min="12291" max="12291" width="7.28515625" style="211" customWidth="1"/>
    <col min="12292" max="12292" width="7.5703125" style="211" customWidth="1"/>
    <col min="12293" max="12293" width="7.42578125" style="211" customWidth="1"/>
    <col min="12294" max="12294" width="8.7109375" style="211" customWidth="1"/>
    <col min="12295" max="12295" width="8.140625" style="211" customWidth="1"/>
    <col min="12296" max="12296" width="7.28515625" style="211" customWidth="1"/>
    <col min="12297" max="12297" width="9.140625" style="211" customWidth="1"/>
    <col min="12298" max="12298" width="7.7109375" style="211" customWidth="1"/>
    <col min="12299" max="12299" width="9.28515625" style="211" customWidth="1"/>
    <col min="12300" max="12300" width="9.7109375" style="211" customWidth="1"/>
    <col min="12301" max="12301" width="6.42578125" style="211" customWidth="1"/>
    <col min="12302" max="12302" width="6.7109375" style="211" customWidth="1"/>
    <col min="12303" max="12303" width="7.28515625" style="211" customWidth="1"/>
    <col min="12304" max="12304" width="7.140625" style="211" customWidth="1"/>
    <col min="12305" max="12305" width="8.28515625" style="211" customWidth="1"/>
    <col min="12306" max="12306" width="7.7109375" style="211" customWidth="1"/>
    <col min="12307" max="12544" width="8.85546875" style="211"/>
    <col min="12545" max="12545" width="11.28515625" style="211" customWidth="1"/>
    <col min="12546" max="12546" width="10.42578125" style="211" customWidth="1"/>
    <col min="12547" max="12547" width="7.28515625" style="211" customWidth="1"/>
    <col min="12548" max="12548" width="7.5703125" style="211" customWidth="1"/>
    <col min="12549" max="12549" width="7.42578125" style="211" customWidth="1"/>
    <col min="12550" max="12550" width="8.7109375" style="211" customWidth="1"/>
    <col min="12551" max="12551" width="8.140625" style="211" customWidth="1"/>
    <col min="12552" max="12552" width="7.28515625" style="211" customWidth="1"/>
    <col min="12553" max="12553" width="9.140625" style="211" customWidth="1"/>
    <col min="12554" max="12554" width="7.7109375" style="211" customWidth="1"/>
    <col min="12555" max="12555" width="9.28515625" style="211" customWidth="1"/>
    <col min="12556" max="12556" width="9.7109375" style="211" customWidth="1"/>
    <col min="12557" max="12557" width="6.42578125" style="211" customWidth="1"/>
    <col min="12558" max="12558" width="6.7109375" style="211" customWidth="1"/>
    <col min="12559" max="12559" width="7.28515625" style="211" customWidth="1"/>
    <col min="12560" max="12560" width="7.140625" style="211" customWidth="1"/>
    <col min="12561" max="12561" width="8.28515625" style="211" customWidth="1"/>
    <col min="12562" max="12562" width="7.7109375" style="211" customWidth="1"/>
    <col min="12563" max="12800" width="8.85546875" style="211"/>
    <col min="12801" max="12801" width="11.28515625" style="211" customWidth="1"/>
    <col min="12802" max="12802" width="10.42578125" style="211" customWidth="1"/>
    <col min="12803" max="12803" width="7.28515625" style="211" customWidth="1"/>
    <col min="12804" max="12804" width="7.5703125" style="211" customWidth="1"/>
    <col min="12805" max="12805" width="7.42578125" style="211" customWidth="1"/>
    <col min="12806" max="12806" width="8.7109375" style="211" customWidth="1"/>
    <col min="12807" max="12807" width="8.140625" style="211" customWidth="1"/>
    <col min="12808" max="12808" width="7.28515625" style="211" customWidth="1"/>
    <col min="12809" max="12809" width="9.140625" style="211" customWidth="1"/>
    <col min="12810" max="12810" width="7.7109375" style="211" customWidth="1"/>
    <col min="12811" max="12811" width="9.28515625" style="211" customWidth="1"/>
    <col min="12812" max="12812" width="9.7109375" style="211" customWidth="1"/>
    <col min="12813" max="12813" width="6.42578125" style="211" customWidth="1"/>
    <col min="12814" max="12814" width="6.7109375" style="211" customWidth="1"/>
    <col min="12815" max="12815" width="7.28515625" style="211" customWidth="1"/>
    <col min="12816" max="12816" width="7.140625" style="211" customWidth="1"/>
    <col min="12817" max="12817" width="8.28515625" style="211" customWidth="1"/>
    <col min="12818" max="12818" width="7.7109375" style="211" customWidth="1"/>
    <col min="12819" max="13056" width="8.85546875" style="211"/>
    <col min="13057" max="13057" width="11.28515625" style="211" customWidth="1"/>
    <col min="13058" max="13058" width="10.42578125" style="211" customWidth="1"/>
    <col min="13059" max="13059" width="7.28515625" style="211" customWidth="1"/>
    <col min="13060" max="13060" width="7.5703125" style="211" customWidth="1"/>
    <col min="13061" max="13061" width="7.42578125" style="211" customWidth="1"/>
    <col min="13062" max="13062" width="8.7109375" style="211" customWidth="1"/>
    <col min="13063" max="13063" width="8.140625" style="211" customWidth="1"/>
    <col min="13064" max="13064" width="7.28515625" style="211" customWidth="1"/>
    <col min="13065" max="13065" width="9.140625" style="211" customWidth="1"/>
    <col min="13066" max="13066" width="7.7109375" style="211" customWidth="1"/>
    <col min="13067" max="13067" width="9.28515625" style="211" customWidth="1"/>
    <col min="13068" max="13068" width="9.7109375" style="211" customWidth="1"/>
    <col min="13069" max="13069" width="6.42578125" style="211" customWidth="1"/>
    <col min="13070" max="13070" width="6.7109375" style="211" customWidth="1"/>
    <col min="13071" max="13071" width="7.28515625" style="211" customWidth="1"/>
    <col min="13072" max="13072" width="7.140625" style="211" customWidth="1"/>
    <col min="13073" max="13073" width="8.28515625" style="211" customWidth="1"/>
    <col min="13074" max="13074" width="7.7109375" style="211" customWidth="1"/>
    <col min="13075" max="13312" width="8.85546875" style="211"/>
    <col min="13313" max="13313" width="11.28515625" style="211" customWidth="1"/>
    <col min="13314" max="13314" width="10.42578125" style="211" customWidth="1"/>
    <col min="13315" max="13315" width="7.28515625" style="211" customWidth="1"/>
    <col min="13316" max="13316" width="7.5703125" style="211" customWidth="1"/>
    <col min="13317" max="13317" width="7.42578125" style="211" customWidth="1"/>
    <col min="13318" max="13318" width="8.7109375" style="211" customWidth="1"/>
    <col min="13319" max="13319" width="8.140625" style="211" customWidth="1"/>
    <col min="13320" max="13320" width="7.28515625" style="211" customWidth="1"/>
    <col min="13321" max="13321" width="9.140625" style="211" customWidth="1"/>
    <col min="13322" max="13322" width="7.7109375" style="211" customWidth="1"/>
    <col min="13323" max="13323" width="9.28515625" style="211" customWidth="1"/>
    <col min="13324" max="13324" width="9.7109375" style="211" customWidth="1"/>
    <col min="13325" max="13325" width="6.42578125" style="211" customWidth="1"/>
    <col min="13326" max="13326" width="6.7109375" style="211" customWidth="1"/>
    <col min="13327" max="13327" width="7.28515625" style="211" customWidth="1"/>
    <col min="13328" max="13328" width="7.140625" style="211" customWidth="1"/>
    <col min="13329" max="13329" width="8.28515625" style="211" customWidth="1"/>
    <col min="13330" max="13330" width="7.7109375" style="211" customWidth="1"/>
    <col min="13331" max="13568" width="8.85546875" style="211"/>
    <col min="13569" max="13569" width="11.28515625" style="211" customWidth="1"/>
    <col min="13570" max="13570" width="10.42578125" style="211" customWidth="1"/>
    <col min="13571" max="13571" width="7.28515625" style="211" customWidth="1"/>
    <col min="13572" max="13572" width="7.5703125" style="211" customWidth="1"/>
    <col min="13573" max="13573" width="7.42578125" style="211" customWidth="1"/>
    <col min="13574" max="13574" width="8.7109375" style="211" customWidth="1"/>
    <col min="13575" max="13575" width="8.140625" style="211" customWidth="1"/>
    <col min="13576" max="13576" width="7.28515625" style="211" customWidth="1"/>
    <col min="13577" max="13577" width="9.140625" style="211" customWidth="1"/>
    <col min="13578" max="13578" width="7.7109375" style="211" customWidth="1"/>
    <col min="13579" max="13579" width="9.28515625" style="211" customWidth="1"/>
    <col min="13580" max="13580" width="9.7109375" style="211" customWidth="1"/>
    <col min="13581" max="13581" width="6.42578125" style="211" customWidth="1"/>
    <col min="13582" max="13582" width="6.7109375" style="211" customWidth="1"/>
    <col min="13583" max="13583" width="7.28515625" style="211" customWidth="1"/>
    <col min="13584" max="13584" width="7.140625" style="211" customWidth="1"/>
    <col min="13585" max="13585" width="8.28515625" style="211" customWidth="1"/>
    <col min="13586" max="13586" width="7.7109375" style="211" customWidth="1"/>
    <col min="13587" max="13824" width="8.85546875" style="211"/>
    <col min="13825" max="13825" width="11.28515625" style="211" customWidth="1"/>
    <col min="13826" max="13826" width="10.42578125" style="211" customWidth="1"/>
    <col min="13827" max="13827" width="7.28515625" style="211" customWidth="1"/>
    <col min="13828" max="13828" width="7.5703125" style="211" customWidth="1"/>
    <col min="13829" max="13829" width="7.42578125" style="211" customWidth="1"/>
    <col min="13830" max="13830" width="8.7109375" style="211" customWidth="1"/>
    <col min="13831" max="13831" width="8.140625" style="211" customWidth="1"/>
    <col min="13832" max="13832" width="7.28515625" style="211" customWidth="1"/>
    <col min="13833" max="13833" width="9.140625" style="211" customWidth="1"/>
    <col min="13834" max="13834" width="7.7109375" style="211" customWidth="1"/>
    <col min="13835" max="13835" width="9.28515625" style="211" customWidth="1"/>
    <col min="13836" max="13836" width="9.7109375" style="211" customWidth="1"/>
    <col min="13837" max="13837" width="6.42578125" style="211" customWidth="1"/>
    <col min="13838" max="13838" width="6.7109375" style="211" customWidth="1"/>
    <col min="13839" max="13839" width="7.28515625" style="211" customWidth="1"/>
    <col min="13840" max="13840" width="7.140625" style="211" customWidth="1"/>
    <col min="13841" max="13841" width="8.28515625" style="211" customWidth="1"/>
    <col min="13842" max="13842" width="7.7109375" style="211" customWidth="1"/>
    <col min="13843" max="14080" width="8.85546875" style="211"/>
    <col min="14081" max="14081" width="11.28515625" style="211" customWidth="1"/>
    <col min="14082" max="14082" width="10.42578125" style="211" customWidth="1"/>
    <col min="14083" max="14083" width="7.28515625" style="211" customWidth="1"/>
    <col min="14084" max="14084" width="7.5703125" style="211" customWidth="1"/>
    <col min="14085" max="14085" width="7.42578125" style="211" customWidth="1"/>
    <col min="14086" max="14086" width="8.7109375" style="211" customWidth="1"/>
    <col min="14087" max="14087" width="8.140625" style="211" customWidth="1"/>
    <col min="14088" max="14088" width="7.28515625" style="211" customWidth="1"/>
    <col min="14089" max="14089" width="9.140625" style="211" customWidth="1"/>
    <col min="14090" max="14090" width="7.7109375" style="211" customWidth="1"/>
    <col min="14091" max="14091" width="9.28515625" style="211" customWidth="1"/>
    <col min="14092" max="14092" width="9.7109375" style="211" customWidth="1"/>
    <col min="14093" max="14093" width="6.42578125" style="211" customWidth="1"/>
    <col min="14094" max="14094" width="6.7109375" style="211" customWidth="1"/>
    <col min="14095" max="14095" width="7.28515625" style="211" customWidth="1"/>
    <col min="14096" max="14096" width="7.140625" style="211" customWidth="1"/>
    <col min="14097" max="14097" width="8.28515625" style="211" customWidth="1"/>
    <col min="14098" max="14098" width="7.7109375" style="211" customWidth="1"/>
    <col min="14099" max="14336" width="8.85546875" style="211"/>
    <col min="14337" max="14337" width="11.28515625" style="211" customWidth="1"/>
    <col min="14338" max="14338" width="10.42578125" style="211" customWidth="1"/>
    <col min="14339" max="14339" width="7.28515625" style="211" customWidth="1"/>
    <col min="14340" max="14340" width="7.5703125" style="211" customWidth="1"/>
    <col min="14341" max="14341" width="7.42578125" style="211" customWidth="1"/>
    <col min="14342" max="14342" width="8.7109375" style="211" customWidth="1"/>
    <col min="14343" max="14343" width="8.140625" style="211" customWidth="1"/>
    <col min="14344" max="14344" width="7.28515625" style="211" customWidth="1"/>
    <col min="14345" max="14345" width="9.140625" style="211" customWidth="1"/>
    <col min="14346" max="14346" width="7.7109375" style="211" customWidth="1"/>
    <col min="14347" max="14347" width="9.28515625" style="211" customWidth="1"/>
    <col min="14348" max="14348" width="9.7109375" style="211" customWidth="1"/>
    <col min="14349" max="14349" width="6.42578125" style="211" customWidth="1"/>
    <col min="14350" max="14350" width="6.7109375" style="211" customWidth="1"/>
    <col min="14351" max="14351" width="7.28515625" style="211" customWidth="1"/>
    <col min="14352" max="14352" width="7.140625" style="211" customWidth="1"/>
    <col min="14353" max="14353" width="8.28515625" style="211" customWidth="1"/>
    <col min="14354" max="14354" width="7.7109375" style="211" customWidth="1"/>
    <col min="14355" max="14592" width="8.85546875" style="211"/>
    <col min="14593" max="14593" width="11.28515625" style="211" customWidth="1"/>
    <col min="14594" max="14594" width="10.42578125" style="211" customWidth="1"/>
    <col min="14595" max="14595" width="7.28515625" style="211" customWidth="1"/>
    <col min="14596" max="14596" width="7.5703125" style="211" customWidth="1"/>
    <col min="14597" max="14597" width="7.42578125" style="211" customWidth="1"/>
    <col min="14598" max="14598" width="8.7109375" style="211" customWidth="1"/>
    <col min="14599" max="14599" width="8.140625" style="211" customWidth="1"/>
    <col min="14600" max="14600" width="7.28515625" style="211" customWidth="1"/>
    <col min="14601" max="14601" width="9.140625" style="211" customWidth="1"/>
    <col min="14602" max="14602" width="7.7109375" style="211" customWidth="1"/>
    <col min="14603" max="14603" width="9.28515625" style="211" customWidth="1"/>
    <col min="14604" max="14604" width="9.7109375" style="211" customWidth="1"/>
    <col min="14605" max="14605" width="6.42578125" style="211" customWidth="1"/>
    <col min="14606" max="14606" width="6.7109375" style="211" customWidth="1"/>
    <col min="14607" max="14607" width="7.28515625" style="211" customWidth="1"/>
    <col min="14608" max="14608" width="7.140625" style="211" customWidth="1"/>
    <col min="14609" max="14609" width="8.28515625" style="211" customWidth="1"/>
    <col min="14610" max="14610" width="7.7109375" style="211" customWidth="1"/>
    <col min="14611" max="14848" width="8.85546875" style="211"/>
    <col min="14849" max="14849" width="11.28515625" style="211" customWidth="1"/>
    <col min="14850" max="14850" width="10.42578125" style="211" customWidth="1"/>
    <col min="14851" max="14851" width="7.28515625" style="211" customWidth="1"/>
    <col min="14852" max="14852" width="7.5703125" style="211" customWidth="1"/>
    <col min="14853" max="14853" width="7.42578125" style="211" customWidth="1"/>
    <col min="14854" max="14854" width="8.7109375" style="211" customWidth="1"/>
    <col min="14855" max="14855" width="8.140625" style="211" customWidth="1"/>
    <col min="14856" max="14856" width="7.28515625" style="211" customWidth="1"/>
    <col min="14857" max="14857" width="9.140625" style="211" customWidth="1"/>
    <col min="14858" max="14858" width="7.7109375" style="211" customWidth="1"/>
    <col min="14859" max="14859" width="9.28515625" style="211" customWidth="1"/>
    <col min="14860" max="14860" width="9.7109375" style="211" customWidth="1"/>
    <col min="14861" max="14861" width="6.42578125" style="211" customWidth="1"/>
    <col min="14862" max="14862" width="6.7109375" style="211" customWidth="1"/>
    <col min="14863" max="14863" width="7.28515625" style="211" customWidth="1"/>
    <col min="14864" max="14864" width="7.140625" style="211" customWidth="1"/>
    <col min="14865" max="14865" width="8.28515625" style="211" customWidth="1"/>
    <col min="14866" max="14866" width="7.7109375" style="211" customWidth="1"/>
    <col min="14867" max="15104" width="8.85546875" style="211"/>
    <col min="15105" max="15105" width="11.28515625" style="211" customWidth="1"/>
    <col min="15106" max="15106" width="10.42578125" style="211" customWidth="1"/>
    <col min="15107" max="15107" width="7.28515625" style="211" customWidth="1"/>
    <col min="15108" max="15108" width="7.5703125" style="211" customWidth="1"/>
    <col min="15109" max="15109" width="7.42578125" style="211" customWidth="1"/>
    <col min="15110" max="15110" width="8.7109375" style="211" customWidth="1"/>
    <col min="15111" max="15111" width="8.140625" style="211" customWidth="1"/>
    <col min="15112" max="15112" width="7.28515625" style="211" customWidth="1"/>
    <col min="15113" max="15113" width="9.140625" style="211" customWidth="1"/>
    <col min="15114" max="15114" width="7.7109375" style="211" customWidth="1"/>
    <col min="15115" max="15115" width="9.28515625" style="211" customWidth="1"/>
    <col min="15116" max="15116" width="9.7109375" style="211" customWidth="1"/>
    <col min="15117" max="15117" width="6.42578125" style="211" customWidth="1"/>
    <col min="15118" max="15118" width="6.7109375" style="211" customWidth="1"/>
    <col min="15119" max="15119" width="7.28515625" style="211" customWidth="1"/>
    <col min="15120" max="15120" width="7.140625" style="211" customWidth="1"/>
    <col min="15121" max="15121" width="8.28515625" style="211" customWidth="1"/>
    <col min="15122" max="15122" width="7.7109375" style="211" customWidth="1"/>
    <col min="15123" max="15360" width="8.85546875" style="211"/>
    <col min="15361" max="15361" width="11.28515625" style="211" customWidth="1"/>
    <col min="15362" max="15362" width="10.42578125" style="211" customWidth="1"/>
    <col min="15363" max="15363" width="7.28515625" style="211" customWidth="1"/>
    <col min="15364" max="15364" width="7.5703125" style="211" customWidth="1"/>
    <col min="15365" max="15365" width="7.42578125" style="211" customWidth="1"/>
    <col min="15366" max="15366" width="8.7109375" style="211" customWidth="1"/>
    <col min="15367" max="15367" width="8.140625" style="211" customWidth="1"/>
    <col min="15368" max="15368" width="7.28515625" style="211" customWidth="1"/>
    <col min="15369" max="15369" width="9.140625" style="211" customWidth="1"/>
    <col min="15370" max="15370" width="7.7109375" style="211" customWidth="1"/>
    <col min="15371" max="15371" width="9.28515625" style="211" customWidth="1"/>
    <col min="15372" max="15372" width="9.7109375" style="211" customWidth="1"/>
    <col min="15373" max="15373" width="6.42578125" style="211" customWidth="1"/>
    <col min="15374" max="15374" width="6.7109375" style="211" customWidth="1"/>
    <col min="15375" max="15375" width="7.28515625" style="211" customWidth="1"/>
    <col min="15376" max="15376" width="7.140625" style="211" customWidth="1"/>
    <col min="15377" max="15377" width="8.28515625" style="211" customWidth="1"/>
    <col min="15378" max="15378" width="7.7109375" style="211" customWidth="1"/>
    <col min="15379" max="15616" width="8.85546875" style="211"/>
    <col min="15617" max="15617" width="11.28515625" style="211" customWidth="1"/>
    <col min="15618" max="15618" width="10.42578125" style="211" customWidth="1"/>
    <col min="15619" max="15619" width="7.28515625" style="211" customWidth="1"/>
    <col min="15620" max="15620" width="7.5703125" style="211" customWidth="1"/>
    <col min="15621" max="15621" width="7.42578125" style="211" customWidth="1"/>
    <col min="15622" max="15622" width="8.7109375" style="211" customWidth="1"/>
    <col min="15623" max="15623" width="8.140625" style="211" customWidth="1"/>
    <col min="15624" max="15624" width="7.28515625" style="211" customWidth="1"/>
    <col min="15625" max="15625" width="9.140625" style="211" customWidth="1"/>
    <col min="15626" max="15626" width="7.7109375" style="211" customWidth="1"/>
    <col min="15627" max="15627" width="9.28515625" style="211" customWidth="1"/>
    <col min="15628" max="15628" width="9.7109375" style="211" customWidth="1"/>
    <col min="15629" max="15629" width="6.42578125" style="211" customWidth="1"/>
    <col min="15630" max="15630" width="6.7109375" style="211" customWidth="1"/>
    <col min="15631" max="15631" width="7.28515625" style="211" customWidth="1"/>
    <col min="15632" max="15632" width="7.140625" style="211" customWidth="1"/>
    <col min="15633" max="15633" width="8.28515625" style="211" customWidth="1"/>
    <col min="15634" max="15634" width="7.7109375" style="211" customWidth="1"/>
    <col min="15635" max="15872" width="8.85546875" style="211"/>
    <col min="15873" max="15873" width="11.28515625" style="211" customWidth="1"/>
    <col min="15874" max="15874" width="10.42578125" style="211" customWidth="1"/>
    <col min="15875" max="15875" width="7.28515625" style="211" customWidth="1"/>
    <col min="15876" max="15876" width="7.5703125" style="211" customWidth="1"/>
    <col min="15877" max="15877" width="7.42578125" style="211" customWidth="1"/>
    <col min="15878" max="15878" width="8.7109375" style="211" customWidth="1"/>
    <col min="15879" max="15879" width="8.140625" style="211" customWidth="1"/>
    <col min="15880" max="15880" width="7.28515625" style="211" customWidth="1"/>
    <col min="15881" max="15881" width="9.140625" style="211" customWidth="1"/>
    <col min="15882" max="15882" width="7.7109375" style="211" customWidth="1"/>
    <col min="15883" max="15883" width="9.28515625" style="211" customWidth="1"/>
    <col min="15884" max="15884" width="9.7109375" style="211" customWidth="1"/>
    <col min="15885" max="15885" width="6.42578125" style="211" customWidth="1"/>
    <col min="15886" max="15886" width="6.7109375" style="211" customWidth="1"/>
    <col min="15887" max="15887" width="7.28515625" style="211" customWidth="1"/>
    <col min="15888" max="15888" width="7.140625" style="211" customWidth="1"/>
    <col min="15889" max="15889" width="8.28515625" style="211" customWidth="1"/>
    <col min="15890" max="15890" width="7.7109375" style="211" customWidth="1"/>
    <col min="15891" max="16128" width="8.85546875" style="211"/>
    <col min="16129" max="16129" width="11.28515625" style="211" customWidth="1"/>
    <col min="16130" max="16130" width="10.42578125" style="211" customWidth="1"/>
    <col min="16131" max="16131" width="7.28515625" style="211" customWidth="1"/>
    <col min="16132" max="16132" width="7.5703125" style="211" customWidth="1"/>
    <col min="16133" max="16133" width="7.42578125" style="211" customWidth="1"/>
    <col min="16134" max="16134" width="8.7109375" style="211" customWidth="1"/>
    <col min="16135" max="16135" width="8.140625" style="211" customWidth="1"/>
    <col min="16136" max="16136" width="7.28515625" style="211" customWidth="1"/>
    <col min="16137" max="16137" width="9.140625" style="211" customWidth="1"/>
    <col min="16138" max="16138" width="7.7109375" style="211" customWidth="1"/>
    <col min="16139" max="16139" width="9.28515625" style="211" customWidth="1"/>
    <col min="16140" max="16140" width="9.7109375" style="211" customWidth="1"/>
    <col min="16141" max="16141" width="6.42578125" style="211" customWidth="1"/>
    <col min="16142" max="16142" width="6.7109375" style="211" customWidth="1"/>
    <col min="16143" max="16143" width="7.28515625" style="211" customWidth="1"/>
    <col min="16144" max="16144" width="7.140625" style="211" customWidth="1"/>
    <col min="16145" max="16145" width="8.28515625" style="211" customWidth="1"/>
    <col min="16146" max="16146" width="7.7109375" style="211" customWidth="1"/>
    <col min="16147" max="16384" width="8.85546875" style="211"/>
  </cols>
  <sheetData>
    <row r="1" spans="1:19" ht="15" customHeight="1"/>
    <row r="2" spans="1:19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19" ht="12" customHeight="1">
      <c r="E3" s="1285" t="s">
        <v>168</v>
      </c>
      <c r="F3" s="1285"/>
      <c r="G3" s="1285"/>
      <c r="H3" s="1285"/>
      <c r="I3" s="1285"/>
      <c r="J3" s="1285"/>
    </row>
    <row r="4" spans="1:19" ht="12" customHeight="1">
      <c r="A4" s="1256" t="s">
        <v>1900</v>
      </c>
      <c r="B4" s="1256"/>
      <c r="C4" s="1257"/>
      <c r="D4" s="1286" t="s">
        <v>1926</v>
      </c>
      <c r="E4" s="1287"/>
      <c r="F4" s="1288"/>
      <c r="G4" s="212"/>
      <c r="H4" s="212" t="s">
        <v>1902</v>
      </c>
      <c r="I4" s="212"/>
      <c r="J4" s="212"/>
      <c r="K4" s="1289" t="s">
        <v>1927</v>
      </c>
      <c r="L4" s="1290"/>
      <c r="M4" s="1291"/>
      <c r="N4" s="212" t="s">
        <v>5</v>
      </c>
      <c r="O4" s="212"/>
      <c r="P4" s="213">
        <v>373.113</v>
      </c>
      <c r="Q4" s="214" t="s">
        <v>436</v>
      </c>
      <c r="R4" s="214"/>
      <c r="S4" s="212"/>
    </row>
    <row r="5" spans="1:19" ht="12" customHeight="1">
      <c r="A5" s="808" t="s">
        <v>4176</v>
      </c>
      <c r="B5" s="808"/>
      <c r="C5" s="808"/>
      <c r="D5" s="516"/>
      <c r="E5" s="516"/>
      <c r="F5" s="516"/>
      <c r="G5" s="212"/>
      <c r="H5" s="212"/>
      <c r="I5" s="212"/>
      <c r="J5" s="212"/>
      <c r="K5" s="516"/>
      <c r="L5" s="516"/>
      <c r="M5" s="516"/>
      <c r="N5" s="212"/>
      <c r="O5" s="212"/>
      <c r="P5" s="212"/>
      <c r="Q5" s="214"/>
      <c r="R5" s="215">
        <v>80</v>
      </c>
      <c r="S5" s="212"/>
    </row>
    <row r="6" spans="1:19" ht="12" customHeight="1">
      <c r="A6" s="212" t="s">
        <v>832</v>
      </c>
      <c r="B6" s="212"/>
      <c r="C6" s="212"/>
      <c r="D6" s="1266" t="s">
        <v>1928</v>
      </c>
      <c r="E6" s="1267"/>
      <c r="F6" s="1268"/>
      <c r="G6" s="212"/>
      <c r="H6" s="212" t="s">
        <v>1208</v>
      </c>
      <c r="I6" s="212"/>
      <c r="J6" s="212"/>
      <c r="K6" s="1266" t="s">
        <v>1929</v>
      </c>
      <c r="L6" s="1267"/>
      <c r="M6" s="1268"/>
      <c r="N6" s="514"/>
      <c r="O6" s="514"/>
      <c r="P6" s="212"/>
      <c r="Q6" s="212"/>
      <c r="R6" s="212"/>
      <c r="S6" s="212"/>
    </row>
    <row r="7" spans="1:19" ht="12" customHeight="1">
      <c r="A7" s="212"/>
      <c r="B7" s="212"/>
      <c r="C7" s="212"/>
      <c r="D7" s="514"/>
      <c r="E7" s="514"/>
      <c r="F7" s="514"/>
      <c r="G7" s="212"/>
      <c r="H7" s="212"/>
      <c r="I7" s="212"/>
      <c r="J7" s="212"/>
      <c r="K7" s="514"/>
      <c r="L7" s="514"/>
      <c r="M7" s="514"/>
      <c r="N7" s="514"/>
      <c r="O7" s="514"/>
      <c r="P7" s="212"/>
      <c r="Q7" s="212"/>
      <c r="R7" s="212"/>
      <c r="S7" s="212"/>
    </row>
    <row r="8" spans="1:19" ht="12" customHeight="1">
      <c r="A8" s="212" t="s">
        <v>1906</v>
      </c>
      <c r="B8" s="212"/>
      <c r="C8" s="212"/>
      <c r="D8" s="1266" t="s">
        <v>1930</v>
      </c>
      <c r="E8" s="1267"/>
      <c r="F8" s="1268"/>
      <c r="G8" s="212"/>
      <c r="H8" s="1264" t="s">
        <v>1908</v>
      </c>
      <c r="I8" s="1264"/>
      <c r="J8" s="1264"/>
      <c r="K8" s="1292" t="s">
        <v>1931</v>
      </c>
      <c r="L8" s="1292"/>
      <c r="M8" s="1292"/>
      <c r="N8" s="1292"/>
      <c r="O8" s="1292"/>
      <c r="P8" s="212"/>
      <c r="Q8" s="212"/>
      <c r="R8" s="212"/>
      <c r="S8" s="212"/>
    </row>
    <row r="9" spans="1:19" ht="12" customHeight="1">
      <c r="A9" s="212"/>
      <c r="B9" s="212"/>
      <c r="C9" s="212"/>
      <c r="D9" s="212"/>
      <c r="E9" s="212"/>
      <c r="F9" s="212"/>
      <c r="G9" s="212"/>
      <c r="H9" s="1264"/>
      <c r="I9" s="1264"/>
      <c r="J9" s="1264"/>
      <c r="K9" s="1292"/>
      <c r="L9" s="1292"/>
      <c r="M9" s="1292"/>
      <c r="N9" s="1292"/>
      <c r="O9" s="1292"/>
      <c r="P9" s="212"/>
      <c r="Q9" s="212"/>
      <c r="R9" s="212"/>
      <c r="S9" s="212"/>
    </row>
    <row r="10" spans="1:19" ht="12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</row>
    <row r="11" spans="1:19" ht="12" customHeight="1">
      <c r="A11" s="1266" t="s">
        <v>1909</v>
      </c>
      <c r="B11" s="1267"/>
      <c r="C11" s="1268"/>
      <c r="D11" s="1269" t="s">
        <v>1932</v>
      </c>
      <c r="E11" s="1269"/>
      <c r="F11" s="1269"/>
      <c r="G11" s="1269"/>
      <c r="H11" s="1269"/>
      <c r="I11" s="1269"/>
      <c r="J11" s="1269"/>
      <c r="K11" s="1269"/>
      <c r="L11" s="1269"/>
      <c r="M11" s="1270" t="s">
        <v>1933</v>
      </c>
      <c r="N11" s="1270"/>
      <c r="O11" s="1270"/>
      <c r="P11" s="1270"/>
      <c r="Q11" s="1270"/>
      <c r="R11" s="1270"/>
      <c r="S11" s="212"/>
    </row>
    <row r="12" spans="1:19" ht="12" customHeight="1">
      <c r="A12" s="1266" t="s">
        <v>1346</v>
      </c>
      <c r="B12" s="1267"/>
      <c r="C12" s="1268"/>
      <c r="D12" s="1269" t="s">
        <v>1934</v>
      </c>
      <c r="E12" s="1269"/>
      <c r="F12" s="1269"/>
      <c r="G12" s="1269"/>
      <c r="H12" s="1269"/>
      <c r="I12" s="1269"/>
      <c r="J12" s="1269"/>
      <c r="K12" s="1269"/>
      <c r="L12" s="1269"/>
      <c r="M12" s="1269" t="s">
        <v>1935</v>
      </c>
      <c r="N12" s="1269"/>
      <c r="O12" s="1269"/>
      <c r="P12" s="1269"/>
      <c r="Q12" s="1269"/>
      <c r="R12" s="1269"/>
      <c r="S12" s="212"/>
    </row>
    <row r="13" spans="1:19" ht="12.6" customHeight="1">
      <c r="A13" s="1266" t="s">
        <v>844</v>
      </c>
      <c r="B13" s="1267"/>
      <c r="C13" s="1268"/>
      <c r="D13" s="1269" t="s">
        <v>1936</v>
      </c>
      <c r="E13" s="1269"/>
      <c r="F13" s="1269"/>
      <c r="G13" s="1269"/>
      <c r="H13" s="1269"/>
      <c r="I13" s="1269"/>
      <c r="J13" s="1269"/>
      <c r="K13" s="1269"/>
      <c r="L13" s="1269"/>
      <c r="M13" s="1269" t="s">
        <v>1937</v>
      </c>
      <c r="N13" s="1269"/>
      <c r="O13" s="1269"/>
      <c r="P13" s="1269"/>
      <c r="Q13" s="1269"/>
      <c r="R13" s="1269"/>
      <c r="S13" s="212"/>
    </row>
    <row r="14" spans="1:19" ht="12" customHeight="1">
      <c r="A14" s="1266" t="s">
        <v>1196</v>
      </c>
      <c r="B14" s="1267"/>
      <c r="C14" s="1268"/>
      <c r="D14" s="1269" t="s">
        <v>1930</v>
      </c>
      <c r="E14" s="1269"/>
      <c r="F14" s="1269"/>
      <c r="G14" s="1269"/>
      <c r="H14" s="1269"/>
      <c r="I14" s="1269"/>
      <c r="J14" s="1269"/>
      <c r="K14" s="1269"/>
      <c r="L14" s="1269"/>
      <c r="M14" s="1269" t="s">
        <v>1938</v>
      </c>
      <c r="N14" s="1269"/>
      <c r="O14" s="1269"/>
      <c r="P14" s="1269"/>
      <c r="Q14" s="1269"/>
      <c r="R14" s="1269"/>
      <c r="S14" s="212"/>
    </row>
    <row r="15" spans="1:19" ht="12" customHeight="1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</row>
    <row r="16" spans="1:19" ht="12" customHeight="1">
      <c r="A16" s="212" t="s">
        <v>1916</v>
      </c>
      <c r="B16" s="212"/>
      <c r="C16" s="212"/>
      <c r="D16" s="215">
        <v>2</v>
      </c>
      <c r="E16" s="212" t="s">
        <v>1917</v>
      </c>
      <c r="F16" s="212"/>
      <c r="G16" s="212"/>
      <c r="H16" s="215">
        <v>2</v>
      </c>
      <c r="I16" s="212" t="s">
        <v>1918</v>
      </c>
      <c r="J16" s="215">
        <v>28</v>
      </c>
      <c r="K16" s="212" t="s">
        <v>1492</v>
      </c>
      <c r="L16" s="215">
        <v>1</v>
      </c>
      <c r="M16" s="212" t="s">
        <v>1493</v>
      </c>
      <c r="N16" s="1270">
        <v>9</v>
      </c>
      <c r="O16" s="1270"/>
      <c r="P16" s="212"/>
      <c r="Q16" s="212"/>
      <c r="R16" s="212"/>
      <c r="S16" s="212"/>
    </row>
    <row r="17" spans="1:19" ht="12" customHeight="1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</row>
    <row r="18" spans="1:19" ht="12" customHeight="1">
      <c r="A18" s="1271" t="s">
        <v>203</v>
      </c>
      <c r="B18" s="1271"/>
      <c r="C18" s="212"/>
      <c r="D18" s="212" t="s">
        <v>204</v>
      </c>
      <c r="E18" s="215">
        <v>166</v>
      </c>
      <c r="F18" s="212" t="s">
        <v>205</v>
      </c>
      <c r="G18" s="215">
        <v>178</v>
      </c>
      <c r="H18" s="1272" t="s">
        <v>206</v>
      </c>
      <c r="I18" s="1257"/>
      <c r="J18" s="215">
        <v>4</v>
      </c>
      <c r="K18" s="1272" t="s">
        <v>245</v>
      </c>
      <c r="L18" s="1257"/>
      <c r="M18" s="215">
        <v>348</v>
      </c>
      <c r="N18" s="212" t="s">
        <v>207</v>
      </c>
      <c r="O18" s="215">
        <v>145</v>
      </c>
      <c r="P18" s="514" t="s">
        <v>855</v>
      </c>
      <c r="Q18" s="514"/>
      <c r="R18" s="215">
        <v>6</v>
      </c>
      <c r="S18" s="212"/>
    </row>
    <row r="19" spans="1:19" ht="12" customHeight="1">
      <c r="A19" s="1271" t="s">
        <v>1029</v>
      </c>
      <c r="B19" s="1271"/>
      <c r="C19" s="212"/>
      <c r="D19" s="212" t="s">
        <v>210</v>
      </c>
      <c r="E19" s="215">
        <v>488</v>
      </c>
      <c r="F19" s="212" t="s">
        <v>1919</v>
      </c>
      <c r="G19" s="215">
        <v>523</v>
      </c>
      <c r="H19" s="514" t="s">
        <v>212</v>
      </c>
      <c r="I19" s="514"/>
      <c r="J19" s="215">
        <v>11</v>
      </c>
      <c r="K19" s="1272" t="s">
        <v>1920</v>
      </c>
      <c r="L19" s="1257"/>
      <c r="M19" s="215">
        <v>1022</v>
      </c>
      <c r="N19" s="212"/>
      <c r="O19" s="212"/>
      <c r="P19" s="212"/>
      <c r="Q19" s="212"/>
      <c r="R19" s="214"/>
      <c r="S19" s="212"/>
    </row>
    <row r="20" spans="1:19" ht="12" customHeight="1">
      <c r="A20" s="212"/>
      <c r="B20" s="212"/>
      <c r="C20" s="212"/>
      <c r="D20" s="212" t="s">
        <v>213</v>
      </c>
      <c r="E20" s="215">
        <v>508</v>
      </c>
      <c r="F20" s="212" t="s">
        <v>214</v>
      </c>
      <c r="G20" s="215">
        <v>545</v>
      </c>
      <c r="H20" s="1272" t="s">
        <v>215</v>
      </c>
      <c r="I20" s="1257"/>
      <c r="J20" s="215">
        <v>13</v>
      </c>
      <c r="K20" s="1272" t="s">
        <v>1921</v>
      </c>
      <c r="L20" s="1257"/>
      <c r="M20" s="215">
        <v>1066</v>
      </c>
      <c r="N20" s="212"/>
      <c r="O20" s="212"/>
      <c r="P20" s="212"/>
      <c r="Q20" s="212"/>
      <c r="R20" s="212"/>
      <c r="S20" s="212"/>
    </row>
    <row r="21" spans="1:19" ht="12" customHeigh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</row>
    <row r="22" spans="1:19" ht="12" customHeight="1">
      <c r="A22" s="1273" t="s">
        <v>409</v>
      </c>
      <c r="B22" s="1273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</row>
    <row r="23" spans="1:19" s="217" customFormat="1" ht="12" customHeight="1">
      <c r="A23" s="1274" t="s">
        <v>217</v>
      </c>
      <c r="B23" s="1275"/>
      <c r="C23" s="1276"/>
      <c r="D23" s="1280" t="s">
        <v>1922</v>
      </c>
      <c r="E23" s="1280" t="s">
        <v>219</v>
      </c>
      <c r="F23" s="1280" t="s">
        <v>1923</v>
      </c>
      <c r="G23" s="1280" t="s">
        <v>1924</v>
      </c>
      <c r="H23" s="1282" t="s">
        <v>1925</v>
      </c>
      <c r="I23" s="1283"/>
      <c r="J23" s="1283"/>
      <c r="K23" s="1283"/>
      <c r="L23" s="1283"/>
      <c r="M23" s="1283"/>
      <c r="N23" s="1283"/>
      <c r="O23" s="1283"/>
      <c r="P23" s="1284"/>
      <c r="Q23" s="216"/>
      <c r="R23" s="216"/>
      <c r="S23" s="216"/>
    </row>
    <row r="24" spans="1:19" s="217" customFormat="1" ht="31.15" customHeight="1">
      <c r="A24" s="1277"/>
      <c r="B24" s="1278"/>
      <c r="C24" s="1279"/>
      <c r="D24" s="1281"/>
      <c r="E24" s="1281"/>
      <c r="F24" s="1281"/>
      <c r="G24" s="1281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517" t="s">
        <v>230</v>
      </c>
      <c r="P24" s="517" t="s">
        <v>662</v>
      </c>
      <c r="Q24" s="216"/>
      <c r="R24" s="216"/>
      <c r="S24" s="216"/>
    </row>
    <row r="25" spans="1:19" ht="12" customHeight="1">
      <c r="A25" s="1266" t="s">
        <v>232</v>
      </c>
      <c r="B25" s="1267"/>
      <c r="C25" s="1268"/>
      <c r="D25" s="218">
        <v>8000</v>
      </c>
      <c r="E25" s="513" t="s">
        <v>233</v>
      </c>
      <c r="F25" s="219">
        <v>29.849039999999999</v>
      </c>
      <c r="G25" s="220">
        <v>14.55179</v>
      </c>
      <c r="H25" s="220">
        <v>0</v>
      </c>
      <c r="I25" s="220">
        <v>0</v>
      </c>
      <c r="J25" s="220">
        <v>5.694</v>
      </c>
      <c r="K25" s="220">
        <v>6.8437200000000002</v>
      </c>
      <c r="L25" s="220">
        <v>0</v>
      </c>
      <c r="M25" s="220">
        <v>0</v>
      </c>
      <c r="N25" s="220">
        <v>0</v>
      </c>
      <c r="O25" s="220">
        <v>12.53772</v>
      </c>
      <c r="P25" s="220">
        <v>86.159297241095416</v>
      </c>
      <c r="Q25" s="212"/>
      <c r="R25" s="212"/>
      <c r="S25" s="212"/>
    </row>
    <row r="26" spans="1:19" ht="12" customHeight="1">
      <c r="A26" s="1266" t="s">
        <v>234</v>
      </c>
      <c r="B26" s="1267"/>
      <c r="C26" s="1268"/>
      <c r="D26" s="218">
        <v>7000</v>
      </c>
      <c r="E26" s="513" t="s">
        <v>233</v>
      </c>
      <c r="F26" s="219">
        <v>2.1640554000000001</v>
      </c>
      <c r="G26" s="220">
        <v>0</v>
      </c>
      <c r="H26" s="220">
        <v>0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  <c r="Q26" s="212"/>
      <c r="R26" s="212"/>
      <c r="S26" s="212"/>
    </row>
    <row r="27" spans="1:19" ht="12" customHeight="1">
      <c r="A27" s="1266" t="s">
        <v>235</v>
      </c>
      <c r="B27" s="1267"/>
      <c r="C27" s="1268"/>
      <c r="D27" s="218">
        <v>43000</v>
      </c>
      <c r="E27" s="513" t="s">
        <v>236</v>
      </c>
      <c r="F27" s="219">
        <v>0.43</v>
      </c>
      <c r="G27" s="220">
        <v>0.18</v>
      </c>
      <c r="H27" s="220">
        <v>0</v>
      </c>
      <c r="I27" s="220">
        <v>0</v>
      </c>
      <c r="J27" s="220">
        <v>0</v>
      </c>
      <c r="K27" s="220">
        <v>0.18</v>
      </c>
      <c r="L27" s="220">
        <v>0</v>
      </c>
      <c r="M27" s="220">
        <v>0</v>
      </c>
      <c r="N27" s="220">
        <v>0</v>
      </c>
      <c r="O27" s="220">
        <v>0.18</v>
      </c>
      <c r="P27" s="220">
        <v>100</v>
      </c>
      <c r="Q27" s="212"/>
      <c r="R27" s="212"/>
      <c r="S27" s="212"/>
    </row>
    <row r="28" spans="1:19" ht="12" customHeight="1">
      <c r="A28" s="1266" t="s">
        <v>237</v>
      </c>
      <c r="B28" s="1267"/>
      <c r="C28" s="1268"/>
      <c r="D28" s="218">
        <v>34000</v>
      </c>
      <c r="E28" s="513" t="s">
        <v>236</v>
      </c>
      <c r="F28" s="219">
        <v>0.34</v>
      </c>
      <c r="G28" s="220">
        <v>0.16</v>
      </c>
      <c r="H28" s="220">
        <v>0</v>
      </c>
      <c r="I28" s="220">
        <v>0</v>
      </c>
      <c r="J28" s="220">
        <v>0</v>
      </c>
      <c r="K28" s="220">
        <v>0.16</v>
      </c>
      <c r="L28" s="220">
        <v>0</v>
      </c>
      <c r="M28" s="220">
        <v>0</v>
      </c>
      <c r="N28" s="220">
        <v>0</v>
      </c>
      <c r="O28" s="220">
        <v>0.16</v>
      </c>
      <c r="P28" s="220">
        <v>100</v>
      </c>
      <c r="Q28" s="212"/>
      <c r="R28" s="212"/>
      <c r="S28" s="212"/>
    </row>
    <row r="29" spans="1:19" ht="12" customHeight="1">
      <c r="A29" s="1266" t="s">
        <v>238</v>
      </c>
      <c r="B29" s="1267"/>
      <c r="C29" s="1268"/>
      <c r="D29" s="218">
        <v>1200</v>
      </c>
      <c r="E29" s="513" t="s">
        <v>233</v>
      </c>
      <c r="F29" s="219">
        <v>4.4773559999999994</v>
      </c>
      <c r="G29" s="220">
        <v>2</v>
      </c>
      <c r="H29" s="220">
        <v>0</v>
      </c>
      <c r="I29" s="220">
        <v>0</v>
      </c>
      <c r="J29" s="220">
        <v>0</v>
      </c>
      <c r="K29" s="220">
        <v>0</v>
      </c>
      <c r="L29" s="220">
        <v>0</v>
      </c>
      <c r="M29" s="220">
        <v>0</v>
      </c>
      <c r="N29" s="220">
        <v>0</v>
      </c>
      <c r="O29" s="220">
        <v>0</v>
      </c>
      <c r="P29" s="220">
        <v>0</v>
      </c>
      <c r="Q29" s="212"/>
      <c r="R29" s="212"/>
      <c r="S29" s="212"/>
    </row>
    <row r="30" spans="1:19" ht="12" customHeight="1">
      <c r="A30" s="1266" t="s">
        <v>667</v>
      </c>
      <c r="B30" s="1267"/>
      <c r="C30" s="1268"/>
      <c r="D30" s="218">
        <v>565</v>
      </c>
      <c r="E30" s="513" t="s">
        <v>233</v>
      </c>
      <c r="F30" s="219">
        <v>2.1080884499999999</v>
      </c>
      <c r="G30" s="220">
        <v>2.0521199999999999</v>
      </c>
      <c r="H30" s="220">
        <v>0</v>
      </c>
      <c r="I30" s="220">
        <v>0</v>
      </c>
      <c r="J30" s="220">
        <v>0</v>
      </c>
      <c r="K30" s="220">
        <v>2.0521199999999999</v>
      </c>
      <c r="L30" s="220">
        <v>0</v>
      </c>
      <c r="M30" s="220">
        <v>0</v>
      </c>
      <c r="N30" s="220">
        <v>0</v>
      </c>
      <c r="O30" s="220">
        <v>2.0521199999999999</v>
      </c>
      <c r="P30" s="220">
        <v>100</v>
      </c>
      <c r="Q30" s="212"/>
      <c r="R30" s="212"/>
      <c r="S30" s="212"/>
    </row>
    <row r="31" spans="1:19" ht="12" customHeight="1">
      <c r="A31" s="1266" t="s">
        <v>1503</v>
      </c>
      <c r="B31" s="1267"/>
      <c r="C31" s="1268"/>
      <c r="D31" s="218">
        <v>1000</v>
      </c>
      <c r="E31" s="513" t="s">
        <v>233</v>
      </c>
      <c r="F31" s="219">
        <v>3.7311299999999998</v>
      </c>
      <c r="G31" s="220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  <c r="Q31" s="212"/>
      <c r="R31" s="212"/>
      <c r="S31" s="212"/>
    </row>
    <row r="32" spans="1:19" ht="12" customHeight="1">
      <c r="A32" s="1266" t="s">
        <v>394</v>
      </c>
      <c r="B32" s="1267"/>
      <c r="C32" s="1268"/>
      <c r="D32" s="218">
        <v>2750</v>
      </c>
      <c r="E32" s="513" t="s">
        <v>242</v>
      </c>
      <c r="F32" s="219">
        <v>2.1</v>
      </c>
      <c r="G32" s="220">
        <v>0.41249999999999998</v>
      </c>
      <c r="H32" s="220">
        <v>0</v>
      </c>
      <c r="I32" s="220">
        <v>0</v>
      </c>
      <c r="J32" s="220">
        <v>6.5000000000000002E-2</v>
      </c>
      <c r="K32" s="220">
        <v>0.2475</v>
      </c>
      <c r="L32" s="220">
        <v>0</v>
      </c>
      <c r="M32" s="220">
        <v>0</v>
      </c>
      <c r="N32" s="220">
        <v>0</v>
      </c>
      <c r="O32" s="220">
        <v>0.3125</v>
      </c>
      <c r="P32" s="220">
        <v>75.757575757575751</v>
      </c>
      <c r="Q32" s="212"/>
      <c r="R32" s="212"/>
      <c r="S32" s="212"/>
    </row>
    <row r="33" spans="1:19" ht="12" customHeight="1">
      <c r="A33" s="1266" t="s">
        <v>670</v>
      </c>
      <c r="B33" s="1267"/>
      <c r="C33" s="1268"/>
      <c r="D33" s="218">
        <v>10000</v>
      </c>
      <c r="E33" s="513" t="s">
        <v>244</v>
      </c>
      <c r="F33" s="219">
        <v>0.1</v>
      </c>
      <c r="G33" s="220">
        <v>0.1</v>
      </c>
      <c r="H33" s="220">
        <v>0</v>
      </c>
      <c r="I33" s="220">
        <v>0</v>
      </c>
      <c r="J33" s="220">
        <v>0.1</v>
      </c>
      <c r="K33" s="220">
        <v>0</v>
      </c>
      <c r="L33" s="220">
        <v>0</v>
      </c>
      <c r="M33" s="220">
        <v>0</v>
      </c>
      <c r="N33" s="220">
        <v>0</v>
      </c>
      <c r="O33" s="220">
        <v>0.1</v>
      </c>
      <c r="P33" s="220">
        <v>100</v>
      </c>
      <c r="Q33" s="212"/>
      <c r="R33" s="212"/>
      <c r="S33" s="212"/>
    </row>
    <row r="34" spans="1:19" ht="12" customHeight="1">
      <c r="A34" s="1258" t="s">
        <v>230</v>
      </c>
      <c r="B34" s="1259"/>
      <c r="C34" s="1260"/>
      <c r="D34" s="215"/>
      <c r="E34" s="215"/>
      <c r="F34" s="222">
        <v>45.299669850000001</v>
      </c>
      <c r="G34" s="222">
        <v>19.456410000000002</v>
      </c>
      <c r="H34" s="222">
        <v>0</v>
      </c>
      <c r="I34" s="222">
        <v>0</v>
      </c>
      <c r="J34" s="222">
        <v>5.859</v>
      </c>
      <c r="K34" s="222">
        <v>9.4833400000000001</v>
      </c>
      <c r="L34" s="222">
        <v>0</v>
      </c>
      <c r="M34" s="222">
        <v>0</v>
      </c>
      <c r="N34" s="222">
        <v>0</v>
      </c>
      <c r="O34" s="222">
        <v>15.34234</v>
      </c>
      <c r="P34" s="222"/>
      <c r="Q34" s="223"/>
      <c r="R34" s="212"/>
      <c r="S34" s="212"/>
    </row>
    <row r="35" spans="1:19" ht="19.899999999999999" customHeight="1">
      <c r="A35" s="212"/>
      <c r="B35" s="212"/>
      <c r="C35" s="212"/>
      <c r="D35" s="212"/>
      <c r="E35" s="21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12"/>
      <c r="S35" s="212"/>
    </row>
    <row r="36" spans="1:19" ht="19.899999999999999" customHeight="1">
      <c r="A36" s="212"/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</row>
    <row r="37" spans="1:19" ht="19.899999999999999" customHeight="1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</row>
    <row r="38" spans="1:19" ht="19.899999999999999" customHeight="1"/>
    <row r="39" spans="1:19" ht="19.899999999999999" customHeight="1"/>
    <row r="40" spans="1:19" ht="19.899999999999999" customHeight="1"/>
    <row r="41" spans="1:19" ht="19.899999999999999" customHeight="1"/>
    <row r="42" spans="1:19" ht="19.899999999999999" customHeight="1"/>
    <row r="43" spans="1:19" ht="19.899999999999999" customHeight="1"/>
    <row r="44" spans="1:19" ht="19.899999999999999" customHeight="1"/>
    <row r="45" spans="1:19" ht="19.899999999999999" customHeight="1"/>
    <row r="46" spans="1:19" ht="19.899999999999999" customHeight="1"/>
    <row r="47" spans="1:19" ht="19.899999999999999" customHeight="1"/>
    <row r="48" spans="1:19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</sheetData>
  <mergeCells count="48">
    <mergeCell ref="A30:C30"/>
    <mergeCell ref="A31:C31"/>
    <mergeCell ref="A32:C32"/>
    <mergeCell ref="A33:C33"/>
    <mergeCell ref="A34:C34"/>
    <mergeCell ref="A29:C29"/>
    <mergeCell ref="A19:B19"/>
    <mergeCell ref="K19:L19"/>
    <mergeCell ref="H20:I20"/>
    <mergeCell ref="K20:L20"/>
    <mergeCell ref="A22:B22"/>
    <mergeCell ref="A23:C24"/>
    <mergeCell ref="D23:D24"/>
    <mergeCell ref="E23:E24"/>
    <mergeCell ref="F23:F24"/>
    <mergeCell ref="G23:G24"/>
    <mergeCell ref="H23:P23"/>
    <mergeCell ref="A25:C25"/>
    <mergeCell ref="A26:C26"/>
    <mergeCell ref="A27:C27"/>
    <mergeCell ref="A28:C28"/>
    <mergeCell ref="A14:C14"/>
    <mergeCell ref="D14:L14"/>
    <mergeCell ref="M14:R14"/>
    <mergeCell ref="N16:O16"/>
    <mergeCell ref="A18:B18"/>
    <mergeCell ref="H18:I18"/>
    <mergeCell ref="K18:L18"/>
    <mergeCell ref="A12:C12"/>
    <mergeCell ref="D12:L12"/>
    <mergeCell ref="M12:R12"/>
    <mergeCell ref="A13:C13"/>
    <mergeCell ref="D13:L13"/>
    <mergeCell ref="M13:R13"/>
    <mergeCell ref="D8:F8"/>
    <mergeCell ref="H8:J9"/>
    <mergeCell ref="K8:O9"/>
    <mergeCell ref="A11:C11"/>
    <mergeCell ref="D11:L11"/>
    <mergeCell ref="M11:R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R103"/>
  <sheetViews>
    <sheetView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10.42578125" style="211" customWidth="1"/>
    <col min="3" max="3" width="7.28515625" style="211" customWidth="1"/>
    <col min="4" max="5" width="7.42578125" style="211" customWidth="1"/>
    <col min="6" max="6" width="9.7109375" style="211" customWidth="1"/>
    <col min="7" max="7" width="8.140625" style="211" customWidth="1"/>
    <col min="8" max="8" width="7.140625" style="211" customWidth="1"/>
    <col min="9" max="9" width="9.140625" style="211" customWidth="1"/>
    <col min="10" max="10" width="7.7109375" style="211" customWidth="1"/>
    <col min="11" max="11" width="9.28515625" style="211" customWidth="1"/>
    <col min="12" max="12" width="6.28515625" style="211" customWidth="1"/>
    <col min="13" max="13" width="8.140625" style="211" customWidth="1"/>
    <col min="14" max="14" width="6.7109375" style="211" customWidth="1"/>
    <col min="15" max="15" width="8.28515625" style="211" customWidth="1"/>
    <col min="16" max="16" width="7.28515625" style="211" customWidth="1"/>
    <col min="17" max="17" width="8.28515625" style="211" customWidth="1"/>
    <col min="18" max="18" width="7.7109375" style="211" customWidth="1"/>
    <col min="19" max="256" width="8.85546875" style="211"/>
    <col min="257" max="257" width="11.28515625" style="211" customWidth="1"/>
    <col min="258" max="258" width="10.42578125" style="211" customWidth="1"/>
    <col min="259" max="259" width="7.28515625" style="211" customWidth="1"/>
    <col min="260" max="261" width="7.42578125" style="211" customWidth="1"/>
    <col min="262" max="262" width="9.7109375" style="211" customWidth="1"/>
    <col min="263" max="263" width="8.140625" style="211" customWidth="1"/>
    <col min="264" max="264" width="7.140625" style="211" customWidth="1"/>
    <col min="265" max="265" width="9.140625" style="211" customWidth="1"/>
    <col min="266" max="266" width="7.7109375" style="211" customWidth="1"/>
    <col min="267" max="267" width="9.28515625" style="211" customWidth="1"/>
    <col min="268" max="268" width="6.28515625" style="211" customWidth="1"/>
    <col min="269" max="269" width="8.140625" style="211" customWidth="1"/>
    <col min="270" max="270" width="6.7109375" style="211" customWidth="1"/>
    <col min="271" max="271" width="8.28515625" style="211" customWidth="1"/>
    <col min="272" max="272" width="7.28515625" style="211" customWidth="1"/>
    <col min="273" max="273" width="8.28515625" style="211" customWidth="1"/>
    <col min="274" max="274" width="7.7109375" style="211" customWidth="1"/>
    <col min="275" max="512" width="8.85546875" style="211"/>
    <col min="513" max="513" width="11.28515625" style="211" customWidth="1"/>
    <col min="514" max="514" width="10.42578125" style="211" customWidth="1"/>
    <col min="515" max="515" width="7.28515625" style="211" customWidth="1"/>
    <col min="516" max="517" width="7.42578125" style="211" customWidth="1"/>
    <col min="518" max="518" width="9.7109375" style="211" customWidth="1"/>
    <col min="519" max="519" width="8.140625" style="211" customWidth="1"/>
    <col min="520" max="520" width="7.140625" style="211" customWidth="1"/>
    <col min="521" max="521" width="9.140625" style="211" customWidth="1"/>
    <col min="522" max="522" width="7.7109375" style="211" customWidth="1"/>
    <col min="523" max="523" width="9.28515625" style="211" customWidth="1"/>
    <col min="524" max="524" width="6.28515625" style="211" customWidth="1"/>
    <col min="525" max="525" width="8.140625" style="211" customWidth="1"/>
    <col min="526" max="526" width="6.7109375" style="211" customWidth="1"/>
    <col min="527" max="527" width="8.28515625" style="211" customWidth="1"/>
    <col min="528" max="528" width="7.28515625" style="211" customWidth="1"/>
    <col min="529" max="529" width="8.28515625" style="211" customWidth="1"/>
    <col min="530" max="530" width="7.7109375" style="211" customWidth="1"/>
    <col min="531" max="768" width="8.85546875" style="211"/>
    <col min="769" max="769" width="11.28515625" style="211" customWidth="1"/>
    <col min="770" max="770" width="10.42578125" style="211" customWidth="1"/>
    <col min="771" max="771" width="7.28515625" style="211" customWidth="1"/>
    <col min="772" max="773" width="7.42578125" style="211" customWidth="1"/>
    <col min="774" max="774" width="9.7109375" style="211" customWidth="1"/>
    <col min="775" max="775" width="8.140625" style="211" customWidth="1"/>
    <col min="776" max="776" width="7.140625" style="211" customWidth="1"/>
    <col min="777" max="777" width="9.140625" style="211" customWidth="1"/>
    <col min="778" max="778" width="7.7109375" style="211" customWidth="1"/>
    <col min="779" max="779" width="9.28515625" style="211" customWidth="1"/>
    <col min="780" max="780" width="6.28515625" style="211" customWidth="1"/>
    <col min="781" max="781" width="8.140625" style="211" customWidth="1"/>
    <col min="782" max="782" width="6.7109375" style="211" customWidth="1"/>
    <col min="783" max="783" width="8.28515625" style="211" customWidth="1"/>
    <col min="784" max="784" width="7.28515625" style="211" customWidth="1"/>
    <col min="785" max="785" width="8.28515625" style="211" customWidth="1"/>
    <col min="786" max="786" width="7.7109375" style="211" customWidth="1"/>
    <col min="787" max="1024" width="8.85546875" style="211"/>
    <col min="1025" max="1025" width="11.28515625" style="211" customWidth="1"/>
    <col min="1026" max="1026" width="10.42578125" style="211" customWidth="1"/>
    <col min="1027" max="1027" width="7.28515625" style="211" customWidth="1"/>
    <col min="1028" max="1029" width="7.42578125" style="211" customWidth="1"/>
    <col min="1030" max="1030" width="9.7109375" style="211" customWidth="1"/>
    <col min="1031" max="1031" width="8.140625" style="211" customWidth="1"/>
    <col min="1032" max="1032" width="7.140625" style="211" customWidth="1"/>
    <col min="1033" max="1033" width="9.140625" style="211" customWidth="1"/>
    <col min="1034" max="1034" width="7.7109375" style="211" customWidth="1"/>
    <col min="1035" max="1035" width="9.28515625" style="211" customWidth="1"/>
    <col min="1036" max="1036" width="6.28515625" style="211" customWidth="1"/>
    <col min="1037" max="1037" width="8.140625" style="211" customWidth="1"/>
    <col min="1038" max="1038" width="6.7109375" style="211" customWidth="1"/>
    <col min="1039" max="1039" width="8.28515625" style="211" customWidth="1"/>
    <col min="1040" max="1040" width="7.28515625" style="211" customWidth="1"/>
    <col min="1041" max="1041" width="8.28515625" style="211" customWidth="1"/>
    <col min="1042" max="1042" width="7.7109375" style="211" customWidth="1"/>
    <col min="1043" max="1280" width="8.85546875" style="211"/>
    <col min="1281" max="1281" width="11.28515625" style="211" customWidth="1"/>
    <col min="1282" max="1282" width="10.42578125" style="211" customWidth="1"/>
    <col min="1283" max="1283" width="7.28515625" style="211" customWidth="1"/>
    <col min="1284" max="1285" width="7.42578125" style="211" customWidth="1"/>
    <col min="1286" max="1286" width="9.7109375" style="211" customWidth="1"/>
    <col min="1287" max="1287" width="8.140625" style="211" customWidth="1"/>
    <col min="1288" max="1288" width="7.140625" style="211" customWidth="1"/>
    <col min="1289" max="1289" width="9.140625" style="211" customWidth="1"/>
    <col min="1290" max="1290" width="7.7109375" style="211" customWidth="1"/>
    <col min="1291" max="1291" width="9.28515625" style="211" customWidth="1"/>
    <col min="1292" max="1292" width="6.28515625" style="211" customWidth="1"/>
    <col min="1293" max="1293" width="8.140625" style="211" customWidth="1"/>
    <col min="1294" max="1294" width="6.7109375" style="211" customWidth="1"/>
    <col min="1295" max="1295" width="8.28515625" style="211" customWidth="1"/>
    <col min="1296" max="1296" width="7.28515625" style="211" customWidth="1"/>
    <col min="1297" max="1297" width="8.28515625" style="211" customWidth="1"/>
    <col min="1298" max="1298" width="7.7109375" style="211" customWidth="1"/>
    <col min="1299" max="1536" width="8.85546875" style="211"/>
    <col min="1537" max="1537" width="11.28515625" style="211" customWidth="1"/>
    <col min="1538" max="1538" width="10.42578125" style="211" customWidth="1"/>
    <col min="1539" max="1539" width="7.28515625" style="211" customWidth="1"/>
    <col min="1540" max="1541" width="7.42578125" style="211" customWidth="1"/>
    <col min="1542" max="1542" width="9.7109375" style="211" customWidth="1"/>
    <col min="1543" max="1543" width="8.140625" style="211" customWidth="1"/>
    <col min="1544" max="1544" width="7.140625" style="211" customWidth="1"/>
    <col min="1545" max="1545" width="9.140625" style="211" customWidth="1"/>
    <col min="1546" max="1546" width="7.7109375" style="211" customWidth="1"/>
    <col min="1547" max="1547" width="9.28515625" style="211" customWidth="1"/>
    <col min="1548" max="1548" width="6.28515625" style="211" customWidth="1"/>
    <col min="1549" max="1549" width="8.140625" style="211" customWidth="1"/>
    <col min="1550" max="1550" width="6.7109375" style="211" customWidth="1"/>
    <col min="1551" max="1551" width="8.28515625" style="211" customWidth="1"/>
    <col min="1552" max="1552" width="7.28515625" style="211" customWidth="1"/>
    <col min="1553" max="1553" width="8.28515625" style="211" customWidth="1"/>
    <col min="1554" max="1554" width="7.7109375" style="211" customWidth="1"/>
    <col min="1555" max="1792" width="8.85546875" style="211"/>
    <col min="1793" max="1793" width="11.28515625" style="211" customWidth="1"/>
    <col min="1794" max="1794" width="10.42578125" style="211" customWidth="1"/>
    <col min="1795" max="1795" width="7.28515625" style="211" customWidth="1"/>
    <col min="1796" max="1797" width="7.42578125" style="211" customWidth="1"/>
    <col min="1798" max="1798" width="9.7109375" style="211" customWidth="1"/>
    <col min="1799" max="1799" width="8.140625" style="211" customWidth="1"/>
    <col min="1800" max="1800" width="7.140625" style="211" customWidth="1"/>
    <col min="1801" max="1801" width="9.140625" style="211" customWidth="1"/>
    <col min="1802" max="1802" width="7.7109375" style="211" customWidth="1"/>
    <col min="1803" max="1803" width="9.28515625" style="211" customWidth="1"/>
    <col min="1804" max="1804" width="6.28515625" style="211" customWidth="1"/>
    <col min="1805" max="1805" width="8.140625" style="211" customWidth="1"/>
    <col min="1806" max="1806" width="6.7109375" style="211" customWidth="1"/>
    <col min="1807" max="1807" width="8.28515625" style="211" customWidth="1"/>
    <col min="1808" max="1808" width="7.28515625" style="211" customWidth="1"/>
    <col min="1809" max="1809" width="8.28515625" style="211" customWidth="1"/>
    <col min="1810" max="1810" width="7.7109375" style="211" customWidth="1"/>
    <col min="1811" max="2048" width="8.85546875" style="211"/>
    <col min="2049" max="2049" width="11.28515625" style="211" customWidth="1"/>
    <col min="2050" max="2050" width="10.42578125" style="211" customWidth="1"/>
    <col min="2051" max="2051" width="7.28515625" style="211" customWidth="1"/>
    <col min="2052" max="2053" width="7.42578125" style="211" customWidth="1"/>
    <col min="2054" max="2054" width="9.7109375" style="211" customWidth="1"/>
    <col min="2055" max="2055" width="8.140625" style="211" customWidth="1"/>
    <col min="2056" max="2056" width="7.140625" style="211" customWidth="1"/>
    <col min="2057" max="2057" width="9.140625" style="211" customWidth="1"/>
    <col min="2058" max="2058" width="7.7109375" style="211" customWidth="1"/>
    <col min="2059" max="2059" width="9.28515625" style="211" customWidth="1"/>
    <col min="2060" max="2060" width="6.28515625" style="211" customWidth="1"/>
    <col min="2061" max="2061" width="8.140625" style="211" customWidth="1"/>
    <col min="2062" max="2062" width="6.7109375" style="211" customWidth="1"/>
    <col min="2063" max="2063" width="8.28515625" style="211" customWidth="1"/>
    <col min="2064" max="2064" width="7.28515625" style="211" customWidth="1"/>
    <col min="2065" max="2065" width="8.28515625" style="211" customWidth="1"/>
    <col min="2066" max="2066" width="7.7109375" style="211" customWidth="1"/>
    <col min="2067" max="2304" width="8.85546875" style="211"/>
    <col min="2305" max="2305" width="11.28515625" style="211" customWidth="1"/>
    <col min="2306" max="2306" width="10.42578125" style="211" customWidth="1"/>
    <col min="2307" max="2307" width="7.28515625" style="211" customWidth="1"/>
    <col min="2308" max="2309" width="7.42578125" style="211" customWidth="1"/>
    <col min="2310" max="2310" width="9.7109375" style="211" customWidth="1"/>
    <col min="2311" max="2311" width="8.140625" style="211" customWidth="1"/>
    <col min="2312" max="2312" width="7.140625" style="211" customWidth="1"/>
    <col min="2313" max="2313" width="9.140625" style="211" customWidth="1"/>
    <col min="2314" max="2314" width="7.7109375" style="211" customWidth="1"/>
    <col min="2315" max="2315" width="9.28515625" style="211" customWidth="1"/>
    <col min="2316" max="2316" width="6.28515625" style="211" customWidth="1"/>
    <col min="2317" max="2317" width="8.140625" style="211" customWidth="1"/>
    <col min="2318" max="2318" width="6.7109375" style="211" customWidth="1"/>
    <col min="2319" max="2319" width="8.28515625" style="211" customWidth="1"/>
    <col min="2320" max="2320" width="7.28515625" style="211" customWidth="1"/>
    <col min="2321" max="2321" width="8.28515625" style="211" customWidth="1"/>
    <col min="2322" max="2322" width="7.7109375" style="211" customWidth="1"/>
    <col min="2323" max="2560" width="8.85546875" style="211"/>
    <col min="2561" max="2561" width="11.28515625" style="211" customWidth="1"/>
    <col min="2562" max="2562" width="10.42578125" style="211" customWidth="1"/>
    <col min="2563" max="2563" width="7.28515625" style="211" customWidth="1"/>
    <col min="2564" max="2565" width="7.42578125" style="211" customWidth="1"/>
    <col min="2566" max="2566" width="9.7109375" style="211" customWidth="1"/>
    <col min="2567" max="2567" width="8.140625" style="211" customWidth="1"/>
    <col min="2568" max="2568" width="7.140625" style="211" customWidth="1"/>
    <col min="2569" max="2569" width="9.140625" style="211" customWidth="1"/>
    <col min="2570" max="2570" width="7.7109375" style="211" customWidth="1"/>
    <col min="2571" max="2571" width="9.28515625" style="211" customWidth="1"/>
    <col min="2572" max="2572" width="6.28515625" style="211" customWidth="1"/>
    <col min="2573" max="2573" width="8.140625" style="211" customWidth="1"/>
    <col min="2574" max="2574" width="6.7109375" style="211" customWidth="1"/>
    <col min="2575" max="2575" width="8.28515625" style="211" customWidth="1"/>
    <col min="2576" max="2576" width="7.28515625" style="211" customWidth="1"/>
    <col min="2577" max="2577" width="8.28515625" style="211" customWidth="1"/>
    <col min="2578" max="2578" width="7.7109375" style="211" customWidth="1"/>
    <col min="2579" max="2816" width="8.85546875" style="211"/>
    <col min="2817" max="2817" width="11.28515625" style="211" customWidth="1"/>
    <col min="2818" max="2818" width="10.42578125" style="211" customWidth="1"/>
    <col min="2819" max="2819" width="7.28515625" style="211" customWidth="1"/>
    <col min="2820" max="2821" width="7.42578125" style="211" customWidth="1"/>
    <col min="2822" max="2822" width="9.7109375" style="211" customWidth="1"/>
    <col min="2823" max="2823" width="8.140625" style="211" customWidth="1"/>
    <col min="2824" max="2824" width="7.140625" style="211" customWidth="1"/>
    <col min="2825" max="2825" width="9.140625" style="211" customWidth="1"/>
    <col min="2826" max="2826" width="7.7109375" style="211" customWidth="1"/>
    <col min="2827" max="2827" width="9.28515625" style="211" customWidth="1"/>
    <col min="2828" max="2828" width="6.28515625" style="211" customWidth="1"/>
    <col min="2829" max="2829" width="8.140625" style="211" customWidth="1"/>
    <col min="2830" max="2830" width="6.7109375" style="211" customWidth="1"/>
    <col min="2831" max="2831" width="8.28515625" style="211" customWidth="1"/>
    <col min="2832" max="2832" width="7.28515625" style="211" customWidth="1"/>
    <col min="2833" max="2833" width="8.28515625" style="211" customWidth="1"/>
    <col min="2834" max="2834" width="7.7109375" style="211" customWidth="1"/>
    <col min="2835" max="3072" width="8.85546875" style="211"/>
    <col min="3073" max="3073" width="11.28515625" style="211" customWidth="1"/>
    <col min="3074" max="3074" width="10.42578125" style="211" customWidth="1"/>
    <col min="3075" max="3075" width="7.28515625" style="211" customWidth="1"/>
    <col min="3076" max="3077" width="7.42578125" style="211" customWidth="1"/>
    <col min="3078" max="3078" width="9.7109375" style="211" customWidth="1"/>
    <col min="3079" max="3079" width="8.140625" style="211" customWidth="1"/>
    <col min="3080" max="3080" width="7.140625" style="211" customWidth="1"/>
    <col min="3081" max="3081" width="9.140625" style="211" customWidth="1"/>
    <col min="3082" max="3082" width="7.7109375" style="211" customWidth="1"/>
    <col min="3083" max="3083" width="9.28515625" style="211" customWidth="1"/>
    <col min="3084" max="3084" width="6.28515625" style="211" customWidth="1"/>
    <col min="3085" max="3085" width="8.140625" style="211" customWidth="1"/>
    <col min="3086" max="3086" width="6.7109375" style="211" customWidth="1"/>
    <col min="3087" max="3087" width="8.28515625" style="211" customWidth="1"/>
    <col min="3088" max="3088" width="7.28515625" style="211" customWidth="1"/>
    <col min="3089" max="3089" width="8.28515625" style="211" customWidth="1"/>
    <col min="3090" max="3090" width="7.7109375" style="211" customWidth="1"/>
    <col min="3091" max="3328" width="8.85546875" style="211"/>
    <col min="3329" max="3329" width="11.28515625" style="211" customWidth="1"/>
    <col min="3330" max="3330" width="10.42578125" style="211" customWidth="1"/>
    <col min="3331" max="3331" width="7.28515625" style="211" customWidth="1"/>
    <col min="3332" max="3333" width="7.42578125" style="211" customWidth="1"/>
    <col min="3334" max="3334" width="9.7109375" style="211" customWidth="1"/>
    <col min="3335" max="3335" width="8.140625" style="211" customWidth="1"/>
    <col min="3336" max="3336" width="7.140625" style="211" customWidth="1"/>
    <col min="3337" max="3337" width="9.140625" style="211" customWidth="1"/>
    <col min="3338" max="3338" width="7.7109375" style="211" customWidth="1"/>
    <col min="3339" max="3339" width="9.28515625" style="211" customWidth="1"/>
    <col min="3340" max="3340" width="6.28515625" style="211" customWidth="1"/>
    <col min="3341" max="3341" width="8.140625" style="211" customWidth="1"/>
    <col min="3342" max="3342" width="6.7109375" style="211" customWidth="1"/>
    <col min="3343" max="3343" width="8.28515625" style="211" customWidth="1"/>
    <col min="3344" max="3344" width="7.28515625" style="211" customWidth="1"/>
    <col min="3345" max="3345" width="8.28515625" style="211" customWidth="1"/>
    <col min="3346" max="3346" width="7.7109375" style="211" customWidth="1"/>
    <col min="3347" max="3584" width="8.85546875" style="211"/>
    <col min="3585" max="3585" width="11.28515625" style="211" customWidth="1"/>
    <col min="3586" max="3586" width="10.42578125" style="211" customWidth="1"/>
    <col min="3587" max="3587" width="7.28515625" style="211" customWidth="1"/>
    <col min="3588" max="3589" width="7.42578125" style="211" customWidth="1"/>
    <col min="3590" max="3590" width="9.7109375" style="211" customWidth="1"/>
    <col min="3591" max="3591" width="8.140625" style="211" customWidth="1"/>
    <col min="3592" max="3592" width="7.140625" style="211" customWidth="1"/>
    <col min="3593" max="3593" width="9.140625" style="211" customWidth="1"/>
    <col min="3594" max="3594" width="7.7109375" style="211" customWidth="1"/>
    <col min="3595" max="3595" width="9.28515625" style="211" customWidth="1"/>
    <col min="3596" max="3596" width="6.28515625" style="211" customWidth="1"/>
    <col min="3597" max="3597" width="8.140625" style="211" customWidth="1"/>
    <col min="3598" max="3598" width="6.7109375" style="211" customWidth="1"/>
    <col min="3599" max="3599" width="8.28515625" style="211" customWidth="1"/>
    <col min="3600" max="3600" width="7.28515625" style="211" customWidth="1"/>
    <col min="3601" max="3601" width="8.28515625" style="211" customWidth="1"/>
    <col min="3602" max="3602" width="7.7109375" style="211" customWidth="1"/>
    <col min="3603" max="3840" width="8.85546875" style="211"/>
    <col min="3841" max="3841" width="11.28515625" style="211" customWidth="1"/>
    <col min="3842" max="3842" width="10.42578125" style="211" customWidth="1"/>
    <col min="3843" max="3843" width="7.28515625" style="211" customWidth="1"/>
    <col min="3844" max="3845" width="7.42578125" style="211" customWidth="1"/>
    <col min="3846" max="3846" width="9.7109375" style="211" customWidth="1"/>
    <col min="3847" max="3847" width="8.140625" style="211" customWidth="1"/>
    <col min="3848" max="3848" width="7.140625" style="211" customWidth="1"/>
    <col min="3849" max="3849" width="9.140625" style="211" customWidth="1"/>
    <col min="3850" max="3850" width="7.7109375" style="211" customWidth="1"/>
    <col min="3851" max="3851" width="9.28515625" style="211" customWidth="1"/>
    <col min="3852" max="3852" width="6.28515625" style="211" customWidth="1"/>
    <col min="3853" max="3853" width="8.140625" style="211" customWidth="1"/>
    <col min="3854" max="3854" width="6.7109375" style="211" customWidth="1"/>
    <col min="3855" max="3855" width="8.28515625" style="211" customWidth="1"/>
    <col min="3856" max="3856" width="7.28515625" style="211" customWidth="1"/>
    <col min="3857" max="3857" width="8.28515625" style="211" customWidth="1"/>
    <col min="3858" max="3858" width="7.7109375" style="211" customWidth="1"/>
    <col min="3859" max="4096" width="8.85546875" style="211"/>
    <col min="4097" max="4097" width="11.28515625" style="211" customWidth="1"/>
    <col min="4098" max="4098" width="10.42578125" style="211" customWidth="1"/>
    <col min="4099" max="4099" width="7.28515625" style="211" customWidth="1"/>
    <col min="4100" max="4101" width="7.42578125" style="211" customWidth="1"/>
    <col min="4102" max="4102" width="9.7109375" style="211" customWidth="1"/>
    <col min="4103" max="4103" width="8.140625" style="211" customWidth="1"/>
    <col min="4104" max="4104" width="7.140625" style="211" customWidth="1"/>
    <col min="4105" max="4105" width="9.140625" style="211" customWidth="1"/>
    <col min="4106" max="4106" width="7.7109375" style="211" customWidth="1"/>
    <col min="4107" max="4107" width="9.28515625" style="211" customWidth="1"/>
    <col min="4108" max="4108" width="6.28515625" style="211" customWidth="1"/>
    <col min="4109" max="4109" width="8.140625" style="211" customWidth="1"/>
    <col min="4110" max="4110" width="6.7109375" style="211" customWidth="1"/>
    <col min="4111" max="4111" width="8.28515625" style="211" customWidth="1"/>
    <col min="4112" max="4112" width="7.28515625" style="211" customWidth="1"/>
    <col min="4113" max="4113" width="8.28515625" style="211" customWidth="1"/>
    <col min="4114" max="4114" width="7.7109375" style="211" customWidth="1"/>
    <col min="4115" max="4352" width="8.85546875" style="211"/>
    <col min="4353" max="4353" width="11.28515625" style="211" customWidth="1"/>
    <col min="4354" max="4354" width="10.42578125" style="211" customWidth="1"/>
    <col min="4355" max="4355" width="7.28515625" style="211" customWidth="1"/>
    <col min="4356" max="4357" width="7.42578125" style="211" customWidth="1"/>
    <col min="4358" max="4358" width="9.7109375" style="211" customWidth="1"/>
    <col min="4359" max="4359" width="8.140625" style="211" customWidth="1"/>
    <col min="4360" max="4360" width="7.140625" style="211" customWidth="1"/>
    <col min="4361" max="4361" width="9.140625" style="211" customWidth="1"/>
    <col min="4362" max="4362" width="7.7109375" style="211" customWidth="1"/>
    <col min="4363" max="4363" width="9.28515625" style="211" customWidth="1"/>
    <col min="4364" max="4364" width="6.28515625" style="211" customWidth="1"/>
    <col min="4365" max="4365" width="8.140625" style="211" customWidth="1"/>
    <col min="4366" max="4366" width="6.7109375" style="211" customWidth="1"/>
    <col min="4367" max="4367" width="8.28515625" style="211" customWidth="1"/>
    <col min="4368" max="4368" width="7.28515625" style="211" customWidth="1"/>
    <col min="4369" max="4369" width="8.28515625" style="211" customWidth="1"/>
    <col min="4370" max="4370" width="7.7109375" style="211" customWidth="1"/>
    <col min="4371" max="4608" width="8.85546875" style="211"/>
    <col min="4609" max="4609" width="11.28515625" style="211" customWidth="1"/>
    <col min="4610" max="4610" width="10.42578125" style="211" customWidth="1"/>
    <col min="4611" max="4611" width="7.28515625" style="211" customWidth="1"/>
    <col min="4612" max="4613" width="7.42578125" style="211" customWidth="1"/>
    <col min="4614" max="4614" width="9.7109375" style="211" customWidth="1"/>
    <col min="4615" max="4615" width="8.140625" style="211" customWidth="1"/>
    <col min="4616" max="4616" width="7.140625" style="211" customWidth="1"/>
    <col min="4617" max="4617" width="9.140625" style="211" customWidth="1"/>
    <col min="4618" max="4618" width="7.7109375" style="211" customWidth="1"/>
    <col min="4619" max="4619" width="9.28515625" style="211" customWidth="1"/>
    <col min="4620" max="4620" width="6.28515625" style="211" customWidth="1"/>
    <col min="4621" max="4621" width="8.140625" style="211" customWidth="1"/>
    <col min="4622" max="4622" width="6.7109375" style="211" customWidth="1"/>
    <col min="4623" max="4623" width="8.28515625" style="211" customWidth="1"/>
    <col min="4624" max="4624" width="7.28515625" style="211" customWidth="1"/>
    <col min="4625" max="4625" width="8.28515625" style="211" customWidth="1"/>
    <col min="4626" max="4626" width="7.7109375" style="211" customWidth="1"/>
    <col min="4627" max="4864" width="8.85546875" style="211"/>
    <col min="4865" max="4865" width="11.28515625" style="211" customWidth="1"/>
    <col min="4866" max="4866" width="10.42578125" style="211" customWidth="1"/>
    <col min="4867" max="4867" width="7.28515625" style="211" customWidth="1"/>
    <col min="4868" max="4869" width="7.42578125" style="211" customWidth="1"/>
    <col min="4870" max="4870" width="9.7109375" style="211" customWidth="1"/>
    <col min="4871" max="4871" width="8.140625" style="211" customWidth="1"/>
    <col min="4872" max="4872" width="7.140625" style="211" customWidth="1"/>
    <col min="4873" max="4873" width="9.140625" style="211" customWidth="1"/>
    <col min="4874" max="4874" width="7.7109375" style="211" customWidth="1"/>
    <col min="4875" max="4875" width="9.28515625" style="211" customWidth="1"/>
    <col min="4876" max="4876" width="6.28515625" style="211" customWidth="1"/>
    <col min="4877" max="4877" width="8.140625" style="211" customWidth="1"/>
    <col min="4878" max="4878" width="6.7109375" style="211" customWidth="1"/>
    <col min="4879" max="4879" width="8.28515625" style="211" customWidth="1"/>
    <col min="4880" max="4880" width="7.28515625" style="211" customWidth="1"/>
    <col min="4881" max="4881" width="8.28515625" style="211" customWidth="1"/>
    <col min="4882" max="4882" width="7.7109375" style="211" customWidth="1"/>
    <col min="4883" max="5120" width="8.85546875" style="211"/>
    <col min="5121" max="5121" width="11.28515625" style="211" customWidth="1"/>
    <col min="5122" max="5122" width="10.42578125" style="211" customWidth="1"/>
    <col min="5123" max="5123" width="7.28515625" style="211" customWidth="1"/>
    <col min="5124" max="5125" width="7.42578125" style="211" customWidth="1"/>
    <col min="5126" max="5126" width="9.7109375" style="211" customWidth="1"/>
    <col min="5127" max="5127" width="8.140625" style="211" customWidth="1"/>
    <col min="5128" max="5128" width="7.140625" style="211" customWidth="1"/>
    <col min="5129" max="5129" width="9.140625" style="211" customWidth="1"/>
    <col min="5130" max="5130" width="7.7109375" style="211" customWidth="1"/>
    <col min="5131" max="5131" width="9.28515625" style="211" customWidth="1"/>
    <col min="5132" max="5132" width="6.28515625" style="211" customWidth="1"/>
    <col min="5133" max="5133" width="8.140625" style="211" customWidth="1"/>
    <col min="5134" max="5134" width="6.7109375" style="211" customWidth="1"/>
    <col min="5135" max="5135" width="8.28515625" style="211" customWidth="1"/>
    <col min="5136" max="5136" width="7.28515625" style="211" customWidth="1"/>
    <col min="5137" max="5137" width="8.28515625" style="211" customWidth="1"/>
    <col min="5138" max="5138" width="7.7109375" style="211" customWidth="1"/>
    <col min="5139" max="5376" width="8.85546875" style="211"/>
    <col min="5377" max="5377" width="11.28515625" style="211" customWidth="1"/>
    <col min="5378" max="5378" width="10.42578125" style="211" customWidth="1"/>
    <col min="5379" max="5379" width="7.28515625" style="211" customWidth="1"/>
    <col min="5380" max="5381" width="7.42578125" style="211" customWidth="1"/>
    <col min="5382" max="5382" width="9.7109375" style="211" customWidth="1"/>
    <col min="5383" max="5383" width="8.140625" style="211" customWidth="1"/>
    <col min="5384" max="5384" width="7.140625" style="211" customWidth="1"/>
    <col min="5385" max="5385" width="9.140625" style="211" customWidth="1"/>
    <col min="5386" max="5386" width="7.7109375" style="211" customWidth="1"/>
    <col min="5387" max="5387" width="9.28515625" style="211" customWidth="1"/>
    <col min="5388" max="5388" width="6.28515625" style="211" customWidth="1"/>
    <col min="5389" max="5389" width="8.140625" style="211" customWidth="1"/>
    <col min="5390" max="5390" width="6.7109375" style="211" customWidth="1"/>
    <col min="5391" max="5391" width="8.28515625" style="211" customWidth="1"/>
    <col min="5392" max="5392" width="7.28515625" style="211" customWidth="1"/>
    <col min="5393" max="5393" width="8.28515625" style="211" customWidth="1"/>
    <col min="5394" max="5394" width="7.7109375" style="211" customWidth="1"/>
    <col min="5395" max="5632" width="8.85546875" style="211"/>
    <col min="5633" max="5633" width="11.28515625" style="211" customWidth="1"/>
    <col min="5634" max="5634" width="10.42578125" style="211" customWidth="1"/>
    <col min="5635" max="5635" width="7.28515625" style="211" customWidth="1"/>
    <col min="5636" max="5637" width="7.42578125" style="211" customWidth="1"/>
    <col min="5638" max="5638" width="9.7109375" style="211" customWidth="1"/>
    <col min="5639" max="5639" width="8.140625" style="211" customWidth="1"/>
    <col min="5640" max="5640" width="7.140625" style="211" customWidth="1"/>
    <col min="5641" max="5641" width="9.140625" style="211" customWidth="1"/>
    <col min="5642" max="5642" width="7.7109375" style="211" customWidth="1"/>
    <col min="5643" max="5643" width="9.28515625" style="211" customWidth="1"/>
    <col min="5644" max="5644" width="6.28515625" style="211" customWidth="1"/>
    <col min="5645" max="5645" width="8.140625" style="211" customWidth="1"/>
    <col min="5646" max="5646" width="6.7109375" style="211" customWidth="1"/>
    <col min="5647" max="5647" width="8.28515625" style="211" customWidth="1"/>
    <col min="5648" max="5648" width="7.28515625" style="211" customWidth="1"/>
    <col min="5649" max="5649" width="8.28515625" style="211" customWidth="1"/>
    <col min="5650" max="5650" width="7.7109375" style="211" customWidth="1"/>
    <col min="5651" max="5888" width="8.85546875" style="211"/>
    <col min="5889" max="5889" width="11.28515625" style="211" customWidth="1"/>
    <col min="5890" max="5890" width="10.42578125" style="211" customWidth="1"/>
    <col min="5891" max="5891" width="7.28515625" style="211" customWidth="1"/>
    <col min="5892" max="5893" width="7.42578125" style="211" customWidth="1"/>
    <col min="5894" max="5894" width="9.7109375" style="211" customWidth="1"/>
    <col min="5895" max="5895" width="8.140625" style="211" customWidth="1"/>
    <col min="5896" max="5896" width="7.140625" style="211" customWidth="1"/>
    <col min="5897" max="5897" width="9.140625" style="211" customWidth="1"/>
    <col min="5898" max="5898" width="7.7109375" style="211" customWidth="1"/>
    <col min="5899" max="5899" width="9.28515625" style="211" customWidth="1"/>
    <col min="5900" max="5900" width="6.28515625" style="211" customWidth="1"/>
    <col min="5901" max="5901" width="8.140625" style="211" customWidth="1"/>
    <col min="5902" max="5902" width="6.7109375" style="211" customWidth="1"/>
    <col min="5903" max="5903" width="8.28515625" style="211" customWidth="1"/>
    <col min="5904" max="5904" width="7.28515625" style="211" customWidth="1"/>
    <col min="5905" max="5905" width="8.28515625" style="211" customWidth="1"/>
    <col min="5906" max="5906" width="7.7109375" style="211" customWidth="1"/>
    <col min="5907" max="6144" width="8.85546875" style="211"/>
    <col min="6145" max="6145" width="11.28515625" style="211" customWidth="1"/>
    <col min="6146" max="6146" width="10.42578125" style="211" customWidth="1"/>
    <col min="6147" max="6147" width="7.28515625" style="211" customWidth="1"/>
    <col min="6148" max="6149" width="7.42578125" style="211" customWidth="1"/>
    <col min="6150" max="6150" width="9.7109375" style="211" customWidth="1"/>
    <col min="6151" max="6151" width="8.140625" style="211" customWidth="1"/>
    <col min="6152" max="6152" width="7.140625" style="211" customWidth="1"/>
    <col min="6153" max="6153" width="9.140625" style="211" customWidth="1"/>
    <col min="6154" max="6154" width="7.7109375" style="211" customWidth="1"/>
    <col min="6155" max="6155" width="9.28515625" style="211" customWidth="1"/>
    <col min="6156" max="6156" width="6.28515625" style="211" customWidth="1"/>
    <col min="6157" max="6157" width="8.140625" style="211" customWidth="1"/>
    <col min="6158" max="6158" width="6.7109375" style="211" customWidth="1"/>
    <col min="6159" max="6159" width="8.28515625" style="211" customWidth="1"/>
    <col min="6160" max="6160" width="7.28515625" style="211" customWidth="1"/>
    <col min="6161" max="6161" width="8.28515625" style="211" customWidth="1"/>
    <col min="6162" max="6162" width="7.7109375" style="211" customWidth="1"/>
    <col min="6163" max="6400" width="8.85546875" style="211"/>
    <col min="6401" max="6401" width="11.28515625" style="211" customWidth="1"/>
    <col min="6402" max="6402" width="10.42578125" style="211" customWidth="1"/>
    <col min="6403" max="6403" width="7.28515625" style="211" customWidth="1"/>
    <col min="6404" max="6405" width="7.42578125" style="211" customWidth="1"/>
    <col min="6406" max="6406" width="9.7109375" style="211" customWidth="1"/>
    <col min="6407" max="6407" width="8.140625" style="211" customWidth="1"/>
    <col min="6408" max="6408" width="7.140625" style="211" customWidth="1"/>
    <col min="6409" max="6409" width="9.140625" style="211" customWidth="1"/>
    <col min="6410" max="6410" width="7.7109375" style="211" customWidth="1"/>
    <col min="6411" max="6411" width="9.28515625" style="211" customWidth="1"/>
    <col min="6412" max="6412" width="6.28515625" style="211" customWidth="1"/>
    <col min="6413" max="6413" width="8.140625" style="211" customWidth="1"/>
    <col min="6414" max="6414" width="6.7109375" style="211" customWidth="1"/>
    <col min="6415" max="6415" width="8.28515625" style="211" customWidth="1"/>
    <col min="6416" max="6416" width="7.28515625" style="211" customWidth="1"/>
    <col min="6417" max="6417" width="8.28515625" style="211" customWidth="1"/>
    <col min="6418" max="6418" width="7.7109375" style="211" customWidth="1"/>
    <col min="6419" max="6656" width="8.85546875" style="211"/>
    <col min="6657" max="6657" width="11.28515625" style="211" customWidth="1"/>
    <col min="6658" max="6658" width="10.42578125" style="211" customWidth="1"/>
    <col min="6659" max="6659" width="7.28515625" style="211" customWidth="1"/>
    <col min="6660" max="6661" width="7.42578125" style="211" customWidth="1"/>
    <col min="6662" max="6662" width="9.7109375" style="211" customWidth="1"/>
    <col min="6663" max="6663" width="8.140625" style="211" customWidth="1"/>
    <col min="6664" max="6664" width="7.140625" style="211" customWidth="1"/>
    <col min="6665" max="6665" width="9.140625" style="211" customWidth="1"/>
    <col min="6666" max="6666" width="7.7109375" style="211" customWidth="1"/>
    <col min="6667" max="6667" width="9.28515625" style="211" customWidth="1"/>
    <col min="6668" max="6668" width="6.28515625" style="211" customWidth="1"/>
    <col min="6669" max="6669" width="8.140625" style="211" customWidth="1"/>
    <col min="6670" max="6670" width="6.7109375" style="211" customWidth="1"/>
    <col min="6671" max="6671" width="8.28515625" style="211" customWidth="1"/>
    <col min="6672" max="6672" width="7.28515625" style="211" customWidth="1"/>
    <col min="6673" max="6673" width="8.28515625" style="211" customWidth="1"/>
    <col min="6674" max="6674" width="7.7109375" style="211" customWidth="1"/>
    <col min="6675" max="6912" width="8.85546875" style="211"/>
    <col min="6913" max="6913" width="11.28515625" style="211" customWidth="1"/>
    <col min="6914" max="6914" width="10.42578125" style="211" customWidth="1"/>
    <col min="6915" max="6915" width="7.28515625" style="211" customWidth="1"/>
    <col min="6916" max="6917" width="7.42578125" style="211" customWidth="1"/>
    <col min="6918" max="6918" width="9.7109375" style="211" customWidth="1"/>
    <col min="6919" max="6919" width="8.140625" style="211" customWidth="1"/>
    <col min="6920" max="6920" width="7.140625" style="211" customWidth="1"/>
    <col min="6921" max="6921" width="9.140625" style="211" customWidth="1"/>
    <col min="6922" max="6922" width="7.7109375" style="211" customWidth="1"/>
    <col min="6923" max="6923" width="9.28515625" style="211" customWidth="1"/>
    <col min="6924" max="6924" width="6.28515625" style="211" customWidth="1"/>
    <col min="6925" max="6925" width="8.140625" style="211" customWidth="1"/>
    <col min="6926" max="6926" width="6.7109375" style="211" customWidth="1"/>
    <col min="6927" max="6927" width="8.28515625" style="211" customWidth="1"/>
    <col min="6928" max="6928" width="7.28515625" style="211" customWidth="1"/>
    <col min="6929" max="6929" width="8.28515625" style="211" customWidth="1"/>
    <col min="6930" max="6930" width="7.7109375" style="211" customWidth="1"/>
    <col min="6931" max="7168" width="8.85546875" style="211"/>
    <col min="7169" max="7169" width="11.28515625" style="211" customWidth="1"/>
    <col min="7170" max="7170" width="10.42578125" style="211" customWidth="1"/>
    <col min="7171" max="7171" width="7.28515625" style="211" customWidth="1"/>
    <col min="7172" max="7173" width="7.42578125" style="211" customWidth="1"/>
    <col min="7174" max="7174" width="9.7109375" style="211" customWidth="1"/>
    <col min="7175" max="7175" width="8.140625" style="211" customWidth="1"/>
    <col min="7176" max="7176" width="7.140625" style="211" customWidth="1"/>
    <col min="7177" max="7177" width="9.140625" style="211" customWidth="1"/>
    <col min="7178" max="7178" width="7.7109375" style="211" customWidth="1"/>
    <col min="7179" max="7179" width="9.28515625" style="211" customWidth="1"/>
    <col min="7180" max="7180" width="6.28515625" style="211" customWidth="1"/>
    <col min="7181" max="7181" width="8.140625" style="211" customWidth="1"/>
    <col min="7182" max="7182" width="6.7109375" style="211" customWidth="1"/>
    <col min="7183" max="7183" width="8.28515625" style="211" customWidth="1"/>
    <col min="7184" max="7184" width="7.28515625" style="211" customWidth="1"/>
    <col min="7185" max="7185" width="8.28515625" style="211" customWidth="1"/>
    <col min="7186" max="7186" width="7.7109375" style="211" customWidth="1"/>
    <col min="7187" max="7424" width="8.85546875" style="211"/>
    <col min="7425" max="7425" width="11.28515625" style="211" customWidth="1"/>
    <col min="7426" max="7426" width="10.42578125" style="211" customWidth="1"/>
    <col min="7427" max="7427" width="7.28515625" style="211" customWidth="1"/>
    <col min="7428" max="7429" width="7.42578125" style="211" customWidth="1"/>
    <col min="7430" max="7430" width="9.7109375" style="211" customWidth="1"/>
    <col min="7431" max="7431" width="8.140625" style="211" customWidth="1"/>
    <col min="7432" max="7432" width="7.140625" style="211" customWidth="1"/>
    <col min="7433" max="7433" width="9.140625" style="211" customWidth="1"/>
    <col min="7434" max="7434" width="7.7109375" style="211" customWidth="1"/>
    <col min="7435" max="7435" width="9.28515625" style="211" customWidth="1"/>
    <col min="7436" max="7436" width="6.28515625" style="211" customWidth="1"/>
    <col min="7437" max="7437" width="8.140625" style="211" customWidth="1"/>
    <col min="7438" max="7438" width="6.7109375" style="211" customWidth="1"/>
    <col min="7439" max="7439" width="8.28515625" style="211" customWidth="1"/>
    <col min="7440" max="7440" width="7.28515625" style="211" customWidth="1"/>
    <col min="7441" max="7441" width="8.28515625" style="211" customWidth="1"/>
    <col min="7442" max="7442" width="7.7109375" style="211" customWidth="1"/>
    <col min="7443" max="7680" width="8.85546875" style="211"/>
    <col min="7681" max="7681" width="11.28515625" style="211" customWidth="1"/>
    <col min="7682" max="7682" width="10.42578125" style="211" customWidth="1"/>
    <col min="7683" max="7683" width="7.28515625" style="211" customWidth="1"/>
    <col min="7684" max="7685" width="7.42578125" style="211" customWidth="1"/>
    <col min="7686" max="7686" width="9.7109375" style="211" customWidth="1"/>
    <col min="7687" max="7687" width="8.140625" style="211" customWidth="1"/>
    <col min="7688" max="7688" width="7.140625" style="211" customWidth="1"/>
    <col min="7689" max="7689" width="9.140625" style="211" customWidth="1"/>
    <col min="7690" max="7690" width="7.7109375" style="211" customWidth="1"/>
    <col min="7691" max="7691" width="9.28515625" style="211" customWidth="1"/>
    <col min="7692" max="7692" width="6.28515625" style="211" customWidth="1"/>
    <col min="7693" max="7693" width="8.140625" style="211" customWidth="1"/>
    <col min="7694" max="7694" width="6.7109375" style="211" customWidth="1"/>
    <col min="7695" max="7695" width="8.28515625" style="211" customWidth="1"/>
    <col min="7696" max="7696" width="7.28515625" style="211" customWidth="1"/>
    <col min="7697" max="7697" width="8.28515625" style="211" customWidth="1"/>
    <col min="7698" max="7698" width="7.7109375" style="211" customWidth="1"/>
    <col min="7699" max="7936" width="8.85546875" style="211"/>
    <col min="7937" max="7937" width="11.28515625" style="211" customWidth="1"/>
    <col min="7938" max="7938" width="10.42578125" style="211" customWidth="1"/>
    <col min="7939" max="7939" width="7.28515625" style="211" customWidth="1"/>
    <col min="7940" max="7941" width="7.42578125" style="211" customWidth="1"/>
    <col min="7942" max="7942" width="9.7109375" style="211" customWidth="1"/>
    <col min="7943" max="7943" width="8.140625" style="211" customWidth="1"/>
    <col min="7944" max="7944" width="7.140625" style="211" customWidth="1"/>
    <col min="7945" max="7945" width="9.140625" style="211" customWidth="1"/>
    <col min="7946" max="7946" width="7.7109375" style="211" customWidth="1"/>
    <col min="7947" max="7947" width="9.28515625" style="211" customWidth="1"/>
    <col min="7948" max="7948" width="6.28515625" style="211" customWidth="1"/>
    <col min="7949" max="7949" width="8.140625" style="211" customWidth="1"/>
    <col min="7950" max="7950" width="6.7109375" style="211" customWidth="1"/>
    <col min="7951" max="7951" width="8.28515625" style="211" customWidth="1"/>
    <col min="7952" max="7952" width="7.28515625" style="211" customWidth="1"/>
    <col min="7953" max="7953" width="8.28515625" style="211" customWidth="1"/>
    <col min="7954" max="7954" width="7.7109375" style="211" customWidth="1"/>
    <col min="7955" max="8192" width="8.85546875" style="211"/>
    <col min="8193" max="8193" width="11.28515625" style="211" customWidth="1"/>
    <col min="8194" max="8194" width="10.42578125" style="211" customWidth="1"/>
    <col min="8195" max="8195" width="7.28515625" style="211" customWidth="1"/>
    <col min="8196" max="8197" width="7.42578125" style="211" customWidth="1"/>
    <col min="8198" max="8198" width="9.7109375" style="211" customWidth="1"/>
    <col min="8199" max="8199" width="8.140625" style="211" customWidth="1"/>
    <col min="8200" max="8200" width="7.140625" style="211" customWidth="1"/>
    <col min="8201" max="8201" width="9.140625" style="211" customWidth="1"/>
    <col min="8202" max="8202" width="7.7109375" style="211" customWidth="1"/>
    <col min="8203" max="8203" width="9.28515625" style="211" customWidth="1"/>
    <col min="8204" max="8204" width="6.28515625" style="211" customWidth="1"/>
    <col min="8205" max="8205" width="8.140625" style="211" customWidth="1"/>
    <col min="8206" max="8206" width="6.7109375" style="211" customWidth="1"/>
    <col min="8207" max="8207" width="8.28515625" style="211" customWidth="1"/>
    <col min="8208" max="8208" width="7.28515625" style="211" customWidth="1"/>
    <col min="8209" max="8209" width="8.28515625" style="211" customWidth="1"/>
    <col min="8210" max="8210" width="7.7109375" style="211" customWidth="1"/>
    <col min="8211" max="8448" width="8.85546875" style="211"/>
    <col min="8449" max="8449" width="11.28515625" style="211" customWidth="1"/>
    <col min="8450" max="8450" width="10.42578125" style="211" customWidth="1"/>
    <col min="8451" max="8451" width="7.28515625" style="211" customWidth="1"/>
    <col min="8452" max="8453" width="7.42578125" style="211" customWidth="1"/>
    <col min="8454" max="8454" width="9.7109375" style="211" customWidth="1"/>
    <col min="8455" max="8455" width="8.140625" style="211" customWidth="1"/>
    <col min="8456" max="8456" width="7.140625" style="211" customWidth="1"/>
    <col min="8457" max="8457" width="9.140625" style="211" customWidth="1"/>
    <col min="8458" max="8458" width="7.7109375" style="211" customWidth="1"/>
    <col min="8459" max="8459" width="9.28515625" style="211" customWidth="1"/>
    <col min="8460" max="8460" width="6.28515625" style="211" customWidth="1"/>
    <col min="8461" max="8461" width="8.140625" style="211" customWidth="1"/>
    <col min="8462" max="8462" width="6.7109375" style="211" customWidth="1"/>
    <col min="8463" max="8463" width="8.28515625" style="211" customWidth="1"/>
    <col min="8464" max="8464" width="7.28515625" style="211" customWidth="1"/>
    <col min="8465" max="8465" width="8.28515625" style="211" customWidth="1"/>
    <col min="8466" max="8466" width="7.7109375" style="211" customWidth="1"/>
    <col min="8467" max="8704" width="8.85546875" style="211"/>
    <col min="8705" max="8705" width="11.28515625" style="211" customWidth="1"/>
    <col min="8706" max="8706" width="10.42578125" style="211" customWidth="1"/>
    <col min="8707" max="8707" width="7.28515625" style="211" customWidth="1"/>
    <col min="8708" max="8709" width="7.42578125" style="211" customWidth="1"/>
    <col min="8710" max="8710" width="9.7109375" style="211" customWidth="1"/>
    <col min="8711" max="8711" width="8.140625" style="211" customWidth="1"/>
    <col min="8712" max="8712" width="7.140625" style="211" customWidth="1"/>
    <col min="8713" max="8713" width="9.140625" style="211" customWidth="1"/>
    <col min="8714" max="8714" width="7.7109375" style="211" customWidth="1"/>
    <col min="8715" max="8715" width="9.28515625" style="211" customWidth="1"/>
    <col min="8716" max="8716" width="6.28515625" style="211" customWidth="1"/>
    <col min="8717" max="8717" width="8.140625" style="211" customWidth="1"/>
    <col min="8718" max="8718" width="6.7109375" style="211" customWidth="1"/>
    <col min="8719" max="8719" width="8.28515625" style="211" customWidth="1"/>
    <col min="8720" max="8720" width="7.28515625" style="211" customWidth="1"/>
    <col min="8721" max="8721" width="8.28515625" style="211" customWidth="1"/>
    <col min="8722" max="8722" width="7.7109375" style="211" customWidth="1"/>
    <col min="8723" max="8960" width="8.85546875" style="211"/>
    <col min="8961" max="8961" width="11.28515625" style="211" customWidth="1"/>
    <col min="8962" max="8962" width="10.42578125" style="211" customWidth="1"/>
    <col min="8963" max="8963" width="7.28515625" style="211" customWidth="1"/>
    <col min="8964" max="8965" width="7.42578125" style="211" customWidth="1"/>
    <col min="8966" max="8966" width="9.7109375" style="211" customWidth="1"/>
    <col min="8967" max="8967" width="8.140625" style="211" customWidth="1"/>
    <col min="8968" max="8968" width="7.140625" style="211" customWidth="1"/>
    <col min="8969" max="8969" width="9.140625" style="211" customWidth="1"/>
    <col min="8970" max="8970" width="7.7109375" style="211" customWidth="1"/>
    <col min="8971" max="8971" width="9.28515625" style="211" customWidth="1"/>
    <col min="8972" max="8972" width="6.28515625" style="211" customWidth="1"/>
    <col min="8973" max="8973" width="8.140625" style="211" customWidth="1"/>
    <col min="8974" max="8974" width="6.7109375" style="211" customWidth="1"/>
    <col min="8975" max="8975" width="8.28515625" style="211" customWidth="1"/>
    <col min="8976" max="8976" width="7.28515625" style="211" customWidth="1"/>
    <col min="8977" max="8977" width="8.28515625" style="211" customWidth="1"/>
    <col min="8978" max="8978" width="7.7109375" style="211" customWidth="1"/>
    <col min="8979" max="9216" width="8.85546875" style="211"/>
    <col min="9217" max="9217" width="11.28515625" style="211" customWidth="1"/>
    <col min="9218" max="9218" width="10.42578125" style="211" customWidth="1"/>
    <col min="9219" max="9219" width="7.28515625" style="211" customWidth="1"/>
    <col min="9220" max="9221" width="7.42578125" style="211" customWidth="1"/>
    <col min="9222" max="9222" width="9.7109375" style="211" customWidth="1"/>
    <col min="9223" max="9223" width="8.140625" style="211" customWidth="1"/>
    <col min="9224" max="9224" width="7.140625" style="211" customWidth="1"/>
    <col min="9225" max="9225" width="9.140625" style="211" customWidth="1"/>
    <col min="9226" max="9226" width="7.7109375" style="211" customWidth="1"/>
    <col min="9227" max="9227" width="9.28515625" style="211" customWidth="1"/>
    <col min="9228" max="9228" width="6.28515625" style="211" customWidth="1"/>
    <col min="9229" max="9229" width="8.140625" style="211" customWidth="1"/>
    <col min="9230" max="9230" width="6.7109375" style="211" customWidth="1"/>
    <col min="9231" max="9231" width="8.28515625" style="211" customWidth="1"/>
    <col min="9232" max="9232" width="7.28515625" style="211" customWidth="1"/>
    <col min="9233" max="9233" width="8.28515625" style="211" customWidth="1"/>
    <col min="9234" max="9234" width="7.7109375" style="211" customWidth="1"/>
    <col min="9235" max="9472" width="8.85546875" style="211"/>
    <col min="9473" max="9473" width="11.28515625" style="211" customWidth="1"/>
    <col min="9474" max="9474" width="10.42578125" style="211" customWidth="1"/>
    <col min="9475" max="9475" width="7.28515625" style="211" customWidth="1"/>
    <col min="9476" max="9477" width="7.42578125" style="211" customWidth="1"/>
    <col min="9478" max="9478" width="9.7109375" style="211" customWidth="1"/>
    <col min="9479" max="9479" width="8.140625" style="211" customWidth="1"/>
    <col min="9480" max="9480" width="7.140625" style="211" customWidth="1"/>
    <col min="9481" max="9481" width="9.140625" style="211" customWidth="1"/>
    <col min="9482" max="9482" width="7.7109375" style="211" customWidth="1"/>
    <col min="9483" max="9483" width="9.28515625" style="211" customWidth="1"/>
    <col min="9484" max="9484" width="6.28515625" style="211" customWidth="1"/>
    <col min="9485" max="9485" width="8.140625" style="211" customWidth="1"/>
    <col min="9486" max="9486" width="6.7109375" style="211" customWidth="1"/>
    <col min="9487" max="9487" width="8.28515625" style="211" customWidth="1"/>
    <col min="9488" max="9488" width="7.28515625" style="211" customWidth="1"/>
    <col min="9489" max="9489" width="8.28515625" style="211" customWidth="1"/>
    <col min="9490" max="9490" width="7.7109375" style="211" customWidth="1"/>
    <col min="9491" max="9728" width="8.85546875" style="211"/>
    <col min="9729" max="9729" width="11.28515625" style="211" customWidth="1"/>
    <col min="9730" max="9730" width="10.42578125" style="211" customWidth="1"/>
    <col min="9731" max="9731" width="7.28515625" style="211" customWidth="1"/>
    <col min="9732" max="9733" width="7.42578125" style="211" customWidth="1"/>
    <col min="9734" max="9734" width="9.7109375" style="211" customWidth="1"/>
    <col min="9735" max="9735" width="8.140625" style="211" customWidth="1"/>
    <col min="9736" max="9736" width="7.140625" style="211" customWidth="1"/>
    <col min="9737" max="9737" width="9.140625" style="211" customWidth="1"/>
    <col min="9738" max="9738" width="7.7109375" style="211" customWidth="1"/>
    <col min="9739" max="9739" width="9.28515625" style="211" customWidth="1"/>
    <col min="9740" max="9740" width="6.28515625" style="211" customWidth="1"/>
    <col min="9741" max="9741" width="8.140625" style="211" customWidth="1"/>
    <col min="9742" max="9742" width="6.7109375" style="211" customWidth="1"/>
    <col min="9743" max="9743" width="8.28515625" style="211" customWidth="1"/>
    <col min="9744" max="9744" width="7.28515625" style="211" customWidth="1"/>
    <col min="9745" max="9745" width="8.28515625" style="211" customWidth="1"/>
    <col min="9746" max="9746" width="7.7109375" style="211" customWidth="1"/>
    <col min="9747" max="9984" width="8.85546875" style="211"/>
    <col min="9985" max="9985" width="11.28515625" style="211" customWidth="1"/>
    <col min="9986" max="9986" width="10.42578125" style="211" customWidth="1"/>
    <col min="9987" max="9987" width="7.28515625" style="211" customWidth="1"/>
    <col min="9988" max="9989" width="7.42578125" style="211" customWidth="1"/>
    <col min="9990" max="9990" width="9.7109375" style="211" customWidth="1"/>
    <col min="9991" max="9991" width="8.140625" style="211" customWidth="1"/>
    <col min="9992" max="9992" width="7.140625" style="211" customWidth="1"/>
    <col min="9993" max="9993" width="9.140625" style="211" customWidth="1"/>
    <col min="9994" max="9994" width="7.7109375" style="211" customWidth="1"/>
    <col min="9995" max="9995" width="9.28515625" style="211" customWidth="1"/>
    <col min="9996" max="9996" width="6.28515625" style="211" customWidth="1"/>
    <col min="9997" max="9997" width="8.140625" style="211" customWidth="1"/>
    <col min="9998" max="9998" width="6.7109375" style="211" customWidth="1"/>
    <col min="9999" max="9999" width="8.28515625" style="211" customWidth="1"/>
    <col min="10000" max="10000" width="7.28515625" style="211" customWidth="1"/>
    <col min="10001" max="10001" width="8.28515625" style="211" customWidth="1"/>
    <col min="10002" max="10002" width="7.7109375" style="211" customWidth="1"/>
    <col min="10003" max="10240" width="8.85546875" style="211"/>
    <col min="10241" max="10241" width="11.28515625" style="211" customWidth="1"/>
    <col min="10242" max="10242" width="10.42578125" style="211" customWidth="1"/>
    <col min="10243" max="10243" width="7.28515625" style="211" customWidth="1"/>
    <col min="10244" max="10245" width="7.42578125" style="211" customWidth="1"/>
    <col min="10246" max="10246" width="9.7109375" style="211" customWidth="1"/>
    <col min="10247" max="10247" width="8.140625" style="211" customWidth="1"/>
    <col min="10248" max="10248" width="7.140625" style="211" customWidth="1"/>
    <col min="10249" max="10249" width="9.140625" style="211" customWidth="1"/>
    <col min="10250" max="10250" width="7.7109375" style="211" customWidth="1"/>
    <col min="10251" max="10251" width="9.28515625" style="211" customWidth="1"/>
    <col min="10252" max="10252" width="6.28515625" style="211" customWidth="1"/>
    <col min="10253" max="10253" width="8.140625" style="211" customWidth="1"/>
    <col min="10254" max="10254" width="6.7109375" style="211" customWidth="1"/>
    <col min="10255" max="10255" width="8.28515625" style="211" customWidth="1"/>
    <col min="10256" max="10256" width="7.28515625" style="211" customWidth="1"/>
    <col min="10257" max="10257" width="8.28515625" style="211" customWidth="1"/>
    <col min="10258" max="10258" width="7.7109375" style="211" customWidth="1"/>
    <col min="10259" max="10496" width="8.85546875" style="211"/>
    <col min="10497" max="10497" width="11.28515625" style="211" customWidth="1"/>
    <col min="10498" max="10498" width="10.42578125" style="211" customWidth="1"/>
    <col min="10499" max="10499" width="7.28515625" style="211" customWidth="1"/>
    <col min="10500" max="10501" width="7.42578125" style="211" customWidth="1"/>
    <col min="10502" max="10502" width="9.7109375" style="211" customWidth="1"/>
    <col min="10503" max="10503" width="8.140625" style="211" customWidth="1"/>
    <col min="10504" max="10504" width="7.140625" style="211" customWidth="1"/>
    <col min="10505" max="10505" width="9.140625" style="211" customWidth="1"/>
    <col min="10506" max="10506" width="7.7109375" style="211" customWidth="1"/>
    <col min="10507" max="10507" width="9.28515625" style="211" customWidth="1"/>
    <col min="10508" max="10508" width="6.28515625" style="211" customWidth="1"/>
    <col min="10509" max="10509" width="8.140625" style="211" customWidth="1"/>
    <col min="10510" max="10510" width="6.7109375" style="211" customWidth="1"/>
    <col min="10511" max="10511" width="8.28515625" style="211" customWidth="1"/>
    <col min="10512" max="10512" width="7.28515625" style="211" customWidth="1"/>
    <col min="10513" max="10513" width="8.28515625" style="211" customWidth="1"/>
    <col min="10514" max="10514" width="7.7109375" style="211" customWidth="1"/>
    <col min="10515" max="10752" width="8.85546875" style="211"/>
    <col min="10753" max="10753" width="11.28515625" style="211" customWidth="1"/>
    <col min="10754" max="10754" width="10.42578125" style="211" customWidth="1"/>
    <col min="10755" max="10755" width="7.28515625" style="211" customWidth="1"/>
    <col min="10756" max="10757" width="7.42578125" style="211" customWidth="1"/>
    <col min="10758" max="10758" width="9.7109375" style="211" customWidth="1"/>
    <col min="10759" max="10759" width="8.140625" style="211" customWidth="1"/>
    <col min="10760" max="10760" width="7.140625" style="211" customWidth="1"/>
    <col min="10761" max="10761" width="9.140625" style="211" customWidth="1"/>
    <col min="10762" max="10762" width="7.7109375" style="211" customWidth="1"/>
    <col min="10763" max="10763" width="9.28515625" style="211" customWidth="1"/>
    <col min="10764" max="10764" width="6.28515625" style="211" customWidth="1"/>
    <col min="10765" max="10765" width="8.140625" style="211" customWidth="1"/>
    <col min="10766" max="10766" width="6.7109375" style="211" customWidth="1"/>
    <col min="10767" max="10767" width="8.28515625" style="211" customWidth="1"/>
    <col min="10768" max="10768" width="7.28515625" style="211" customWidth="1"/>
    <col min="10769" max="10769" width="8.28515625" style="211" customWidth="1"/>
    <col min="10770" max="10770" width="7.7109375" style="211" customWidth="1"/>
    <col min="10771" max="11008" width="8.85546875" style="211"/>
    <col min="11009" max="11009" width="11.28515625" style="211" customWidth="1"/>
    <col min="11010" max="11010" width="10.42578125" style="211" customWidth="1"/>
    <col min="11011" max="11011" width="7.28515625" style="211" customWidth="1"/>
    <col min="11012" max="11013" width="7.42578125" style="211" customWidth="1"/>
    <col min="11014" max="11014" width="9.7109375" style="211" customWidth="1"/>
    <col min="11015" max="11015" width="8.140625" style="211" customWidth="1"/>
    <col min="11016" max="11016" width="7.140625" style="211" customWidth="1"/>
    <col min="11017" max="11017" width="9.140625" style="211" customWidth="1"/>
    <col min="11018" max="11018" width="7.7109375" style="211" customWidth="1"/>
    <col min="11019" max="11019" width="9.28515625" style="211" customWidth="1"/>
    <col min="11020" max="11020" width="6.28515625" style="211" customWidth="1"/>
    <col min="11021" max="11021" width="8.140625" style="211" customWidth="1"/>
    <col min="11022" max="11022" width="6.7109375" style="211" customWidth="1"/>
    <col min="11023" max="11023" width="8.28515625" style="211" customWidth="1"/>
    <col min="11024" max="11024" width="7.28515625" style="211" customWidth="1"/>
    <col min="11025" max="11025" width="8.28515625" style="211" customWidth="1"/>
    <col min="11026" max="11026" width="7.7109375" style="211" customWidth="1"/>
    <col min="11027" max="11264" width="8.85546875" style="211"/>
    <col min="11265" max="11265" width="11.28515625" style="211" customWidth="1"/>
    <col min="11266" max="11266" width="10.42578125" style="211" customWidth="1"/>
    <col min="11267" max="11267" width="7.28515625" style="211" customWidth="1"/>
    <col min="11268" max="11269" width="7.42578125" style="211" customWidth="1"/>
    <col min="11270" max="11270" width="9.7109375" style="211" customWidth="1"/>
    <col min="11271" max="11271" width="8.140625" style="211" customWidth="1"/>
    <col min="11272" max="11272" width="7.140625" style="211" customWidth="1"/>
    <col min="11273" max="11273" width="9.140625" style="211" customWidth="1"/>
    <col min="11274" max="11274" width="7.7109375" style="211" customWidth="1"/>
    <col min="11275" max="11275" width="9.28515625" style="211" customWidth="1"/>
    <col min="11276" max="11276" width="6.28515625" style="211" customWidth="1"/>
    <col min="11277" max="11277" width="8.140625" style="211" customWidth="1"/>
    <col min="11278" max="11278" width="6.7109375" style="211" customWidth="1"/>
    <col min="11279" max="11279" width="8.28515625" style="211" customWidth="1"/>
    <col min="11280" max="11280" width="7.28515625" style="211" customWidth="1"/>
    <col min="11281" max="11281" width="8.28515625" style="211" customWidth="1"/>
    <col min="11282" max="11282" width="7.7109375" style="211" customWidth="1"/>
    <col min="11283" max="11520" width="8.85546875" style="211"/>
    <col min="11521" max="11521" width="11.28515625" style="211" customWidth="1"/>
    <col min="11522" max="11522" width="10.42578125" style="211" customWidth="1"/>
    <col min="11523" max="11523" width="7.28515625" style="211" customWidth="1"/>
    <col min="11524" max="11525" width="7.42578125" style="211" customWidth="1"/>
    <col min="11526" max="11526" width="9.7109375" style="211" customWidth="1"/>
    <col min="11527" max="11527" width="8.140625" style="211" customWidth="1"/>
    <col min="11528" max="11528" width="7.140625" style="211" customWidth="1"/>
    <col min="11529" max="11529" width="9.140625" style="211" customWidth="1"/>
    <col min="11530" max="11530" width="7.7109375" style="211" customWidth="1"/>
    <col min="11531" max="11531" width="9.28515625" style="211" customWidth="1"/>
    <col min="11532" max="11532" width="6.28515625" style="211" customWidth="1"/>
    <col min="11533" max="11533" width="8.140625" style="211" customWidth="1"/>
    <col min="11534" max="11534" width="6.7109375" style="211" customWidth="1"/>
    <col min="11535" max="11535" width="8.28515625" style="211" customWidth="1"/>
    <col min="11536" max="11536" width="7.28515625" style="211" customWidth="1"/>
    <col min="11537" max="11537" width="8.28515625" style="211" customWidth="1"/>
    <col min="11538" max="11538" width="7.7109375" style="211" customWidth="1"/>
    <col min="11539" max="11776" width="8.85546875" style="211"/>
    <col min="11777" max="11777" width="11.28515625" style="211" customWidth="1"/>
    <col min="11778" max="11778" width="10.42578125" style="211" customWidth="1"/>
    <col min="11779" max="11779" width="7.28515625" style="211" customWidth="1"/>
    <col min="11780" max="11781" width="7.42578125" style="211" customWidth="1"/>
    <col min="11782" max="11782" width="9.7109375" style="211" customWidth="1"/>
    <col min="11783" max="11783" width="8.140625" style="211" customWidth="1"/>
    <col min="11784" max="11784" width="7.140625" style="211" customWidth="1"/>
    <col min="11785" max="11785" width="9.140625" style="211" customWidth="1"/>
    <col min="11786" max="11786" width="7.7109375" style="211" customWidth="1"/>
    <col min="11787" max="11787" width="9.28515625" style="211" customWidth="1"/>
    <col min="11788" max="11788" width="6.28515625" style="211" customWidth="1"/>
    <col min="11789" max="11789" width="8.140625" style="211" customWidth="1"/>
    <col min="11790" max="11790" width="6.7109375" style="211" customWidth="1"/>
    <col min="11791" max="11791" width="8.28515625" style="211" customWidth="1"/>
    <col min="11792" max="11792" width="7.28515625" style="211" customWidth="1"/>
    <col min="11793" max="11793" width="8.28515625" style="211" customWidth="1"/>
    <col min="11794" max="11794" width="7.7109375" style="211" customWidth="1"/>
    <col min="11795" max="12032" width="8.85546875" style="211"/>
    <col min="12033" max="12033" width="11.28515625" style="211" customWidth="1"/>
    <col min="12034" max="12034" width="10.42578125" style="211" customWidth="1"/>
    <col min="12035" max="12035" width="7.28515625" style="211" customWidth="1"/>
    <col min="12036" max="12037" width="7.42578125" style="211" customWidth="1"/>
    <col min="12038" max="12038" width="9.7109375" style="211" customWidth="1"/>
    <col min="12039" max="12039" width="8.140625" style="211" customWidth="1"/>
    <col min="12040" max="12040" width="7.140625" style="211" customWidth="1"/>
    <col min="12041" max="12041" width="9.140625" style="211" customWidth="1"/>
    <col min="12042" max="12042" width="7.7109375" style="211" customWidth="1"/>
    <col min="12043" max="12043" width="9.28515625" style="211" customWidth="1"/>
    <col min="12044" max="12044" width="6.28515625" style="211" customWidth="1"/>
    <col min="12045" max="12045" width="8.140625" style="211" customWidth="1"/>
    <col min="12046" max="12046" width="6.7109375" style="211" customWidth="1"/>
    <col min="12047" max="12047" width="8.28515625" style="211" customWidth="1"/>
    <col min="12048" max="12048" width="7.28515625" style="211" customWidth="1"/>
    <col min="12049" max="12049" width="8.28515625" style="211" customWidth="1"/>
    <col min="12050" max="12050" width="7.7109375" style="211" customWidth="1"/>
    <col min="12051" max="12288" width="8.85546875" style="211"/>
    <col min="12289" max="12289" width="11.28515625" style="211" customWidth="1"/>
    <col min="12290" max="12290" width="10.42578125" style="211" customWidth="1"/>
    <col min="12291" max="12291" width="7.28515625" style="211" customWidth="1"/>
    <col min="12292" max="12293" width="7.42578125" style="211" customWidth="1"/>
    <col min="12294" max="12294" width="9.7109375" style="211" customWidth="1"/>
    <col min="12295" max="12295" width="8.140625" style="211" customWidth="1"/>
    <col min="12296" max="12296" width="7.140625" style="211" customWidth="1"/>
    <col min="12297" max="12297" width="9.140625" style="211" customWidth="1"/>
    <col min="12298" max="12298" width="7.7109375" style="211" customWidth="1"/>
    <col min="12299" max="12299" width="9.28515625" style="211" customWidth="1"/>
    <col min="12300" max="12300" width="6.28515625" style="211" customWidth="1"/>
    <col min="12301" max="12301" width="8.140625" style="211" customWidth="1"/>
    <col min="12302" max="12302" width="6.7109375" style="211" customWidth="1"/>
    <col min="12303" max="12303" width="8.28515625" style="211" customWidth="1"/>
    <col min="12304" max="12304" width="7.28515625" style="211" customWidth="1"/>
    <col min="12305" max="12305" width="8.28515625" style="211" customWidth="1"/>
    <col min="12306" max="12306" width="7.7109375" style="211" customWidth="1"/>
    <col min="12307" max="12544" width="8.85546875" style="211"/>
    <col min="12545" max="12545" width="11.28515625" style="211" customWidth="1"/>
    <col min="12546" max="12546" width="10.42578125" style="211" customWidth="1"/>
    <col min="12547" max="12547" width="7.28515625" style="211" customWidth="1"/>
    <col min="12548" max="12549" width="7.42578125" style="211" customWidth="1"/>
    <col min="12550" max="12550" width="9.7109375" style="211" customWidth="1"/>
    <col min="12551" max="12551" width="8.140625" style="211" customWidth="1"/>
    <col min="12552" max="12552" width="7.140625" style="211" customWidth="1"/>
    <col min="12553" max="12553" width="9.140625" style="211" customWidth="1"/>
    <col min="12554" max="12554" width="7.7109375" style="211" customWidth="1"/>
    <col min="12555" max="12555" width="9.28515625" style="211" customWidth="1"/>
    <col min="12556" max="12556" width="6.28515625" style="211" customWidth="1"/>
    <col min="12557" max="12557" width="8.140625" style="211" customWidth="1"/>
    <col min="12558" max="12558" width="6.7109375" style="211" customWidth="1"/>
    <col min="12559" max="12559" width="8.28515625" style="211" customWidth="1"/>
    <col min="12560" max="12560" width="7.28515625" style="211" customWidth="1"/>
    <col min="12561" max="12561" width="8.28515625" style="211" customWidth="1"/>
    <col min="12562" max="12562" width="7.7109375" style="211" customWidth="1"/>
    <col min="12563" max="12800" width="8.85546875" style="211"/>
    <col min="12801" max="12801" width="11.28515625" style="211" customWidth="1"/>
    <col min="12802" max="12802" width="10.42578125" style="211" customWidth="1"/>
    <col min="12803" max="12803" width="7.28515625" style="211" customWidth="1"/>
    <col min="12804" max="12805" width="7.42578125" style="211" customWidth="1"/>
    <col min="12806" max="12806" width="9.7109375" style="211" customWidth="1"/>
    <col min="12807" max="12807" width="8.140625" style="211" customWidth="1"/>
    <col min="12808" max="12808" width="7.140625" style="211" customWidth="1"/>
    <col min="12809" max="12809" width="9.140625" style="211" customWidth="1"/>
    <col min="12810" max="12810" width="7.7109375" style="211" customWidth="1"/>
    <col min="12811" max="12811" width="9.28515625" style="211" customWidth="1"/>
    <col min="12812" max="12812" width="6.28515625" style="211" customWidth="1"/>
    <col min="12813" max="12813" width="8.140625" style="211" customWidth="1"/>
    <col min="12814" max="12814" width="6.7109375" style="211" customWidth="1"/>
    <col min="12815" max="12815" width="8.28515625" style="211" customWidth="1"/>
    <col min="12816" max="12816" width="7.28515625" style="211" customWidth="1"/>
    <col min="12817" max="12817" width="8.28515625" style="211" customWidth="1"/>
    <col min="12818" max="12818" width="7.7109375" style="211" customWidth="1"/>
    <col min="12819" max="13056" width="8.85546875" style="211"/>
    <col min="13057" max="13057" width="11.28515625" style="211" customWidth="1"/>
    <col min="13058" max="13058" width="10.42578125" style="211" customWidth="1"/>
    <col min="13059" max="13059" width="7.28515625" style="211" customWidth="1"/>
    <col min="13060" max="13061" width="7.42578125" style="211" customWidth="1"/>
    <col min="13062" max="13062" width="9.7109375" style="211" customWidth="1"/>
    <col min="13063" max="13063" width="8.140625" style="211" customWidth="1"/>
    <col min="13064" max="13064" width="7.140625" style="211" customWidth="1"/>
    <col min="13065" max="13065" width="9.140625" style="211" customWidth="1"/>
    <col min="13066" max="13066" width="7.7109375" style="211" customWidth="1"/>
    <col min="13067" max="13067" width="9.28515625" style="211" customWidth="1"/>
    <col min="13068" max="13068" width="6.28515625" style="211" customWidth="1"/>
    <col min="13069" max="13069" width="8.140625" style="211" customWidth="1"/>
    <col min="13070" max="13070" width="6.7109375" style="211" customWidth="1"/>
    <col min="13071" max="13071" width="8.28515625" style="211" customWidth="1"/>
    <col min="13072" max="13072" width="7.28515625" style="211" customWidth="1"/>
    <col min="13073" max="13073" width="8.28515625" style="211" customWidth="1"/>
    <col min="13074" max="13074" width="7.7109375" style="211" customWidth="1"/>
    <col min="13075" max="13312" width="8.85546875" style="211"/>
    <col min="13313" max="13313" width="11.28515625" style="211" customWidth="1"/>
    <col min="13314" max="13314" width="10.42578125" style="211" customWidth="1"/>
    <col min="13315" max="13315" width="7.28515625" style="211" customWidth="1"/>
    <col min="13316" max="13317" width="7.42578125" style="211" customWidth="1"/>
    <col min="13318" max="13318" width="9.7109375" style="211" customWidth="1"/>
    <col min="13319" max="13319" width="8.140625" style="211" customWidth="1"/>
    <col min="13320" max="13320" width="7.140625" style="211" customWidth="1"/>
    <col min="13321" max="13321" width="9.140625" style="211" customWidth="1"/>
    <col min="13322" max="13322" width="7.7109375" style="211" customWidth="1"/>
    <col min="13323" max="13323" width="9.28515625" style="211" customWidth="1"/>
    <col min="13324" max="13324" width="6.28515625" style="211" customWidth="1"/>
    <col min="13325" max="13325" width="8.140625" style="211" customWidth="1"/>
    <col min="13326" max="13326" width="6.7109375" style="211" customWidth="1"/>
    <col min="13327" max="13327" width="8.28515625" style="211" customWidth="1"/>
    <col min="13328" max="13328" width="7.28515625" style="211" customWidth="1"/>
    <col min="13329" max="13329" width="8.28515625" style="211" customWidth="1"/>
    <col min="13330" max="13330" width="7.7109375" style="211" customWidth="1"/>
    <col min="13331" max="13568" width="8.85546875" style="211"/>
    <col min="13569" max="13569" width="11.28515625" style="211" customWidth="1"/>
    <col min="13570" max="13570" width="10.42578125" style="211" customWidth="1"/>
    <col min="13571" max="13571" width="7.28515625" style="211" customWidth="1"/>
    <col min="13572" max="13573" width="7.42578125" style="211" customWidth="1"/>
    <col min="13574" max="13574" width="9.7109375" style="211" customWidth="1"/>
    <col min="13575" max="13575" width="8.140625" style="211" customWidth="1"/>
    <col min="13576" max="13576" width="7.140625" style="211" customWidth="1"/>
    <col min="13577" max="13577" width="9.140625" style="211" customWidth="1"/>
    <col min="13578" max="13578" width="7.7109375" style="211" customWidth="1"/>
    <col min="13579" max="13579" width="9.28515625" style="211" customWidth="1"/>
    <col min="13580" max="13580" width="6.28515625" style="211" customWidth="1"/>
    <col min="13581" max="13581" width="8.140625" style="211" customWidth="1"/>
    <col min="13582" max="13582" width="6.7109375" style="211" customWidth="1"/>
    <col min="13583" max="13583" width="8.28515625" style="211" customWidth="1"/>
    <col min="13584" max="13584" width="7.28515625" style="211" customWidth="1"/>
    <col min="13585" max="13585" width="8.28515625" style="211" customWidth="1"/>
    <col min="13586" max="13586" width="7.7109375" style="211" customWidth="1"/>
    <col min="13587" max="13824" width="8.85546875" style="211"/>
    <col min="13825" max="13825" width="11.28515625" style="211" customWidth="1"/>
    <col min="13826" max="13826" width="10.42578125" style="211" customWidth="1"/>
    <col min="13827" max="13827" width="7.28515625" style="211" customWidth="1"/>
    <col min="13828" max="13829" width="7.42578125" style="211" customWidth="1"/>
    <col min="13830" max="13830" width="9.7109375" style="211" customWidth="1"/>
    <col min="13831" max="13831" width="8.140625" style="211" customWidth="1"/>
    <col min="13832" max="13832" width="7.140625" style="211" customWidth="1"/>
    <col min="13833" max="13833" width="9.140625" style="211" customWidth="1"/>
    <col min="13834" max="13834" width="7.7109375" style="211" customWidth="1"/>
    <col min="13835" max="13835" width="9.28515625" style="211" customWidth="1"/>
    <col min="13836" max="13836" width="6.28515625" style="211" customWidth="1"/>
    <col min="13837" max="13837" width="8.140625" style="211" customWidth="1"/>
    <col min="13838" max="13838" width="6.7109375" style="211" customWidth="1"/>
    <col min="13839" max="13839" width="8.28515625" style="211" customWidth="1"/>
    <col min="13840" max="13840" width="7.28515625" style="211" customWidth="1"/>
    <col min="13841" max="13841" width="8.28515625" style="211" customWidth="1"/>
    <col min="13842" max="13842" width="7.7109375" style="211" customWidth="1"/>
    <col min="13843" max="14080" width="8.85546875" style="211"/>
    <col min="14081" max="14081" width="11.28515625" style="211" customWidth="1"/>
    <col min="14082" max="14082" width="10.42578125" style="211" customWidth="1"/>
    <col min="14083" max="14083" width="7.28515625" style="211" customWidth="1"/>
    <col min="14084" max="14085" width="7.42578125" style="211" customWidth="1"/>
    <col min="14086" max="14086" width="9.7109375" style="211" customWidth="1"/>
    <col min="14087" max="14087" width="8.140625" style="211" customWidth="1"/>
    <col min="14088" max="14088" width="7.140625" style="211" customWidth="1"/>
    <col min="14089" max="14089" width="9.140625" style="211" customWidth="1"/>
    <col min="14090" max="14090" width="7.7109375" style="211" customWidth="1"/>
    <col min="14091" max="14091" width="9.28515625" style="211" customWidth="1"/>
    <col min="14092" max="14092" width="6.28515625" style="211" customWidth="1"/>
    <col min="14093" max="14093" width="8.140625" style="211" customWidth="1"/>
    <col min="14094" max="14094" width="6.7109375" style="211" customWidth="1"/>
    <col min="14095" max="14095" width="8.28515625" style="211" customWidth="1"/>
    <col min="14096" max="14096" width="7.28515625" style="211" customWidth="1"/>
    <col min="14097" max="14097" width="8.28515625" style="211" customWidth="1"/>
    <col min="14098" max="14098" width="7.7109375" style="211" customWidth="1"/>
    <col min="14099" max="14336" width="8.85546875" style="211"/>
    <col min="14337" max="14337" width="11.28515625" style="211" customWidth="1"/>
    <col min="14338" max="14338" width="10.42578125" style="211" customWidth="1"/>
    <col min="14339" max="14339" width="7.28515625" style="211" customWidth="1"/>
    <col min="14340" max="14341" width="7.42578125" style="211" customWidth="1"/>
    <col min="14342" max="14342" width="9.7109375" style="211" customWidth="1"/>
    <col min="14343" max="14343" width="8.140625" style="211" customWidth="1"/>
    <col min="14344" max="14344" width="7.140625" style="211" customWidth="1"/>
    <col min="14345" max="14345" width="9.140625" style="211" customWidth="1"/>
    <col min="14346" max="14346" width="7.7109375" style="211" customWidth="1"/>
    <col min="14347" max="14347" width="9.28515625" style="211" customWidth="1"/>
    <col min="14348" max="14348" width="6.28515625" style="211" customWidth="1"/>
    <col min="14349" max="14349" width="8.140625" style="211" customWidth="1"/>
    <col min="14350" max="14350" width="6.7109375" style="211" customWidth="1"/>
    <col min="14351" max="14351" width="8.28515625" style="211" customWidth="1"/>
    <col min="14352" max="14352" width="7.28515625" style="211" customWidth="1"/>
    <col min="14353" max="14353" width="8.28515625" style="211" customWidth="1"/>
    <col min="14354" max="14354" width="7.7109375" style="211" customWidth="1"/>
    <col min="14355" max="14592" width="8.85546875" style="211"/>
    <col min="14593" max="14593" width="11.28515625" style="211" customWidth="1"/>
    <col min="14594" max="14594" width="10.42578125" style="211" customWidth="1"/>
    <col min="14595" max="14595" width="7.28515625" style="211" customWidth="1"/>
    <col min="14596" max="14597" width="7.42578125" style="211" customWidth="1"/>
    <col min="14598" max="14598" width="9.7109375" style="211" customWidth="1"/>
    <col min="14599" max="14599" width="8.140625" style="211" customWidth="1"/>
    <col min="14600" max="14600" width="7.140625" style="211" customWidth="1"/>
    <col min="14601" max="14601" width="9.140625" style="211" customWidth="1"/>
    <col min="14602" max="14602" width="7.7109375" style="211" customWidth="1"/>
    <col min="14603" max="14603" width="9.28515625" style="211" customWidth="1"/>
    <col min="14604" max="14604" width="6.28515625" style="211" customWidth="1"/>
    <col min="14605" max="14605" width="8.140625" style="211" customWidth="1"/>
    <col min="14606" max="14606" width="6.7109375" style="211" customWidth="1"/>
    <col min="14607" max="14607" width="8.28515625" style="211" customWidth="1"/>
    <col min="14608" max="14608" width="7.28515625" style="211" customWidth="1"/>
    <col min="14609" max="14609" width="8.28515625" style="211" customWidth="1"/>
    <col min="14610" max="14610" width="7.7109375" style="211" customWidth="1"/>
    <col min="14611" max="14848" width="8.85546875" style="211"/>
    <col min="14849" max="14849" width="11.28515625" style="211" customWidth="1"/>
    <col min="14850" max="14850" width="10.42578125" style="211" customWidth="1"/>
    <col min="14851" max="14851" width="7.28515625" style="211" customWidth="1"/>
    <col min="14852" max="14853" width="7.42578125" style="211" customWidth="1"/>
    <col min="14854" max="14854" width="9.7109375" style="211" customWidth="1"/>
    <col min="14855" max="14855" width="8.140625" style="211" customWidth="1"/>
    <col min="14856" max="14856" width="7.140625" style="211" customWidth="1"/>
    <col min="14857" max="14857" width="9.140625" style="211" customWidth="1"/>
    <col min="14858" max="14858" width="7.7109375" style="211" customWidth="1"/>
    <col min="14859" max="14859" width="9.28515625" style="211" customWidth="1"/>
    <col min="14860" max="14860" width="6.28515625" style="211" customWidth="1"/>
    <col min="14861" max="14861" width="8.140625" style="211" customWidth="1"/>
    <col min="14862" max="14862" width="6.7109375" style="211" customWidth="1"/>
    <col min="14863" max="14863" width="8.28515625" style="211" customWidth="1"/>
    <col min="14864" max="14864" width="7.28515625" style="211" customWidth="1"/>
    <col min="14865" max="14865" width="8.28515625" style="211" customWidth="1"/>
    <col min="14866" max="14866" width="7.7109375" style="211" customWidth="1"/>
    <col min="14867" max="15104" width="8.85546875" style="211"/>
    <col min="15105" max="15105" width="11.28515625" style="211" customWidth="1"/>
    <col min="15106" max="15106" width="10.42578125" style="211" customWidth="1"/>
    <col min="15107" max="15107" width="7.28515625" style="211" customWidth="1"/>
    <col min="15108" max="15109" width="7.42578125" style="211" customWidth="1"/>
    <col min="15110" max="15110" width="9.7109375" style="211" customWidth="1"/>
    <col min="15111" max="15111" width="8.140625" style="211" customWidth="1"/>
    <col min="15112" max="15112" width="7.140625" style="211" customWidth="1"/>
    <col min="15113" max="15113" width="9.140625" style="211" customWidth="1"/>
    <col min="15114" max="15114" width="7.7109375" style="211" customWidth="1"/>
    <col min="15115" max="15115" width="9.28515625" style="211" customWidth="1"/>
    <col min="15116" max="15116" width="6.28515625" style="211" customWidth="1"/>
    <col min="15117" max="15117" width="8.140625" style="211" customWidth="1"/>
    <col min="15118" max="15118" width="6.7109375" style="211" customWidth="1"/>
    <col min="15119" max="15119" width="8.28515625" style="211" customWidth="1"/>
    <col min="15120" max="15120" width="7.28515625" style="211" customWidth="1"/>
    <col min="15121" max="15121" width="8.28515625" style="211" customWidth="1"/>
    <col min="15122" max="15122" width="7.7109375" style="211" customWidth="1"/>
    <col min="15123" max="15360" width="8.85546875" style="211"/>
    <col min="15361" max="15361" width="11.28515625" style="211" customWidth="1"/>
    <col min="15362" max="15362" width="10.42578125" style="211" customWidth="1"/>
    <col min="15363" max="15363" width="7.28515625" style="211" customWidth="1"/>
    <col min="15364" max="15365" width="7.42578125" style="211" customWidth="1"/>
    <col min="15366" max="15366" width="9.7109375" style="211" customWidth="1"/>
    <col min="15367" max="15367" width="8.140625" style="211" customWidth="1"/>
    <col min="15368" max="15368" width="7.140625" style="211" customWidth="1"/>
    <col min="15369" max="15369" width="9.140625" style="211" customWidth="1"/>
    <col min="15370" max="15370" width="7.7109375" style="211" customWidth="1"/>
    <col min="15371" max="15371" width="9.28515625" style="211" customWidth="1"/>
    <col min="15372" max="15372" width="6.28515625" style="211" customWidth="1"/>
    <col min="15373" max="15373" width="8.140625" style="211" customWidth="1"/>
    <col min="15374" max="15374" width="6.7109375" style="211" customWidth="1"/>
    <col min="15375" max="15375" width="8.28515625" style="211" customWidth="1"/>
    <col min="15376" max="15376" width="7.28515625" style="211" customWidth="1"/>
    <col min="15377" max="15377" width="8.28515625" style="211" customWidth="1"/>
    <col min="15378" max="15378" width="7.7109375" style="211" customWidth="1"/>
    <col min="15379" max="15616" width="8.85546875" style="211"/>
    <col min="15617" max="15617" width="11.28515625" style="211" customWidth="1"/>
    <col min="15618" max="15618" width="10.42578125" style="211" customWidth="1"/>
    <col min="15619" max="15619" width="7.28515625" style="211" customWidth="1"/>
    <col min="15620" max="15621" width="7.42578125" style="211" customWidth="1"/>
    <col min="15622" max="15622" width="9.7109375" style="211" customWidth="1"/>
    <col min="15623" max="15623" width="8.140625" style="211" customWidth="1"/>
    <col min="15624" max="15624" width="7.140625" style="211" customWidth="1"/>
    <col min="15625" max="15625" width="9.140625" style="211" customWidth="1"/>
    <col min="15626" max="15626" width="7.7109375" style="211" customWidth="1"/>
    <col min="15627" max="15627" width="9.28515625" style="211" customWidth="1"/>
    <col min="15628" max="15628" width="6.28515625" style="211" customWidth="1"/>
    <col min="15629" max="15629" width="8.140625" style="211" customWidth="1"/>
    <col min="15630" max="15630" width="6.7109375" style="211" customWidth="1"/>
    <col min="15631" max="15631" width="8.28515625" style="211" customWidth="1"/>
    <col min="15632" max="15632" width="7.28515625" style="211" customWidth="1"/>
    <col min="15633" max="15633" width="8.28515625" style="211" customWidth="1"/>
    <col min="15634" max="15634" width="7.7109375" style="211" customWidth="1"/>
    <col min="15635" max="15872" width="8.85546875" style="211"/>
    <col min="15873" max="15873" width="11.28515625" style="211" customWidth="1"/>
    <col min="15874" max="15874" width="10.42578125" style="211" customWidth="1"/>
    <col min="15875" max="15875" width="7.28515625" style="211" customWidth="1"/>
    <col min="15876" max="15877" width="7.42578125" style="211" customWidth="1"/>
    <col min="15878" max="15878" width="9.7109375" style="211" customWidth="1"/>
    <col min="15879" max="15879" width="8.140625" style="211" customWidth="1"/>
    <col min="15880" max="15880" width="7.140625" style="211" customWidth="1"/>
    <col min="15881" max="15881" width="9.140625" style="211" customWidth="1"/>
    <col min="15882" max="15882" width="7.7109375" style="211" customWidth="1"/>
    <col min="15883" max="15883" width="9.28515625" style="211" customWidth="1"/>
    <col min="15884" max="15884" width="6.28515625" style="211" customWidth="1"/>
    <col min="15885" max="15885" width="8.140625" style="211" customWidth="1"/>
    <col min="15886" max="15886" width="6.7109375" style="211" customWidth="1"/>
    <col min="15887" max="15887" width="8.28515625" style="211" customWidth="1"/>
    <col min="15888" max="15888" width="7.28515625" style="211" customWidth="1"/>
    <col min="15889" max="15889" width="8.28515625" style="211" customWidth="1"/>
    <col min="15890" max="15890" width="7.7109375" style="211" customWidth="1"/>
    <col min="15891" max="16128" width="8.85546875" style="211"/>
    <col min="16129" max="16129" width="11.28515625" style="211" customWidth="1"/>
    <col min="16130" max="16130" width="10.42578125" style="211" customWidth="1"/>
    <col min="16131" max="16131" width="7.28515625" style="211" customWidth="1"/>
    <col min="16132" max="16133" width="7.42578125" style="211" customWidth="1"/>
    <col min="16134" max="16134" width="9.7109375" style="211" customWidth="1"/>
    <col min="16135" max="16135" width="8.140625" style="211" customWidth="1"/>
    <col min="16136" max="16136" width="7.140625" style="211" customWidth="1"/>
    <col min="16137" max="16137" width="9.140625" style="211" customWidth="1"/>
    <col min="16138" max="16138" width="7.7109375" style="211" customWidth="1"/>
    <col min="16139" max="16139" width="9.28515625" style="211" customWidth="1"/>
    <col min="16140" max="16140" width="6.28515625" style="211" customWidth="1"/>
    <col min="16141" max="16141" width="8.140625" style="211" customWidth="1"/>
    <col min="16142" max="16142" width="6.7109375" style="211" customWidth="1"/>
    <col min="16143" max="16143" width="8.28515625" style="211" customWidth="1"/>
    <col min="16144" max="16144" width="7.28515625" style="211" customWidth="1"/>
    <col min="16145" max="16145" width="8.28515625" style="211" customWidth="1"/>
    <col min="16146" max="16146" width="7.7109375" style="211" customWidth="1"/>
    <col min="16147" max="16384" width="8.85546875" style="211"/>
  </cols>
  <sheetData>
    <row r="1" spans="1:18" ht="15" customHeight="1"/>
    <row r="2" spans="1:18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18" ht="12" customHeight="1">
      <c r="E3" s="1285" t="s">
        <v>168</v>
      </c>
      <c r="F3" s="1285"/>
      <c r="G3" s="1285"/>
      <c r="H3" s="1285"/>
      <c r="I3" s="1285"/>
      <c r="J3" s="1285"/>
    </row>
    <row r="4" spans="1:18" ht="12" customHeight="1">
      <c r="A4" s="1296" t="s">
        <v>1900</v>
      </c>
      <c r="B4" s="1296"/>
      <c r="C4" s="1297"/>
      <c r="D4" s="1286" t="s">
        <v>1939</v>
      </c>
      <c r="E4" s="1287"/>
      <c r="F4" s="1288"/>
      <c r="H4" s="211" t="s">
        <v>1902</v>
      </c>
      <c r="K4" s="1298" t="s">
        <v>1927</v>
      </c>
      <c r="L4" s="1299"/>
      <c r="M4" s="1300"/>
      <c r="N4" s="211" t="s">
        <v>5</v>
      </c>
      <c r="P4" s="225">
        <v>250.446</v>
      </c>
      <c r="Q4" s="226" t="s">
        <v>436</v>
      </c>
      <c r="R4" s="226"/>
    </row>
    <row r="5" spans="1:18" ht="12" customHeight="1">
      <c r="A5" s="808" t="s">
        <v>4176</v>
      </c>
      <c r="B5" s="808"/>
      <c r="C5" s="808"/>
      <c r="D5" s="227"/>
      <c r="E5" s="227"/>
      <c r="F5" s="227"/>
      <c r="K5" s="227"/>
      <c r="L5" s="227"/>
      <c r="M5" s="227"/>
      <c r="Q5" s="226"/>
      <c r="R5" s="228">
        <v>80</v>
      </c>
    </row>
    <row r="6" spans="1:18" ht="12" customHeight="1">
      <c r="A6" s="211" t="s">
        <v>832</v>
      </c>
      <c r="D6" s="1293" t="s">
        <v>1940</v>
      </c>
      <c r="E6" s="1294"/>
      <c r="F6" s="1295"/>
      <c r="H6" s="211" t="s">
        <v>1208</v>
      </c>
      <c r="K6" s="1293" t="s">
        <v>1941</v>
      </c>
      <c r="L6" s="1294"/>
      <c r="M6" s="1295"/>
    </row>
    <row r="7" spans="1:18" ht="12" customHeight="1"/>
    <row r="8" spans="1:18" ht="12" customHeight="1">
      <c r="A8" s="211" t="s">
        <v>1906</v>
      </c>
      <c r="D8" s="1293" t="s">
        <v>1907</v>
      </c>
      <c r="E8" s="1294"/>
      <c r="F8" s="1295"/>
      <c r="H8" s="1301" t="s">
        <v>1908</v>
      </c>
      <c r="I8" s="1301"/>
      <c r="J8" s="1301"/>
      <c r="K8" s="1302" t="s">
        <v>1907</v>
      </c>
      <c r="L8" s="1302"/>
      <c r="M8" s="1302"/>
      <c r="N8" s="1302"/>
      <c r="O8" s="1302"/>
    </row>
    <row r="9" spans="1:18" ht="12" customHeight="1">
      <c r="H9" s="1301"/>
      <c r="I9" s="1301"/>
      <c r="J9" s="1301"/>
      <c r="K9" s="1302"/>
      <c r="L9" s="1302"/>
      <c r="M9" s="1302"/>
      <c r="N9" s="1302"/>
      <c r="O9" s="1302"/>
    </row>
    <row r="10" spans="1:18" ht="12" customHeight="1"/>
    <row r="11" spans="1:18" ht="12" customHeight="1">
      <c r="A11" s="1303" t="s">
        <v>1909</v>
      </c>
      <c r="B11" s="1304"/>
      <c r="C11" s="1305"/>
      <c r="D11" s="1306" t="s">
        <v>1942</v>
      </c>
      <c r="E11" s="1306"/>
      <c r="F11" s="1306"/>
      <c r="G11" s="1306"/>
      <c r="H11" s="1306"/>
      <c r="I11" s="1306"/>
      <c r="J11" s="1306"/>
      <c r="K11" s="1306"/>
      <c r="L11" s="1306"/>
      <c r="M11" s="1307" t="s">
        <v>1943</v>
      </c>
      <c r="N11" s="1307"/>
      <c r="O11" s="1307"/>
      <c r="P11" s="1307"/>
      <c r="Q11" s="1307"/>
      <c r="R11" s="1307"/>
    </row>
    <row r="12" spans="1:18" ht="12" customHeight="1">
      <c r="A12" s="1303" t="s">
        <v>1346</v>
      </c>
      <c r="B12" s="1304"/>
      <c r="C12" s="1305"/>
      <c r="D12" s="1306" t="s">
        <v>1944</v>
      </c>
      <c r="E12" s="1306"/>
      <c r="F12" s="1306"/>
      <c r="G12" s="1306"/>
      <c r="H12" s="1306"/>
      <c r="I12" s="1306"/>
      <c r="J12" s="1306"/>
      <c r="K12" s="1306"/>
      <c r="L12" s="1306"/>
      <c r="M12" s="1306" t="s">
        <v>1945</v>
      </c>
      <c r="N12" s="1306"/>
      <c r="O12" s="1306"/>
      <c r="P12" s="1306"/>
      <c r="Q12" s="1306"/>
      <c r="R12" s="1306"/>
    </row>
    <row r="13" spans="1:18" ht="12.6" customHeight="1">
      <c r="A13" s="1303" t="s">
        <v>844</v>
      </c>
      <c r="B13" s="1304"/>
      <c r="C13" s="1305"/>
      <c r="D13" s="1306" t="s">
        <v>1946</v>
      </c>
      <c r="E13" s="1306"/>
      <c r="F13" s="1306"/>
      <c r="G13" s="1306"/>
      <c r="H13" s="1306"/>
      <c r="I13" s="1306"/>
      <c r="J13" s="1306"/>
      <c r="K13" s="1306"/>
      <c r="L13" s="1306"/>
      <c r="M13" s="1306" t="s">
        <v>1947</v>
      </c>
      <c r="N13" s="1306"/>
      <c r="O13" s="1306"/>
      <c r="P13" s="1306"/>
      <c r="Q13" s="1306"/>
      <c r="R13" s="1306"/>
    </row>
    <row r="14" spans="1:18" ht="12" customHeight="1">
      <c r="A14" s="1303" t="s">
        <v>1196</v>
      </c>
      <c r="B14" s="1304"/>
      <c r="C14" s="1305"/>
      <c r="D14" s="1306" t="s">
        <v>1907</v>
      </c>
      <c r="E14" s="1306"/>
      <c r="F14" s="1306"/>
      <c r="G14" s="1306"/>
      <c r="H14" s="1306"/>
      <c r="I14" s="1306"/>
      <c r="J14" s="1306"/>
      <c r="K14" s="1306"/>
      <c r="L14" s="1306"/>
      <c r="M14" s="1306" t="s">
        <v>1907</v>
      </c>
      <c r="N14" s="1306"/>
      <c r="O14" s="1306"/>
      <c r="P14" s="1306"/>
      <c r="Q14" s="1306"/>
      <c r="R14" s="1306"/>
    </row>
    <row r="15" spans="1:18" ht="12" customHeight="1"/>
    <row r="16" spans="1:18" ht="12" customHeight="1">
      <c r="A16" s="211" t="s">
        <v>1916</v>
      </c>
      <c r="D16" s="228">
        <v>2</v>
      </c>
      <c r="E16" s="211" t="s">
        <v>1917</v>
      </c>
      <c r="H16" s="228">
        <v>2</v>
      </c>
      <c r="I16" s="211" t="s">
        <v>1918</v>
      </c>
      <c r="J16" s="228">
        <v>6</v>
      </c>
      <c r="K16" s="211" t="s">
        <v>1492</v>
      </c>
      <c r="L16" s="228">
        <v>2</v>
      </c>
      <c r="M16" s="211" t="s">
        <v>1493</v>
      </c>
      <c r="N16" s="1307">
        <v>8</v>
      </c>
      <c r="O16" s="1307"/>
    </row>
    <row r="17" spans="1:18" ht="12" customHeight="1"/>
    <row r="18" spans="1:18" ht="12" customHeight="1">
      <c r="A18" s="1308" t="s">
        <v>203</v>
      </c>
      <c r="B18" s="1308"/>
      <c r="D18" s="211" t="s">
        <v>204</v>
      </c>
      <c r="E18" s="228">
        <v>27</v>
      </c>
      <c r="F18" s="211" t="s">
        <v>205</v>
      </c>
      <c r="G18" s="228">
        <v>13</v>
      </c>
      <c r="H18" s="1309" t="s">
        <v>206</v>
      </c>
      <c r="I18" s="1297"/>
      <c r="J18" s="228">
        <v>74</v>
      </c>
      <c r="K18" s="1309" t="s">
        <v>245</v>
      </c>
      <c r="L18" s="1297"/>
      <c r="M18" s="229">
        <v>114</v>
      </c>
      <c r="N18" s="211" t="s">
        <v>207</v>
      </c>
      <c r="O18" s="228">
        <v>10</v>
      </c>
      <c r="P18" s="515" t="s">
        <v>855</v>
      </c>
      <c r="Q18" s="515"/>
      <c r="R18" s="228">
        <v>6</v>
      </c>
    </row>
    <row r="19" spans="1:18" ht="12" customHeight="1">
      <c r="A19" s="1308" t="s">
        <v>1029</v>
      </c>
      <c r="B19" s="1308"/>
      <c r="D19" s="211" t="s">
        <v>210</v>
      </c>
      <c r="E19" s="228">
        <v>79</v>
      </c>
      <c r="F19" s="211" t="s">
        <v>1919</v>
      </c>
      <c r="G19" s="228">
        <v>34</v>
      </c>
      <c r="H19" s="515" t="s">
        <v>212</v>
      </c>
      <c r="I19" s="515"/>
      <c r="J19" s="228">
        <v>233</v>
      </c>
      <c r="K19" s="1309" t="s">
        <v>1920</v>
      </c>
      <c r="L19" s="1297"/>
      <c r="M19" s="228">
        <v>346</v>
      </c>
      <c r="R19" s="226"/>
    </row>
    <row r="20" spans="1:18" ht="12" customHeight="1">
      <c r="D20" s="211" t="s">
        <v>213</v>
      </c>
      <c r="E20" s="228">
        <v>83</v>
      </c>
      <c r="F20" s="211" t="s">
        <v>214</v>
      </c>
      <c r="G20" s="228">
        <v>37</v>
      </c>
      <c r="H20" s="1309" t="s">
        <v>215</v>
      </c>
      <c r="I20" s="1297"/>
      <c r="J20" s="228">
        <v>219</v>
      </c>
      <c r="K20" s="1309" t="s">
        <v>1921</v>
      </c>
      <c r="L20" s="1297"/>
      <c r="M20" s="228">
        <v>339</v>
      </c>
    </row>
    <row r="21" spans="1:18" ht="12" customHeight="1"/>
    <row r="22" spans="1:18" ht="12" customHeight="1">
      <c r="A22" s="1310" t="s">
        <v>409</v>
      </c>
      <c r="B22" s="1310"/>
    </row>
    <row r="23" spans="1:18" s="217" customFormat="1" ht="12" customHeight="1">
      <c r="A23" s="1311" t="s">
        <v>217</v>
      </c>
      <c r="B23" s="1312"/>
      <c r="C23" s="1313"/>
      <c r="D23" s="1317" t="s">
        <v>1922</v>
      </c>
      <c r="E23" s="1317" t="s">
        <v>219</v>
      </c>
      <c r="F23" s="1317" t="s">
        <v>1923</v>
      </c>
      <c r="G23" s="1317" t="s">
        <v>1924</v>
      </c>
      <c r="H23" s="1319" t="s">
        <v>1925</v>
      </c>
      <c r="I23" s="1320"/>
      <c r="J23" s="1320"/>
      <c r="K23" s="1320"/>
      <c r="L23" s="1320"/>
      <c r="M23" s="1320"/>
      <c r="N23" s="1320"/>
      <c r="O23" s="1320"/>
      <c r="P23" s="1321"/>
    </row>
    <row r="24" spans="1:18" s="217" customFormat="1" ht="31.15" customHeight="1">
      <c r="A24" s="1314"/>
      <c r="B24" s="1315"/>
      <c r="C24" s="1316"/>
      <c r="D24" s="1318"/>
      <c r="E24" s="1318"/>
      <c r="F24" s="1318"/>
      <c r="G24" s="1318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230" t="s">
        <v>230</v>
      </c>
      <c r="P24" s="230" t="s">
        <v>662</v>
      </c>
    </row>
    <row r="25" spans="1:18" s="235" customFormat="1" ht="16.899999999999999" customHeight="1">
      <c r="A25" s="1322" t="s">
        <v>232</v>
      </c>
      <c r="B25" s="1323"/>
      <c r="C25" s="1324"/>
      <c r="D25" s="231">
        <v>8000</v>
      </c>
      <c r="E25" s="232" t="s">
        <v>233</v>
      </c>
      <c r="F25" s="233">
        <v>20.035679999999999</v>
      </c>
      <c r="G25" s="233">
        <v>8.01</v>
      </c>
      <c r="H25" s="234">
        <v>0</v>
      </c>
      <c r="I25" s="234">
        <v>0</v>
      </c>
      <c r="J25" s="234">
        <v>4.7167000000000003</v>
      </c>
      <c r="K25" s="234">
        <v>3.5548000000000002</v>
      </c>
      <c r="L25" s="234">
        <v>0</v>
      </c>
      <c r="M25" s="234">
        <v>0</v>
      </c>
      <c r="N25" s="234">
        <v>0</v>
      </c>
      <c r="O25" s="234">
        <v>8.2714999999999996</v>
      </c>
      <c r="P25" s="234">
        <v>103.26466916354558</v>
      </c>
    </row>
    <row r="26" spans="1:18" ht="12" customHeight="1">
      <c r="A26" s="1266" t="s">
        <v>234</v>
      </c>
      <c r="B26" s="1267"/>
      <c r="C26" s="1268"/>
      <c r="D26" s="218">
        <v>7000</v>
      </c>
      <c r="E26" s="513" t="s">
        <v>233</v>
      </c>
      <c r="F26" s="236">
        <v>40.6</v>
      </c>
      <c r="G26" s="236">
        <v>0</v>
      </c>
      <c r="H26" s="237">
        <v>0</v>
      </c>
      <c r="I26" s="237">
        <v>0</v>
      </c>
      <c r="J26" s="237">
        <v>0</v>
      </c>
      <c r="K26" s="237">
        <v>0</v>
      </c>
      <c r="L26" s="237">
        <v>0</v>
      </c>
      <c r="M26" s="237">
        <v>0</v>
      </c>
      <c r="N26" s="237">
        <v>0</v>
      </c>
      <c r="O26" s="237">
        <v>0</v>
      </c>
      <c r="P26" s="237">
        <v>0</v>
      </c>
    </row>
    <row r="27" spans="1:18" ht="12" customHeight="1">
      <c r="A27" s="1266" t="s">
        <v>235</v>
      </c>
      <c r="B27" s="1267"/>
      <c r="C27" s="1268"/>
      <c r="D27" s="218">
        <v>43000</v>
      </c>
      <c r="E27" s="513" t="s">
        <v>236</v>
      </c>
      <c r="F27" s="236">
        <v>0.43</v>
      </c>
      <c r="G27" s="236">
        <v>0.18</v>
      </c>
      <c r="H27" s="237">
        <v>0</v>
      </c>
      <c r="I27" s="237">
        <v>0</v>
      </c>
      <c r="J27" s="237">
        <v>0</v>
      </c>
      <c r="K27" s="237">
        <v>0.18</v>
      </c>
      <c r="L27" s="237">
        <v>0</v>
      </c>
      <c r="M27" s="237">
        <v>0</v>
      </c>
      <c r="N27" s="237">
        <v>0</v>
      </c>
      <c r="O27" s="237">
        <v>0.18</v>
      </c>
      <c r="P27" s="237">
        <v>100</v>
      </c>
    </row>
    <row r="28" spans="1:18" ht="12" customHeight="1">
      <c r="A28" s="1266" t="s">
        <v>237</v>
      </c>
      <c r="B28" s="1267"/>
      <c r="C28" s="1268"/>
      <c r="D28" s="218">
        <v>34000</v>
      </c>
      <c r="E28" s="513" t="s">
        <v>236</v>
      </c>
      <c r="F28" s="236">
        <v>0.34</v>
      </c>
      <c r="G28" s="236">
        <v>0.16</v>
      </c>
      <c r="H28" s="237">
        <v>0</v>
      </c>
      <c r="I28" s="237">
        <v>0</v>
      </c>
      <c r="J28" s="237">
        <v>0</v>
      </c>
      <c r="K28" s="237">
        <v>0.16</v>
      </c>
      <c r="L28" s="237">
        <v>0</v>
      </c>
      <c r="M28" s="237">
        <v>0</v>
      </c>
      <c r="N28" s="237">
        <v>0</v>
      </c>
      <c r="O28" s="237">
        <v>0.16</v>
      </c>
      <c r="P28" s="237">
        <v>100</v>
      </c>
    </row>
    <row r="29" spans="1:18" ht="12" customHeight="1">
      <c r="A29" s="1266" t="s">
        <v>238</v>
      </c>
      <c r="B29" s="1267"/>
      <c r="C29" s="1268"/>
      <c r="D29" s="218">
        <v>1200</v>
      </c>
      <c r="E29" s="513" t="s">
        <v>233</v>
      </c>
      <c r="F29" s="236">
        <v>3.0053520000000002</v>
      </c>
      <c r="G29" s="236">
        <v>2</v>
      </c>
      <c r="H29" s="237">
        <v>0</v>
      </c>
      <c r="I29" s="237">
        <v>0</v>
      </c>
      <c r="J29" s="237">
        <v>0</v>
      </c>
      <c r="K29" s="237">
        <v>0.92366000000000004</v>
      </c>
      <c r="L29" s="237">
        <v>0</v>
      </c>
      <c r="M29" s="237">
        <v>0</v>
      </c>
      <c r="N29" s="237">
        <v>0</v>
      </c>
      <c r="O29" s="237">
        <v>0.92366000000000004</v>
      </c>
      <c r="P29" s="237">
        <v>46.183</v>
      </c>
    </row>
    <row r="30" spans="1:18" ht="12" customHeight="1">
      <c r="A30" s="1266" t="s">
        <v>667</v>
      </c>
      <c r="B30" s="1267"/>
      <c r="C30" s="1268"/>
      <c r="D30" s="218">
        <v>565</v>
      </c>
      <c r="E30" s="513" t="s">
        <v>233</v>
      </c>
      <c r="F30" s="236">
        <v>1.4150198999999999</v>
      </c>
      <c r="G30" s="236">
        <v>1.3774599999999999</v>
      </c>
      <c r="H30" s="237">
        <v>0</v>
      </c>
      <c r="I30" s="237">
        <v>0</v>
      </c>
      <c r="J30" s="237">
        <v>0</v>
      </c>
      <c r="K30" s="237">
        <v>1.3774599999999999</v>
      </c>
      <c r="L30" s="237">
        <v>0</v>
      </c>
      <c r="M30" s="237">
        <v>0</v>
      </c>
      <c r="N30" s="237">
        <v>0</v>
      </c>
      <c r="O30" s="237">
        <v>1.3774599999999999</v>
      </c>
      <c r="P30" s="237">
        <v>100</v>
      </c>
    </row>
    <row r="31" spans="1:18" ht="12" customHeight="1">
      <c r="A31" s="1266" t="s">
        <v>1503</v>
      </c>
      <c r="B31" s="1267"/>
      <c r="C31" s="1268"/>
      <c r="D31" s="218">
        <v>1000</v>
      </c>
      <c r="E31" s="513" t="s">
        <v>233</v>
      </c>
      <c r="F31" s="236">
        <v>2.5044599999999999</v>
      </c>
      <c r="G31" s="236">
        <v>0</v>
      </c>
      <c r="H31" s="237">
        <v>0</v>
      </c>
      <c r="I31" s="237">
        <v>0</v>
      </c>
      <c r="J31" s="237">
        <v>0</v>
      </c>
      <c r="K31" s="237">
        <v>0</v>
      </c>
      <c r="L31" s="237">
        <v>0</v>
      </c>
      <c r="M31" s="237">
        <v>0</v>
      </c>
      <c r="N31" s="237">
        <v>0</v>
      </c>
      <c r="O31" s="237">
        <v>0</v>
      </c>
      <c r="P31" s="237">
        <v>0</v>
      </c>
    </row>
    <row r="32" spans="1:18" ht="12" customHeight="1">
      <c r="A32" s="1266" t="s">
        <v>394</v>
      </c>
      <c r="B32" s="1267"/>
      <c r="C32" s="1268"/>
      <c r="D32" s="218">
        <v>2750</v>
      </c>
      <c r="E32" s="513" t="s">
        <v>242</v>
      </c>
      <c r="F32" s="236">
        <v>2.1</v>
      </c>
      <c r="G32" s="236">
        <v>0.41249999999999998</v>
      </c>
      <c r="H32" s="237">
        <v>0</v>
      </c>
      <c r="I32" s="237">
        <v>0</v>
      </c>
      <c r="J32" s="237">
        <v>3.2500000000000001E-2</v>
      </c>
      <c r="K32" s="237">
        <v>0.35499999999999998</v>
      </c>
      <c r="L32" s="237">
        <v>0</v>
      </c>
      <c r="M32" s="237">
        <v>0</v>
      </c>
      <c r="N32" s="237">
        <v>0</v>
      </c>
      <c r="O32" s="237">
        <v>0.38749999999999996</v>
      </c>
      <c r="P32" s="237">
        <v>93.939393939393938</v>
      </c>
    </row>
    <row r="33" spans="1:16" ht="12" customHeight="1">
      <c r="A33" s="1266" t="s">
        <v>670</v>
      </c>
      <c r="B33" s="1267"/>
      <c r="C33" s="1268"/>
      <c r="D33" s="218">
        <v>10000</v>
      </c>
      <c r="E33" s="513" t="s">
        <v>244</v>
      </c>
      <c r="F33" s="236">
        <v>0.1</v>
      </c>
      <c r="G33" s="236">
        <v>0.1</v>
      </c>
      <c r="H33" s="237">
        <v>0</v>
      </c>
      <c r="I33" s="237">
        <v>0</v>
      </c>
      <c r="J33" s="237">
        <v>0.1</v>
      </c>
      <c r="K33" s="237">
        <v>0</v>
      </c>
      <c r="L33" s="237">
        <v>0</v>
      </c>
      <c r="M33" s="237">
        <v>0</v>
      </c>
      <c r="N33" s="237">
        <v>0</v>
      </c>
      <c r="O33" s="237">
        <v>0.1</v>
      </c>
      <c r="P33" s="237"/>
    </row>
    <row r="34" spans="1:16" ht="12" customHeight="1">
      <c r="A34" s="1286" t="s">
        <v>230</v>
      </c>
      <c r="B34" s="1287"/>
      <c r="C34" s="1288"/>
      <c r="D34" s="228"/>
      <c r="E34" s="228"/>
      <c r="F34" s="238">
        <v>70.530511899999993</v>
      </c>
      <c r="G34" s="238">
        <v>12.239959999999998</v>
      </c>
      <c r="H34" s="239">
        <v>0</v>
      </c>
      <c r="I34" s="239">
        <v>0</v>
      </c>
      <c r="J34" s="240">
        <v>4.8491999999999997</v>
      </c>
      <c r="K34" s="240">
        <v>6.5509200000000014</v>
      </c>
      <c r="L34" s="239">
        <v>0</v>
      </c>
      <c r="M34" s="239">
        <v>0</v>
      </c>
      <c r="N34" s="239">
        <v>0</v>
      </c>
      <c r="O34" s="240">
        <v>11.400119999999998</v>
      </c>
      <c r="P34" s="240"/>
    </row>
    <row r="35" spans="1:16" ht="19.899999999999999" customHeight="1"/>
    <row r="36" spans="1:16" ht="19.899999999999999" customHeight="1"/>
    <row r="37" spans="1:16" ht="19.899999999999999" customHeight="1"/>
    <row r="38" spans="1:16" ht="19.899999999999999" customHeight="1"/>
    <row r="39" spans="1:16" ht="19.899999999999999" customHeight="1"/>
    <row r="40" spans="1:16" ht="19.899999999999999" customHeight="1"/>
    <row r="41" spans="1:16" ht="19.899999999999999" customHeight="1"/>
    <row r="42" spans="1:16" ht="19.899999999999999" customHeight="1"/>
    <row r="43" spans="1:16" ht="19.899999999999999" customHeight="1"/>
    <row r="44" spans="1:16" ht="19.899999999999999" customHeight="1"/>
    <row r="45" spans="1:16" ht="19.899999999999999" customHeight="1"/>
    <row r="46" spans="1:16" ht="19.899999999999999" customHeight="1"/>
    <row r="47" spans="1:16" ht="19.899999999999999" customHeight="1"/>
    <row r="48" spans="1:16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</sheetData>
  <mergeCells count="48">
    <mergeCell ref="A30:C30"/>
    <mergeCell ref="A31:C31"/>
    <mergeCell ref="A32:C32"/>
    <mergeCell ref="A33:C33"/>
    <mergeCell ref="A34:C34"/>
    <mergeCell ref="A29:C29"/>
    <mergeCell ref="A19:B19"/>
    <mergeCell ref="K19:L19"/>
    <mergeCell ref="H20:I20"/>
    <mergeCell ref="K20:L20"/>
    <mergeCell ref="A22:B22"/>
    <mergeCell ref="A23:C24"/>
    <mergeCell ref="D23:D24"/>
    <mergeCell ref="E23:E24"/>
    <mergeCell ref="F23:F24"/>
    <mergeCell ref="G23:G24"/>
    <mergeCell ref="H23:P23"/>
    <mergeCell ref="A25:C25"/>
    <mergeCell ref="A26:C26"/>
    <mergeCell ref="A27:C27"/>
    <mergeCell ref="A28:C28"/>
    <mergeCell ref="A14:C14"/>
    <mergeCell ref="D14:L14"/>
    <mergeCell ref="M14:R14"/>
    <mergeCell ref="N16:O16"/>
    <mergeCell ref="A18:B18"/>
    <mergeCell ref="H18:I18"/>
    <mergeCell ref="K18:L18"/>
    <mergeCell ref="A12:C12"/>
    <mergeCell ref="D12:L12"/>
    <mergeCell ref="M12:R12"/>
    <mergeCell ref="A13:C13"/>
    <mergeCell ref="D13:L13"/>
    <mergeCell ref="M13:R13"/>
    <mergeCell ref="D8:F8"/>
    <mergeCell ref="H8:J9"/>
    <mergeCell ref="K8:O9"/>
    <mergeCell ref="A11:C11"/>
    <mergeCell ref="D11:L11"/>
    <mergeCell ref="M11:R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2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S103"/>
  <sheetViews>
    <sheetView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10.42578125" style="211" customWidth="1"/>
    <col min="3" max="3" width="7.28515625" style="211" customWidth="1"/>
    <col min="4" max="4" width="7.42578125" style="211" customWidth="1"/>
    <col min="5" max="5" width="7.28515625" style="211" customWidth="1"/>
    <col min="6" max="6" width="8.42578125" style="211" customWidth="1"/>
    <col min="7" max="7" width="8.5703125" style="211" customWidth="1"/>
    <col min="8" max="8" width="7.42578125" style="211" customWidth="1"/>
    <col min="9" max="9" width="8.5703125" style="211" customWidth="1"/>
    <col min="10" max="10" width="7.28515625" style="211" customWidth="1"/>
    <col min="11" max="11" width="8.5703125" style="211" customWidth="1"/>
    <col min="12" max="12" width="6.7109375" style="211" customWidth="1"/>
    <col min="13" max="13" width="8.42578125" style="211" customWidth="1"/>
    <col min="14" max="14" width="6.7109375" style="211" customWidth="1"/>
    <col min="15" max="15" width="8.5703125" style="211" customWidth="1"/>
    <col min="16" max="16" width="6.7109375" style="211" customWidth="1"/>
    <col min="17" max="17" width="8.28515625" style="211" customWidth="1"/>
    <col min="18" max="18" width="7.7109375" style="211" customWidth="1"/>
    <col min="19" max="256" width="8.85546875" style="211"/>
    <col min="257" max="257" width="11.28515625" style="211" customWidth="1"/>
    <col min="258" max="258" width="10.42578125" style="211" customWidth="1"/>
    <col min="259" max="259" width="7.28515625" style="211" customWidth="1"/>
    <col min="260" max="260" width="7.42578125" style="211" customWidth="1"/>
    <col min="261" max="261" width="7.28515625" style="211" customWidth="1"/>
    <col min="262" max="262" width="8.42578125" style="211" customWidth="1"/>
    <col min="263" max="263" width="8.5703125" style="211" customWidth="1"/>
    <col min="264" max="264" width="7.42578125" style="211" customWidth="1"/>
    <col min="265" max="265" width="8.5703125" style="211" customWidth="1"/>
    <col min="266" max="266" width="7.28515625" style="211" customWidth="1"/>
    <col min="267" max="267" width="8.5703125" style="211" customWidth="1"/>
    <col min="268" max="268" width="6.7109375" style="211" customWidth="1"/>
    <col min="269" max="269" width="8.42578125" style="211" customWidth="1"/>
    <col min="270" max="270" width="6.7109375" style="211" customWidth="1"/>
    <col min="271" max="271" width="8.5703125" style="211" customWidth="1"/>
    <col min="272" max="272" width="6.7109375" style="211" customWidth="1"/>
    <col min="273" max="273" width="8.28515625" style="211" customWidth="1"/>
    <col min="274" max="274" width="7.7109375" style="211" customWidth="1"/>
    <col min="275" max="512" width="8.85546875" style="211"/>
    <col min="513" max="513" width="11.28515625" style="211" customWidth="1"/>
    <col min="514" max="514" width="10.42578125" style="211" customWidth="1"/>
    <col min="515" max="515" width="7.28515625" style="211" customWidth="1"/>
    <col min="516" max="516" width="7.42578125" style="211" customWidth="1"/>
    <col min="517" max="517" width="7.28515625" style="211" customWidth="1"/>
    <col min="518" max="518" width="8.42578125" style="211" customWidth="1"/>
    <col min="519" max="519" width="8.5703125" style="211" customWidth="1"/>
    <col min="520" max="520" width="7.42578125" style="211" customWidth="1"/>
    <col min="521" max="521" width="8.5703125" style="211" customWidth="1"/>
    <col min="522" max="522" width="7.28515625" style="211" customWidth="1"/>
    <col min="523" max="523" width="8.5703125" style="211" customWidth="1"/>
    <col min="524" max="524" width="6.7109375" style="211" customWidth="1"/>
    <col min="525" max="525" width="8.42578125" style="211" customWidth="1"/>
    <col min="526" max="526" width="6.7109375" style="211" customWidth="1"/>
    <col min="527" max="527" width="8.5703125" style="211" customWidth="1"/>
    <col min="528" max="528" width="6.7109375" style="211" customWidth="1"/>
    <col min="529" max="529" width="8.28515625" style="211" customWidth="1"/>
    <col min="530" max="530" width="7.7109375" style="211" customWidth="1"/>
    <col min="531" max="768" width="8.85546875" style="211"/>
    <col min="769" max="769" width="11.28515625" style="211" customWidth="1"/>
    <col min="770" max="770" width="10.42578125" style="211" customWidth="1"/>
    <col min="771" max="771" width="7.28515625" style="211" customWidth="1"/>
    <col min="772" max="772" width="7.42578125" style="211" customWidth="1"/>
    <col min="773" max="773" width="7.28515625" style="211" customWidth="1"/>
    <col min="774" max="774" width="8.42578125" style="211" customWidth="1"/>
    <col min="775" max="775" width="8.5703125" style="211" customWidth="1"/>
    <col min="776" max="776" width="7.42578125" style="211" customWidth="1"/>
    <col min="777" max="777" width="8.5703125" style="211" customWidth="1"/>
    <col min="778" max="778" width="7.28515625" style="211" customWidth="1"/>
    <col min="779" max="779" width="8.5703125" style="211" customWidth="1"/>
    <col min="780" max="780" width="6.7109375" style="211" customWidth="1"/>
    <col min="781" max="781" width="8.42578125" style="211" customWidth="1"/>
    <col min="782" max="782" width="6.7109375" style="211" customWidth="1"/>
    <col min="783" max="783" width="8.5703125" style="211" customWidth="1"/>
    <col min="784" max="784" width="6.7109375" style="211" customWidth="1"/>
    <col min="785" max="785" width="8.28515625" style="211" customWidth="1"/>
    <col min="786" max="786" width="7.7109375" style="211" customWidth="1"/>
    <col min="787" max="1024" width="8.85546875" style="211"/>
    <col min="1025" max="1025" width="11.28515625" style="211" customWidth="1"/>
    <col min="1026" max="1026" width="10.42578125" style="211" customWidth="1"/>
    <col min="1027" max="1027" width="7.28515625" style="211" customWidth="1"/>
    <col min="1028" max="1028" width="7.42578125" style="211" customWidth="1"/>
    <col min="1029" max="1029" width="7.28515625" style="211" customWidth="1"/>
    <col min="1030" max="1030" width="8.42578125" style="211" customWidth="1"/>
    <col min="1031" max="1031" width="8.5703125" style="211" customWidth="1"/>
    <col min="1032" max="1032" width="7.42578125" style="211" customWidth="1"/>
    <col min="1033" max="1033" width="8.5703125" style="211" customWidth="1"/>
    <col min="1034" max="1034" width="7.28515625" style="211" customWidth="1"/>
    <col min="1035" max="1035" width="8.5703125" style="211" customWidth="1"/>
    <col min="1036" max="1036" width="6.7109375" style="211" customWidth="1"/>
    <col min="1037" max="1037" width="8.42578125" style="211" customWidth="1"/>
    <col min="1038" max="1038" width="6.7109375" style="211" customWidth="1"/>
    <col min="1039" max="1039" width="8.5703125" style="211" customWidth="1"/>
    <col min="1040" max="1040" width="6.7109375" style="211" customWidth="1"/>
    <col min="1041" max="1041" width="8.28515625" style="211" customWidth="1"/>
    <col min="1042" max="1042" width="7.7109375" style="211" customWidth="1"/>
    <col min="1043" max="1280" width="8.85546875" style="211"/>
    <col min="1281" max="1281" width="11.28515625" style="211" customWidth="1"/>
    <col min="1282" max="1282" width="10.42578125" style="211" customWidth="1"/>
    <col min="1283" max="1283" width="7.28515625" style="211" customWidth="1"/>
    <col min="1284" max="1284" width="7.42578125" style="211" customWidth="1"/>
    <col min="1285" max="1285" width="7.28515625" style="211" customWidth="1"/>
    <col min="1286" max="1286" width="8.42578125" style="211" customWidth="1"/>
    <col min="1287" max="1287" width="8.5703125" style="211" customWidth="1"/>
    <col min="1288" max="1288" width="7.42578125" style="211" customWidth="1"/>
    <col min="1289" max="1289" width="8.5703125" style="211" customWidth="1"/>
    <col min="1290" max="1290" width="7.28515625" style="211" customWidth="1"/>
    <col min="1291" max="1291" width="8.5703125" style="211" customWidth="1"/>
    <col min="1292" max="1292" width="6.7109375" style="211" customWidth="1"/>
    <col min="1293" max="1293" width="8.42578125" style="211" customWidth="1"/>
    <col min="1294" max="1294" width="6.7109375" style="211" customWidth="1"/>
    <col min="1295" max="1295" width="8.5703125" style="211" customWidth="1"/>
    <col min="1296" max="1296" width="6.7109375" style="211" customWidth="1"/>
    <col min="1297" max="1297" width="8.28515625" style="211" customWidth="1"/>
    <col min="1298" max="1298" width="7.7109375" style="211" customWidth="1"/>
    <col min="1299" max="1536" width="8.85546875" style="211"/>
    <col min="1537" max="1537" width="11.28515625" style="211" customWidth="1"/>
    <col min="1538" max="1538" width="10.42578125" style="211" customWidth="1"/>
    <col min="1539" max="1539" width="7.28515625" style="211" customWidth="1"/>
    <col min="1540" max="1540" width="7.42578125" style="211" customWidth="1"/>
    <col min="1541" max="1541" width="7.28515625" style="211" customWidth="1"/>
    <col min="1542" max="1542" width="8.42578125" style="211" customWidth="1"/>
    <col min="1543" max="1543" width="8.5703125" style="211" customWidth="1"/>
    <col min="1544" max="1544" width="7.42578125" style="211" customWidth="1"/>
    <col min="1545" max="1545" width="8.5703125" style="211" customWidth="1"/>
    <col min="1546" max="1546" width="7.28515625" style="211" customWidth="1"/>
    <col min="1547" max="1547" width="8.5703125" style="211" customWidth="1"/>
    <col min="1548" max="1548" width="6.7109375" style="211" customWidth="1"/>
    <col min="1549" max="1549" width="8.42578125" style="211" customWidth="1"/>
    <col min="1550" max="1550" width="6.7109375" style="211" customWidth="1"/>
    <col min="1551" max="1551" width="8.5703125" style="211" customWidth="1"/>
    <col min="1552" max="1552" width="6.7109375" style="211" customWidth="1"/>
    <col min="1553" max="1553" width="8.28515625" style="211" customWidth="1"/>
    <col min="1554" max="1554" width="7.7109375" style="211" customWidth="1"/>
    <col min="1555" max="1792" width="8.85546875" style="211"/>
    <col min="1793" max="1793" width="11.28515625" style="211" customWidth="1"/>
    <col min="1794" max="1794" width="10.42578125" style="211" customWidth="1"/>
    <col min="1795" max="1795" width="7.28515625" style="211" customWidth="1"/>
    <col min="1796" max="1796" width="7.42578125" style="211" customWidth="1"/>
    <col min="1797" max="1797" width="7.28515625" style="211" customWidth="1"/>
    <col min="1798" max="1798" width="8.42578125" style="211" customWidth="1"/>
    <col min="1799" max="1799" width="8.5703125" style="211" customWidth="1"/>
    <col min="1800" max="1800" width="7.42578125" style="211" customWidth="1"/>
    <col min="1801" max="1801" width="8.5703125" style="211" customWidth="1"/>
    <col min="1802" max="1802" width="7.28515625" style="211" customWidth="1"/>
    <col min="1803" max="1803" width="8.5703125" style="211" customWidth="1"/>
    <col min="1804" max="1804" width="6.7109375" style="211" customWidth="1"/>
    <col min="1805" max="1805" width="8.42578125" style="211" customWidth="1"/>
    <col min="1806" max="1806" width="6.7109375" style="211" customWidth="1"/>
    <col min="1807" max="1807" width="8.5703125" style="211" customWidth="1"/>
    <col min="1808" max="1808" width="6.7109375" style="211" customWidth="1"/>
    <col min="1809" max="1809" width="8.28515625" style="211" customWidth="1"/>
    <col min="1810" max="1810" width="7.7109375" style="211" customWidth="1"/>
    <col min="1811" max="2048" width="8.85546875" style="211"/>
    <col min="2049" max="2049" width="11.28515625" style="211" customWidth="1"/>
    <col min="2050" max="2050" width="10.42578125" style="211" customWidth="1"/>
    <col min="2051" max="2051" width="7.28515625" style="211" customWidth="1"/>
    <col min="2052" max="2052" width="7.42578125" style="211" customWidth="1"/>
    <col min="2053" max="2053" width="7.28515625" style="211" customWidth="1"/>
    <col min="2054" max="2054" width="8.42578125" style="211" customWidth="1"/>
    <col min="2055" max="2055" width="8.5703125" style="211" customWidth="1"/>
    <col min="2056" max="2056" width="7.42578125" style="211" customWidth="1"/>
    <col min="2057" max="2057" width="8.5703125" style="211" customWidth="1"/>
    <col min="2058" max="2058" width="7.28515625" style="211" customWidth="1"/>
    <col min="2059" max="2059" width="8.5703125" style="211" customWidth="1"/>
    <col min="2060" max="2060" width="6.7109375" style="211" customWidth="1"/>
    <col min="2061" max="2061" width="8.42578125" style="211" customWidth="1"/>
    <col min="2062" max="2062" width="6.7109375" style="211" customWidth="1"/>
    <col min="2063" max="2063" width="8.5703125" style="211" customWidth="1"/>
    <col min="2064" max="2064" width="6.7109375" style="211" customWidth="1"/>
    <col min="2065" max="2065" width="8.28515625" style="211" customWidth="1"/>
    <col min="2066" max="2066" width="7.7109375" style="211" customWidth="1"/>
    <col min="2067" max="2304" width="8.85546875" style="211"/>
    <col min="2305" max="2305" width="11.28515625" style="211" customWidth="1"/>
    <col min="2306" max="2306" width="10.42578125" style="211" customWidth="1"/>
    <col min="2307" max="2307" width="7.28515625" style="211" customWidth="1"/>
    <col min="2308" max="2308" width="7.42578125" style="211" customWidth="1"/>
    <col min="2309" max="2309" width="7.28515625" style="211" customWidth="1"/>
    <col min="2310" max="2310" width="8.42578125" style="211" customWidth="1"/>
    <col min="2311" max="2311" width="8.5703125" style="211" customWidth="1"/>
    <col min="2312" max="2312" width="7.42578125" style="211" customWidth="1"/>
    <col min="2313" max="2313" width="8.5703125" style="211" customWidth="1"/>
    <col min="2314" max="2314" width="7.28515625" style="211" customWidth="1"/>
    <col min="2315" max="2315" width="8.5703125" style="211" customWidth="1"/>
    <col min="2316" max="2316" width="6.7109375" style="211" customWidth="1"/>
    <col min="2317" max="2317" width="8.42578125" style="211" customWidth="1"/>
    <col min="2318" max="2318" width="6.7109375" style="211" customWidth="1"/>
    <col min="2319" max="2319" width="8.5703125" style="211" customWidth="1"/>
    <col min="2320" max="2320" width="6.7109375" style="211" customWidth="1"/>
    <col min="2321" max="2321" width="8.28515625" style="211" customWidth="1"/>
    <col min="2322" max="2322" width="7.7109375" style="211" customWidth="1"/>
    <col min="2323" max="2560" width="8.85546875" style="211"/>
    <col min="2561" max="2561" width="11.28515625" style="211" customWidth="1"/>
    <col min="2562" max="2562" width="10.42578125" style="211" customWidth="1"/>
    <col min="2563" max="2563" width="7.28515625" style="211" customWidth="1"/>
    <col min="2564" max="2564" width="7.42578125" style="211" customWidth="1"/>
    <col min="2565" max="2565" width="7.28515625" style="211" customWidth="1"/>
    <col min="2566" max="2566" width="8.42578125" style="211" customWidth="1"/>
    <col min="2567" max="2567" width="8.5703125" style="211" customWidth="1"/>
    <col min="2568" max="2568" width="7.42578125" style="211" customWidth="1"/>
    <col min="2569" max="2569" width="8.5703125" style="211" customWidth="1"/>
    <col min="2570" max="2570" width="7.28515625" style="211" customWidth="1"/>
    <col min="2571" max="2571" width="8.5703125" style="211" customWidth="1"/>
    <col min="2572" max="2572" width="6.7109375" style="211" customWidth="1"/>
    <col min="2573" max="2573" width="8.42578125" style="211" customWidth="1"/>
    <col min="2574" max="2574" width="6.7109375" style="211" customWidth="1"/>
    <col min="2575" max="2575" width="8.5703125" style="211" customWidth="1"/>
    <col min="2576" max="2576" width="6.7109375" style="211" customWidth="1"/>
    <col min="2577" max="2577" width="8.28515625" style="211" customWidth="1"/>
    <col min="2578" max="2578" width="7.7109375" style="211" customWidth="1"/>
    <col min="2579" max="2816" width="8.85546875" style="211"/>
    <col min="2817" max="2817" width="11.28515625" style="211" customWidth="1"/>
    <col min="2818" max="2818" width="10.42578125" style="211" customWidth="1"/>
    <col min="2819" max="2819" width="7.28515625" style="211" customWidth="1"/>
    <col min="2820" max="2820" width="7.42578125" style="211" customWidth="1"/>
    <col min="2821" max="2821" width="7.28515625" style="211" customWidth="1"/>
    <col min="2822" max="2822" width="8.42578125" style="211" customWidth="1"/>
    <col min="2823" max="2823" width="8.5703125" style="211" customWidth="1"/>
    <col min="2824" max="2824" width="7.42578125" style="211" customWidth="1"/>
    <col min="2825" max="2825" width="8.5703125" style="211" customWidth="1"/>
    <col min="2826" max="2826" width="7.28515625" style="211" customWidth="1"/>
    <col min="2827" max="2827" width="8.5703125" style="211" customWidth="1"/>
    <col min="2828" max="2828" width="6.7109375" style="211" customWidth="1"/>
    <col min="2829" max="2829" width="8.42578125" style="211" customWidth="1"/>
    <col min="2830" max="2830" width="6.7109375" style="211" customWidth="1"/>
    <col min="2831" max="2831" width="8.5703125" style="211" customWidth="1"/>
    <col min="2832" max="2832" width="6.7109375" style="211" customWidth="1"/>
    <col min="2833" max="2833" width="8.28515625" style="211" customWidth="1"/>
    <col min="2834" max="2834" width="7.7109375" style="211" customWidth="1"/>
    <col min="2835" max="3072" width="8.85546875" style="211"/>
    <col min="3073" max="3073" width="11.28515625" style="211" customWidth="1"/>
    <col min="3074" max="3074" width="10.42578125" style="211" customWidth="1"/>
    <col min="3075" max="3075" width="7.28515625" style="211" customWidth="1"/>
    <col min="3076" max="3076" width="7.42578125" style="211" customWidth="1"/>
    <col min="3077" max="3077" width="7.28515625" style="211" customWidth="1"/>
    <col min="3078" max="3078" width="8.42578125" style="211" customWidth="1"/>
    <col min="3079" max="3079" width="8.5703125" style="211" customWidth="1"/>
    <col min="3080" max="3080" width="7.42578125" style="211" customWidth="1"/>
    <col min="3081" max="3081" width="8.5703125" style="211" customWidth="1"/>
    <col min="3082" max="3082" width="7.28515625" style="211" customWidth="1"/>
    <col min="3083" max="3083" width="8.5703125" style="211" customWidth="1"/>
    <col min="3084" max="3084" width="6.7109375" style="211" customWidth="1"/>
    <col min="3085" max="3085" width="8.42578125" style="211" customWidth="1"/>
    <col min="3086" max="3086" width="6.7109375" style="211" customWidth="1"/>
    <col min="3087" max="3087" width="8.5703125" style="211" customWidth="1"/>
    <col min="3088" max="3088" width="6.7109375" style="211" customWidth="1"/>
    <col min="3089" max="3089" width="8.28515625" style="211" customWidth="1"/>
    <col min="3090" max="3090" width="7.7109375" style="211" customWidth="1"/>
    <col min="3091" max="3328" width="8.85546875" style="211"/>
    <col min="3329" max="3329" width="11.28515625" style="211" customWidth="1"/>
    <col min="3330" max="3330" width="10.42578125" style="211" customWidth="1"/>
    <col min="3331" max="3331" width="7.28515625" style="211" customWidth="1"/>
    <col min="3332" max="3332" width="7.42578125" style="211" customWidth="1"/>
    <col min="3333" max="3333" width="7.28515625" style="211" customWidth="1"/>
    <col min="3334" max="3334" width="8.42578125" style="211" customWidth="1"/>
    <col min="3335" max="3335" width="8.5703125" style="211" customWidth="1"/>
    <col min="3336" max="3336" width="7.42578125" style="211" customWidth="1"/>
    <col min="3337" max="3337" width="8.5703125" style="211" customWidth="1"/>
    <col min="3338" max="3338" width="7.28515625" style="211" customWidth="1"/>
    <col min="3339" max="3339" width="8.5703125" style="211" customWidth="1"/>
    <col min="3340" max="3340" width="6.7109375" style="211" customWidth="1"/>
    <col min="3341" max="3341" width="8.42578125" style="211" customWidth="1"/>
    <col min="3342" max="3342" width="6.7109375" style="211" customWidth="1"/>
    <col min="3343" max="3343" width="8.5703125" style="211" customWidth="1"/>
    <col min="3344" max="3344" width="6.7109375" style="211" customWidth="1"/>
    <col min="3345" max="3345" width="8.28515625" style="211" customWidth="1"/>
    <col min="3346" max="3346" width="7.7109375" style="211" customWidth="1"/>
    <col min="3347" max="3584" width="8.85546875" style="211"/>
    <col min="3585" max="3585" width="11.28515625" style="211" customWidth="1"/>
    <col min="3586" max="3586" width="10.42578125" style="211" customWidth="1"/>
    <col min="3587" max="3587" width="7.28515625" style="211" customWidth="1"/>
    <col min="3588" max="3588" width="7.42578125" style="211" customWidth="1"/>
    <col min="3589" max="3589" width="7.28515625" style="211" customWidth="1"/>
    <col min="3590" max="3590" width="8.42578125" style="211" customWidth="1"/>
    <col min="3591" max="3591" width="8.5703125" style="211" customWidth="1"/>
    <col min="3592" max="3592" width="7.42578125" style="211" customWidth="1"/>
    <col min="3593" max="3593" width="8.5703125" style="211" customWidth="1"/>
    <col min="3594" max="3594" width="7.28515625" style="211" customWidth="1"/>
    <col min="3595" max="3595" width="8.5703125" style="211" customWidth="1"/>
    <col min="3596" max="3596" width="6.7109375" style="211" customWidth="1"/>
    <col min="3597" max="3597" width="8.42578125" style="211" customWidth="1"/>
    <col min="3598" max="3598" width="6.7109375" style="211" customWidth="1"/>
    <col min="3599" max="3599" width="8.5703125" style="211" customWidth="1"/>
    <col min="3600" max="3600" width="6.7109375" style="211" customWidth="1"/>
    <col min="3601" max="3601" width="8.28515625" style="211" customWidth="1"/>
    <col min="3602" max="3602" width="7.7109375" style="211" customWidth="1"/>
    <col min="3603" max="3840" width="8.85546875" style="211"/>
    <col min="3841" max="3841" width="11.28515625" style="211" customWidth="1"/>
    <col min="3842" max="3842" width="10.42578125" style="211" customWidth="1"/>
    <col min="3843" max="3843" width="7.28515625" style="211" customWidth="1"/>
    <col min="3844" max="3844" width="7.42578125" style="211" customWidth="1"/>
    <col min="3845" max="3845" width="7.28515625" style="211" customWidth="1"/>
    <col min="3846" max="3846" width="8.42578125" style="211" customWidth="1"/>
    <col min="3847" max="3847" width="8.5703125" style="211" customWidth="1"/>
    <col min="3848" max="3848" width="7.42578125" style="211" customWidth="1"/>
    <col min="3849" max="3849" width="8.5703125" style="211" customWidth="1"/>
    <col min="3850" max="3850" width="7.28515625" style="211" customWidth="1"/>
    <col min="3851" max="3851" width="8.5703125" style="211" customWidth="1"/>
    <col min="3852" max="3852" width="6.7109375" style="211" customWidth="1"/>
    <col min="3853" max="3853" width="8.42578125" style="211" customWidth="1"/>
    <col min="3854" max="3854" width="6.7109375" style="211" customWidth="1"/>
    <col min="3855" max="3855" width="8.5703125" style="211" customWidth="1"/>
    <col min="3856" max="3856" width="6.7109375" style="211" customWidth="1"/>
    <col min="3857" max="3857" width="8.28515625" style="211" customWidth="1"/>
    <col min="3858" max="3858" width="7.7109375" style="211" customWidth="1"/>
    <col min="3859" max="4096" width="8.85546875" style="211"/>
    <col min="4097" max="4097" width="11.28515625" style="211" customWidth="1"/>
    <col min="4098" max="4098" width="10.42578125" style="211" customWidth="1"/>
    <col min="4099" max="4099" width="7.28515625" style="211" customWidth="1"/>
    <col min="4100" max="4100" width="7.42578125" style="211" customWidth="1"/>
    <col min="4101" max="4101" width="7.28515625" style="211" customWidth="1"/>
    <col min="4102" max="4102" width="8.42578125" style="211" customWidth="1"/>
    <col min="4103" max="4103" width="8.5703125" style="211" customWidth="1"/>
    <col min="4104" max="4104" width="7.42578125" style="211" customWidth="1"/>
    <col min="4105" max="4105" width="8.5703125" style="211" customWidth="1"/>
    <col min="4106" max="4106" width="7.28515625" style="211" customWidth="1"/>
    <col min="4107" max="4107" width="8.5703125" style="211" customWidth="1"/>
    <col min="4108" max="4108" width="6.7109375" style="211" customWidth="1"/>
    <col min="4109" max="4109" width="8.42578125" style="211" customWidth="1"/>
    <col min="4110" max="4110" width="6.7109375" style="211" customWidth="1"/>
    <col min="4111" max="4111" width="8.5703125" style="211" customWidth="1"/>
    <col min="4112" max="4112" width="6.7109375" style="211" customWidth="1"/>
    <col min="4113" max="4113" width="8.28515625" style="211" customWidth="1"/>
    <col min="4114" max="4114" width="7.7109375" style="211" customWidth="1"/>
    <col min="4115" max="4352" width="8.85546875" style="211"/>
    <col min="4353" max="4353" width="11.28515625" style="211" customWidth="1"/>
    <col min="4354" max="4354" width="10.42578125" style="211" customWidth="1"/>
    <col min="4355" max="4355" width="7.28515625" style="211" customWidth="1"/>
    <col min="4356" max="4356" width="7.42578125" style="211" customWidth="1"/>
    <col min="4357" max="4357" width="7.28515625" style="211" customWidth="1"/>
    <col min="4358" max="4358" width="8.42578125" style="211" customWidth="1"/>
    <col min="4359" max="4359" width="8.5703125" style="211" customWidth="1"/>
    <col min="4360" max="4360" width="7.42578125" style="211" customWidth="1"/>
    <col min="4361" max="4361" width="8.5703125" style="211" customWidth="1"/>
    <col min="4362" max="4362" width="7.28515625" style="211" customWidth="1"/>
    <col min="4363" max="4363" width="8.5703125" style="211" customWidth="1"/>
    <col min="4364" max="4364" width="6.7109375" style="211" customWidth="1"/>
    <col min="4365" max="4365" width="8.42578125" style="211" customWidth="1"/>
    <col min="4366" max="4366" width="6.7109375" style="211" customWidth="1"/>
    <col min="4367" max="4367" width="8.5703125" style="211" customWidth="1"/>
    <col min="4368" max="4368" width="6.7109375" style="211" customWidth="1"/>
    <col min="4369" max="4369" width="8.28515625" style="211" customWidth="1"/>
    <col min="4370" max="4370" width="7.7109375" style="211" customWidth="1"/>
    <col min="4371" max="4608" width="8.85546875" style="211"/>
    <col min="4609" max="4609" width="11.28515625" style="211" customWidth="1"/>
    <col min="4610" max="4610" width="10.42578125" style="211" customWidth="1"/>
    <col min="4611" max="4611" width="7.28515625" style="211" customWidth="1"/>
    <col min="4612" max="4612" width="7.42578125" style="211" customWidth="1"/>
    <col min="4613" max="4613" width="7.28515625" style="211" customWidth="1"/>
    <col min="4614" max="4614" width="8.42578125" style="211" customWidth="1"/>
    <col min="4615" max="4615" width="8.5703125" style="211" customWidth="1"/>
    <col min="4616" max="4616" width="7.42578125" style="211" customWidth="1"/>
    <col min="4617" max="4617" width="8.5703125" style="211" customWidth="1"/>
    <col min="4618" max="4618" width="7.28515625" style="211" customWidth="1"/>
    <col min="4619" max="4619" width="8.5703125" style="211" customWidth="1"/>
    <col min="4620" max="4620" width="6.7109375" style="211" customWidth="1"/>
    <col min="4621" max="4621" width="8.42578125" style="211" customWidth="1"/>
    <col min="4622" max="4622" width="6.7109375" style="211" customWidth="1"/>
    <col min="4623" max="4623" width="8.5703125" style="211" customWidth="1"/>
    <col min="4624" max="4624" width="6.7109375" style="211" customWidth="1"/>
    <col min="4625" max="4625" width="8.28515625" style="211" customWidth="1"/>
    <col min="4626" max="4626" width="7.7109375" style="211" customWidth="1"/>
    <col min="4627" max="4864" width="8.85546875" style="211"/>
    <col min="4865" max="4865" width="11.28515625" style="211" customWidth="1"/>
    <col min="4866" max="4866" width="10.42578125" style="211" customWidth="1"/>
    <col min="4867" max="4867" width="7.28515625" style="211" customWidth="1"/>
    <col min="4868" max="4868" width="7.42578125" style="211" customWidth="1"/>
    <col min="4869" max="4869" width="7.28515625" style="211" customWidth="1"/>
    <col min="4870" max="4870" width="8.42578125" style="211" customWidth="1"/>
    <col min="4871" max="4871" width="8.5703125" style="211" customWidth="1"/>
    <col min="4872" max="4872" width="7.42578125" style="211" customWidth="1"/>
    <col min="4873" max="4873" width="8.5703125" style="211" customWidth="1"/>
    <col min="4874" max="4874" width="7.28515625" style="211" customWidth="1"/>
    <col min="4875" max="4875" width="8.5703125" style="211" customWidth="1"/>
    <col min="4876" max="4876" width="6.7109375" style="211" customWidth="1"/>
    <col min="4877" max="4877" width="8.42578125" style="211" customWidth="1"/>
    <col min="4878" max="4878" width="6.7109375" style="211" customWidth="1"/>
    <col min="4879" max="4879" width="8.5703125" style="211" customWidth="1"/>
    <col min="4880" max="4880" width="6.7109375" style="211" customWidth="1"/>
    <col min="4881" max="4881" width="8.28515625" style="211" customWidth="1"/>
    <col min="4882" max="4882" width="7.7109375" style="211" customWidth="1"/>
    <col min="4883" max="5120" width="8.85546875" style="211"/>
    <col min="5121" max="5121" width="11.28515625" style="211" customWidth="1"/>
    <col min="5122" max="5122" width="10.42578125" style="211" customWidth="1"/>
    <col min="5123" max="5123" width="7.28515625" style="211" customWidth="1"/>
    <col min="5124" max="5124" width="7.42578125" style="211" customWidth="1"/>
    <col min="5125" max="5125" width="7.28515625" style="211" customWidth="1"/>
    <col min="5126" max="5126" width="8.42578125" style="211" customWidth="1"/>
    <col min="5127" max="5127" width="8.5703125" style="211" customWidth="1"/>
    <col min="5128" max="5128" width="7.42578125" style="211" customWidth="1"/>
    <col min="5129" max="5129" width="8.5703125" style="211" customWidth="1"/>
    <col min="5130" max="5130" width="7.28515625" style="211" customWidth="1"/>
    <col min="5131" max="5131" width="8.5703125" style="211" customWidth="1"/>
    <col min="5132" max="5132" width="6.7109375" style="211" customWidth="1"/>
    <col min="5133" max="5133" width="8.42578125" style="211" customWidth="1"/>
    <col min="5134" max="5134" width="6.7109375" style="211" customWidth="1"/>
    <col min="5135" max="5135" width="8.5703125" style="211" customWidth="1"/>
    <col min="5136" max="5136" width="6.7109375" style="211" customWidth="1"/>
    <col min="5137" max="5137" width="8.28515625" style="211" customWidth="1"/>
    <col min="5138" max="5138" width="7.7109375" style="211" customWidth="1"/>
    <col min="5139" max="5376" width="8.85546875" style="211"/>
    <col min="5377" max="5377" width="11.28515625" style="211" customWidth="1"/>
    <col min="5378" max="5378" width="10.42578125" style="211" customWidth="1"/>
    <col min="5379" max="5379" width="7.28515625" style="211" customWidth="1"/>
    <col min="5380" max="5380" width="7.42578125" style="211" customWidth="1"/>
    <col min="5381" max="5381" width="7.28515625" style="211" customWidth="1"/>
    <col min="5382" max="5382" width="8.42578125" style="211" customWidth="1"/>
    <col min="5383" max="5383" width="8.5703125" style="211" customWidth="1"/>
    <col min="5384" max="5384" width="7.42578125" style="211" customWidth="1"/>
    <col min="5385" max="5385" width="8.5703125" style="211" customWidth="1"/>
    <col min="5386" max="5386" width="7.28515625" style="211" customWidth="1"/>
    <col min="5387" max="5387" width="8.5703125" style="211" customWidth="1"/>
    <col min="5388" max="5388" width="6.7109375" style="211" customWidth="1"/>
    <col min="5389" max="5389" width="8.42578125" style="211" customWidth="1"/>
    <col min="5390" max="5390" width="6.7109375" style="211" customWidth="1"/>
    <col min="5391" max="5391" width="8.5703125" style="211" customWidth="1"/>
    <col min="5392" max="5392" width="6.7109375" style="211" customWidth="1"/>
    <col min="5393" max="5393" width="8.28515625" style="211" customWidth="1"/>
    <col min="5394" max="5394" width="7.7109375" style="211" customWidth="1"/>
    <col min="5395" max="5632" width="8.85546875" style="211"/>
    <col min="5633" max="5633" width="11.28515625" style="211" customWidth="1"/>
    <col min="5634" max="5634" width="10.42578125" style="211" customWidth="1"/>
    <col min="5635" max="5635" width="7.28515625" style="211" customWidth="1"/>
    <col min="5636" max="5636" width="7.42578125" style="211" customWidth="1"/>
    <col min="5637" max="5637" width="7.28515625" style="211" customWidth="1"/>
    <col min="5638" max="5638" width="8.42578125" style="211" customWidth="1"/>
    <col min="5639" max="5639" width="8.5703125" style="211" customWidth="1"/>
    <col min="5640" max="5640" width="7.42578125" style="211" customWidth="1"/>
    <col min="5641" max="5641" width="8.5703125" style="211" customWidth="1"/>
    <col min="5642" max="5642" width="7.28515625" style="211" customWidth="1"/>
    <col min="5643" max="5643" width="8.5703125" style="211" customWidth="1"/>
    <col min="5644" max="5644" width="6.7109375" style="211" customWidth="1"/>
    <col min="5645" max="5645" width="8.42578125" style="211" customWidth="1"/>
    <col min="5646" max="5646" width="6.7109375" style="211" customWidth="1"/>
    <col min="5647" max="5647" width="8.5703125" style="211" customWidth="1"/>
    <col min="5648" max="5648" width="6.7109375" style="211" customWidth="1"/>
    <col min="5649" max="5649" width="8.28515625" style="211" customWidth="1"/>
    <col min="5650" max="5650" width="7.7109375" style="211" customWidth="1"/>
    <col min="5651" max="5888" width="8.85546875" style="211"/>
    <col min="5889" max="5889" width="11.28515625" style="211" customWidth="1"/>
    <col min="5890" max="5890" width="10.42578125" style="211" customWidth="1"/>
    <col min="5891" max="5891" width="7.28515625" style="211" customWidth="1"/>
    <col min="5892" max="5892" width="7.42578125" style="211" customWidth="1"/>
    <col min="5893" max="5893" width="7.28515625" style="211" customWidth="1"/>
    <col min="5894" max="5894" width="8.42578125" style="211" customWidth="1"/>
    <col min="5895" max="5895" width="8.5703125" style="211" customWidth="1"/>
    <col min="5896" max="5896" width="7.42578125" style="211" customWidth="1"/>
    <col min="5897" max="5897" width="8.5703125" style="211" customWidth="1"/>
    <col min="5898" max="5898" width="7.28515625" style="211" customWidth="1"/>
    <col min="5899" max="5899" width="8.5703125" style="211" customWidth="1"/>
    <col min="5900" max="5900" width="6.7109375" style="211" customWidth="1"/>
    <col min="5901" max="5901" width="8.42578125" style="211" customWidth="1"/>
    <col min="5902" max="5902" width="6.7109375" style="211" customWidth="1"/>
    <col min="5903" max="5903" width="8.5703125" style="211" customWidth="1"/>
    <col min="5904" max="5904" width="6.7109375" style="211" customWidth="1"/>
    <col min="5905" max="5905" width="8.28515625" style="211" customWidth="1"/>
    <col min="5906" max="5906" width="7.7109375" style="211" customWidth="1"/>
    <col min="5907" max="6144" width="8.85546875" style="211"/>
    <col min="6145" max="6145" width="11.28515625" style="211" customWidth="1"/>
    <col min="6146" max="6146" width="10.42578125" style="211" customWidth="1"/>
    <col min="6147" max="6147" width="7.28515625" style="211" customWidth="1"/>
    <col min="6148" max="6148" width="7.42578125" style="211" customWidth="1"/>
    <col min="6149" max="6149" width="7.28515625" style="211" customWidth="1"/>
    <col min="6150" max="6150" width="8.42578125" style="211" customWidth="1"/>
    <col min="6151" max="6151" width="8.5703125" style="211" customWidth="1"/>
    <col min="6152" max="6152" width="7.42578125" style="211" customWidth="1"/>
    <col min="6153" max="6153" width="8.5703125" style="211" customWidth="1"/>
    <col min="6154" max="6154" width="7.28515625" style="211" customWidth="1"/>
    <col min="6155" max="6155" width="8.5703125" style="211" customWidth="1"/>
    <col min="6156" max="6156" width="6.7109375" style="211" customWidth="1"/>
    <col min="6157" max="6157" width="8.42578125" style="211" customWidth="1"/>
    <col min="6158" max="6158" width="6.7109375" style="211" customWidth="1"/>
    <col min="6159" max="6159" width="8.5703125" style="211" customWidth="1"/>
    <col min="6160" max="6160" width="6.7109375" style="211" customWidth="1"/>
    <col min="6161" max="6161" width="8.28515625" style="211" customWidth="1"/>
    <col min="6162" max="6162" width="7.7109375" style="211" customWidth="1"/>
    <col min="6163" max="6400" width="8.85546875" style="211"/>
    <col min="6401" max="6401" width="11.28515625" style="211" customWidth="1"/>
    <col min="6402" max="6402" width="10.42578125" style="211" customWidth="1"/>
    <col min="6403" max="6403" width="7.28515625" style="211" customWidth="1"/>
    <col min="6404" max="6404" width="7.42578125" style="211" customWidth="1"/>
    <col min="6405" max="6405" width="7.28515625" style="211" customWidth="1"/>
    <col min="6406" max="6406" width="8.42578125" style="211" customWidth="1"/>
    <col min="6407" max="6407" width="8.5703125" style="211" customWidth="1"/>
    <col min="6408" max="6408" width="7.42578125" style="211" customWidth="1"/>
    <col min="6409" max="6409" width="8.5703125" style="211" customWidth="1"/>
    <col min="6410" max="6410" width="7.28515625" style="211" customWidth="1"/>
    <col min="6411" max="6411" width="8.5703125" style="211" customWidth="1"/>
    <col min="6412" max="6412" width="6.7109375" style="211" customWidth="1"/>
    <col min="6413" max="6413" width="8.42578125" style="211" customWidth="1"/>
    <col min="6414" max="6414" width="6.7109375" style="211" customWidth="1"/>
    <col min="6415" max="6415" width="8.5703125" style="211" customWidth="1"/>
    <col min="6416" max="6416" width="6.7109375" style="211" customWidth="1"/>
    <col min="6417" max="6417" width="8.28515625" style="211" customWidth="1"/>
    <col min="6418" max="6418" width="7.7109375" style="211" customWidth="1"/>
    <col min="6419" max="6656" width="8.85546875" style="211"/>
    <col min="6657" max="6657" width="11.28515625" style="211" customWidth="1"/>
    <col min="6658" max="6658" width="10.42578125" style="211" customWidth="1"/>
    <col min="6659" max="6659" width="7.28515625" style="211" customWidth="1"/>
    <col min="6660" max="6660" width="7.42578125" style="211" customWidth="1"/>
    <col min="6661" max="6661" width="7.28515625" style="211" customWidth="1"/>
    <col min="6662" max="6662" width="8.42578125" style="211" customWidth="1"/>
    <col min="6663" max="6663" width="8.5703125" style="211" customWidth="1"/>
    <col min="6664" max="6664" width="7.42578125" style="211" customWidth="1"/>
    <col min="6665" max="6665" width="8.5703125" style="211" customWidth="1"/>
    <col min="6666" max="6666" width="7.28515625" style="211" customWidth="1"/>
    <col min="6667" max="6667" width="8.5703125" style="211" customWidth="1"/>
    <col min="6668" max="6668" width="6.7109375" style="211" customWidth="1"/>
    <col min="6669" max="6669" width="8.42578125" style="211" customWidth="1"/>
    <col min="6670" max="6670" width="6.7109375" style="211" customWidth="1"/>
    <col min="6671" max="6671" width="8.5703125" style="211" customWidth="1"/>
    <col min="6672" max="6672" width="6.7109375" style="211" customWidth="1"/>
    <col min="6673" max="6673" width="8.28515625" style="211" customWidth="1"/>
    <col min="6674" max="6674" width="7.7109375" style="211" customWidth="1"/>
    <col min="6675" max="6912" width="8.85546875" style="211"/>
    <col min="6913" max="6913" width="11.28515625" style="211" customWidth="1"/>
    <col min="6914" max="6914" width="10.42578125" style="211" customWidth="1"/>
    <col min="6915" max="6915" width="7.28515625" style="211" customWidth="1"/>
    <col min="6916" max="6916" width="7.42578125" style="211" customWidth="1"/>
    <col min="6917" max="6917" width="7.28515625" style="211" customWidth="1"/>
    <col min="6918" max="6918" width="8.42578125" style="211" customWidth="1"/>
    <col min="6919" max="6919" width="8.5703125" style="211" customWidth="1"/>
    <col min="6920" max="6920" width="7.42578125" style="211" customWidth="1"/>
    <col min="6921" max="6921" width="8.5703125" style="211" customWidth="1"/>
    <col min="6922" max="6922" width="7.28515625" style="211" customWidth="1"/>
    <col min="6923" max="6923" width="8.5703125" style="211" customWidth="1"/>
    <col min="6924" max="6924" width="6.7109375" style="211" customWidth="1"/>
    <col min="6925" max="6925" width="8.42578125" style="211" customWidth="1"/>
    <col min="6926" max="6926" width="6.7109375" style="211" customWidth="1"/>
    <col min="6927" max="6927" width="8.5703125" style="211" customWidth="1"/>
    <col min="6928" max="6928" width="6.7109375" style="211" customWidth="1"/>
    <col min="6929" max="6929" width="8.28515625" style="211" customWidth="1"/>
    <col min="6930" max="6930" width="7.7109375" style="211" customWidth="1"/>
    <col min="6931" max="7168" width="8.85546875" style="211"/>
    <col min="7169" max="7169" width="11.28515625" style="211" customWidth="1"/>
    <col min="7170" max="7170" width="10.42578125" style="211" customWidth="1"/>
    <col min="7171" max="7171" width="7.28515625" style="211" customWidth="1"/>
    <col min="7172" max="7172" width="7.42578125" style="211" customWidth="1"/>
    <col min="7173" max="7173" width="7.28515625" style="211" customWidth="1"/>
    <col min="7174" max="7174" width="8.42578125" style="211" customWidth="1"/>
    <col min="7175" max="7175" width="8.5703125" style="211" customWidth="1"/>
    <col min="7176" max="7176" width="7.42578125" style="211" customWidth="1"/>
    <col min="7177" max="7177" width="8.5703125" style="211" customWidth="1"/>
    <col min="7178" max="7178" width="7.28515625" style="211" customWidth="1"/>
    <col min="7179" max="7179" width="8.5703125" style="211" customWidth="1"/>
    <col min="7180" max="7180" width="6.7109375" style="211" customWidth="1"/>
    <col min="7181" max="7181" width="8.42578125" style="211" customWidth="1"/>
    <col min="7182" max="7182" width="6.7109375" style="211" customWidth="1"/>
    <col min="7183" max="7183" width="8.5703125" style="211" customWidth="1"/>
    <col min="7184" max="7184" width="6.7109375" style="211" customWidth="1"/>
    <col min="7185" max="7185" width="8.28515625" style="211" customWidth="1"/>
    <col min="7186" max="7186" width="7.7109375" style="211" customWidth="1"/>
    <col min="7187" max="7424" width="8.85546875" style="211"/>
    <col min="7425" max="7425" width="11.28515625" style="211" customWidth="1"/>
    <col min="7426" max="7426" width="10.42578125" style="211" customWidth="1"/>
    <col min="7427" max="7427" width="7.28515625" style="211" customWidth="1"/>
    <col min="7428" max="7428" width="7.42578125" style="211" customWidth="1"/>
    <col min="7429" max="7429" width="7.28515625" style="211" customWidth="1"/>
    <col min="7430" max="7430" width="8.42578125" style="211" customWidth="1"/>
    <col min="7431" max="7431" width="8.5703125" style="211" customWidth="1"/>
    <col min="7432" max="7432" width="7.42578125" style="211" customWidth="1"/>
    <col min="7433" max="7433" width="8.5703125" style="211" customWidth="1"/>
    <col min="7434" max="7434" width="7.28515625" style="211" customWidth="1"/>
    <col min="7435" max="7435" width="8.5703125" style="211" customWidth="1"/>
    <col min="7436" max="7436" width="6.7109375" style="211" customWidth="1"/>
    <col min="7437" max="7437" width="8.42578125" style="211" customWidth="1"/>
    <col min="7438" max="7438" width="6.7109375" style="211" customWidth="1"/>
    <col min="7439" max="7439" width="8.5703125" style="211" customWidth="1"/>
    <col min="7440" max="7440" width="6.7109375" style="211" customWidth="1"/>
    <col min="7441" max="7441" width="8.28515625" style="211" customWidth="1"/>
    <col min="7442" max="7442" width="7.7109375" style="211" customWidth="1"/>
    <col min="7443" max="7680" width="8.85546875" style="211"/>
    <col min="7681" max="7681" width="11.28515625" style="211" customWidth="1"/>
    <col min="7682" max="7682" width="10.42578125" style="211" customWidth="1"/>
    <col min="7683" max="7683" width="7.28515625" style="211" customWidth="1"/>
    <col min="7684" max="7684" width="7.42578125" style="211" customWidth="1"/>
    <col min="7685" max="7685" width="7.28515625" style="211" customWidth="1"/>
    <col min="7686" max="7686" width="8.42578125" style="211" customWidth="1"/>
    <col min="7687" max="7687" width="8.5703125" style="211" customWidth="1"/>
    <col min="7688" max="7688" width="7.42578125" style="211" customWidth="1"/>
    <col min="7689" max="7689" width="8.5703125" style="211" customWidth="1"/>
    <col min="7690" max="7690" width="7.28515625" style="211" customWidth="1"/>
    <col min="7691" max="7691" width="8.5703125" style="211" customWidth="1"/>
    <col min="7692" max="7692" width="6.7109375" style="211" customWidth="1"/>
    <col min="7693" max="7693" width="8.42578125" style="211" customWidth="1"/>
    <col min="7694" max="7694" width="6.7109375" style="211" customWidth="1"/>
    <col min="7695" max="7695" width="8.5703125" style="211" customWidth="1"/>
    <col min="7696" max="7696" width="6.7109375" style="211" customWidth="1"/>
    <col min="7697" max="7697" width="8.28515625" style="211" customWidth="1"/>
    <col min="7698" max="7698" width="7.7109375" style="211" customWidth="1"/>
    <col min="7699" max="7936" width="8.85546875" style="211"/>
    <col min="7937" max="7937" width="11.28515625" style="211" customWidth="1"/>
    <col min="7938" max="7938" width="10.42578125" style="211" customWidth="1"/>
    <col min="7939" max="7939" width="7.28515625" style="211" customWidth="1"/>
    <col min="7940" max="7940" width="7.42578125" style="211" customWidth="1"/>
    <col min="7941" max="7941" width="7.28515625" style="211" customWidth="1"/>
    <col min="7942" max="7942" width="8.42578125" style="211" customWidth="1"/>
    <col min="7943" max="7943" width="8.5703125" style="211" customWidth="1"/>
    <col min="7944" max="7944" width="7.42578125" style="211" customWidth="1"/>
    <col min="7945" max="7945" width="8.5703125" style="211" customWidth="1"/>
    <col min="7946" max="7946" width="7.28515625" style="211" customWidth="1"/>
    <col min="7947" max="7947" width="8.5703125" style="211" customWidth="1"/>
    <col min="7948" max="7948" width="6.7109375" style="211" customWidth="1"/>
    <col min="7949" max="7949" width="8.42578125" style="211" customWidth="1"/>
    <col min="7950" max="7950" width="6.7109375" style="211" customWidth="1"/>
    <col min="7951" max="7951" width="8.5703125" style="211" customWidth="1"/>
    <col min="7952" max="7952" width="6.7109375" style="211" customWidth="1"/>
    <col min="7953" max="7953" width="8.28515625" style="211" customWidth="1"/>
    <col min="7954" max="7954" width="7.7109375" style="211" customWidth="1"/>
    <col min="7955" max="8192" width="8.85546875" style="211"/>
    <col min="8193" max="8193" width="11.28515625" style="211" customWidth="1"/>
    <col min="8194" max="8194" width="10.42578125" style="211" customWidth="1"/>
    <col min="8195" max="8195" width="7.28515625" style="211" customWidth="1"/>
    <col min="8196" max="8196" width="7.42578125" style="211" customWidth="1"/>
    <col min="8197" max="8197" width="7.28515625" style="211" customWidth="1"/>
    <col min="8198" max="8198" width="8.42578125" style="211" customWidth="1"/>
    <col min="8199" max="8199" width="8.5703125" style="211" customWidth="1"/>
    <col min="8200" max="8200" width="7.42578125" style="211" customWidth="1"/>
    <col min="8201" max="8201" width="8.5703125" style="211" customWidth="1"/>
    <col min="8202" max="8202" width="7.28515625" style="211" customWidth="1"/>
    <col min="8203" max="8203" width="8.5703125" style="211" customWidth="1"/>
    <col min="8204" max="8204" width="6.7109375" style="211" customWidth="1"/>
    <col min="8205" max="8205" width="8.42578125" style="211" customWidth="1"/>
    <col min="8206" max="8206" width="6.7109375" style="211" customWidth="1"/>
    <col min="8207" max="8207" width="8.5703125" style="211" customWidth="1"/>
    <col min="8208" max="8208" width="6.7109375" style="211" customWidth="1"/>
    <col min="8209" max="8209" width="8.28515625" style="211" customWidth="1"/>
    <col min="8210" max="8210" width="7.7109375" style="211" customWidth="1"/>
    <col min="8211" max="8448" width="8.85546875" style="211"/>
    <col min="8449" max="8449" width="11.28515625" style="211" customWidth="1"/>
    <col min="8450" max="8450" width="10.42578125" style="211" customWidth="1"/>
    <col min="8451" max="8451" width="7.28515625" style="211" customWidth="1"/>
    <col min="8452" max="8452" width="7.42578125" style="211" customWidth="1"/>
    <col min="8453" max="8453" width="7.28515625" style="211" customWidth="1"/>
    <col min="8454" max="8454" width="8.42578125" style="211" customWidth="1"/>
    <col min="8455" max="8455" width="8.5703125" style="211" customWidth="1"/>
    <col min="8456" max="8456" width="7.42578125" style="211" customWidth="1"/>
    <col min="8457" max="8457" width="8.5703125" style="211" customWidth="1"/>
    <col min="8458" max="8458" width="7.28515625" style="211" customWidth="1"/>
    <col min="8459" max="8459" width="8.5703125" style="211" customWidth="1"/>
    <col min="8460" max="8460" width="6.7109375" style="211" customWidth="1"/>
    <col min="8461" max="8461" width="8.42578125" style="211" customWidth="1"/>
    <col min="8462" max="8462" width="6.7109375" style="211" customWidth="1"/>
    <col min="8463" max="8463" width="8.5703125" style="211" customWidth="1"/>
    <col min="8464" max="8464" width="6.7109375" style="211" customWidth="1"/>
    <col min="8465" max="8465" width="8.28515625" style="211" customWidth="1"/>
    <col min="8466" max="8466" width="7.7109375" style="211" customWidth="1"/>
    <col min="8467" max="8704" width="8.85546875" style="211"/>
    <col min="8705" max="8705" width="11.28515625" style="211" customWidth="1"/>
    <col min="8706" max="8706" width="10.42578125" style="211" customWidth="1"/>
    <col min="8707" max="8707" width="7.28515625" style="211" customWidth="1"/>
    <col min="8708" max="8708" width="7.42578125" style="211" customWidth="1"/>
    <col min="8709" max="8709" width="7.28515625" style="211" customWidth="1"/>
    <col min="8710" max="8710" width="8.42578125" style="211" customWidth="1"/>
    <col min="8711" max="8711" width="8.5703125" style="211" customWidth="1"/>
    <col min="8712" max="8712" width="7.42578125" style="211" customWidth="1"/>
    <col min="8713" max="8713" width="8.5703125" style="211" customWidth="1"/>
    <col min="8714" max="8714" width="7.28515625" style="211" customWidth="1"/>
    <col min="8715" max="8715" width="8.5703125" style="211" customWidth="1"/>
    <col min="8716" max="8716" width="6.7109375" style="211" customWidth="1"/>
    <col min="8717" max="8717" width="8.42578125" style="211" customWidth="1"/>
    <col min="8718" max="8718" width="6.7109375" style="211" customWidth="1"/>
    <col min="8719" max="8719" width="8.5703125" style="211" customWidth="1"/>
    <col min="8720" max="8720" width="6.7109375" style="211" customWidth="1"/>
    <col min="8721" max="8721" width="8.28515625" style="211" customWidth="1"/>
    <col min="8722" max="8722" width="7.7109375" style="211" customWidth="1"/>
    <col min="8723" max="8960" width="8.85546875" style="211"/>
    <col min="8961" max="8961" width="11.28515625" style="211" customWidth="1"/>
    <col min="8962" max="8962" width="10.42578125" style="211" customWidth="1"/>
    <col min="8963" max="8963" width="7.28515625" style="211" customWidth="1"/>
    <col min="8964" max="8964" width="7.42578125" style="211" customWidth="1"/>
    <col min="8965" max="8965" width="7.28515625" style="211" customWidth="1"/>
    <col min="8966" max="8966" width="8.42578125" style="211" customWidth="1"/>
    <col min="8967" max="8967" width="8.5703125" style="211" customWidth="1"/>
    <col min="8968" max="8968" width="7.42578125" style="211" customWidth="1"/>
    <col min="8969" max="8969" width="8.5703125" style="211" customWidth="1"/>
    <col min="8970" max="8970" width="7.28515625" style="211" customWidth="1"/>
    <col min="8971" max="8971" width="8.5703125" style="211" customWidth="1"/>
    <col min="8972" max="8972" width="6.7109375" style="211" customWidth="1"/>
    <col min="8973" max="8973" width="8.42578125" style="211" customWidth="1"/>
    <col min="8974" max="8974" width="6.7109375" style="211" customWidth="1"/>
    <col min="8975" max="8975" width="8.5703125" style="211" customWidth="1"/>
    <col min="8976" max="8976" width="6.7109375" style="211" customWidth="1"/>
    <col min="8977" max="8977" width="8.28515625" style="211" customWidth="1"/>
    <col min="8978" max="8978" width="7.7109375" style="211" customWidth="1"/>
    <col min="8979" max="9216" width="8.85546875" style="211"/>
    <col min="9217" max="9217" width="11.28515625" style="211" customWidth="1"/>
    <col min="9218" max="9218" width="10.42578125" style="211" customWidth="1"/>
    <col min="9219" max="9219" width="7.28515625" style="211" customWidth="1"/>
    <col min="9220" max="9220" width="7.42578125" style="211" customWidth="1"/>
    <col min="9221" max="9221" width="7.28515625" style="211" customWidth="1"/>
    <col min="9222" max="9222" width="8.42578125" style="211" customWidth="1"/>
    <col min="9223" max="9223" width="8.5703125" style="211" customWidth="1"/>
    <col min="9224" max="9224" width="7.42578125" style="211" customWidth="1"/>
    <col min="9225" max="9225" width="8.5703125" style="211" customWidth="1"/>
    <col min="9226" max="9226" width="7.28515625" style="211" customWidth="1"/>
    <col min="9227" max="9227" width="8.5703125" style="211" customWidth="1"/>
    <col min="9228" max="9228" width="6.7109375" style="211" customWidth="1"/>
    <col min="9229" max="9229" width="8.42578125" style="211" customWidth="1"/>
    <col min="9230" max="9230" width="6.7109375" style="211" customWidth="1"/>
    <col min="9231" max="9231" width="8.5703125" style="211" customWidth="1"/>
    <col min="9232" max="9232" width="6.7109375" style="211" customWidth="1"/>
    <col min="9233" max="9233" width="8.28515625" style="211" customWidth="1"/>
    <col min="9234" max="9234" width="7.7109375" style="211" customWidth="1"/>
    <col min="9235" max="9472" width="8.85546875" style="211"/>
    <col min="9473" max="9473" width="11.28515625" style="211" customWidth="1"/>
    <col min="9474" max="9474" width="10.42578125" style="211" customWidth="1"/>
    <col min="9475" max="9475" width="7.28515625" style="211" customWidth="1"/>
    <col min="9476" max="9476" width="7.42578125" style="211" customWidth="1"/>
    <col min="9477" max="9477" width="7.28515625" style="211" customWidth="1"/>
    <col min="9478" max="9478" width="8.42578125" style="211" customWidth="1"/>
    <col min="9479" max="9479" width="8.5703125" style="211" customWidth="1"/>
    <col min="9480" max="9480" width="7.42578125" style="211" customWidth="1"/>
    <col min="9481" max="9481" width="8.5703125" style="211" customWidth="1"/>
    <col min="9482" max="9482" width="7.28515625" style="211" customWidth="1"/>
    <col min="9483" max="9483" width="8.5703125" style="211" customWidth="1"/>
    <col min="9484" max="9484" width="6.7109375" style="211" customWidth="1"/>
    <col min="9485" max="9485" width="8.42578125" style="211" customWidth="1"/>
    <col min="9486" max="9486" width="6.7109375" style="211" customWidth="1"/>
    <col min="9487" max="9487" width="8.5703125" style="211" customWidth="1"/>
    <col min="9488" max="9488" width="6.7109375" style="211" customWidth="1"/>
    <col min="9489" max="9489" width="8.28515625" style="211" customWidth="1"/>
    <col min="9490" max="9490" width="7.7109375" style="211" customWidth="1"/>
    <col min="9491" max="9728" width="8.85546875" style="211"/>
    <col min="9729" max="9729" width="11.28515625" style="211" customWidth="1"/>
    <col min="9730" max="9730" width="10.42578125" style="211" customWidth="1"/>
    <col min="9731" max="9731" width="7.28515625" style="211" customWidth="1"/>
    <col min="9732" max="9732" width="7.42578125" style="211" customWidth="1"/>
    <col min="9733" max="9733" width="7.28515625" style="211" customWidth="1"/>
    <col min="9734" max="9734" width="8.42578125" style="211" customWidth="1"/>
    <col min="9735" max="9735" width="8.5703125" style="211" customWidth="1"/>
    <col min="9736" max="9736" width="7.42578125" style="211" customWidth="1"/>
    <col min="9737" max="9737" width="8.5703125" style="211" customWidth="1"/>
    <col min="9738" max="9738" width="7.28515625" style="211" customWidth="1"/>
    <col min="9739" max="9739" width="8.5703125" style="211" customWidth="1"/>
    <col min="9740" max="9740" width="6.7109375" style="211" customWidth="1"/>
    <col min="9741" max="9741" width="8.42578125" style="211" customWidth="1"/>
    <col min="9742" max="9742" width="6.7109375" style="211" customWidth="1"/>
    <col min="9743" max="9743" width="8.5703125" style="211" customWidth="1"/>
    <col min="9744" max="9744" width="6.7109375" style="211" customWidth="1"/>
    <col min="9745" max="9745" width="8.28515625" style="211" customWidth="1"/>
    <col min="9746" max="9746" width="7.7109375" style="211" customWidth="1"/>
    <col min="9747" max="9984" width="8.85546875" style="211"/>
    <col min="9985" max="9985" width="11.28515625" style="211" customWidth="1"/>
    <col min="9986" max="9986" width="10.42578125" style="211" customWidth="1"/>
    <col min="9987" max="9987" width="7.28515625" style="211" customWidth="1"/>
    <col min="9988" max="9988" width="7.42578125" style="211" customWidth="1"/>
    <col min="9989" max="9989" width="7.28515625" style="211" customWidth="1"/>
    <col min="9990" max="9990" width="8.42578125" style="211" customWidth="1"/>
    <col min="9991" max="9991" width="8.5703125" style="211" customWidth="1"/>
    <col min="9992" max="9992" width="7.42578125" style="211" customWidth="1"/>
    <col min="9993" max="9993" width="8.5703125" style="211" customWidth="1"/>
    <col min="9994" max="9994" width="7.28515625" style="211" customWidth="1"/>
    <col min="9995" max="9995" width="8.5703125" style="211" customWidth="1"/>
    <col min="9996" max="9996" width="6.7109375" style="211" customWidth="1"/>
    <col min="9997" max="9997" width="8.42578125" style="211" customWidth="1"/>
    <col min="9998" max="9998" width="6.7109375" style="211" customWidth="1"/>
    <col min="9999" max="9999" width="8.5703125" style="211" customWidth="1"/>
    <col min="10000" max="10000" width="6.7109375" style="211" customWidth="1"/>
    <col min="10001" max="10001" width="8.28515625" style="211" customWidth="1"/>
    <col min="10002" max="10002" width="7.7109375" style="211" customWidth="1"/>
    <col min="10003" max="10240" width="8.85546875" style="211"/>
    <col min="10241" max="10241" width="11.28515625" style="211" customWidth="1"/>
    <col min="10242" max="10242" width="10.42578125" style="211" customWidth="1"/>
    <col min="10243" max="10243" width="7.28515625" style="211" customWidth="1"/>
    <col min="10244" max="10244" width="7.42578125" style="211" customWidth="1"/>
    <col min="10245" max="10245" width="7.28515625" style="211" customWidth="1"/>
    <col min="10246" max="10246" width="8.42578125" style="211" customWidth="1"/>
    <col min="10247" max="10247" width="8.5703125" style="211" customWidth="1"/>
    <col min="10248" max="10248" width="7.42578125" style="211" customWidth="1"/>
    <col min="10249" max="10249" width="8.5703125" style="211" customWidth="1"/>
    <col min="10250" max="10250" width="7.28515625" style="211" customWidth="1"/>
    <col min="10251" max="10251" width="8.5703125" style="211" customWidth="1"/>
    <col min="10252" max="10252" width="6.7109375" style="211" customWidth="1"/>
    <col min="10253" max="10253" width="8.42578125" style="211" customWidth="1"/>
    <col min="10254" max="10254" width="6.7109375" style="211" customWidth="1"/>
    <col min="10255" max="10255" width="8.5703125" style="211" customWidth="1"/>
    <col min="10256" max="10256" width="6.7109375" style="211" customWidth="1"/>
    <col min="10257" max="10257" width="8.28515625" style="211" customWidth="1"/>
    <col min="10258" max="10258" width="7.7109375" style="211" customWidth="1"/>
    <col min="10259" max="10496" width="8.85546875" style="211"/>
    <col min="10497" max="10497" width="11.28515625" style="211" customWidth="1"/>
    <col min="10498" max="10498" width="10.42578125" style="211" customWidth="1"/>
    <col min="10499" max="10499" width="7.28515625" style="211" customWidth="1"/>
    <col min="10500" max="10500" width="7.42578125" style="211" customWidth="1"/>
    <col min="10501" max="10501" width="7.28515625" style="211" customWidth="1"/>
    <col min="10502" max="10502" width="8.42578125" style="211" customWidth="1"/>
    <col min="10503" max="10503" width="8.5703125" style="211" customWidth="1"/>
    <col min="10504" max="10504" width="7.42578125" style="211" customWidth="1"/>
    <col min="10505" max="10505" width="8.5703125" style="211" customWidth="1"/>
    <col min="10506" max="10506" width="7.28515625" style="211" customWidth="1"/>
    <col min="10507" max="10507" width="8.5703125" style="211" customWidth="1"/>
    <col min="10508" max="10508" width="6.7109375" style="211" customWidth="1"/>
    <col min="10509" max="10509" width="8.42578125" style="211" customWidth="1"/>
    <col min="10510" max="10510" width="6.7109375" style="211" customWidth="1"/>
    <col min="10511" max="10511" width="8.5703125" style="211" customWidth="1"/>
    <col min="10512" max="10512" width="6.7109375" style="211" customWidth="1"/>
    <col min="10513" max="10513" width="8.28515625" style="211" customWidth="1"/>
    <col min="10514" max="10514" width="7.7109375" style="211" customWidth="1"/>
    <col min="10515" max="10752" width="8.85546875" style="211"/>
    <col min="10753" max="10753" width="11.28515625" style="211" customWidth="1"/>
    <col min="10754" max="10754" width="10.42578125" style="211" customWidth="1"/>
    <col min="10755" max="10755" width="7.28515625" style="211" customWidth="1"/>
    <col min="10756" max="10756" width="7.42578125" style="211" customWidth="1"/>
    <col min="10757" max="10757" width="7.28515625" style="211" customWidth="1"/>
    <col min="10758" max="10758" width="8.42578125" style="211" customWidth="1"/>
    <col min="10759" max="10759" width="8.5703125" style="211" customWidth="1"/>
    <col min="10760" max="10760" width="7.42578125" style="211" customWidth="1"/>
    <col min="10761" max="10761" width="8.5703125" style="211" customWidth="1"/>
    <col min="10762" max="10762" width="7.28515625" style="211" customWidth="1"/>
    <col min="10763" max="10763" width="8.5703125" style="211" customWidth="1"/>
    <col min="10764" max="10764" width="6.7109375" style="211" customWidth="1"/>
    <col min="10765" max="10765" width="8.42578125" style="211" customWidth="1"/>
    <col min="10766" max="10766" width="6.7109375" style="211" customWidth="1"/>
    <col min="10767" max="10767" width="8.5703125" style="211" customWidth="1"/>
    <col min="10768" max="10768" width="6.7109375" style="211" customWidth="1"/>
    <col min="10769" max="10769" width="8.28515625" style="211" customWidth="1"/>
    <col min="10770" max="10770" width="7.7109375" style="211" customWidth="1"/>
    <col min="10771" max="11008" width="8.85546875" style="211"/>
    <col min="11009" max="11009" width="11.28515625" style="211" customWidth="1"/>
    <col min="11010" max="11010" width="10.42578125" style="211" customWidth="1"/>
    <col min="11011" max="11011" width="7.28515625" style="211" customWidth="1"/>
    <col min="11012" max="11012" width="7.42578125" style="211" customWidth="1"/>
    <col min="11013" max="11013" width="7.28515625" style="211" customWidth="1"/>
    <col min="11014" max="11014" width="8.42578125" style="211" customWidth="1"/>
    <col min="11015" max="11015" width="8.5703125" style="211" customWidth="1"/>
    <col min="11016" max="11016" width="7.42578125" style="211" customWidth="1"/>
    <col min="11017" max="11017" width="8.5703125" style="211" customWidth="1"/>
    <col min="11018" max="11018" width="7.28515625" style="211" customWidth="1"/>
    <col min="11019" max="11019" width="8.5703125" style="211" customWidth="1"/>
    <col min="11020" max="11020" width="6.7109375" style="211" customWidth="1"/>
    <col min="11021" max="11021" width="8.42578125" style="211" customWidth="1"/>
    <col min="11022" max="11022" width="6.7109375" style="211" customWidth="1"/>
    <col min="11023" max="11023" width="8.5703125" style="211" customWidth="1"/>
    <col min="11024" max="11024" width="6.7109375" style="211" customWidth="1"/>
    <col min="11025" max="11025" width="8.28515625" style="211" customWidth="1"/>
    <col min="11026" max="11026" width="7.7109375" style="211" customWidth="1"/>
    <col min="11027" max="11264" width="8.85546875" style="211"/>
    <col min="11265" max="11265" width="11.28515625" style="211" customWidth="1"/>
    <col min="11266" max="11266" width="10.42578125" style="211" customWidth="1"/>
    <col min="11267" max="11267" width="7.28515625" style="211" customWidth="1"/>
    <col min="11268" max="11268" width="7.42578125" style="211" customWidth="1"/>
    <col min="11269" max="11269" width="7.28515625" style="211" customWidth="1"/>
    <col min="11270" max="11270" width="8.42578125" style="211" customWidth="1"/>
    <col min="11271" max="11271" width="8.5703125" style="211" customWidth="1"/>
    <col min="11272" max="11272" width="7.42578125" style="211" customWidth="1"/>
    <col min="11273" max="11273" width="8.5703125" style="211" customWidth="1"/>
    <col min="11274" max="11274" width="7.28515625" style="211" customWidth="1"/>
    <col min="11275" max="11275" width="8.5703125" style="211" customWidth="1"/>
    <col min="11276" max="11276" width="6.7109375" style="211" customWidth="1"/>
    <col min="11277" max="11277" width="8.42578125" style="211" customWidth="1"/>
    <col min="11278" max="11278" width="6.7109375" style="211" customWidth="1"/>
    <col min="11279" max="11279" width="8.5703125" style="211" customWidth="1"/>
    <col min="11280" max="11280" width="6.7109375" style="211" customWidth="1"/>
    <col min="11281" max="11281" width="8.28515625" style="211" customWidth="1"/>
    <col min="11282" max="11282" width="7.7109375" style="211" customWidth="1"/>
    <col min="11283" max="11520" width="8.85546875" style="211"/>
    <col min="11521" max="11521" width="11.28515625" style="211" customWidth="1"/>
    <col min="11522" max="11522" width="10.42578125" style="211" customWidth="1"/>
    <col min="11523" max="11523" width="7.28515625" style="211" customWidth="1"/>
    <col min="11524" max="11524" width="7.42578125" style="211" customWidth="1"/>
    <col min="11525" max="11525" width="7.28515625" style="211" customWidth="1"/>
    <col min="11526" max="11526" width="8.42578125" style="211" customWidth="1"/>
    <col min="11527" max="11527" width="8.5703125" style="211" customWidth="1"/>
    <col min="11528" max="11528" width="7.42578125" style="211" customWidth="1"/>
    <col min="11529" max="11529" width="8.5703125" style="211" customWidth="1"/>
    <col min="11530" max="11530" width="7.28515625" style="211" customWidth="1"/>
    <col min="11531" max="11531" width="8.5703125" style="211" customWidth="1"/>
    <col min="11532" max="11532" width="6.7109375" style="211" customWidth="1"/>
    <col min="11533" max="11533" width="8.42578125" style="211" customWidth="1"/>
    <col min="11534" max="11534" width="6.7109375" style="211" customWidth="1"/>
    <col min="11535" max="11535" width="8.5703125" style="211" customWidth="1"/>
    <col min="11536" max="11536" width="6.7109375" style="211" customWidth="1"/>
    <col min="11537" max="11537" width="8.28515625" style="211" customWidth="1"/>
    <col min="11538" max="11538" width="7.7109375" style="211" customWidth="1"/>
    <col min="11539" max="11776" width="8.85546875" style="211"/>
    <col min="11777" max="11777" width="11.28515625" style="211" customWidth="1"/>
    <col min="11778" max="11778" width="10.42578125" style="211" customWidth="1"/>
    <col min="11779" max="11779" width="7.28515625" style="211" customWidth="1"/>
    <col min="11780" max="11780" width="7.42578125" style="211" customWidth="1"/>
    <col min="11781" max="11781" width="7.28515625" style="211" customWidth="1"/>
    <col min="11782" max="11782" width="8.42578125" style="211" customWidth="1"/>
    <col min="11783" max="11783" width="8.5703125" style="211" customWidth="1"/>
    <col min="11784" max="11784" width="7.42578125" style="211" customWidth="1"/>
    <col min="11785" max="11785" width="8.5703125" style="211" customWidth="1"/>
    <col min="11786" max="11786" width="7.28515625" style="211" customWidth="1"/>
    <col min="11787" max="11787" width="8.5703125" style="211" customWidth="1"/>
    <col min="11788" max="11788" width="6.7109375" style="211" customWidth="1"/>
    <col min="11789" max="11789" width="8.42578125" style="211" customWidth="1"/>
    <col min="11790" max="11790" width="6.7109375" style="211" customWidth="1"/>
    <col min="11791" max="11791" width="8.5703125" style="211" customWidth="1"/>
    <col min="11792" max="11792" width="6.7109375" style="211" customWidth="1"/>
    <col min="11793" max="11793" width="8.28515625" style="211" customWidth="1"/>
    <col min="11794" max="11794" width="7.7109375" style="211" customWidth="1"/>
    <col min="11795" max="12032" width="8.85546875" style="211"/>
    <col min="12033" max="12033" width="11.28515625" style="211" customWidth="1"/>
    <col min="12034" max="12034" width="10.42578125" style="211" customWidth="1"/>
    <col min="12035" max="12035" width="7.28515625" style="211" customWidth="1"/>
    <col min="12036" max="12036" width="7.42578125" style="211" customWidth="1"/>
    <col min="12037" max="12037" width="7.28515625" style="211" customWidth="1"/>
    <col min="12038" max="12038" width="8.42578125" style="211" customWidth="1"/>
    <col min="12039" max="12039" width="8.5703125" style="211" customWidth="1"/>
    <col min="12040" max="12040" width="7.42578125" style="211" customWidth="1"/>
    <col min="12041" max="12041" width="8.5703125" style="211" customWidth="1"/>
    <col min="12042" max="12042" width="7.28515625" style="211" customWidth="1"/>
    <col min="12043" max="12043" width="8.5703125" style="211" customWidth="1"/>
    <col min="12044" max="12044" width="6.7109375" style="211" customWidth="1"/>
    <col min="12045" max="12045" width="8.42578125" style="211" customWidth="1"/>
    <col min="12046" max="12046" width="6.7109375" style="211" customWidth="1"/>
    <col min="12047" max="12047" width="8.5703125" style="211" customWidth="1"/>
    <col min="12048" max="12048" width="6.7109375" style="211" customWidth="1"/>
    <col min="12049" max="12049" width="8.28515625" style="211" customWidth="1"/>
    <col min="12050" max="12050" width="7.7109375" style="211" customWidth="1"/>
    <col min="12051" max="12288" width="8.85546875" style="211"/>
    <col min="12289" max="12289" width="11.28515625" style="211" customWidth="1"/>
    <col min="12290" max="12290" width="10.42578125" style="211" customWidth="1"/>
    <col min="12291" max="12291" width="7.28515625" style="211" customWidth="1"/>
    <col min="12292" max="12292" width="7.42578125" style="211" customWidth="1"/>
    <col min="12293" max="12293" width="7.28515625" style="211" customWidth="1"/>
    <col min="12294" max="12294" width="8.42578125" style="211" customWidth="1"/>
    <col min="12295" max="12295" width="8.5703125" style="211" customWidth="1"/>
    <col min="12296" max="12296" width="7.42578125" style="211" customWidth="1"/>
    <col min="12297" max="12297" width="8.5703125" style="211" customWidth="1"/>
    <col min="12298" max="12298" width="7.28515625" style="211" customWidth="1"/>
    <col min="12299" max="12299" width="8.5703125" style="211" customWidth="1"/>
    <col min="12300" max="12300" width="6.7109375" style="211" customWidth="1"/>
    <col min="12301" max="12301" width="8.42578125" style="211" customWidth="1"/>
    <col min="12302" max="12302" width="6.7109375" style="211" customWidth="1"/>
    <col min="12303" max="12303" width="8.5703125" style="211" customWidth="1"/>
    <col min="12304" max="12304" width="6.7109375" style="211" customWidth="1"/>
    <col min="12305" max="12305" width="8.28515625" style="211" customWidth="1"/>
    <col min="12306" max="12306" width="7.7109375" style="211" customWidth="1"/>
    <col min="12307" max="12544" width="8.85546875" style="211"/>
    <col min="12545" max="12545" width="11.28515625" style="211" customWidth="1"/>
    <col min="12546" max="12546" width="10.42578125" style="211" customWidth="1"/>
    <col min="12547" max="12547" width="7.28515625" style="211" customWidth="1"/>
    <col min="12548" max="12548" width="7.42578125" style="211" customWidth="1"/>
    <col min="12549" max="12549" width="7.28515625" style="211" customWidth="1"/>
    <col min="12550" max="12550" width="8.42578125" style="211" customWidth="1"/>
    <col min="12551" max="12551" width="8.5703125" style="211" customWidth="1"/>
    <col min="12552" max="12552" width="7.42578125" style="211" customWidth="1"/>
    <col min="12553" max="12553" width="8.5703125" style="211" customWidth="1"/>
    <col min="12554" max="12554" width="7.28515625" style="211" customWidth="1"/>
    <col min="12555" max="12555" width="8.5703125" style="211" customWidth="1"/>
    <col min="12556" max="12556" width="6.7109375" style="211" customWidth="1"/>
    <col min="12557" max="12557" width="8.42578125" style="211" customWidth="1"/>
    <col min="12558" max="12558" width="6.7109375" style="211" customWidth="1"/>
    <col min="12559" max="12559" width="8.5703125" style="211" customWidth="1"/>
    <col min="12560" max="12560" width="6.7109375" style="211" customWidth="1"/>
    <col min="12561" max="12561" width="8.28515625" style="211" customWidth="1"/>
    <col min="12562" max="12562" width="7.7109375" style="211" customWidth="1"/>
    <col min="12563" max="12800" width="8.85546875" style="211"/>
    <col min="12801" max="12801" width="11.28515625" style="211" customWidth="1"/>
    <col min="12802" max="12802" width="10.42578125" style="211" customWidth="1"/>
    <col min="12803" max="12803" width="7.28515625" style="211" customWidth="1"/>
    <col min="12804" max="12804" width="7.42578125" style="211" customWidth="1"/>
    <col min="12805" max="12805" width="7.28515625" style="211" customWidth="1"/>
    <col min="12806" max="12806" width="8.42578125" style="211" customWidth="1"/>
    <col min="12807" max="12807" width="8.5703125" style="211" customWidth="1"/>
    <col min="12808" max="12808" width="7.42578125" style="211" customWidth="1"/>
    <col min="12809" max="12809" width="8.5703125" style="211" customWidth="1"/>
    <col min="12810" max="12810" width="7.28515625" style="211" customWidth="1"/>
    <col min="12811" max="12811" width="8.5703125" style="211" customWidth="1"/>
    <col min="12812" max="12812" width="6.7109375" style="211" customWidth="1"/>
    <col min="12813" max="12813" width="8.42578125" style="211" customWidth="1"/>
    <col min="12814" max="12814" width="6.7109375" style="211" customWidth="1"/>
    <col min="12815" max="12815" width="8.5703125" style="211" customWidth="1"/>
    <col min="12816" max="12816" width="6.7109375" style="211" customWidth="1"/>
    <col min="12817" max="12817" width="8.28515625" style="211" customWidth="1"/>
    <col min="12818" max="12818" width="7.7109375" style="211" customWidth="1"/>
    <col min="12819" max="13056" width="8.85546875" style="211"/>
    <col min="13057" max="13057" width="11.28515625" style="211" customWidth="1"/>
    <col min="13058" max="13058" width="10.42578125" style="211" customWidth="1"/>
    <col min="13059" max="13059" width="7.28515625" style="211" customWidth="1"/>
    <col min="13060" max="13060" width="7.42578125" style="211" customWidth="1"/>
    <col min="13061" max="13061" width="7.28515625" style="211" customWidth="1"/>
    <col min="13062" max="13062" width="8.42578125" style="211" customWidth="1"/>
    <col min="13063" max="13063" width="8.5703125" style="211" customWidth="1"/>
    <col min="13064" max="13064" width="7.42578125" style="211" customWidth="1"/>
    <col min="13065" max="13065" width="8.5703125" style="211" customWidth="1"/>
    <col min="13066" max="13066" width="7.28515625" style="211" customWidth="1"/>
    <col min="13067" max="13067" width="8.5703125" style="211" customWidth="1"/>
    <col min="13068" max="13068" width="6.7109375" style="211" customWidth="1"/>
    <col min="13069" max="13069" width="8.42578125" style="211" customWidth="1"/>
    <col min="13070" max="13070" width="6.7109375" style="211" customWidth="1"/>
    <col min="13071" max="13071" width="8.5703125" style="211" customWidth="1"/>
    <col min="13072" max="13072" width="6.7109375" style="211" customWidth="1"/>
    <col min="13073" max="13073" width="8.28515625" style="211" customWidth="1"/>
    <col min="13074" max="13074" width="7.7109375" style="211" customWidth="1"/>
    <col min="13075" max="13312" width="8.85546875" style="211"/>
    <col min="13313" max="13313" width="11.28515625" style="211" customWidth="1"/>
    <col min="13314" max="13314" width="10.42578125" style="211" customWidth="1"/>
    <col min="13315" max="13315" width="7.28515625" style="211" customWidth="1"/>
    <col min="13316" max="13316" width="7.42578125" style="211" customWidth="1"/>
    <col min="13317" max="13317" width="7.28515625" style="211" customWidth="1"/>
    <col min="13318" max="13318" width="8.42578125" style="211" customWidth="1"/>
    <col min="13319" max="13319" width="8.5703125" style="211" customWidth="1"/>
    <col min="13320" max="13320" width="7.42578125" style="211" customWidth="1"/>
    <col min="13321" max="13321" width="8.5703125" style="211" customWidth="1"/>
    <col min="13322" max="13322" width="7.28515625" style="211" customWidth="1"/>
    <col min="13323" max="13323" width="8.5703125" style="211" customWidth="1"/>
    <col min="13324" max="13324" width="6.7109375" style="211" customWidth="1"/>
    <col min="13325" max="13325" width="8.42578125" style="211" customWidth="1"/>
    <col min="13326" max="13326" width="6.7109375" style="211" customWidth="1"/>
    <col min="13327" max="13327" width="8.5703125" style="211" customWidth="1"/>
    <col min="13328" max="13328" width="6.7109375" style="211" customWidth="1"/>
    <col min="13329" max="13329" width="8.28515625" style="211" customWidth="1"/>
    <col min="13330" max="13330" width="7.7109375" style="211" customWidth="1"/>
    <col min="13331" max="13568" width="8.85546875" style="211"/>
    <col min="13569" max="13569" width="11.28515625" style="211" customWidth="1"/>
    <col min="13570" max="13570" width="10.42578125" style="211" customWidth="1"/>
    <col min="13571" max="13571" width="7.28515625" style="211" customWidth="1"/>
    <col min="13572" max="13572" width="7.42578125" style="211" customWidth="1"/>
    <col min="13573" max="13573" width="7.28515625" style="211" customWidth="1"/>
    <col min="13574" max="13574" width="8.42578125" style="211" customWidth="1"/>
    <col min="13575" max="13575" width="8.5703125" style="211" customWidth="1"/>
    <col min="13576" max="13576" width="7.42578125" style="211" customWidth="1"/>
    <col min="13577" max="13577" width="8.5703125" style="211" customWidth="1"/>
    <col min="13578" max="13578" width="7.28515625" style="211" customWidth="1"/>
    <col min="13579" max="13579" width="8.5703125" style="211" customWidth="1"/>
    <col min="13580" max="13580" width="6.7109375" style="211" customWidth="1"/>
    <col min="13581" max="13581" width="8.42578125" style="211" customWidth="1"/>
    <col min="13582" max="13582" width="6.7109375" style="211" customWidth="1"/>
    <col min="13583" max="13583" width="8.5703125" style="211" customWidth="1"/>
    <col min="13584" max="13584" width="6.7109375" style="211" customWidth="1"/>
    <col min="13585" max="13585" width="8.28515625" style="211" customWidth="1"/>
    <col min="13586" max="13586" width="7.7109375" style="211" customWidth="1"/>
    <col min="13587" max="13824" width="8.85546875" style="211"/>
    <col min="13825" max="13825" width="11.28515625" style="211" customWidth="1"/>
    <col min="13826" max="13826" width="10.42578125" style="211" customWidth="1"/>
    <col min="13827" max="13827" width="7.28515625" style="211" customWidth="1"/>
    <col min="13828" max="13828" width="7.42578125" style="211" customWidth="1"/>
    <col min="13829" max="13829" width="7.28515625" style="211" customWidth="1"/>
    <col min="13830" max="13830" width="8.42578125" style="211" customWidth="1"/>
    <col min="13831" max="13831" width="8.5703125" style="211" customWidth="1"/>
    <col min="13832" max="13832" width="7.42578125" style="211" customWidth="1"/>
    <col min="13833" max="13833" width="8.5703125" style="211" customWidth="1"/>
    <col min="13834" max="13834" width="7.28515625" style="211" customWidth="1"/>
    <col min="13835" max="13835" width="8.5703125" style="211" customWidth="1"/>
    <col min="13836" max="13836" width="6.7109375" style="211" customWidth="1"/>
    <col min="13837" max="13837" width="8.42578125" style="211" customWidth="1"/>
    <col min="13838" max="13838" width="6.7109375" style="211" customWidth="1"/>
    <col min="13839" max="13839" width="8.5703125" style="211" customWidth="1"/>
    <col min="13840" max="13840" width="6.7109375" style="211" customWidth="1"/>
    <col min="13841" max="13841" width="8.28515625" style="211" customWidth="1"/>
    <col min="13842" max="13842" width="7.7109375" style="211" customWidth="1"/>
    <col min="13843" max="14080" width="8.85546875" style="211"/>
    <col min="14081" max="14081" width="11.28515625" style="211" customWidth="1"/>
    <col min="14082" max="14082" width="10.42578125" style="211" customWidth="1"/>
    <col min="14083" max="14083" width="7.28515625" style="211" customWidth="1"/>
    <col min="14084" max="14084" width="7.42578125" style="211" customWidth="1"/>
    <col min="14085" max="14085" width="7.28515625" style="211" customWidth="1"/>
    <col min="14086" max="14086" width="8.42578125" style="211" customWidth="1"/>
    <col min="14087" max="14087" width="8.5703125" style="211" customWidth="1"/>
    <col min="14088" max="14088" width="7.42578125" style="211" customWidth="1"/>
    <col min="14089" max="14089" width="8.5703125" style="211" customWidth="1"/>
    <col min="14090" max="14090" width="7.28515625" style="211" customWidth="1"/>
    <col min="14091" max="14091" width="8.5703125" style="211" customWidth="1"/>
    <col min="14092" max="14092" width="6.7109375" style="211" customWidth="1"/>
    <col min="14093" max="14093" width="8.42578125" style="211" customWidth="1"/>
    <col min="14094" max="14094" width="6.7109375" style="211" customWidth="1"/>
    <col min="14095" max="14095" width="8.5703125" style="211" customWidth="1"/>
    <col min="14096" max="14096" width="6.7109375" style="211" customWidth="1"/>
    <col min="14097" max="14097" width="8.28515625" style="211" customWidth="1"/>
    <col min="14098" max="14098" width="7.7109375" style="211" customWidth="1"/>
    <col min="14099" max="14336" width="8.85546875" style="211"/>
    <col min="14337" max="14337" width="11.28515625" style="211" customWidth="1"/>
    <col min="14338" max="14338" width="10.42578125" style="211" customWidth="1"/>
    <col min="14339" max="14339" width="7.28515625" style="211" customWidth="1"/>
    <col min="14340" max="14340" width="7.42578125" style="211" customWidth="1"/>
    <col min="14341" max="14341" width="7.28515625" style="211" customWidth="1"/>
    <col min="14342" max="14342" width="8.42578125" style="211" customWidth="1"/>
    <col min="14343" max="14343" width="8.5703125" style="211" customWidth="1"/>
    <col min="14344" max="14344" width="7.42578125" style="211" customWidth="1"/>
    <col min="14345" max="14345" width="8.5703125" style="211" customWidth="1"/>
    <col min="14346" max="14346" width="7.28515625" style="211" customWidth="1"/>
    <col min="14347" max="14347" width="8.5703125" style="211" customWidth="1"/>
    <col min="14348" max="14348" width="6.7109375" style="211" customWidth="1"/>
    <col min="14349" max="14349" width="8.42578125" style="211" customWidth="1"/>
    <col min="14350" max="14350" width="6.7109375" style="211" customWidth="1"/>
    <col min="14351" max="14351" width="8.5703125" style="211" customWidth="1"/>
    <col min="14352" max="14352" width="6.7109375" style="211" customWidth="1"/>
    <col min="14353" max="14353" width="8.28515625" style="211" customWidth="1"/>
    <col min="14354" max="14354" width="7.7109375" style="211" customWidth="1"/>
    <col min="14355" max="14592" width="8.85546875" style="211"/>
    <col min="14593" max="14593" width="11.28515625" style="211" customWidth="1"/>
    <col min="14594" max="14594" width="10.42578125" style="211" customWidth="1"/>
    <col min="14595" max="14595" width="7.28515625" style="211" customWidth="1"/>
    <col min="14596" max="14596" width="7.42578125" style="211" customWidth="1"/>
    <col min="14597" max="14597" width="7.28515625" style="211" customWidth="1"/>
    <col min="14598" max="14598" width="8.42578125" style="211" customWidth="1"/>
    <col min="14599" max="14599" width="8.5703125" style="211" customWidth="1"/>
    <col min="14600" max="14600" width="7.42578125" style="211" customWidth="1"/>
    <col min="14601" max="14601" width="8.5703125" style="211" customWidth="1"/>
    <col min="14602" max="14602" width="7.28515625" style="211" customWidth="1"/>
    <col min="14603" max="14603" width="8.5703125" style="211" customWidth="1"/>
    <col min="14604" max="14604" width="6.7109375" style="211" customWidth="1"/>
    <col min="14605" max="14605" width="8.42578125" style="211" customWidth="1"/>
    <col min="14606" max="14606" width="6.7109375" style="211" customWidth="1"/>
    <col min="14607" max="14607" width="8.5703125" style="211" customWidth="1"/>
    <col min="14608" max="14608" width="6.7109375" style="211" customWidth="1"/>
    <col min="14609" max="14609" width="8.28515625" style="211" customWidth="1"/>
    <col min="14610" max="14610" width="7.7109375" style="211" customWidth="1"/>
    <col min="14611" max="14848" width="8.85546875" style="211"/>
    <col min="14849" max="14849" width="11.28515625" style="211" customWidth="1"/>
    <col min="14850" max="14850" width="10.42578125" style="211" customWidth="1"/>
    <col min="14851" max="14851" width="7.28515625" style="211" customWidth="1"/>
    <col min="14852" max="14852" width="7.42578125" style="211" customWidth="1"/>
    <col min="14853" max="14853" width="7.28515625" style="211" customWidth="1"/>
    <col min="14854" max="14854" width="8.42578125" style="211" customWidth="1"/>
    <col min="14855" max="14855" width="8.5703125" style="211" customWidth="1"/>
    <col min="14856" max="14856" width="7.42578125" style="211" customWidth="1"/>
    <col min="14857" max="14857" width="8.5703125" style="211" customWidth="1"/>
    <col min="14858" max="14858" width="7.28515625" style="211" customWidth="1"/>
    <col min="14859" max="14859" width="8.5703125" style="211" customWidth="1"/>
    <col min="14860" max="14860" width="6.7109375" style="211" customWidth="1"/>
    <col min="14861" max="14861" width="8.42578125" style="211" customWidth="1"/>
    <col min="14862" max="14862" width="6.7109375" style="211" customWidth="1"/>
    <col min="14863" max="14863" width="8.5703125" style="211" customWidth="1"/>
    <col min="14864" max="14864" width="6.7109375" style="211" customWidth="1"/>
    <col min="14865" max="14865" width="8.28515625" style="211" customWidth="1"/>
    <col min="14866" max="14866" width="7.7109375" style="211" customWidth="1"/>
    <col min="14867" max="15104" width="8.85546875" style="211"/>
    <col min="15105" max="15105" width="11.28515625" style="211" customWidth="1"/>
    <col min="15106" max="15106" width="10.42578125" style="211" customWidth="1"/>
    <col min="15107" max="15107" width="7.28515625" style="211" customWidth="1"/>
    <col min="15108" max="15108" width="7.42578125" style="211" customWidth="1"/>
    <col min="15109" max="15109" width="7.28515625" style="211" customWidth="1"/>
    <col min="15110" max="15110" width="8.42578125" style="211" customWidth="1"/>
    <col min="15111" max="15111" width="8.5703125" style="211" customWidth="1"/>
    <col min="15112" max="15112" width="7.42578125" style="211" customWidth="1"/>
    <col min="15113" max="15113" width="8.5703125" style="211" customWidth="1"/>
    <col min="15114" max="15114" width="7.28515625" style="211" customWidth="1"/>
    <col min="15115" max="15115" width="8.5703125" style="211" customWidth="1"/>
    <col min="15116" max="15116" width="6.7109375" style="211" customWidth="1"/>
    <col min="15117" max="15117" width="8.42578125" style="211" customWidth="1"/>
    <col min="15118" max="15118" width="6.7109375" style="211" customWidth="1"/>
    <col min="15119" max="15119" width="8.5703125" style="211" customWidth="1"/>
    <col min="15120" max="15120" width="6.7109375" style="211" customWidth="1"/>
    <col min="15121" max="15121" width="8.28515625" style="211" customWidth="1"/>
    <col min="15122" max="15122" width="7.7109375" style="211" customWidth="1"/>
    <col min="15123" max="15360" width="8.85546875" style="211"/>
    <col min="15361" max="15361" width="11.28515625" style="211" customWidth="1"/>
    <col min="15362" max="15362" width="10.42578125" style="211" customWidth="1"/>
    <col min="15363" max="15363" width="7.28515625" style="211" customWidth="1"/>
    <col min="15364" max="15364" width="7.42578125" style="211" customWidth="1"/>
    <col min="15365" max="15365" width="7.28515625" style="211" customWidth="1"/>
    <col min="15366" max="15366" width="8.42578125" style="211" customWidth="1"/>
    <col min="15367" max="15367" width="8.5703125" style="211" customWidth="1"/>
    <col min="15368" max="15368" width="7.42578125" style="211" customWidth="1"/>
    <col min="15369" max="15369" width="8.5703125" style="211" customWidth="1"/>
    <col min="15370" max="15370" width="7.28515625" style="211" customWidth="1"/>
    <col min="15371" max="15371" width="8.5703125" style="211" customWidth="1"/>
    <col min="15372" max="15372" width="6.7109375" style="211" customWidth="1"/>
    <col min="15373" max="15373" width="8.42578125" style="211" customWidth="1"/>
    <col min="15374" max="15374" width="6.7109375" style="211" customWidth="1"/>
    <col min="15375" max="15375" width="8.5703125" style="211" customWidth="1"/>
    <col min="15376" max="15376" width="6.7109375" style="211" customWidth="1"/>
    <col min="15377" max="15377" width="8.28515625" style="211" customWidth="1"/>
    <col min="15378" max="15378" width="7.7109375" style="211" customWidth="1"/>
    <col min="15379" max="15616" width="8.85546875" style="211"/>
    <col min="15617" max="15617" width="11.28515625" style="211" customWidth="1"/>
    <col min="15618" max="15618" width="10.42578125" style="211" customWidth="1"/>
    <col min="15619" max="15619" width="7.28515625" style="211" customWidth="1"/>
    <col min="15620" max="15620" width="7.42578125" style="211" customWidth="1"/>
    <col min="15621" max="15621" width="7.28515625" style="211" customWidth="1"/>
    <col min="15622" max="15622" width="8.42578125" style="211" customWidth="1"/>
    <col min="15623" max="15623" width="8.5703125" style="211" customWidth="1"/>
    <col min="15624" max="15624" width="7.42578125" style="211" customWidth="1"/>
    <col min="15625" max="15625" width="8.5703125" style="211" customWidth="1"/>
    <col min="15626" max="15626" width="7.28515625" style="211" customWidth="1"/>
    <col min="15627" max="15627" width="8.5703125" style="211" customWidth="1"/>
    <col min="15628" max="15628" width="6.7109375" style="211" customWidth="1"/>
    <col min="15629" max="15629" width="8.42578125" style="211" customWidth="1"/>
    <col min="15630" max="15630" width="6.7109375" style="211" customWidth="1"/>
    <col min="15631" max="15631" width="8.5703125" style="211" customWidth="1"/>
    <col min="15632" max="15632" width="6.7109375" style="211" customWidth="1"/>
    <col min="15633" max="15633" width="8.28515625" style="211" customWidth="1"/>
    <col min="15634" max="15634" width="7.7109375" style="211" customWidth="1"/>
    <col min="15635" max="15872" width="8.85546875" style="211"/>
    <col min="15873" max="15873" width="11.28515625" style="211" customWidth="1"/>
    <col min="15874" max="15874" width="10.42578125" style="211" customWidth="1"/>
    <col min="15875" max="15875" width="7.28515625" style="211" customWidth="1"/>
    <col min="15876" max="15876" width="7.42578125" style="211" customWidth="1"/>
    <col min="15877" max="15877" width="7.28515625" style="211" customWidth="1"/>
    <col min="15878" max="15878" width="8.42578125" style="211" customWidth="1"/>
    <col min="15879" max="15879" width="8.5703125" style="211" customWidth="1"/>
    <col min="15880" max="15880" width="7.42578125" style="211" customWidth="1"/>
    <col min="15881" max="15881" width="8.5703125" style="211" customWidth="1"/>
    <col min="15882" max="15882" width="7.28515625" style="211" customWidth="1"/>
    <col min="15883" max="15883" width="8.5703125" style="211" customWidth="1"/>
    <col min="15884" max="15884" width="6.7109375" style="211" customWidth="1"/>
    <col min="15885" max="15885" width="8.42578125" style="211" customWidth="1"/>
    <col min="15886" max="15886" width="6.7109375" style="211" customWidth="1"/>
    <col min="15887" max="15887" width="8.5703125" style="211" customWidth="1"/>
    <col min="15888" max="15888" width="6.7109375" style="211" customWidth="1"/>
    <col min="15889" max="15889" width="8.28515625" style="211" customWidth="1"/>
    <col min="15890" max="15890" width="7.7109375" style="211" customWidth="1"/>
    <col min="15891" max="16128" width="8.85546875" style="211"/>
    <col min="16129" max="16129" width="11.28515625" style="211" customWidth="1"/>
    <col min="16130" max="16130" width="10.42578125" style="211" customWidth="1"/>
    <col min="16131" max="16131" width="7.28515625" style="211" customWidth="1"/>
    <col min="16132" max="16132" width="7.42578125" style="211" customWidth="1"/>
    <col min="16133" max="16133" width="7.28515625" style="211" customWidth="1"/>
    <col min="16134" max="16134" width="8.42578125" style="211" customWidth="1"/>
    <col min="16135" max="16135" width="8.5703125" style="211" customWidth="1"/>
    <col min="16136" max="16136" width="7.42578125" style="211" customWidth="1"/>
    <col min="16137" max="16137" width="8.5703125" style="211" customWidth="1"/>
    <col min="16138" max="16138" width="7.28515625" style="211" customWidth="1"/>
    <col min="16139" max="16139" width="8.5703125" style="211" customWidth="1"/>
    <col min="16140" max="16140" width="6.7109375" style="211" customWidth="1"/>
    <col min="16141" max="16141" width="8.42578125" style="211" customWidth="1"/>
    <col min="16142" max="16142" width="6.7109375" style="211" customWidth="1"/>
    <col min="16143" max="16143" width="8.5703125" style="211" customWidth="1"/>
    <col min="16144" max="16144" width="6.7109375" style="211" customWidth="1"/>
    <col min="16145" max="16145" width="8.28515625" style="211" customWidth="1"/>
    <col min="16146" max="16146" width="7.7109375" style="211" customWidth="1"/>
    <col min="16147" max="16384" width="8.85546875" style="211"/>
  </cols>
  <sheetData>
    <row r="1" spans="1:19" ht="15" customHeight="1"/>
    <row r="2" spans="1:19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19" ht="12" customHeight="1">
      <c r="E3" s="1285" t="s">
        <v>168</v>
      </c>
      <c r="F3" s="1285"/>
      <c r="G3" s="1285"/>
      <c r="H3" s="1285"/>
      <c r="I3" s="1285"/>
      <c r="J3" s="1285"/>
    </row>
    <row r="4" spans="1:19" ht="12" customHeight="1">
      <c r="A4" s="1256" t="s">
        <v>1900</v>
      </c>
      <c r="B4" s="1256"/>
      <c r="C4" s="1257"/>
      <c r="D4" s="1258" t="s">
        <v>1948</v>
      </c>
      <c r="E4" s="1259"/>
      <c r="F4" s="1260"/>
      <c r="G4" s="212"/>
      <c r="H4" s="212" t="s">
        <v>1902</v>
      </c>
      <c r="I4" s="212"/>
      <c r="J4" s="212"/>
      <c r="K4" s="1289" t="s">
        <v>1949</v>
      </c>
      <c r="L4" s="1290"/>
      <c r="M4" s="1291"/>
      <c r="N4" s="212" t="s">
        <v>5</v>
      </c>
      <c r="O4" s="212"/>
      <c r="P4" s="215">
        <v>810.50300000000004</v>
      </c>
      <c r="Q4" s="214" t="s">
        <v>436</v>
      </c>
      <c r="R4" s="214"/>
      <c r="S4" s="212"/>
    </row>
    <row r="5" spans="1:19" ht="12" customHeight="1">
      <c r="A5" s="808" t="s">
        <v>4176</v>
      </c>
      <c r="B5" s="808"/>
      <c r="C5" s="808"/>
      <c r="D5" s="516"/>
      <c r="E5" s="516"/>
      <c r="F5" s="516"/>
      <c r="G5" s="212"/>
      <c r="H5" s="212"/>
      <c r="I5" s="212"/>
      <c r="J5" s="212"/>
      <c r="K5" s="516"/>
      <c r="L5" s="516"/>
      <c r="M5" s="516"/>
      <c r="N5" s="212"/>
      <c r="O5" s="212"/>
      <c r="P5" s="212"/>
      <c r="Q5" s="214"/>
      <c r="R5" s="215">
        <v>80</v>
      </c>
      <c r="S5" s="212"/>
    </row>
    <row r="6" spans="1:19" ht="12" customHeight="1">
      <c r="A6" s="212" t="s">
        <v>832</v>
      </c>
      <c r="B6" s="212"/>
      <c r="C6" s="212"/>
      <c r="D6" s="1266" t="s">
        <v>1950</v>
      </c>
      <c r="E6" s="1267"/>
      <c r="F6" s="1268"/>
      <c r="G6" s="212"/>
      <c r="H6" s="212" t="s">
        <v>1208</v>
      </c>
      <c r="I6" s="212"/>
      <c r="J6" s="212"/>
      <c r="K6" s="1266" t="s">
        <v>1590</v>
      </c>
      <c r="L6" s="1267"/>
      <c r="M6" s="1268"/>
      <c r="N6" s="212"/>
      <c r="O6" s="212"/>
      <c r="P6" s="212"/>
      <c r="Q6" s="212"/>
      <c r="R6" s="212"/>
      <c r="S6" s="212"/>
    </row>
    <row r="7" spans="1:19" ht="12" customHeight="1">
      <c r="A7" s="212"/>
      <c r="B7" s="212"/>
      <c r="C7" s="212"/>
      <c r="D7" s="514"/>
      <c r="E7" s="514"/>
      <c r="F7" s="514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</row>
    <row r="8" spans="1:19" ht="12" customHeight="1">
      <c r="A8" s="212" t="s">
        <v>1906</v>
      </c>
      <c r="B8" s="212"/>
      <c r="C8" s="212"/>
      <c r="D8" s="1266" t="s">
        <v>1951</v>
      </c>
      <c r="E8" s="1267"/>
      <c r="F8" s="1268"/>
      <c r="G8" s="212"/>
      <c r="H8" s="1264" t="s">
        <v>1908</v>
      </c>
      <c r="I8" s="1264"/>
      <c r="J8" s="1264"/>
      <c r="K8" s="1325" t="s">
        <v>1952</v>
      </c>
      <c r="L8" s="1326"/>
      <c r="M8" s="1326"/>
      <c r="N8" s="1326"/>
      <c r="O8" s="1327"/>
      <c r="P8" s="212"/>
      <c r="Q8" s="212"/>
      <c r="R8" s="212"/>
      <c r="S8" s="212"/>
    </row>
    <row r="9" spans="1:19" ht="12" customHeight="1">
      <c r="A9" s="212"/>
      <c r="B9" s="212"/>
      <c r="C9" s="212"/>
      <c r="D9" s="212"/>
      <c r="E9" s="212"/>
      <c r="F9" s="212"/>
      <c r="G9" s="212"/>
      <c r="H9" s="1264"/>
      <c r="I9" s="1264"/>
      <c r="J9" s="1264"/>
      <c r="K9" s="1328"/>
      <c r="L9" s="1329"/>
      <c r="M9" s="1329"/>
      <c r="N9" s="1329"/>
      <c r="O9" s="1330"/>
      <c r="P9" s="212"/>
      <c r="Q9" s="212"/>
      <c r="R9" s="212"/>
      <c r="S9" s="212"/>
    </row>
    <row r="10" spans="1:19" ht="12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</row>
    <row r="11" spans="1:19" ht="12" customHeight="1">
      <c r="A11" s="1266" t="s">
        <v>1909</v>
      </c>
      <c r="B11" s="1267"/>
      <c r="C11" s="1268"/>
      <c r="D11" s="1269" t="s">
        <v>1953</v>
      </c>
      <c r="E11" s="1269"/>
      <c r="F11" s="1269"/>
      <c r="G11" s="1269" t="s">
        <v>1954</v>
      </c>
      <c r="H11" s="1269"/>
      <c r="I11" s="1269"/>
      <c r="J11" s="1331"/>
      <c r="K11" s="1331"/>
      <c r="L11" s="1331"/>
      <c r="M11" s="1331"/>
      <c r="N11" s="1331"/>
      <c r="O11" s="1331"/>
      <c r="P11" s="212"/>
      <c r="Q11" s="212"/>
      <c r="R11" s="212"/>
      <c r="S11" s="212"/>
    </row>
    <row r="12" spans="1:19" ht="12" customHeight="1">
      <c r="A12" s="1266" t="s">
        <v>1346</v>
      </c>
      <c r="B12" s="1267"/>
      <c r="C12" s="1268"/>
      <c r="D12" s="1269" t="s">
        <v>1955</v>
      </c>
      <c r="E12" s="1269"/>
      <c r="F12" s="1269"/>
      <c r="G12" s="1269" t="s">
        <v>1956</v>
      </c>
      <c r="H12" s="1269"/>
      <c r="I12" s="1269"/>
      <c r="J12" s="1331"/>
      <c r="K12" s="1331"/>
      <c r="L12" s="1331"/>
      <c r="M12" s="1331"/>
      <c r="N12" s="1331"/>
      <c r="O12" s="1331"/>
      <c r="P12" s="212"/>
      <c r="Q12" s="212"/>
      <c r="R12" s="212"/>
      <c r="S12" s="212"/>
    </row>
    <row r="13" spans="1:19" ht="12" customHeight="1">
      <c r="A13" s="1266" t="s">
        <v>844</v>
      </c>
      <c r="B13" s="1267"/>
      <c r="C13" s="1268"/>
      <c r="D13" s="1269" t="s">
        <v>1957</v>
      </c>
      <c r="E13" s="1269"/>
      <c r="F13" s="1269"/>
      <c r="G13" s="1269" t="s">
        <v>1958</v>
      </c>
      <c r="H13" s="1269"/>
      <c r="I13" s="1269"/>
      <c r="J13" s="1331"/>
      <c r="K13" s="1331"/>
      <c r="L13" s="1331"/>
      <c r="M13" s="1331"/>
      <c r="N13" s="1331"/>
      <c r="O13" s="1331"/>
      <c r="P13" s="212"/>
      <c r="Q13" s="212"/>
      <c r="R13" s="212"/>
      <c r="S13" s="212"/>
    </row>
    <row r="14" spans="1:19" ht="12" customHeight="1">
      <c r="A14" s="1266" t="s">
        <v>1196</v>
      </c>
      <c r="B14" s="1267"/>
      <c r="C14" s="1268"/>
      <c r="D14" s="1266" t="s">
        <v>1907</v>
      </c>
      <c r="E14" s="1267"/>
      <c r="F14" s="1268"/>
      <c r="G14" s="1269" t="s">
        <v>1907</v>
      </c>
      <c r="H14" s="1269"/>
      <c r="I14" s="1269"/>
      <c r="J14" s="1331"/>
      <c r="K14" s="1331"/>
      <c r="L14" s="1331"/>
      <c r="M14" s="1331"/>
      <c r="N14" s="1331"/>
      <c r="O14" s="1331"/>
      <c r="P14" s="212"/>
      <c r="Q14" s="212"/>
      <c r="R14" s="212"/>
      <c r="S14" s="212"/>
    </row>
    <row r="15" spans="1:19" ht="12" customHeight="1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</row>
    <row r="16" spans="1:19" ht="12" customHeight="1">
      <c r="A16" s="212" t="s">
        <v>1916</v>
      </c>
      <c r="B16" s="212"/>
      <c r="C16" s="212"/>
      <c r="D16" s="215">
        <v>2</v>
      </c>
      <c r="E16" s="212" t="s">
        <v>1917</v>
      </c>
      <c r="F16" s="212"/>
      <c r="G16" s="212"/>
      <c r="H16" s="215">
        <v>2</v>
      </c>
      <c r="I16" s="212" t="s">
        <v>1918</v>
      </c>
      <c r="J16" s="215">
        <v>4</v>
      </c>
      <c r="K16" s="212" t="s">
        <v>1492</v>
      </c>
      <c r="L16" s="215">
        <v>2</v>
      </c>
      <c r="M16" s="212" t="s">
        <v>1493</v>
      </c>
      <c r="N16" s="1270">
        <v>11</v>
      </c>
      <c r="O16" s="1270"/>
      <c r="P16" s="212"/>
      <c r="Q16" s="212"/>
      <c r="R16" s="212"/>
      <c r="S16" s="212"/>
    </row>
    <row r="17" spans="1:19" ht="12" customHeight="1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</row>
    <row r="18" spans="1:19" ht="12" customHeight="1">
      <c r="A18" s="1271" t="s">
        <v>203</v>
      </c>
      <c r="B18" s="1271"/>
      <c r="C18" s="212"/>
      <c r="D18" s="212" t="s">
        <v>204</v>
      </c>
      <c r="E18" s="215">
        <v>61</v>
      </c>
      <c r="F18" s="212" t="s">
        <v>205</v>
      </c>
      <c r="G18" s="215" t="s">
        <v>1269</v>
      </c>
      <c r="H18" s="1272" t="s">
        <v>206</v>
      </c>
      <c r="I18" s="1271"/>
      <c r="J18" s="215" t="s">
        <v>1269</v>
      </c>
      <c r="K18" s="1272" t="s">
        <v>245</v>
      </c>
      <c r="L18" s="1271"/>
      <c r="M18" s="215">
        <v>61</v>
      </c>
      <c r="N18" s="212" t="s">
        <v>207</v>
      </c>
      <c r="O18" s="215">
        <v>0</v>
      </c>
      <c r="P18" s="514" t="s">
        <v>855</v>
      </c>
      <c r="Q18" s="514"/>
      <c r="R18" s="215">
        <v>4</v>
      </c>
      <c r="S18" s="212"/>
    </row>
    <row r="19" spans="1:19" ht="12" customHeight="1">
      <c r="A19" s="1271" t="s">
        <v>1029</v>
      </c>
      <c r="B19" s="1271"/>
      <c r="C19" s="212"/>
      <c r="D19" s="212" t="s">
        <v>210</v>
      </c>
      <c r="E19" s="215">
        <v>137</v>
      </c>
      <c r="F19" s="212" t="s">
        <v>1919</v>
      </c>
      <c r="G19" s="215" t="s">
        <v>1269</v>
      </c>
      <c r="H19" s="514" t="s">
        <v>212</v>
      </c>
      <c r="I19" s="514"/>
      <c r="J19" s="215" t="s">
        <v>1269</v>
      </c>
      <c r="K19" s="1272" t="s">
        <v>1920</v>
      </c>
      <c r="L19" s="1271"/>
      <c r="M19" s="215">
        <v>137</v>
      </c>
      <c r="N19" s="212"/>
      <c r="O19" s="212"/>
      <c r="P19" s="212"/>
      <c r="Q19" s="212"/>
      <c r="R19" s="214"/>
      <c r="S19" s="212"/>
    </row>
    <row r="20" spans="1:19" ht="12" customHeight="1">
      <c r="A20" s="212"/>
      <c r="B20" s="212"/>
      <c r="C20" s="212"/>
      <c r="D20" s="212" t="s">
        <v>213</v>
      </c>
      <c r="E20" s="215">
        <v>167</v>
      </c>
      <c r="F20" s="212" t="s">
        <v>214</v>
      </c>
      <c r="G20" s="215" t="s">
        <v>1269</v>
      </c>
      <c r="H20" s="1272" t="s">
        <v>215</v>
      </c>
      <c r="I20" s="1271"/>
      <c r="J20" s="215" t="s">
        <v>1269</v>
      </c>
      <c r="K20" s="1272" t="s">
        <v>1921</v>
      </c>
      <c r="L20" s="1271"/>
      <c r="M20" s="215">
        <v>167</v>
      </c>
      <c r="N20" s="212"/>
      <c r="O20" s="212"/>
      <c r="P20" s="212"/>
      <c r="Q20" s="212"/>
      <c r="R20" s="212"/>
      <c r="S20" s="212"/>
    </row>
    <row r="21" spans="1:19" ht="12" customHeigh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</row>
    <row r="22" spans="1:19" ht="12" customHeight="1">
      <c r="A22" s="1332" t="s">
        <v>409</v>
      </c>
      <c r="B22" s="133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</row>
    <row r="23" spans="1:19" s="217" customFormat="1" ht="12" customHeight="1">
      <c r="A23" s="1274" t="s">
        <v>217</v>
      </c>
      <c r="B23" s="1275"/>
      <c r="C23" s="1276"/>
      <c r="D23" s="1333" t="s">
        <v>1922</v>
      </c>
      <c r="E23" s="1333" t="s">
        <v>219</v>
      </c>
      <c r="F23" s="1333" t="s">
        <v>1923</v>
      </c>
      <c r="G23" s="1333" t="s">
        <v>1924</v>
      </c>
      <c r="H23" s="1334" t="s">
        <v>1925</v>
      </c>
      <c r="I23" s="1334"/>
      <c r="J23" s="1334"/>
      <c r="K23" s="1334"/>
      <c r="L23" s="1334"/>
      <c r="M23" s="1334"/>
      <c r="N23" s="1334"/>
      <c r="O23" s="1334"/>
      <c r="P23" s="1334"/>
      <c r="Q23" s="216"/>
      <c r="R23" s="216"/>
      <c r="S23" s="216"/>
    </row>
    <row r="24" spans="1:19" s="217" customFormat="1" ht="31.15" customHeight="1">
      <c r="A24" s="1277"/>
      <c r="B24" s="1278"/>
      <c r="C24" s="1279"/>
      <c r="D24" s="1333"/>
      <c r="E24" s="1333"/>
      <c r="F24" s="1333"/>
      <c r="G24" s="1333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517" t="s">
        <v>230</v>
      </c>
      <c r="P24" s="517" t="s">
        <v>662</v>
      </c>
      <c r="Q24" s="216"/>
      <c r="R24" s="216"/>
      <c r="S24" s="216"/>
    </row>
    <row r="25" spans="1:19" ht="12" customHeight="1">
      <c r="A25" s="1269" t="s">
        <v>232</v>
      </c>
      <c r="B25" s="1269"/>
      <c r="C25" s="1269"/>
      <c r="D25" s="218">
        <v>8000</v>
      </c>
      <c r="E25" s="513" t="s">
        <v>233</v>
      </c>
      <c r="F25" s="219">
        <v>64.840239999999994</v>
      </c>
      <c r="G25" s="219">
        <v>25.934999999999999</v>
      </c>
      <c r="H25" s="220">
        <v>0</v>
      </c>
      <c r="I25" s="220">
        <v>0</v>
      </c>
      <c r="J25" s="220">
        <v>5.9898999999999996</v>
      </c>
      <c r="K25" s="220">
        <v>10.729649999999999</v>
      </c>
      <c r="L25" s="220">
        <v>0</v>
      </c>
      <c r="M25" s="220">
        <v>0</v>
      </c>
      <c r="N25" s="220">
        <v>0</v>
      </c>
      <c r="O25" s="220">
        <v>16.719549999999998</v>
      </c>
      <c r="P25" s="220">
        <v>64.467129361866199</v>
      </c>
      <c r="Q25" s="212"/>
      <c r="R25" s="212"/>
      <c r="S25" s="212"/>
    </row>
    <row r="26" spans="1:19" ht="12" customHeight="1">
      <c r="A26" s="1269" t="s">
        <v>234</v>
      </c>
      <c r="B26" s="1269"/>
      <c r="C26" s="1269"/>
      <c r="D26" s="218">
        <v>7000</v>
      </c>
      <c r="E26" s="513" t="s">
        <v>233</v>
      </c>
      <c r="F26" s="219">
        <v>40.6</v>
      </c>
      <c r="G26" s="219">
        <v>0</v>
      </c>
      <c r="H26" s="220">
        <v>0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  <c r="Q26" s="212"/>
      <c r="R26" s="212"/>
      <c r="S26" s="212"/>
    </row>
    <row r="27" spans="1:19" ht="12" customHeight="1">
      <c r="A27" s="1269" t="s">
        <v>235</v>
      </c>
      <c r="B27" s="1269"/>
      <c r="C27" s="1269"/>
      <c r="D27" s="218">
        <v>43000</v>
      </c>
      <c r="E27" s="513" t="s">
        <v>236</v>
      </c>
      <c r="F27" s="219">
        <v>0.43</v>
      </c>
      <c r="G27" s="219">
        <v>0.18</v>
      </c>
      <c r="H27" s="220">
        <v>0</v>
      </c>
      <c r="I27" s="220">
        <v>0</v>
      </c>
      <c r="J27" s="220">
        <v>0</v>
      </c>
      <c r="K27" s="220">
        <v>0.18</v>
      </c>
      <c r="L27" s="220">
        <v>0</v>
      </c>
      <c r="M27" s="220">
        <v>0</v>
      </c>
      <c r="N27" s="220">
        <v>0</v>
      </c>
      <c r="O27" s="220">
        <v>0.18</v>
      </c>
      <c r="P27" s="220">
        <v>100</v>
      </c>
      <c r="Q27" s="212"/>
      <c r="R27" s="212"/>
      <c r="S27" s="212"/>
    </row>
    <row r="28" spans="1:19" ht="12" customHeight="1">
      <c r="A28" s="1269" t="s">
        <v>237</v>
      </c>
      <c r="B28" s="1269"/>
      <c r="C28" s="1269"/>
      <c r="D28" s="218">
        <v>34000</v>
      </c>
      <c r="E28" s="513" t="s">
        <v>236</v>
      </c>
      <c r="F28" s="219">
        <v>0.34</v>
      </c>
      <c r="G28" s="219">
        <v>0.16</v>
      </c>
      <c r="H28" s="220">
        <v>0</v>
      </c>
      <c r="I28" s="220">
        <v>0</v>
      </c>
      <c r="J28" s="220">
        <v>0</v>
      </c>
      <c r="K28" s="220">
        <v>0.16</v>
      </c>
      <c r="L28" s="220">
        <v>0</v>
      </c>
      <c r="M28" s="220">
        <v>0</v>
      </c>
      <c r="N28" s="220">
        <v>0</v>
      </c>
      <c r="O28" s="220">
        <v>0.16</v>
      </c>
      <c r="P28" s="220">
        <v>100</v>
      </c>
      <c r="Q28" s="212"/>
      <c r="R28" s="212"/>
      <c r="S28" s="212"/>
    </row>
    <row r="29" spans="1:19" ht="12" customHeight="1">
      <c r="A29" s="1269" t="s">
        <v>238</v>
      </c>
      <c r="B29" s="1269"/>
      <c r="C29" s="1269"/>
      <c r="D29" s="218">
        <v>1200</v>
      </c>
      <c r="E29" s="513" t="s">
        <v>233</v>
      </c>
      <c r="F29" s="219">
        <v>9.7260360000000006</v>
      </c>
      <c r="G29" s="219">
        <v>2</v>
      </c>
      <c r="H29" s="220">
        <v>0</v>
      </c>
      <c r="I29" s="220">
        <v>0</v>
      </c>
      <c r="J29" s="220">
        <v>0</v>
      </c>
      <c r="K29" s="220">
        <v>0.309</v>
      </c>
      <c r="L29" s="220">
        <v>0</v>
      </c>
      <c r="M29" s="220">
        <v>0</v>
      </c>
      <c r="N29" s="220">
        <v>0</v>
      </c>
      <c r="O29" s="220">
        <v>0.309</v>
      </c>
      <c r="P29" s="220">
        <v>15.45</v>
      </c>
      <c r="Q29" s="212"/>
      <c r="R29" s="212"/>
      <c r="S29" s="212"/>
    </row>
    <row r="30" spans="1:19" ht="12" customHeight="1">
      <c r="A30" s="1269" t="s">
        <v>667</v>
      </c>
      <c r="B30" s="1269"/>
      <c r="C30" s="1269"/>
      <c r="D30" s="218">
        <v>565</v>
      </c>
      <c r="E30" s="513" t="s">
        <v>233</v>
      </c>
      <c r="F30" s="219">
        <v>4.5793419499999999</v>
      </c>
      <c r="G30" s="219">
        <v>4.4577600000000004</v>
      </c>
      <c r="H30" s="220">
        <v>0</v>
      </c>
      <c r="I30" s="220">
        <v>0</v>
      </c>
      <c r="J30" s="220">
        <v>0</v>
      </c>
      <c r="K30" s="220">
        <v>4.4577600000000004</v>
      </c>
      <c r="L30" s="220">
        <v>0</v>
      </c>
      <c r="M30" s="220">
        <v>0</v>
      </c>
      <c r="N30" s="220">
        <v>0</v>
      </c>
      <c r="O30" s="220">
        <v>4.4577600000000004</v>
      </c>
      <c r="P30" s="220">
        <v>100</v>
      </c>
      <c r="Q30" s="212"/>
      <c r="R30" s="212"/>
      <c r="S30" s="212"/>
    </row>
    <row r="31" spans="1:19" ht="12" customHeight="1">
      <c r="A31" s="1269" t="s">
        <v>1503</v>
      </c>
      <c r="B31" s="1269"/>
      <c r="C31" s="1269"/>
      <c r="D31" s="218">
        <v>1000</v>
      </c>
      <c r="E31" s="513" t="s">
        <v>233</v>
      </c>
      <c r="F31" s="219">
        <v>8.1050299999999993</v>
      </c>
      <c r="G31" s="219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  <c r="Q31" s="212"/>
      <c r="R31" s="212"/>
      <c r="S31" s="212"/>
    </row>
    <row r="32" spans="1:19" ht="12" customHeight="1">
      <c r="A32" s="1269" t="s">
        <v>394</v>
      </c>
      <c r="B32" s="1269"/>
      <c r="C32" s="1269"/>
      <c r="D32" s="218">
        <v>2750</v>
      </c>
      <c r="E32" s="513" t="s">
        <v>242</v>
      </c>
      <c r="F32" s="219">
        <v>2.1</v>
      </c>
      <c r="G32" s="219">
        <v>0.41249999999999998</v>
      </c>
      <c r="H32" s="220">
        <v>0</v>
      </c>
      <c r="I32" s="220">
        <v>0</v>
      </c>
      <c r="J32" s="220">
        <v>3.7500000000000006E-2</v>
      </c>
      <c r="K32" s="220">
        <v>0.27500000000000002</v>
      </c>
      <c r="L32" s="220">
        <v>0</v>
      </c>
      <c r="M32" s="220">
        <v>0</v>
      </c>
      <c r="N32" s="220">
        <v>0</v>
      </c>
      <c r="O32" s="220">
        <v>0.3125</v>
      </c>
      <c r="P32" s="220">
        <v>75.757575757575751</v>
      </c>
      <c r="Q32" s="212"/>
      <c r="R32" s="212"/>
      <c r="S32" s="212"/>
    </row>
    <row r="33" spans="1:19" ht="12" customHeight="1">
      <c r="A33" s="1269" t="s">
        <v>670</v>
      </c>
      <c r="B33" s="1269"/>
      <c r="C33" s="1269"/>
      <c r="D33" s="218">
        <v>10000</v>
      </c>
      <c r="E33" s="513" t="s">
        <v>244</v>
      </c>
      <c r="F33" s="219">
        <v>0.1</v>
      </c>
      <c r="G33" s="219">
        <v>0.1</v>
      </c>
      <c r="H33" s="220">
        <v>0</v>
      </c>
      <c r="I33" s="220">
        <v>0</v>
      </c>
      <c r="J33" s="219">
        <v>0.1</v>
      </c>
      <c r="K33" s="220">
        <v>0</v>
      </c>
      <c r="L33" s="220">
        <v>0</v>
      </c>
      <c r="M33" s="220">
        <v>0</v>
      </c>
      <c r="N33" s="220">
        <v>0</v>
      </c>
      <c r="O33" s="220">
        <v>0.1</v>
      </c>
      <c r="P33" s="220">
        <v>100</v>
      </c>
      <c r="Q33" s="212"/>
      <c r="R33" s="212"/>
      <c r="S33" s="212"/>
    </row>
    <row r="34" spans="1:19" ht="12" customHeight="1">
      <c r="A34" s="1258" t="s">
        <v>230</v>
      </c>
      <c r="B34" s="1259"/>
      <c r="C34" s="1260"/>
      <c r="D34" s="215"/>
      <c r="E34" s="215"/>
      <c r="F34" s="222">
        <v>130.82064794999997</v>
      </c>
      <c r="G34" s="222">
        <v>33.245260000000002</v>
      </c>
      <c r="H34" s="222">
        <v>0</v>
      </c>
      <c r="I34" s="222">
        <v>0</v>
      </c>
      <c r="J34" s="222">
        <v>6.1273999999999988</v>
      </c>
      <c r="K34" s="222">
        <v>16.111409999999999</v>
      </c>
      <c r="L34" s="222">
        <v>0</v>
      </c>
      <c r="M34" s="222">
        <v>0</v>
      </c>
      <c r="N34" s="222">
        <v>0</v>
      </c>
      <c r="O34" s="222">
        <v>22.238810000000001</v>
      </c>
      <c r="P34" s="222"/>
      <c r="Q34" s="212"/>
      <c r="R34" s="212"/>
      <c r="S34" s="212"/>
    </row>
    <row r="35" spans="1:19" ht="19.899999999999999" customHeight="1"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</row>
    <row r="36" spans="1:19" ht="19.899999999999999" customHeight="1"/>
    <row r="37" spans="1:19" ht="19.899999999999999" customHeight="1"/>
    <row r="38" spans="1:19" ht="19.899999999999999" customHeight="1"/>
    <row r="39" spans="1:19" ht="19.899999999999999" customHeight="1"/>
    <row r="40" spans="1:19" ht="19.899999999999999" customHeight="1"/>
    <row r="41" spans="1:19" ht="19.899999999999999" customHeight="1"/>
    <row r="42" spans="1:19" ht="19.899999999999999" customHeight="1"/>
    <row r="43" spans="1:19" ht="19.899999999999999" customHeight="1"/>
    <row r="44" spans="1:19" ht="19.899999999999999" customHeight="1"/>
    <row r="45" spans="1:19" ht="19.899999999999999" customHeight="1"/>
    <row r="46" spans="1:19" ht="19.899999999999999" customHeight="1"/>
    <row r="47" spans="1:19" ht="19.899999999999999" customHeight="1"/>
    <row r="48" spans="1:19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</sheetData>
  <mergeCells count="56">
    <mergeCell ref="A30:C30"/>
    <mergeCell ref="A31:C31"/>
    <mergeCell ref="A32:C32"/>
    <mergeCell ref="A33:C33"/>
    <mergeCell ref="A34:C34"/>
    <mergeCell ref="H23:P23"/>
    <mergeCell ref="A25:C25"/>
    <mergeCell ref="A26:C26"/>
    <mergeCell ref="A27:C27"/>
    <mergeCell ref="A28:C28"/>
    <mergeCell ref="F23:F24"/>
    <mergeCell ref="G23:G24"/>
    <mergeCell ref="A29:C29"/>
    <mergeCell ref="A22:B22"/>
    <mergeCell ref="A23:C24"/>
    <mergeCell ref="D23:D24"/>
    <mergeCell ref="E23:E24"/>
    <mergeCell ref="H20:I20"/>
    <mergeCell ref="K20:L20"/>
    <mergeCell ref="A14:C14"/>
    <mergeCell ref="D14:F14"/>
    <mergeCell ref="G14:I14"/>
    <mergeCell ref="J14:L14"/>
    <mergeCell ref="A18:B18"/>
    <mergeCell ref="H18:I18"/>
    <mergeCell ref="K18:L18"/>
    <mergeCell ref="A19:B19"/>
    <mergeCell ref="K19:L19"/>
    <mergeCell ref="M14:O14"/>
    <mergeCell ref="N16:O16"/>
    <mergeCell ref="A12:C12"/>
    <mergeCell ref="D12:F12"/>
    <mergeCell ref="G12:I12"/>
    <mergeCell ref="J12:L12"/>
    <mergeCell ref="M12:O12"/>
    <mergeCell ref="A13:C13"/>
    <mergeCell ref="D13:F13"/>
    <mergeCell ref="G13:I13"/>
    <mergeCell ref="J13:L13"/>
    <mergeCell ref="M13:O13"/>
    <mergeCell ref="D8:F8"/>
    <mergeCell ref="H8:J9"/>
    <mergeCell ref="K8:O9"/>
    <mergeCell ref="A11:C11"/>
    <mergeCell ref="D11:F11"/>
    <mergeCell ref="G11:I11"/>
    <mergeCell ref="J11:L11"/>
    <mergeCell ref="M11:O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3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U103"/>
  <sheetViews>
    <sheetView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10.42578125" style="211" customWidth="1"/>
    <col min="3" max="3" width="7.28515625" style="211" customWidth="1"/>
    <col min="4" max="4" width="8.5703125" style="211" customWidth="1"/>
    <col min="5" max="5" width="7.28515625" style="211" customWidth="1"/>
    <col min="6" max="6" width="8.42578125" style="211" customWidth="1"/>
    <col min="7" max="7" width="8" style="211" customWidth="1"/>
    <col min="8" max="8" width="7.5703125" style="211" customWidth="1"/>
    <col min="9" max="9" width="8.28515625" style="211" customWidth="1"/>
    <col min="10" max="10" width="7.28515625" style="211" customWidth="1"/>
    <col min="11" max="11" width="8.5703125" style="211" customWidth="1"/>
    <col min="12" max="12" width="6.7109375" style="211" customWidth="1"/>
    <col min="13" max="13" width="7.85546875" style="211" customWidth="1"/>
    <col min="14" max="14" width="6.7109375" style="211" customWidth="1"/>
    <col min="15" max="15" width="10" style="211" customWidth="1"/>
    <col min="16" max="16" width="7.140625" style="211" customWidth="1"/>
    <col min="17" max="17" width="7.42578125" style="211" customWidth="1"/>
    <col min="18" max="18" width="7.7109375" style="211" customWidth="1"/>
    <col min="19" max="256" width="8.85546875" style="211"/>
    <col min="257" max="257" width="11.28515625" style="211" customWidth="1"/>
    <col min="258" max="258" width="10.42578125" style="211" customWidth="1"/>
    <col min="259" max="259" width="7.28515625" style="211" customWidth="1"/>
    <col min="260" max="260" width="8.5703125" style="211" customWidth="1"/>
    <col min="261" max="261" width="7.28515625" style="211" customWidth="1"/>
    <col min="262" max="262" width="8.42578125" style="211" customWidth="1"/>
    <col min="263" max="263" width="8" style="211" customWidth="1"/>
    <col min="264" max="264" width="7.5703125" style="211" customWidth="1"/>
    <col min="265" max="265" width="8.28515625" style="211" customWidth="1"/>
    <col min="266" max="266" width="7.28515625" style="211" customWidth="1"/>
    <col min="267" max="267" width="8.5703125" style="211" customWidth="1"/>
    <col min="268" max="268" width="6.7109375" style="211" customWidth="1"/>
    <col min="269" max="269" width="7.85546875" style="211" customWidth="1"/>
    <col min="270" max="270" width="6.7109375" style="211" customWidth="1"/>
    <col min="271" max="271" width="10" style="211" customWidth="1"/>
    <col min="272" max="272" width="7.140625" style="211" customWidth="1"/>
    <col min="273" max="273" width="7.42578125" style="211" customWidth="1"/>
    <col min="274" max="274" width="7.7109375" style="211" customWidth="1"/>
    <col min="275" max="512" width="8.85546875" style="211"/>
    <col min="513" max="513" width="11.28515625" style="211" customWidth="1"/>
    <col min="514" max="514" width="10.42578125" style="211" customWidth="1"/>
    <col min="515" max="515" width="7.28515625" style="211" customWidth="1"/>
    <col min="516" max="516" width="8.5703125" style="211" customWidth="1"/>
    <col min="517" max="517" width="7.28515625" style="211" customWidth="1"/>
    <col min="518" max="518" width="8.42578125" style="211" customWidth="1"/>
    <col min="519" max="519" width="8" style="211" customWidth="1"/>
    <col min="520" max="520" width="7.5703125" style="211" customWidth="1"/>
    <col min="521" max="521" width="8.28515625" style="211" customWidth="1"/>
    <col min="522" max="522" width="7.28515625" style="211" customWidth="1"/>
    <col min="523" max="523" width="8.5703125" style="211" customWidth="1"/>
    <col min="524" max="524" width="6.7109375" style="211" customWidth="1"/>
    <col min="525" max="525" width="7.85546875" style="211" customWidth="1"/>
    <col min="526" max="526" width="6.7109375" style="211" customWidth="1"/>
    <col min="527" max="527" width="10" style="211" customWidth="1"/>
    <col min="528" max="528" width="7.140625" style="211" customWidth="1"/>
    <col min="529" max="529" width="7.42578125" style="211" customWidth="1"/>
    <col min="530" max="530" width="7.7109375" style="211" customWidth="1"/>
    <col min="531" max="768" width="8.85546875" style="211"/>
    <col min="769" max="769" width="11.28515625" style="211" customWidth="1"/>
    <col min="770" max="770" width="10.42578125" style="211" customWidth="1"/>
    <col min="771" max="771" width="7.28515625" style="211" customWidth="1"/>
    <col min="772" max="772" width="8.5703125" style="211" customWidth="1"/>
    <col min="773" max="773" width="7.28515625" style="211" customWidth="1"/>
    <col min="774" max="774" width="8.42578125" style="211" customWidth="1"/>
    <col min="775" max="775" width="8" style="211" customWidth="1"/>
    <col min="776" max="776" width="7.5703125" style="211" customWidth="1"/>
    <col min="777" max="777" width="8.28515625" style="211" customWidth="1"/>
    <col min="778" max="778" width="7.28515625" style="211" customWidth="1"/>
    <col min="779" max="779" width="8.5703125" style="211" customWidth="1"/>
    <col min="780" max="780" width="6.7109375" style="211" customWidth="1"/>
    <col min="781" max="781" width="7.85546875" style="211" customWidth="1"/>
    <col min="782" max="782" width="6.7109375" style="211" customWidth="1"/>
    <col min="783" max="783" width="10" style="211" customWidth="1"/>
    <col min="784" max="784" width="7.140625" style="211" customWidth="1"/>
    <col min="785" max="785" width="7.42578125" style="211" customWidth="1"/>
    <col min="786" max="786" width="7.7109375" style="211" customWidth="1"/>
    <col min="787" max="1024" width="8.85546875" style="211"/>
    <col min="1025" max="1025" width="11.28515625" style="211" customWidth="1"/>
    <col min="1026" max="1026" width="10.42578125" style="211" customWidth="1"/>
    <col min="1027" max="1027" width="7.28515625" style="211" customWidth="1"/>
    <col min="1028" max="1028" width="8.5703125" style="211" customWidth="1"/>
    <col min="1029" max="1029" width="7.28515625" style="211" customWidth="1"/>
    <col min="1030" max="1030" width="8.42578125" style="211" customWidth="1"/>
    <col min="1031" max="1031" width="8" style="211" customWidth="1"/>
    <col min="1032" max="1032" width="7.5703125" style="211" customWidth="1"/>
    <col min="1033" max="1033" width="8.28515625" style="211" customWidth="1"/>
    <col min="1034" max="1034" width="7.28515625" style="211" customWidth="1"/>
    <col min="1035" max="1035" width="8.5703125" style="211" customWidth="1"/>
    <col min="1036" max="1036" width="6.7109375" style="211" customWidth="1"/>
    <col min="1037" max="1037" width="7.85546875" style="211" customWidth="1"/>
    <col min="1038" max="1038" width="6.7109375" style="211" customWidth="1"/>
    <col min="1039" max="1039" width="10" style="211" customWidth="1"/>
    <col min="1040" max="1040" width="7.140625" style="211" customWidth="1"/>
    <col min="1041" max="1041" width="7.42578125" style="211" customWidth="1"/>
    <col min="1042" max="1042" width="7.7109375" style="211" customWidth="1"/>
    <col min="1043" max="1280" width="8.85546875" style="211"/>
    <col min="1281" max="1281" width="11.28515625" style="211" customWidth="1"/>
    <col min="1282" max="1282" width="10.42578125" style="211" customWidth="1"/>
    <col min="1283" max="1283" width="7.28515625" style="211" customWidth="1"/>
    <col min="1284" max="1284" width="8.5703125" style="211" customWidth="1"/>
    <col min="1285" max="1285" width="7.28515625" style="211" customWidth="1"/>
    <col min="1286" max="1286" width="8.42578125" style="211" customWidth="1"/>
    <col min="1287" max="1287" width="8" style="211" customWidth="1"/>
    <col min="1288" max="1288" width="7.5703125" style="211" customWidth="1"/>
    <col min="1289" max="1289" width="8.28515625" style="211" customWidth="1"/>
    <col min="1290" max="1290" width="7.28515625" style="211" customWidth="1"/>
    <col min="1291" max="1291" width="8.5703125" style="211" customWidth="1"/>
    <col min="1292" max="1292" width="6.7109375" style="211" customWidth="1"/>
    <col min="1293" max="1293" width="7.85546875" style="211" customWidth="1"/>
    <col min="1294" max="1294" width="6.7109375" style="211" customWidth="1"/>
    <col min="1295" max="1295" width="10" style="211" customWidth="1"/>
    <col min="1296" max="1296" width="7.140625" style="211" customWidth="1"/>
    <col min="1297" max="1297" width="7.42578125" style="211" customWidth="1"/>
    <col min="1298" max="1298" width="7.7109375" style="211" customWidth="1"/>
    <col min="1299" max="1536" width="8.85546875" style="211"/>
    <col min="1537" max="1537" width="11.28515625" style="211" customWidth="1"/>
    <col min="1538" max="1538" width="10.42578125" style="211" customWidth="1"/>
    <col min="1539" max="1539" width="7.28515625" style="211" customWidth="1"/>
    <col min="1540" max="1540" width="8.5703125" style="211" customWidth="1"/>
    <col min="1541" max="1541" width="7.28515625" style="211" customWidth="1"/>
    <col min="1542" max="1542" width="8.42578125" style="211" customWidth="1"/>
    <col min="1543" max="1543" width="8" style="211" customWidth="1"/>
    <col min="1544" max="1544" width="7.5703125" style="211" customWidth="1"/>
    <col min="1545" max="1545" width="8.28515625" style="211" customWidth="1"/>
    <col min="1546" max="1546" width="7.28515625" style="211" customWidth="1"/>
    <col min="1547" max="1547" width="8.5703125" style="211" customWidth="1"/>
    <col min="1548" max="1548" width="6.7109375" style="211" customWidth="1"/>
    <col min="1549" max="1549" width="7.85546875" style="211" customWidth="1"/>
    <col min="1550" max="1550" width="6.7109375" style="211" customWidth="1"/>
    <col min="1551" max="1551" width="10" style="211" customWidth="1"/>
    <col min="1552" max="1552" width="7.140625" style="211" customWidth="1"/>
    <col min="1553" max="1553" width="7.42578125" style="211" customWidth="1"/>
    <col min="1554" max="1554" width="7.7109375" style="211" customWidth="1"/>
    <col min="1555" max="1792" width="8.85546875" style="211"/>
    <col min="1793" max="1793" width="11.28515625" style="211" customWidth="1"/>
    <col min="1794" max="1794" width="10.42578125" style="211" customWidth="1"/>
    <col min="1795" max="1795" width="7.28515625" style="211" customWidth="1"/>
    <col min="1796" max="1796" width="8.5703125" style="211" customWidth="1"/>
    <col min="1797" max="1797" width="7.28515625" style="211" customWidth="1"/>
    <col min="1798" max="1798" width="8.42578125" style="211" customWidth="1"/>
    <col min="1799" max="1799" width="8" style="211" customWidth="1"/>
    <col min="1800" max="1800" width="7.5703125" style="211" customWidth="1"/>
    <col min="1801" max="1801" width="8.28515625" style="211" customWidth="1"/>
    <col min="1802" max="1802" width="7.28515625" style="211" customWidth="1"/>
    <col min="1803" max="1803" width="8.5703125" style="211" customWidth="1"/>
    <col min="1804" max="1804" width="6.7109375" style="211" customWidth="1"/>
    <col min="1805" max="1805" width="7.85546875" style="211" customWidth="1"/>
    <col min="1806" max="1806" width="6.7109375" style="211" customWidth="1"/>
    <col min="1807" max="1807" width="10" style="211" customWidth="1"/>
    <col min="1808" max="1808" width="7.140625" style="211" customWidth="1"/>
    <col min="1809" max="1809" width="7.42578125" style="211" customWidth="1"/>
    <col min="1810" max="1810" width="7.7109375" style="211" customWidth="1"/>
    <col min="1811" max="2048" width="8.85546875" style="211"/>
    <col min="2049" max="2049" width="11.28515625" style="211" customWidth="1"/>
    <col min="2050" max="2050" width="10.42578125" style="211" customWidth="1"/>
    <col min="2051" max="2051" width="7.28515625" style="211" customWidth="1"/>
    <col min="2052" max="2052" width="8.5703125" style="211" customWidth="1"/>
    <col min="2053" max="2053" width="7.28515625" style="211" customWidth="1"/>
    <col min="2054" max="2054" width="8.42578125" style="211" customWidth="1"/>
    <col min="2055" max="2055" width="8" style="211" customWidth="1"/>
    <col min="2056" max="2056" width="7.5703125" style="211" customWidth="1"/>
    <col min="2057" max="2057" width="8.28515625" style="211" customWidth="1"/>
    <col min="2058" max="2058" width="7.28515625" style="211" customWidth="1"/>
    <col min="2059" max="2059" width="8.5703125" style="211" customWidth="1"/>
    <col min="2060" max="2060" width="6.7109375" style="211" customWidth="1"/>
    <col min="2061" max="2061" width="7.85546875" style="211" customWidth="1"/>
    <col min="2062" max="2062" width="6.7109375" style="211" customWidth="1"/>
    <col min="2063" max="2063" width="10" style="211" customWidth="1"/>
    <col min="2064" max="2064" width="7.140625" style="211" customWidth="1"/>
    <col min="2065" max="2065" width="7.42578125" style="211" customWidth="1"/>
    <col min="2066" max="2066" width="7.7109375" style="211" customWidth="1"/>
    <col min="2067" max="2304" width="8.85546875" style="211"/>
    <col min="2305" max="2305" width="11.28515625" style="211" customWidth="1"/>
    <col min="2306" max="2306" width="10.42578125" style="211" customWidth="1"/>
    <col min="2307" max="2307" width="7.28515625" style="211" customWidth="1"/>
    <col min="2308" max="2308" width="8.5703125" style="211" customWidth="1"/>
    <col min="2309" max="2309" width="7.28515625" style="211" customWidth="1"/>
    <col min="2310" max="2310" width="8.42578125" style="211" customWidth="1"/>
    <col min="2311" max="2311" width="8" style="211" customWidth="1"/>
    <col min="2312" max="2312" width="7.5703125" style="211" customWidth="1"/>
    <col min="2313" max="2313" width="8.28515625" style="211" customWidth="1"/>
    <col min="2314" max="2314" width="7.28515625" style="211" customWidth="1"/>
    <col min="2315" max="2315" width="8.5703125" style="211" customWidth="1"/>
    <col min="2316" max="2316" width="6.7109375" style="211" customWidth="1"/>
    <col min="2317" max="2317" width="7.85546875" style="211" customWidth="1"/>
    <col min="2318" max="2318" width="6.7109375" style="211" customWidth="1"/>
    <col min="2319" max="2319" width="10" style="211" customWidth="1"/>
    <col min="2320" max="2320" width="7.140625" style="211" customWidth="1"/>
    <col min="2321" max="2321" width="7.42578125" style="211" customWidth="1"/>
    <col min="2322" max="2322" width="7.7109375" style="211" customWidth="1"/>
    <col min="2323" max="2560" width="8.85546875" style="211"/>
    <col min="2561" max="2561" width="11.28515625" style="211" customWidth="1"/>
    <col min="2562" max="2562" width="10.42578125" style="211" customWidth="1"/>
    <col min="2563" max="2563" width="7.28515625" style="211" customWidth="1"/>
    <col min="2564" max="2564" width="8.5703125" style="211" customWidth="1"/>
    <col min="2565" max="2565" width="7.28515625" style="211" customWidth="1"/>
    <col min="2566" max="2566" width="8.42578125" style="211" customWidth="1"/>
    <col min="2567" max="2567" width="8" style="211" customWidth="1"/>
    <col min="2568" max="2568" width="7.5703125" style="211" customWidth="1"/>
    <col min="2569" max="2569" width="8.28515625" style="211" customWidth="1"/>
    <col min="2570" max="2570" width="7.28515625" style="211" customWidth="1"/>
    <col min="2571" max="2571" width="8.5703125" style="211" customWidth="1"/>
    <col min="2572" max="2572" width="6.7109375" style="211" customWidth="1"/>
    <col min="2573" max="2573" width="7.85546875" style="211" customWidth="1"/>
    <col min="2574" max="2574" width="6.7109375" style="211" customWidth="1"/>
    <col min="2575" max="2575" width="10" style="211" customWidth="1"/>
    <col min="2576" max="2576" width="7.140625" style="211" customWidth="1"/>
    <col min="2577" max="2577" width="7.42578125" style="211" customWidth="1"/>
    <col min="2578" max="2578" width="7.7109375" style="211" customWidth="1"/>
    <col min="2579" max="2816" width="8.85546875" style="211"/>
    <col min="2817" max="2817" width="11.28515625" style="211" customWidth="1"/>
    <col min="2818" max="2818" width="10.42578125" style="211" customWidth="1"/>
    <col min="2819" max="2819" width="7.28515625" style="211" customWidth="1"/>
    <col min="2820" max="2820" width="8.5703125" style="211" customWidth="1"/>
    <col min="2821" max="2821" width="7.28515625" style="211" customWidth="1"/>
    <col min="2822" max="2822" width="8.42578125" style="211" customWidth="1"/>
    <col min="2823" max="2823" width="8" style="211" customWidth="1"/>
    <col min="2824" max="2824" width="7.5703125" style="211" customWidth="1"/>
    <col min="2825" max="2825" width="8.28515625" style="211" customWidth="1"/>
    <col min="2826" max="2826" width="7.28515625" style="211" customWidth="1"/>
    <col min="2827" max="2827" width="8.5703125" style="211" customWidth="1"/>
    <col min="2828" max="2828" width="6.7109375" style="211" customWidth="1"/>
    <col min="2829" max="2829" width="7.85546875" style="211" customWidth="1"/>
    <col min="2830" max="2830" width="6.7109375" style="211" customWidth="1"/>
    <col min="2831" max="2831" width="10" style="211" customWidth="1"/>
    <col min="2832" max="2832" width="7.140625" style="211" customWidth="1"/>
    <col min="2833" max="2833" width="7.42578125" style="211" customWidth="1"/>
    <col min="2834" max="2834" width="7.7109375" style="211" customWidth="1"/>
    <col min="2835" max="3072" width="8.85546875" style="211"/>
    <col min="3073" max="3073" width="11.28515625" style="211" customWidth="1"/>
    <col min="3074" max="3074" width="10.42578125" style="211" customWidth="1"/>
    <col min="3075" max="3075" width="7.28515625" style="211" customWidth="1"/>
    <col min="3076" max="3076" width="8.5703125" style="211" customWidth="1"/>
    <col min="3077" max="3077" width="7.28515625" style="211" customWidth="1"/>
    <col min="3078" max="3078" width="8.42578125" style="211" customWidth="1"/>
    <col min="3079" max="3079" width="8" style="211" customWidth="1"/>
    <col min="3080" max="3080" width="7.5703125" style="211" customWidth="1"/>
    <col min="3081" max="3081" width="8.28515625" style="211" customWidth="1"/>
    <col min="3082" max="3082" width="7.28515625" style="211" customWidth="1"/>
    <col min="3083" max="3083" width="8.5703125" style="211" customWidth="1"/>
    <col min="3084" max="3084" width="6.7109375" style="211" customWidth="1"/>
    <col min="3085" max="3085" width="7.85546875" style="211" customWidth="1"/>
    <col min="3086" max="3086" width="6.7109375" style="211" customWidth="1"/>
    <col min="3087" max="3087" width="10" style="211" customWidth="1"/>
    <col min="3088" max="3088" width="7.140625" style="211" customWidth="1"/>
    <col min="3089" max="3089" width="7.42578125" style="211" customWidth="1"/>
    <col min="3090" max="3090" width="7.7109375" style="211" customWidth="1"/>
    <col min="3091" max="3328" width="8.85546875" style="211"/>
    <col min="3329" max="3329" width="11.28515625" style="211" customWidth="1"/>
    <col min="3330" max="3330" width="10.42578125" style="211" customWidth="1"/>
    <col min="3331" max="3331" width="7.28515625" style="211" customWidth="1"/>
    <col min="3332" max="3332" width="8.5703125" style="211" customWidth="1"/>
    <col min="3333" max="3333" width="7.28515625" style="211" customWidth="1"/>
    <col min="3334" max="3334" width="8.42578125" style="211" customWidth="1"/>
    <col min="3335" max="3335" width="8" style="211" customWidth="1"/>
    <col min="3336" max="3336" width="7.5703125" style="211" customWidth="1"/>
    <col min="3337" max="3337" width="8.28515625" style="211" customWidth="1"/>
    <col min="3338" max="3338" width="7.28515625" style="211" customWidth="1"/>
    <col min="3339" max="3339" width="8.5703125" style="211" customWidth="1"/>
    <col min="3340" max="3340" width="6.7109375" style="211" customWidth="1"/>
    <col min="3341" max="3341" width="7.85546875" style="211" customWidth="1"/>
    <col min="3342" max="3342" width="6.7109375" style="211" customWidth="1"/>
    <col min="3343" max="3343" width="10" style="211" customWidth="1"/>
    <col min="3344" max="3344" width="7.140625" style="211" customWidth="1"/>
    <col min="3345" max="3345" width="7.42578125" style="211" customWidth="1"/>
    <col min="3346" max="3346" width="7.7109375" style="211" customWidth="1"/>
    <col min="3347" max="3584" width="8.85546875" style="211"/>
    <col min="3585" max="3585" width="11.28515625" style="211" customWidth="1"/>
    <col min="3586" max="3586" width="10.42578125" style="211" customWidth="1"/>
    <col min="3587" max="3587" width="7.28515625" style="211" customWidth="1"/>
    <col min="3588" max="3588" width="8.5703125" style="211" customWidth="1"/>
    <col min="3589" max="3589" width="7.28515625" style="211" customWidth="1"/>
    <col min="3590" max="3590" width="8.42578125" style="211" customWidth="1"/>
    <col min="3591" max="3591" width="8" style="211" customWidth="1"/>
    <col min="3592" max="3592" width="7.5703125" style="211" customWidth="1"/>
    <col min="3593" max="3593" width="8.28515625" style="211" customWidth="1"/>
    <col min="3594" max="3594" width="7.28515625" style="211" customWidth="1"/>
    <col min="3595" max="3595" width="8.5703125" style="211" customWidth="1"/>
    <col min="3596" max="3596" width="6.7109375" style="211" customWidth="1"/>
    <col min="3597" max="3597" width="7.85546875" style="211" customWidth="1"/>
    <col min="3598" max="3598" width="6.7109375" style="211" customWidth="1"/>
    <col min="3599" max="3599" width="10" style="211" customWidth="1"/>
    <col min="3600" max="3600" width="7.140625" style="211" customWidth="1"/>
    <col min="3601" max="3601" width="7.42578125" style="211" customWidth="1"/>
    <col min="3602" max="3602" width="7.7109375" style="211" customWidth="1"/>
    <col min="3603" max="3840" width="8.85546875" style="211"/>
    <col min="3841" max="3841" width="11.28515625" style="211" customWidth="1"/>
    <col min="3842" max="3842" width="10.42578125" style="211" customWidth="1"/>
    <col min="3843" max="3843" width="7.28515625" style="211" customWidth="1"/>
    <col min="3844" max="3844" width="8.5703125" style="211" customWidth="1"/>
    <col min="3845" max="3845" width="7.28515625" style="211" customWidth="1"/>
    <col min="3846" max="3846" width="8.42578125" style="211" customWidth="1"/>
    <col min="3847" max="3847" width="8" style="211" customWidth="1"/>
    <col min="3848" max="3848" width="7.5703125" style="211" customWidth="1"/>
    <col min="3849" max="3849" width="8.28515625" style="211" customWidth="1"/>
    <col min="3850" max="3850" width="7.28515625" style="211" customWidth="1"/>
    <col min="3851" max="3851" width="8.5703125" style="211" customWidth="1"/>
    <col min="3852" max="3852" width="6.7109375" style="211" customWidth="1"/>
    <col min="3853" max="3853" width="7.85546875" style="211" customWidth="1"/>
    <col min="3854" max="3854" width="6.7109375" style="211" customWidth="1"/>
    <col min="3855" max="3855" width="10" style="211" customWidth="1"/>
    <col min="3856" max="3856" width="7.140625" style="211" customWidth="1"/>
    <col min="3857" max="3857" width="7.42578125" style="211" customWidth="1"/>
    <col min="3858" max="3858" width="7.7109375" style="211" customWidth="1"/>
    <col min="3859" max="4096" width="8.85546875" style="211"/>
    <col min="4097" max="4097" width="11.28515625" style="211" customWidth="1"/>
    <col min="4098" max="4098" width="10.42578125" style="211" customWidth="1"/>
    <col min="4099" max="4099" width="7.28515625" style="211" customWidth="1"/>
    <col min="4100" max="4100" width="8.5703125" style="211" customWidth="1"/>
    <col min="4101" max="4101" width="7.28515625" style="211" customWidth="1"/>
    <col min="4102" max="4102" width="8.42578125" style="211" customWidth="1"/>
    <col min="4103" max="4103" width="8" style="211" customWidth="1"/>
    <col min="4104" max="4104" width="7.5703125" style="211" customWidth="1"/>
    <col min="4105" max="4105" width="8.28515625" style="211" customWidth="1"/>
    <col min="4106" max="4106" width="7.28515625" style="211" customWidth="1"/>
    <col min="4107" max="4107" width="8.5703125" style="211" customWidth="1"/>
    <col min="4108" max="4108" width="6.7109375" style="211" customWidth="1"/>
    <col min="4109" max="4109" width="7.85546875" style="211" customWidth="1"/>
    <col min="4110" max="4110" width="6.7109375" style="211" customWidth="1"/>
    <col min="4111" max="4111" width="10" style="211" customWidth="1"/>
    <col min="4112" max="4112" width="7.140625" style="211" customWidth="1"/>
    <col min="4113" max="4113" width="7.42578125" style="211" customWidth="1"/>
    <col min="4114" max="4114" width="7.7109375" style="211" customWidth="1"/>
    <col min="4115" max="4352" width="8.85546875" style="211"/>
    <col min="4353" max="4353" width="11.28515625" style="211" customWidth="1"/>
    <col min="4354" max="4354" width="10.42578125" style="211" customWidth="1"/>
    <col min="4355" max="4355" width="7.28515625" style="211" customWidth="1"/>
    <col min="4356" max="4356" width="8.5703125" style="211" customWidth="1"/>
    <col min="4357" max="4357" width="7.28515625" style="211" customWidth="1"/>
    <col min="4358" max="4358" width="8.42578125" style="211" customWidth="1"/>
    <col min="4359" max="4359" width="8" style="211" customWidth="1"/>
    <col min="4360" max="4360" width="7.5703125" style="211" customWidth="1"/>
    <col min="4361" max="4361" width="8.28515625" style="211" customWidth="1"/>
    <col min="4362" max="4362" width="7.28515625" style="211" customWidth="1"/>
    <col min="4363" max="4363" width="8.5703125" style="211" customWidth="1"/>
    <col min="4364" max="4364" width="6.7109375" style="211" customWidth="1"/>
    <col min="4365" max="4365" width="7.85546875" style="211" customWidth="1"/>
    <col min="4366" max="4366" width="6.7109375" style="211" customWidth="1"/>
    <col min="4367" max="4367" width="10" style="211" customWidth="1"/>
    <col min="4368" max="4368" width="7.140625" style="211" customWidth="1"/>
    <col min="4369" max="4369" width="7.42578125" style="211" customWidth="1"/>
    <col min="4370" max="4370" width="7.7109375" style="211" customWidth="1"/>
    <col min="4371" max="4608" width="8.85546875" style="211"/>
    <col min="4609" max="4609" width="11.28515625" style="211" customWidth="1"/>
    <col min="4610" max="4610" width="10.42578125" style="211" customWidth="1"/>
    <col min="4611" max="4611" width="7.28515625" style="211" customWidth="1"/>
    <col min="4612" max="4612" width="8.5703125" style="211" customWidth="1"/>
    <col min="4613" max="4613" width="7.28515625" style="211" customWidth="1"/>
    <col min="4614" max="4614" width="8.42578125" style="211" customWidth="1"/>
    <col min="4615" max="4615" width="8" style="211" customWidth="1"/>
    <col min="4616" max="4616" width="7.5703125" style="211" customWidth="1"/>
    <col min="4617" max="4617" width="8.28515625" style="211" customWidth="1"/>
    <col min="4618" max="4618" width="7.28515625" style="211" customWidth="1"/>
    <col min="4619" max="4619" width="8.5703125" style="211" customWidth="1"/>
    <col min="4620" max="4620" width="6.7109375" style="211" customWidth="1"/>
    <col min="4621" max="4621" width="7.85546875" style="211" customWidth="1"/>
    <col min="4622" max="4622" width="6.7109375" style="211" customWidth="1"/>
    <col min="4623" max="4623" width="10" style="211" customWidth="1"/>
    <col min="4624" max="4624" width="7.140625" style="211" customWidth="1"/>
    <col min="4625" max="4625" width="7.42578125" style="211" customWidth="1"/>
    <col min="4626" max="4626" width="7.7109375" style="211" customWidth="1"/>
    <col min="4627" max="4864" width="8.85546875" style="211"/>
    <col min="4865" max="4865" width="11.28515625" style="211" customWidth="1"/>
    <col min="4866" max="4866" width="10.42578125" style="211" customWidth="1"/>
    <col min="4867" max="4867" width="7.28515625" style="211" customWidth="1"/>
    <col min="4868" max="4868" width="8.5703125" style="211" customWidth="1"/>
    <col min="4869" max="4869" width="7.28515625" style="211" customWidth="1"/>
    <col min="4870" max="4870" width="8.42578125" style="211" customWidth="1"/>
    <col min="4871" max="4871" width="8" style="211" customWidth="1"/>
    <col min="4872" max="4872" width="7.5703125" style="211" customWidth="1"/>
    <col min="4873" max="4873" width="8.28515625" style="211" customWidth="1"/>
    <col min="4874" max="4874" width="7.28515625" style="211" customWidth="1"/>
    <col min="4875" max="4875" width="8.5703125" style="211" customWidth="1"/>
    <col min="4876" max="4876" width="6.7109375" style="211" customWidth="1"/>
    <col min="4877" max="4877" width="7.85546875" style="211" customWidth="1"/>
    <col min="4878" max="4878" width="6.7109375" style="211" customWidth="1"/>
    <col min="4879" max="4879" width="10" style="211" customWidth="1"/>
    <col min="4880" max="4880" width="7.140625" style="211" customWidth="1"/>
    <col min="4881" max="4881" width="7.42578125" style="211" customWidth="1"/>
    <col min="4882" max="4882" width="7.7109375" style="211" customWidth="1"/>
    <col min="4883" max="5120" width="8.85546875" style="211"/>
    <col min="5121" max="5121" width="11.28515625" style="211" customWidth="1"/>
    <col min="5122" max="5122" width="10.42578125" style="211" customWidth="1"/>
    <col min="5123" max="5123" width="7.28515625" style="211" customWidth="1"/>
    <col min="5124" max="5124" width="8.5703125" style="211" customWidth="1"/>
    <col min="5125" max="5125" width="7.28515625" style="211" customWidth="1"/>
    <col min="5126" max="5126" width="8.42578125" style="211" customWidth="1"/>
    <col min="5127" max="5127" width="8" style="211" customWidth="1"/>
    <col min="5128" max="5128" width="7.5703125" style="211" customWidth="1"/>
    <col min="5129" max="5129" width="8.28515625" style="211" customWidth="1"/>
    <col min="5130" max="5130" width="7.28515625" style="211" customWidth="1"/>
    <col min="5131" max="5131" width="8.5703125" style="211" customWidth="1"/>
    <col min="5132" max="5132" width="6.7109375" style="211" customWidth="1"/>
    <col min="5133" max="5133" width="7.85546875" style="211" customWidth="1"/>
    <col min="5134" max="5134" width="6.7109375" style="211" customWidth="1"/>
    <col min="5135" max="5135" width="10" style="211" customWidth="1"/>
    <col min="5136" max="5136" width="7.140625" style="211" customWidth="1"/>
    <col min="5137" max="5137" width="7.42578125" style="211" customWidth="1"/>
    <col min="5138" max="5138" width="7.7109375" style="211" customWidth="1"/>
    <col min="5139" max="5376" width="8.85546875" style="211"/>
    <col min="5377" max="5377" width="11.28515625" style="211" customWidth="1"/>
    <col min="5378" max="5378" width="10.42578125" style="211" customWidth="1"/>
    <col min="5379" max="5379" width="7.28515625" style="211" customWidth="1"/>
    <col min="5380" max="5380" width="8.5703125" style="211" customWidth="1"/>
    <col min="5381" max="5381" width="7.28515625" style="211" customWidth="1"/>
    <col min="5382" max="5382" width="8.42578125" style="211" customWidth="1"/>
    <col min="5383" max="5383" width="8" style="211" customWidth="1"/>
    <col min="5384" max="5384" width="7.5703125" style="211" customWidth="1"/>
    <col min="5385" max="5385" width="8.28515625" style="211" customWidth="1"/>
    <col min="5386" max="5386" width="7.28515625" style="211" customWidth="1"/>
    <col min="5387" max="5387" width="8.5703125" style="211" customWidth="1"/>
    <col min="5388" max="5388" width="6.7109375" style="211" customWidth="1"/>
    <col min="5389" max="5389" width="7.85546875" style="211" customWidth="1"/>
    <col min="5390" max="5390" width="6.7109375" style="211" customWidth="1"/>
    <col min="5391" max="5391" width="10" style="211" customWidth="1"/>
    <col min="5392" max="5392" width="7.140625" style="211" customWidth="1"/>
    <col min="5393" max="5393" width="7.42578125" style="211" customWidth="1"/>
    <col min="5394" max="5394" width="7.7109375" style="211" customWidth="1"/>
    <col min="5395" max="5632" width="8.85546875" style="211"/>
    <col min="5633" max="5633" width="11.28515625" style="211" customWidth="1"/>
    <col min="5634" max="5634" width="10.42578125" style="211" customWidth="1"/>
    <col min="5635" max="5635" width="7.28515625" style="211" customWidth="1"/>
    <col min="5636" max="5636" width="8.5703125" style="211" customWidth="1"/>
    <col min="5637" max="5637" width="7.28515625" style="211" customWidth="1"/>
    <col min="5638" max="5638" width="8.42578125" style="211" customWidth="1"/>
    <col min="5639" max="5639" width="8" style="211" customWidth="1"/>
    <col min="5640" max="5640" width="7.5703125" style="211" customWidth="1"/>
    <col min="5641" max="5641" width="8.28515625" style="211" customWidth="1"/>
    <col min="5642" max="5642" width="7.28515625" style="211" customWidth="1"/>
    <col min="5643" max="5643" width="8.5703125" style="211" customWidth="1"/>
    <col min="5644" max="5644" width="6.7109375" style="211" customWidth="1"/>
    <col min="5645" max="5645" width="7.85546875" style="211" customWidth="1"/>
    <col min="5646" max="5646" width="6.7109375" style="211" customWidth="1"/>
    <col min="5647" max="5647" width="10" style="211" customWidth="1"/>
    <col min="5648" max="5648" width="7.140625" style="211" customWidth="1"/>
    <col min="5649" max="5649" width="7.42578125" style="211" customWidth="1"/>
    <col min="5650" max="5650" width="7.7109375" style="211" customWidth="1"/>
    <col min="5651" max="5888" width="8.85546875" style="211"/>
    <col min="5889" max="5889" width="11.28515625" style="211" customWidth="1"/>
    <col min="5890" max="5890" width="10.42578125" style="211" customWidth="1"/>
    <col min="5891" max="5891" width="7.28515625" style="211" customWidth="1"/>
    <col min="5892" max="5892" width="8.5703125" style="211" customWidth="1"/>
    <col min="5893" max="5893" width="7.28515625" style="211" customWidth="1"/>
    <col min="5894" max="5894" width="8.42578125" style="211" customWidth="1"/>
    <col min="5895" max="5895" width="8" style="211" customWidth="1"/>
    <col min="5896" max="5896" width="7.5703125" style="211" customWidth="1"/>
    <col min="5897" max="5897" width="8.28515625" style="211" customWidth="1"/>
    <col min="5898" max="5898" width="7.28515625" style="211" customWidth="1"/>
    <col min="5899" max="5899" width="8.5703125" style="211" customWidth="1"/>
    <col min="5900" max="5900" width="6.7109375" style="211" customWidth="1"/>
    <col min="5901" max="5901" width="7.85546875" style="211" customWidth="1"/>
    <col min="5902" max="5902" width="6.7109375" style="211" customWidth="1"/>
    <col min="5903" max="5903" width="10" style="211" customWidth="1"/>
    <col min="5904" max="5904" width="7.140625" style="211" customWidth="1"/>
    <col min="5905" max="5905" width="7.42578125" style="211" customWidth="1"/>
    <col min="5906" max="5906" width="7.7109375" style="211" customWidth="1"/>
    <col min="5907" max="6144" width="8.85546875" style="211"/>
    <col min="6145" max="6145" width="11.28515625" style="211" customWidth="1"/>
    <col min="6146" max="6146" width="10.42578125" style="211" customWidth="1"/>
    <col min="6147" max="6147" width="7.28515625" style="211" customWidth="1"/>
    <col min="6148" max="6148" width="8.5703125" style="211" customWidth="1"/>
    <col min="6149" max="6149" width="7.28515625" style="211" customWidth="1"/>
    <col min="6150" max="6150" width="8.42578125" style="211" customWidth="1"/>
    <col min="6151" max="6151" width="8" style="211" customWidth="1"/>
    <col min="6152" max="6152" width="7.5703125" style="211" customWidth="1"/>
    <col min="6153" max="6153" width="8.28515625" style="211" customWidth="1"/>
    <col min="6154" max="6154" width="7.28515625" style="211" customWidth="1"/>
    <col min="6155" max="6155" width="8.5703125" style="211" customWidth="1"/>
    <col min="6156" max="6156" width="6.7109375" style="211" customWidth="1"/>
    <col min="6157" max="6157" width="7.85546875" style="211" customWidth="1"/>
    <col min="6158" max="6158" width="6.7109375" style="211" customWidth="1"/>
    <col min="6159" max="6159" width="10" style="211" customWidth="1"/>
    <col min="6160" max="6160" width="7.140625" style="211" customWidth="1"/>
    <col min="6161" max="6161" width="7.42578125" style="211" customWidth="1"/>
    <col min="6162" max="6162" width="7.7109375" style="211" customWidth="1"/>
    <col min="6163" max="6400" width="8.85546875" style="211"/>
    <col min="6401" max="6401" width="11.28515625" style="211" customWidth="1"/>
    <col min="6402" max="6402" width="10.42578125" style="211" customWidth="1"/>
    <col min="6403" max="6403" width="7.28515625" style="211" customWidth="1"/>
    <col min="6404" max="6404" width="8.5703125" style="211" customWidth="1"/>
    <col min="6405" max="6405" width="7.28515625" style="211" customWidth="1"/>
    <col min="6406" max="6406" width="8.42578125" style="211" customWidth="1"/>
    <col min="6407" max="6407" width="8" style="211" customWidth="1"/>
    <col min="6408" max="6408" width="7.5703125" style="211" customWidth="1"/>
    <col min="6409" max="6409" width="8.28515625" style="211" customWidth="1"/>
    <col min="6410" max="6410" width="7.28515625" style="211" customWidth="1"/>
    <col min="6411" max="6411" width="8.5703125" style="211" customWidth="1"/>
    <col min="6412" max="6412" width="6.7109375" style="211" customWidth="1"/>
    <col min="6413" max="6413" width="7.85546875" style="211" customWidth="1"/>
    <col min="6414" max="6414" width="6.7109375" style="211" customWidth="1"/>
    <col min="6415" max="6415" width="10" style="211" customWidth="1"/>
    <col min="6416" max="6416" width="7.140625" style="211" customWidth="1"/>
    <col min="6417" max="6417" width="7.42578125" style="211" customWidth="1"/>
    <col min="6418" max="6418" width="7.7109375" style="211" customWidth="1"/>
    <col min="6419" max="6656" width="8.85546875" style="211"/>
    <col min="6657" max="6657" width="11.28515625" style="211" customWidth="1"/>
    <col min="6658" max="6658" width="10.42578125" style="211" customWidth="1"/>
    <col min="6659" max="6659" width="7.28515625" style="211" customWidth="1"/>
    <col min="6660" max="6660" width="8.5703125" style="211" customWidth="1"/>
    <col min="6661" max="6661" width="7.28515625" style="211" customWidth="1"/>
    <col min="6662" max="6662" width="8.42578125" style="211" customWidth="1"/>
    <col min="6663" max="6663" width="8" style="211" customWidth="1"/>
    <col min="6664" max="6664" width="7.5703125" style="211" customWidth="1"/>
    <col min="6665" max="6665" width="8.28515625" style="211" customWidth="1"/>
    <col min="6666" max="6666" width="7.28515625" style="211" customWidth="1"/>
    <col min="6667" max="6667" width="8.5703125" style="211" customWidth="1"/>
    <col min="6668" max="6668" width="6.7109375" style="211" customWidth="1"/>
    <col min="6669" max="6669" width="7.85546875" style="211" customWidth="1"/>
    <col min="6670" max="6670" width="6.7109375" style="211" customWidth="1"/>
    <col min="6671" max="6671" width="10" style="211" customWidth="1"/>
    <col min="6672" max="6672" width="7.140625" style="211" customWidth="1"/>
    <col min="6673" max="6673" width="7.42578125" style="211" customWidth="1"/>
    <col min="6674" max="6674" width="7.7109375" style="211" customWidth="1"/>
    <col min="6675" max="6912" width="8.85546875" style="211"/>
    <col min="6913" max="6913" width="11.28515625" style="211" customWidth="1"/>
    <col min="6914" max="6914" width="10.42578125" style="211" customWidth="1"/>
    <col min="6915" max="6915" width="7.28515625" style="211" customWidth="1"/>
    <col min="6916" max="6916" width="8.5703125" style="211" customWidth="1"/>
    <col min="6917" max="6917" width="7.28515625" style="211" customWidth="1"/>
    <col min="6918" max="6918" width="8.42578125" style="211" customWidth="1"/>
    <col min="6919" max="6919" width="8" style="211" customWidth="1"/>
    <col min="6920" max="6920" width="7.5703125" style="211" customWidth="1"/>
    <col min="6921" max="6921" width="8.28515625" style="211" customWidth="1"/>
    <col min="6922" max="6922" width="7.28515625" style="211" customWidth="1"/>
    <col min="6923" max="6923" width="8.5703125" style="211" customWidth="1"/>
    <col min="6924" max="6924" width="6.7109375" style="211" customWidth="1"/>
    <col min="6925" max="6925" width="7.85546875" style="211" customWidth="1"/>
    <col min="6926" max="6926" width="6.7109375" style="211" customWidth="1"/>
    <col min="6927" max="6927" width="10" style="211" customWidth="1"/>
    <col min="6928" max="6928" width="7.140625" style="211" customWidth="1"/>
    <col min="6929" max="6929" width="7.42578125" style="211" customWidth="1"/>
    <col min="6930" max="6930" width="7.7109375" style="211" customWidth="1"/>
    <col min="6931" max="7168" width="8.85546875" style="211"/>
    <col min="7169" max="7169" width="11.28515625" style="211" customWidth="1"/>
    <col min="7170" max="7170" width="10.42578125" style="211" customWidth="1"/>
    <col min="7171" max="7171" width="7.28515625" style="211" customWidth="1"/>
    <col min="7172" max="7172" width="8.5703125" style="211" customWidth="1"/>
    <col min="7173" max="7173" width="7.28515625" style="211" customWidth="1"/>
    <col min="7174" max="7174" width="8.42578125" style="211" customWidth="1"/>
    <col min="7175" max="7175" width="8" style="211" customWidth="1"/>
    <col min="7176" max="7176" width="7.5703125" style="211" customWidth="1"/>
    <col min="7177" max="7177" width="8.28515625" style="211" customWidth="1"/>
    <col min="7178" max="7178" width="7.28515625" style="211" customWidth="1"/>
    <col min="7179" max="7179" width="8.5703125" style="211" customWidth="1"/>
    <col min="7180" max="7180" width="6.7109375" style="211" customWidth="1"/>
    <col min="7181" max="7181" width="7.85546875" style="211" customWidth="1"/>
    <col min="7182" max="7182" width="6.7109375" style="211" customWidth="1"/>
    <col min="7183" max="7183" width="10" style="211" customWidth="1"/>
    <col min="7184" max="7184" width="7.140625" style="211" customWidth="1"/>
    <col min="7185" max="7185" width="7.42578125" style="211" customWidth="1"/>
    <col min="7186" max="7186" width="7.7109375" style="211" customWidth="1"/>
    <col min="7187" max="7424" width="8.85546875" style="211"/>
    <col min="7425" max="7425" width="11.28515625" style="211" customWidth="1"/>
    <col min="7426" max="7426" width="10.42578125" style="211" customWidth="1"/>
    <col min="7427" max="7427" width="7.28515625" style="211" customWidth="1"/>
    <col min="7428" max="7428" width="8.5703125" style="211" customWidth="1"/>
    <col min="7429" max="7429" width="7.28515625" style="211" customWidth="1"/>
    <col min="7430" max="7430" width="8.42578125" style="211" customWidth="1"/>
    <col min="7431" max="7431" width="8" style="211" customWidth="1"/>
    <col min="7432" max="7432" width="7.5703125" style="211" customWidth="1"/>
    <col min="7433" max="7433" width="8.28515625" style="211" customWidth="1"/>
    <col min="7434" max="7434" width="7.28515625" style="211" customWidth="1"/>
    <col min="7435" max="7435" width="8.5703125" style="211" customWidth="1"/>
    <col min="7436" max="7436" width="6.7109375" style="211" customWidth="1"/>
    <col min="7437" max="7437" width="7.85546875" style="211" customWidth="1"/>
    <col min="7438" max="7438" width="6.7109375" style="211" customWidth="1"/>
    <col min="7439" max="7439" width="10" style="211" customWidth="1"/>
    <col min="7440" max="7440" width="7.140625" style="211" customWidth="1"/>
    <col min="7441" max="7441" width="7.42578125" style="211" customWidth="1"/>
    <col min="7442" max="7442" width="7.7109375" style="211" customWidth="1"/>
    <col min="7443" max="7680" width="8.85546875" style="211"/>
    <col min="7681" max="7681" width="11.28515625" style="211" customWidth="1"/>
    <col min="7682" max="7682" width="10.42578125" style="211" customWidth="1"/>
    <col min="7683" max="7683" width="7.28515625" style="211" customWidth="1"/>
    <col min="7684" max="7684" width="8.5703125" style="211" customWidth="1"/>
    <col min="7685" max="7685" width="7.28515625" style="211" customWidth="1"/>
    <col min="7686" max="7686" width="8.42578125" style="211" customWidth="1"/>
    <col min="7687" max="7687" width="8" style="211" customWidth="1"/>
    <col min="7688" max="7688" width="7.5703125" style="211" customWidth="1"/>
    <col min="7689" max="7689" width="8.28515625" style="211" customWidth="1"/>
    <col min="7690" max="7690" width="7.28515625" style="211" customWidth="1"/>
    <col min="7691" max="7691" width="8.5703125" style="211" customWidth="1"/>
    <col min="7692" max="7692" width="6.7109375" style="211" customWidth="1"/>
    <col min="7693" max="7693" width="7.85546875" style="211" customWidth="1"/>
    <col min="7694" max="7694" width="6.7109375" style="211" customWidth="1"/>
    <col min="7695" max="7695" width="10" style="211" customWidth="1"/>
    <col min="7696" max="7696" width="7.140625" style="211" customWidth="1"/>
    <col min="7697" max="7697" width="7.42578125" style="211" customWidth="1"/>
    <col min="7698" max="7698" width="7.7109375" style="211" customWidth="1"/>
    <col min="7699" max="7936" width="8.85546875" style="211"/>
    <col min="7937" max="7937" width="11.28515625" style="211" customWidth="1"/>
    <col min="7938" max="7938" width="10.42578125" style="211" customWidth="1"/>
    <col min="7939" max="7939" width="7.28515625" style="211" customWidth="1"/>
    <col min="7940" max="7940" width="8.5703125" style="211" customWidth="1"/>
    <col min="7941" max="7941" width="7.28515625" style="211" customWidth="1"/>
    <col min="7942" max="7942" width="8.42578125" style="211" customWidth="1"/>
    <col min="7943" max="7943" width="8" style="211" customWidth="1"/>
    <col min="7944" max="7944" width="7.5703125" style="211" customWidth="1"/>
    <col min="7945" max="7945" width="8.28515625" style="211" customWidth="1"/>
    <col min="7946" max="7946" width="7.28515625" style="211" customWidth="1"/>
    <col min="7947" max="7947" width="8.5703125" style="211" customWidth="1"/>
    <col min="7948" max="7948" width="6.7109375" style="211" customWidth="1"/>
    <col min="7949" max="7949" width="7.85546875" style="211" customWidth="1"/>
    <col min="7950" max="7950" width="6.7109375" style="211" customWidth="1"/>
    <col min="7951" max="7951" width="10" style="211" customWidth="1"/>
    <col min="7952" max="7952" width="7.140625" style="211" customWidth="1"/>
    <col min="7953" max="7953" width="7.42578125" style="211" customWidth="1"/>
    <col min="7954" max="7954" width="7.7109375" style="211" customWidth="1"/>
    <col min="7955" max="8192" width="8.85546875" style="211"/>
    <col min="8193" max="8193" width="11.28515625" style="211" customWidth="1"/>
    <col min="8194" max="8194" width="10.42578125" style="211" customWidth="1"/>
    <col min="8195" max="8195" width="7.28515625" style="211" customWidth="1"/>
    <col min="8196" max="8196" width="8.5703125" style="211" customWidth="1"/>
    <col min="8197" max="8197" width="7.28515625" style="211" customWidth="1"/>
    <col min="8198" max="8198" width="8.42578125" style="211" customWidth="1"/>
    <col min="8199" max="8199" width="8" style="211" customWidth="1"/>
    <col min="8200" max="8200" width="7.5703125" style="211" customWidth="1"/>
    <col min="8201" max="8201" width="8.28515625" style="211" customWidth="1"/>
    <col min="8202" max="8202" width="7.28515625" style="211" customWidth="1"/>
    <col min="8203" max="8203" width="8.5703125" style="211" customWidth="1"/>
    <col min="8204" max="8204" width="6.7109375" style="211" customWidth="1"/>
    <col min="8205" max="8205" width="7.85546875" style="211" customWidth="1"/>
    <col min="8206" max="8206" width="6.7109375" style="211" customWidth="1"/>
    <col min="8207" max="8207" width="10" style="211" customWidth="1"/>
    <col min="8208" max="8208" width="7.140625" style="211" customWidth="1"/>
    <col min="8209" max="8209" width="7.42578125" style="211" customWidth="1"/>
    <col min="8210" max="8210" width="7.7109375" style="211" customWidth="1"/>
    <col min="8211" max="8448" width="8.85546875" style="211"/>
    <col min="8449" max="8449" width="11.28515625" style="211" customWidth="1"/>
    <col min="8450" max="8450" width="10.42578125" style="211" customWidth="1"/>
    <col min="8451" max="8451" width="7.28515625" style="211" customWidth="1"/>
    <col min="8452" max="8452" width="8.5703125" style="211" customWidth="1"/>
    <col min="8453" max="8453" width="7.28515625" style="211" customWidth="1"/>
    <col min="8454" max="8454" width="8.42578125" style="211" customWidth="1"/>
    <col min="8455" max="8455" width="8" style="211" customWidth="1"/>
    <col min="8456" max="8456" width="7.5703125" style="211" customWidth="1"/>
    <col min="8457" max="8457" width="8.28515625" style="211" customWidth="1"/>
    <col min="8458" max="8458" width="7.28515625" style="211" customWidth="1"/>
    <col min="8459" max="8459" width="8.5703125" style="211" customWidth="1"/>
    <col min="8460" max="8460" width="6.7109375" style="211" customWidth="1"/>
    <col min="8461" max="8461" width="7.85546875" style="211" customWidth="1"/>
    <col min="8462" max="8462" width="6.7109375" style="211" customWidth="1"/>
    <col min="8463" max="8463" width="10" style="211" customWidth="1"/>
    <col min="8464" max="8464" width="7.140625" style="211" customWidth="1"/>
    <col min="8465" max="8465" width="7.42578125" style="211" customWidth="1"/>
    <col min="8466" max="8466" width="7.7109375" style="211" customWidth="1"/>
    <col min="8467" max="8704" width="8.85546875" style="211"/>
    <col min="8705" max="8705" width="11.28515625" style="211" customWidth="1"/>
    <col min="8706" max="8706" width="10.42578125" style="211" customWidth="1"/>
    <col min="8707" max="8707" width="7.28515625" style="211" customWidth="1"/>
    <col min="8708" max="8708" width="8.5703125" style="211" customWidth="1"/>
    <col min="8709" max="8709" width="7.28515625" style="211" customWidth="1"/>
    <col min="8710" max="8710" width="8.42578125" style="211" customWidth="1"/>
    <col min="8711" max="8711" width="8" style="211" customWidth="1"/>
    <col min="8712" max="8712" width="7.5703125" style="211" customWidth="1"/>
    <col min="8713" max="8713" width="8.28515625" style="211" customWidth="1"/>
    <col min="8714" max="8714" width="7.28515625" style="211" customWidth="1"/>
    <col min="8715" max="8715" width="8.5703125" style="211" customWidth="1"/>
    <col min="8716" max="8716" width="6.7109375" style="211" customWidth="1"/>
    <col min="8717" max="8717" width="7.85546875" style="211" customWidth="1"/>
    <col min="8718" max="8718" width="6.7109375" style="211" customWidth="1"/>
    <col min="8719" max="8719" width="10" style="211" customWidth="1"/>
    <col min="8720" max="8720" width="7.140625" style="211" customWidth="1"/>
    <col min="8721" max="8721" width="7.42578125" style="211" customWidth="1"/>
    <col min="8722" max="8722" width="7.7109375" style="211" customWidth="1"/>
    <col min="8723" max="8960" width="8.85546875" style="211"/>
    <col min="8961" max="8961" width="11.28515625" style="211" customWidth="1"/>
    <col min="8962" max="8962" width="10.42578125" style="211" customWidth="1"/>
    <col min="8963" max="8963" width="7.28515625" style="211" customWidth="1"/>
    <col min="8964" max="8964" width="8.5703125" style="211" customWidth="1"/>
    <col min="8965" max="8965" width="7.28515625" style="211" customWidth="1"/>
    <col min="8966" max="8966" width="8.42578125" style="211" customWidth="1"/>
    <col min="8967" max="8967" width="8" style="211" customWidth="1"/>
    <col min="8968" max="8968" width="7.5703125" style="211" customWidth="1"/>
    <col min="8969" max="8969" width="8.28515625" style="211" customWidth="1"/>
    <col min="8970" max="8970" width="7.28515625" style="211" customWidth="1"/>
    <col min="8971" max="8971" width="8.5703125" style="211" customWidth="1"/>
    <col min="8972" max="8972" width="6.7109375" style="211" customWidth="1"/>
    <col min="8973" max="8973" width="7.85546875" style="211" customWidth="1"/>
    <col min="8974" max="8974" width="6.7109375" style="211" customWidth="1"/>
    <col min="8975" max="8975" width="10" style="211" customWidth="1"/>
    <col min="8976" max="8976" width="7.140625" style="211" customWidth="1"/>
    <col min="8977" max="8977" width="7.42578125" style="211" customWidth="1"/>
    <col min="8978" max="8978" width="7.7109375" style="211" customWidth="1"/>
    <col min="8979" max="9216" width="8.85546875" style="211"/>
    <col min="9217" max="9217" width="11.28515625" style="211" customWidth="1"/>
    <col min="9218" max="9218" width="10.42578125" style="211" customWidth="1"/>
    <col min="9219" max="9219" width="7.28515625" style="211" customWidth="1"/>
    <col min="9220" max="9220" width="8.5703125" style="211" customWidth="1"/>
    <col min="9221" max="9221" width="7.28515625" style="211" customWidth="1"/>
    <col min="9222" max="9222" width="8.42578125" style="211" customWidth="1"/>
    <col min="9223" max="9223" width="8" style="211" customWidth="1"/>
    <col min="9224" max="9224" width="7.5703125" style="211" customWidth="1"/>
    <col min="9225" max="9225" width="8.28515625" style="211" customWidth="1"/>
    <col min="9226" max="9226" width="7.28515625" style="211" customWidth="1"/>
    <col min="9227" max="9227" width="8.5703125" style="211" customWidth="1"/>
    <col min="9228" max="9228" width="6.7109375" style="211" customWidth="1"/>
    <col min="9229" max="9229" width="7.85546875" style="211" customWidth="1"/>
    <col min="9230" max="9230" width="6.7109375" style="211" customWidth="1"/>
    <col min="9231" max="9231" width="10" style="211" customWidth="1"/>
    <col min="9232" max="9232" width="7.140625" style="211" customWidth="1"/>
    <col min="9233" max="9233" width="7.42578125" style="211" customWidth="1"/>
    <col min="9234" max="9234" width="7.7109375" style="211" customWidth="1"/>
    <col min="9235" max="9472" width="8.85546875" style="211"/>
    <col min="9473" max="9473" width="11.28515625" style="211" customWidth="1"/>
    <col min="9474" max="9474" width="10.42578125" style="211" customWidth="1"/>
    <col min="9475" max="9475" width="7.28515625" style="211" customWidth="1"/>
    <col min="9476" max="9476" width="8.5703125" style="211" customWidth="1"/>
    <col min="9477" max="9477" width="7.28515625" style="211" customWidth="1"/>
    <col min="9478" max="9478" width="8.42578125" style="211" customWidth="1"/>
    <col min="9479" max="9479" width="8" style="211" customWidth="1"/>
    <col min="9480" max="9480" width="7.5703125" style="211" customWidth="1"/>
    <col min="9481" max="9481" width="8.28515625" style="211" customWidth="1"/>
    <col min="9482" max="9482" width="7.28515625" style="211" customWidth="1"/>
    <col min="9483" max="9483" width="8.5703125" style="211" customWidth="1"/>
    <col min="9484" max="9484" width="6.7109375" style="211" customWidth="1"/>
    <col min="9485" max="9485" width="7.85546875" style="211" customWidth="1"/>
    <col min="9486" max="9486" width="6.7109375" style="211" customWidth="1"/>
    <col min="9487" max="9487" width="10" style="211" customWidth="1"/>
    <col min="9488" max="9488" width="7.140625" style="211" customWidth="1"/>
    <col min="9489" max="9489" width="7.42578125" style="211" customWidth="1"/>
    <col min="9490" max="9490" width="7.7109375" style="211" customWidth="1"/>
    <col min="9491" max="9728" width="8.85546875" style="211"/>
    <col min="9729" max="9729" width="11.28515625" style="211" customWidth="1"/>
    <col min="9730" max="9730" width="10.42578125" style="211" customWidth="1"/>
    <col min="9731" max="9731" width="7.28515625" style="211" customWidth="1"/>
    <col min="9732" max="9732" width="8.5703125" style="211" customWidth="1"/>
    <col min="9733" max="9733" width="7.28515625" style="211" customWidth="1"/>
    <col min="9734" max="9734" width="8.42578125" style="211" customWidth="1"/>
    <col min="9735" max="9735" width="8" style="211" customWidth="1"/>
    <col min="9736" max="9736" width="7.5703125" style="211" customWidth="1"/>
    <col min="9737" max="9737" width="8.28515625" style="211" customWidth="1"/>
    <col min="9738" max="9738" width="7.28515625" style="211" customWidth="1"/>
    <col min="9739" max="9739" width="8.5703125" style="211" customWidth="1"/>
    <col min="9740" max="9740" width="6.7109375" style="211" customWidth="1"/>
    <col min="9741" max="9741" width="7.85546875" style="211" customWidth="1"/>
    <col min="9742" max="9742" width="6.7109375" style="211" customWidth="1"/>
    <col min="9743" max="9743" width="10" style="211" customWidth="1"/>
    <col min="9744" max="9744" width="7.140625" style="211" customWidth="1"/>
    <col min="9745" max="9745" width="7.42578125" style="211" customWidth="1"/>
    <col min="9746" max="9746" width="7.7109375" style="211" customWidth="1"/>
    <col min="9747" max="9984" width="8.85546875" style="211"/>
    <col min="9985" max="9985" width="11.28515625" style="211" customWidth="1"/>
    <col min="9986" max="9986" width="10.42578125" style="211" customWidth="1"/>
    <col min="9987" max="9987" width="7.28515625" style="211" customWidth="1"/>
    <col min="9988" max="9988" width="8.5703125" style="211" customWidth="1"/>
    <col min="9989" max="9989" width="7.28515625" style="211" customWidth="1"/>
    <col min="9990" max="9990" width="8.42578125" style="211" customWidth="1"/>
    <col min="9991" max="9991" width="8" style="211" customWidth="1"/>
    <col min="9992" max="9992" width="7.5703125" style="211" customWidth="1"/>
    <col min="9993" max="9993" width="8.28515625" style="211" customWidth="1"/>
    <col min="9994" max="9994" width="7.28515625" style="211" customWidth="1"/>
    <col min="9995" max="9995" width="8.5703125" style="211" customWidth="1"/>
    <col min="9996" max="9996" width="6.7109375" style="211" customWidth="1"/>
    <col min="9997" max="9997" width="7.85546875" style="211" customWidth="1"/>
    <col min="9998" max="9998" width="6.7109375" style="211" customWidth="1"/>
    <col min="9999" max="9999" width="10" style="211" customWidth="1"/>
    <col min="10000" max="10000" width="7.140625" style="211" customWidth="1"/>
    <col min="10001" max="10001" width="7.42578125" style="211" customWidth="1"/>
    <col min="10002" max="10002" width="7.7109375" style="211" customWidth="1"/>
    <col min="10003" max="10240" width="8.85546875" style="211"/>
    <col min="10241" max="10241" width="11.28515625" style="211" customWidth="1"/>
    <col min="10242" max="10242" width="10.42578125" style="211" customWidth="1"/>
    <col min="10243" max="10243" width="7.28515625" style="211" customWidth="1"/>
    <col min="10244" max="10244" width="8.5703125" style="211" customWidth="1"/>
    <col min="10245" max="10245" width="7.28515625" style="211" customWidth="1"/>
    <col min="10246" max="10246" width="8.42578125" style="211" customWidth="1"/>
    <col min="10247" max="10247" width="8" style="211" customWidth="1"/>
    <col min="10248" max="10248" width="7.5703125" style="211" customWidth="1"/>
    <col min="10249" max="10249" width="8.28515625" style="211" customWidth="1"/>
    <col min="10250" max="10250" width="7.28515625" style="211" customWidth="1"/>
    <col min="10251" max="10251" width="8.5703125" style="211" customWidth="1"/>
    <col min="10252" max="10252" width="6.7109375" style="211" customWidth="1"/>
    <col min="10253" max="10253" width="7.85546875" style="211" customWidth="1"/>
    <col min="10254" max="10254" width="6.7109375" style="211" customWidth="1"/>
    <col min="10255" max="10255" width="10" style="211" customWidth="1"/>
    <col min="10256" max="10256" width="7.140625" style="211" customWidth="1"/>
    <col min="10257" max="10257" width="7.42578125" style="211" customWidth="1"/>
    <col min="10258" max="10258" width="7.7109375" style="211" customWidth="1"/>
    <col min="10259" max="10496" width="8.85546875" style="211"/>
    <col min="10497" max="10497" width="11.28515625" style="211" customWidth="1"/>
    <col min="10498" max="10498" width="10.42578125" style="211" customWidth="1"/>
    <col min="10499" max="10499" width="7.28515625" style="211" customWidth="1"/>
    <col min="10500" max="10500" width="8.5703125" style="211" customWidth="1"/>
    <col min="10501" max="10501" width="7.28515625" style="211" customWidth="1"/>
    <col min="10502" max="10502" width="8.42578125" style="211" customWidth="1"/>
    <col min="10503" max="10503" width="8" style="211" customWidth="1"/>
    <col min="10504" max="10504" width="7.5703125" style="211" customWidth="1"/>
    <col min="10505" max="10505" width="8.28515625" style="211" customWidth="1"/>
    <col min="10506" max="10506" width="7.28515625" style="211" customWidth="1"/>
    <col min="10507" max="10507" width="8.5703125" style="211" customWidth="1"/>
    <col min="10508" max="10508" width="6.7109375" style="211" customWidth="1"/>
    <col min="10509" max="10509" width="7.85546875" style="211" customWidth="1"/>
    <col min="10510" max="10510" width="6.7109375" style="211" customWidth="1"/>
    <col min="10511" max="10511" width="10" style="211" customWidth="1"/>
    <col min="10512" max="10512" width="7.140625" style="211" customWidth="1"/>
    <col min="10513" max="10513" width="7.42578125" style="211" customWidth="1"/>
    <col min="10514" max="10514" width="7.7109375" style="211" customWidth="1"/>
    <col min="10515" max="10752" width="8.85546875" style="211"/>
    <col min="10753" max="10753" width="11.28515625" style="211" customWidth="1"/>
    <col min="10754" max="10754" width="10.42578125" style="211" customWidth="1"/>
    <col min="10755" max="10755" width="7.28515625" style="211" customWidth="1"/>
    <col min="10756" max="10756" width="8.5703125" style="211" customWidth="1"/>
    <col min="10757" max="10757" width="7.28515625" style="211" customWidth="1"/>
    <col min="10758" max="10758" width="8.42578125" style="211" customWidth="1"/>
    <col min="10759" max="10759" width="8" style="211" customWidth="1"/>
    <col min="10760" max="10760" width="7.5703125" style="211" customWidth="1"/>
    <col min="10761" max="10761" width="8.28515625" style="211" customWidth="1"/>
    <col min="10762" max="10762" width="7.28515625" style="211" customWidth="1"/>
    <col min="10763" max="10763" width="8.5703125" style="211" customWidth="1"/>
    <col min="10764" max="10764" width="6.7109375" style="211" customWidth="1"/>
    <col min="10765" max="10765" width="7.85546875" style="211" customWidth="1"/>
    <col min="10766" max="10766" width="6.7109375" style="211" customWidth="1"/>
    <col min="10767" max="10767" width="10" style="211" customWidth="1"/>
    <col min="10768" max="10768" width="7.140625" style="211" customWidth="1"/>
    <col min="10769" max="10769" width="7.42578125" style="211" customWidth="1"/>
    <col min="10770" max="10770" width="7.7109375" style="211" customWidth="1"/>
    <col min="10771" max="11008" width="8.85546875" style="211"/>
    <col min="11009" max="11009" width="11.28515625" style="211" customWidth="1"/>
    <col min="11010" max="11010" width="10.42578125" style="211" customWidth="1"/>
    <col min="11011" max="11011" width="7.28515625" style="211" customWidth="1"/>
    <col min="11012" max="11012" width="8.5703125" style="211" customWidth="1"/>
    <col min="11013" max="11013" width="7.28515625" style="211" customWidth="1"/>
    <col min="11014" max="11014" width="8.42578125" style="211" customWidth="1"/>
    <col min="11015" max="11015" width="8" style="211" customWidth="1"/>
    <col min="11016" max="11016" width="7.5703125" style="211" customWidth="1"/>
    <col min="11017" max="11017" width="8.28515625" style="211" customWidth="1"/>
    <col min="11018" max="11018" width="7.28515625" style="211" customWidth="1"/>
    <col min="11019" max="11019" width="8.5703125" style="211" customWidth="1"/>
    <col min="11020" max="11020" width="6.7109375" style="211" customWidth="1"/>
    <col min="11021" max="11021" width="7.85546875" style="211" customWidth="1"/>
    <col min="11022" max="11022" width="6.7109375" style="211" customWidth="1"/>
    <col min="11023" max="11023" width="10" style="211" customWidth="1"/>
    <col min="11024" max="11024" width="7.140625" style="211" customWidth="1"/>
    <col min="11025" max="11025" width="7.42578125" style="211" customWidth="1"/>
    <col min="11026" max="11026" width="7.7109375" style="211" customWidth="1"/>
    <col min="11027" max="11264" width="8.85546875" style="211"/>
    <col min="11265" max="11265" width="11.28515625" style="211" customWidth="1"/>
    <col min="11266" max="11266" width="10.42578125" style="211" customWidth="1"/>
    <col min="11267" max="11267" width="7.28515625" style="211" customWidth="1"/>
    <col min="11268" max="11268" width="8.5703125" style="211" customWidth="1"/>
    <col min="11269" max="11269" width="7.28515625" style="211" customWidth="1"/>
    <col min="11270" max="11270" width="8.42578125" style="211" customWidth="1"/>
    <col min="11271" max="11271" width="8" style="211" customWidth="1"/>
    <col min="11272" max="11272" width="7.5703125" style="211" customWidth="1"/>
    <col min="11273" max="11273" width="8.28515625" style="211" customWidth="1"/>
    <col min="11274" max="11274" width="7.28515625" style="211" customWidth="1"/>
    <col min="11275" max="11275" width="8.5703125" style="211" customWidth="1"/>
    <col min="11276" max="11276" width="6.7109375" style="211" customWidth="1"/>
    <col min="11277" max="11277" width="7.85546875" style="211" customWidth="1"/>
    <col min="11278" max="11278" width="6.7109375" style="211" customWidth="1"/>
    <col min="11279" max="11279" width="10" style="211" customWidth="1"/>
    <col min="11280" max="11280" width="7.140625" style="211" customWidth="1"/>
    <col min="11281" max="11281" width="7.42578125" style="211" customWidth="1"/>
    <col min="11282" max="11282" width="7.7109375" style="211" customWidth="1"/>
    <col min="11283" max="11520" width="8.85546875" style="211"/>
    <col min="11521" max="11521" width="11.28515625" style="211" customWidth="1"/>
    <col min="11522" max="11522" width="10.42578125" style="211" customWidth="1"/>
    <col min="11523" max="11523" width="7.28515625" style="211" customWidth="1"/>
    <col min="11524" max="11524" width="8.5703125" style="211" customWidth="1"/>
    <col min="11525" max="11525" width="7.28515625" style="211" customWidth="1"/>
    <col min="11526" max="11526" width="8.42578125" style="211" customWidth="1"/>
    <col min="11527" max="11527" width="8" style="211" customWidth="1"/>
    <col min="11528" max="11528" width="7.5703125" style="211" customWidth="1"/>
    <col min="11529" max="11529" width="8.28515625" style="211" customWidth="1"/>
    <col min="11530" max="11530" width="7.28515625" style="211" customWidth="1"/>
    <col min="11531" max="11531" width="8.5703125" style="211" customWidth="1"/>
    <col min="11532" max="11532" width="6.7109375" style="211" customWidth="1"/>
    <col min="11533" max="11533" width="7.85546875" style="211" customWidth="1"/>
    <col min="11534" max="11534" width="6.7109375" style="211" customWidth="1"/>
    <col min="11535" max="11535" width="10" style="211" customWidth="1"/>
    <col min="11536" max="11536" width="7.140625" style="211" customWidth="1"/>
    <col min="11537" max="11537" width="7.42578125" style="211" customWidth="1"/>
    <col min="11538" max="11538" width="7.7109375" style="211" customWidth="1"/>
    <col min="11539" max="11776" width="8.85546875" style="211"/>
    <col min="11777" max="11777" width="11.28515625" style="211" customWidth="1"/>
    <col min="11778" max="11778" width="10.42578125" style="211" customWidth="1"/>
    <col min="11779" max="11779" width="7.28515625" style="211" customWidth="1"/>
    <col min="11780" max="11780" width="8.5703125" style="211" customWidth="1"/>
    <col min="11781" max="11781" width="7.28515625" style="211" customWidth="1"/>
    <col min="11782" max="11782" width="8.42578125" style="211" customWidth="1"/>
    <col min="11783" max="11783" width="8" style="211" customWidth="1"/>
    <col min="11784" max="11784" width="7.5703125" style="211" customWidth="1"/>
    <col min="11785" max="11785" width="8.28515625" style="211" customWidth="1"/>
    <col min="11786" max="11786" width="7.28515625" style="211" customWidth="1"/>
    <col min="11787" max="11787" width="8.5703125" style="211" customWidth="1"/>
    <col min="11788" max="11788" width="6.7109375" style="211" customWidth="1"/>
    <col min="11789" max="11789" width="7.85546875" style="211" customWidth="1"/>
    <col min="11790" max="11790" width="6.7109375" style="211" customWidth="1"/>
    <col min="11791" max="11791" width="10" style="211" customWidth="1"/>
    <col min="11792" max="11792" width="7.140625" style="211" customWidth="1"/>
    <col min="11793" max="11793" width="7.42578125" style="211" customWidth="1"/>
    <col min="11794" max="11794" width="7.7109375" style="211" customWidth="1"/>
    <col min="11795" max="12032" width="8.85546875" style="211"/>
    <col min="12033" max="12033" width="11.28515625" style="211" customWidth="1"/>
    <col min="12034" max="12034" width="10.42578125" style="211" customWidth="1"/>
    <col min="12035" max="12035" width="7.28515625" style="211" customWidth="1"/>
    <col min="12036" max="12036" width="8.5703125" style="211" customWidth="1"/>
    <col min="12037" max="12037" width="7.28515625" style="211" customWidth="1"/>
    <col min="12038" max="12038" width="8.42578125" style="211" customWidth="1"/>
    <col min="12039" max="12039" width="8" style="211" customWidth="1"/>
    <col min="12040" max="12040" width="7.5703125" style="211" customWidth="1"/>
    <col min="12041" max="12041" width="8.28515625" style="211" customWidth="1"/>
    <col min="12042" max="12042" width="7.28515625" style="211" customWidth="1"/>
    <col min="12043" max="12043" width="8.5703125" style="211" customWidth="1"/>
    <col min="12044" max="12044" width="6.7109375" style="211" customWidth="1"/>
    <col min="12045" max="12045" width="7.85546875" style="211" customWidth="1"/>
    <col min="12046" max="12046" width="6.7109375" style="211" customWidth="1"/>
    <col min="12047" max="12047" width="10" style="211" customWidth="1"/>
    <col min="12048" max="12048" width="7.140625" style="211" customWidth="1"/>
    <col min="12049" max="12049" width="7.42578125" style="211" customWidth="1"/>
    <col min="12050" max="12050" width="7.7109375" style="211" customWidth="1"/>
    <col min="12051" max="12288" width="8.85546875" style="211"/>
    <col min="12289" max="12289" width="11.28515625" style="211" customWidth="1"/>
    <col min="12290" max="12290" width="10.42578125" style="211" customWidth="1"/>
    <col min="12291" max="12291" width="7.28515625" style="211" customWidth="1"/>
    <col min="12292" max="12292" width="8.5703125" style="211" customWidth="1"/>
    <col min="12293" max="12293" width="7.28515625" style="211" customWidth="1"/>
    <col min="12294" max="12294" width="8.42578125" style="211" customWidth="1"/>
    <col min="12295" max="12295" width="8" style="211" customWidth="1"/>
    <col min="12296" max="12296" width="7.5703125" style="211" customWidth="1"/>
    <col min="12297" max="12297" width="8.28515625" style="211" customWidth="1"/>
    <col min="12298" max="12298" width="7.28515625" style="211" customWidth="1"/>
    <col min="12299" max="12299" width="8.5703125" style="211" customWidth="1"/>
    <col min="12300" max="12300" width="6.7109375" style="211" customWidth="1"/>
    <col min="12301" max="12301" width="7.85546875" style="211" customWidth="1"/>
    <col min="12302" max="12302" width="6.7109375" style="211" customWidth="1"/>
    <col min="12303" max="12303" width="10" style="211" customWidth="1"/>
    <col min="12304" max="12304" width="7.140625" style="211" customWidth="1"/>
    <col min="12305" max="12305" width="7.42578125" style="211" customWidth="1"/>
    <col min="12306" max="12306" width="7.7109375" style="211" customWidth="1"/>
    <col min="12307" max="12544" width="8.85546875" style="211"/>
    <col min="12545" max="12545" width="11.28515625" style="211" customWidth="1"/>
    <col min="12546" max="12546" width="10.42578125" style="211" customWidth="1"/>
    <col min="12547" max="12547" width="7.28515625" style="211" customWidth="1"/>
    <col min="12548" max="12548" width="8.5703125" style="211" customWidth="1"/>
    <col min="12549" max="12549" width="7.28515625" style="211" customWidth="1"/>
    <col min="12550" max="12550" width="8.42578125" style="211" customWidth="1"/>
    <col min="12551" max="12551" width="8" style="211" customWidth="1"/>
    <col min="12552" max="12552" width="7.5703125" style="211" customWidth="1"/>
    <col min="12553" max="12553" width="8.28515625" style="211" customWidth="1"/>
    <col min="12554" max="12554" width="7.28515625" style="211" customWidth="1"/>
    <col min="12555" max="12555" width="8.5703125" style="211" customWidth="1"/>
    <col min="12556" max="12556" width="6.7109375" style="211" customWidth="1"/>
    <col min="12557" max="12557" width="7.85546875" style="211" customWidth="1"/>
    <col min="12558" max="12558" width="6.7109375" style="211" customWidth="1"/>
    <col min="12559" max="12559" width="10" style="211" customWidth="1"/>
    <col min="12560" max="12560" width="7.140625" style="211" customWidth="1"/>
    <col min="12561" max="12561" width="7.42578125" style="211" customWidth="1"/>
    <col min="12562" max="12562" width="7.7109375" style="211" customWidth="1"/>
    <col min="12563" max="12800" width="8.85546875" style="211"/>
    <col min="12801" max="12801" width="11.28515625" style="211" customWidth="1"/>
    <col min="12802" max="12802" width="10.42578125" style="211" customWidth="1"/>
    <col min="12803" max="12803" width="7.28515625" style="211" customWidth="1"/>
    <col min="12804" max="12804" width="8.5703125" style="211" customWidth="1"/>
    <col min="12805" max="12805" width="7.28515625" style="211" customWidth="1"/>
    <col min="12806" max="12806" width="8.42578125" style="211" customWidth="1"/>
    <col min="12807" max="12807" width="8" style="211" customWidth="1"/>
    <col min="12808" max="12808" width="7.5703125" style="211" customWidth="1"/>
    <col min="12809" max="12809" width="8.28515625" style="211" customWidth="1"/>
    <col min="12810" max="12810" width="7.28515625" style="211" customWidth="1"/>
    <col min="12811" max="12811" width="8.5703125" style="211" customWidth="1"/>
    <col min="12812" max="12812" width="6.7109375" style="211" customWidth="1"/>
    <col min="12813" max="12813" width="7.85546875" style="211" customWidth="1"/>
    <col min="12814" max="12814" width="6.7109375" style="211" customWidth="1"/>
    <col min="12815" max="12815" width="10" style="211" customWidth="1"/>
    <col min="12816" max="12816" width="7.140625" style="211" customWidth="1"/>
    <col min="12817" max="12817" width="7.42578125" style="211" customWidth="1"/>
    <col min="12818" max="12818" width="7.7109375" style="211" customWidth="1"/>
    <col min="12819" max="13056" width="8.85546875" style="211"/>
    <col min="13057" max="13057" width="11.28515625" style="211" customWidth="1"/>
    <col min="13058" max="13058" width="10.42578125" style="211" customWidth="1"/>
    <col min="13059" max="13059" width="7.28515625" style="211" customWidth="1"/>
    <col min="13060" max="13060" width="8.5703125" style="211" customWidth="1"/>
    <col min="13061" max="13061" width="7.28515625" style="211" customWidth="1"/>
    <col min="13062" max="13062" width="8.42578125" style="211" customWidth="1"/>
    <col min="13063" max="13063" width="8" style="211" customWidth="1"/>
    <col min="13064" max="13064" width="7.5703125" style="211" customWidth="1"/>
    <col min="13065" max="13065" width="8.28515625" style="211" customWidth="1"/>
    <col min="13066" max="13066" width="7.28515625" style="211" customWidth="1"/>
    <col min="13067" max="13067" width="8.5703125" style="211" customWidth="1"/>
    <col min="13068" max="13068" width="6.7109375" style="211" customWidth="1"/>
    <col min="13069" max="13069" width="7.85546875" style="211" customWidth="1"/>
    <col min="13070" max="13070" width="6.7109375" style="211" customWidth="1"/>
    <col min="13071" max="13071" width="10" style="211" customWidth="1"/>
    <col min="13072" max="13072" width="7.140625" style="211" customWidth="1"/>
    <col min="13073" max="13073" width="7.42578125" style="211" customWidth="1"/>
    <col min="13074" max="13074" width="7.7109375" style="211" customWidth="1"/>
    <col min="13075" max="13312" width="8.85546875" style="211"/>
    <col min="13313" max="13313" width="11.28515625" style="211" customWidth="1"/>
    <col min="13314" max="13314" width="10.42578125" style="211" customWidth="1"/>
    <col min="13315" max="13315" width="7.28515625" style="211" customWidth="1"/>
    <col min="13316" max="13316" width="8.5703125" style="211" customWidth="1"/>
    <col min="13317" max="13317" width="7.28515625" style="211" customWidth="1"/>
    <col min="13318" max="13318" width="8.42578125" style="211" customWidth="1"/>
    <col min="13319" max="13319" width="8" style="211" customWidth="1"/>
    <col min="13320" max="13320" width="7.5703125" style="211" customWidth="1"/>
    <col min="13321" max="13321" width="8.28515625" style="211" customWidth="1"/>
    <col min="13322" max="13322" width="7.28515625" style="211" customWidth="1"/>
    <col min="13323" max="13323" width="8.5703125" style="211" customWidth="1"/>
    <col min="13324" max="13324" width="6.7109375" style="211" customWidth="1"/>
    <col min="13325" max="13325" width="7.85546875" style="211" customWidth="1"/>
    <col min="13326" max="13326" width="6.7109375" style="211" customWidth="1"/>
    <col min="13327" max="13327" width="10" style="211" customWidth="1"/>
    <col min="13328" max="13328" width="7.140625" style="211" customWidth="1"/>
    <col min="13329" max="13329" width="7.42578125" style="211" customWidth="1"/>
    <col min="13330" max="13330" width="7.7109375" style="211" customWidth="1"/>
    <col min="13331" max="13568" width="8.85546875" style="211"/>
    <col min="13569" max="13569" width="11.28515625" style="211" customWidth="1"/>
    <col min="13570" max="13570" width="10.42578125" style="211" customWidth="1"/>
    <col min="13571" max="13571" width="7.28515625" style="211" customWidth="1"/>
    <col min="13572" max="13572" width="8.5703125" style="211" customWidth="1"/>
    <col min="13573" max="13573" width="7.28515625" style="211" customWidth="1"/>
    <col min="13574" max="13574" width="8.42578125" style="211" customWidth="1"/>
    <col min="13575" max="13575" width="8" style="211" customWidth="1"/>
    <col min="13576" max="13576" width="7.5703125" style="211" customWidth="1"/>
    <col min="13577" max="13577" width="8.28515625" style="211" customWidth="1"/>
    <col min="13578" max="13578" width="7.28515625" style="211" customWidth="1"/>
    <col min="13579" max="13579" width="8.5703125" style="211" customWidth="1"/>
    <col min="13580" max="13580" width="6.7109375" style="211" customWidth="1"/>
    <col min="13581" max="13581" width="7.85546875" style="211" customWidth="1"/>
    <col min="13582" max="13582" width="6.7109375" style="211" customWidth="1"/>
    <col min="13583" max="13583" width="10" style="211" customWidth="1"/>
    <col min="13584" max="13584" width="7.140625" style="211" customWidth="1"/>
    <col min="13585" max="13585" width="7.42578125" style="211" customWidth="1"/>
    <col min="13586" max="13586" width="7.7109375" style="211" customWidth="1"/>
    <col min="13587" max="13824" width="8.85546875" style="211"/>
    <col min="13825" max="13825" width="11.28515625" style="211" customWidth="1"/>
    <col min="13826" max="13826" width="10.42578125" style="211" customWidth="1"/>
    <col min="13827" max="13827" width="7.28515625" style="211" customWidth="1"/>
    <col min="13828" max="13828" width="8.5703125" style="211" customWidth="1"/>
    <col min="13829" max="13829" width="7.28515625" style="211" customWidth="1"/>
    <col min="13830" max="13830" width="8.42578125" style="211" customWidth="1"/>
    <col min="13831" max="13831" width="8" style="211" customWidth="1"/>
    <col min="13832" max="13832" width="7.5703125" style="211" customWidth="1"/>
    <col min="13833" max="13833" width="8.28515625" style="211" customWidth="1"/>
    <col min="13834" max="13834" width="7.28515625" style="211" customWidth="1"/>
    <col min="13835" max="13835" width="8.5703125" style="211" customWidth="1"/>
    <col min="13836" max="13836" width="6.7109375" style="211" customWidth="1"/>
    <col min="13837" max="13837" width="7.85546875" style="211" customWidth="1"/>
    <col min="13838" max="13838" width="6.7109375" style="211" customWidth="1"/>
    <col min="13839" max="13839" width="10" style="211" customWidth="1"/>
    <col min="13840" max="13840" width="7.140625" style="211" customWidth="1"/>
    <col min="13841" max="13841" width="7.42578125" style="211" customWidth="1"/>
    <col min="13842" max="13842" width="7.7109375" style="211" customWidth="1"/>
    <col min="13843" max="14080" width="8.85546875" style="211"/>
    <col min="14081" max="14081" width="11.28515625" style="211" customWidth="1"/>
    <col min="14082" max="14082" width="10.42578125" style="211" customWidth="1"/>
    <col min="14083" max="14083" width="7.28515625" style="211" customWidth="1"/>
    <col min="14084" max="14084" width="8.5703125" style="211" customWidth="1"/>
    <col min="14085" max="14085" width="7.28515625" style="211" customWidth="1"/>
    <col min="14086" max="14086" width="8.42578125" style="211" customWidth="1"/>
    <col min="14087" max="14087" width="8" style="211" customWidth="1"/>
    <col min="14088" max="14088" width="7.5703125" style="211" customWidth="1"/>
    <col min="14089" max="14089" width="8.28515625" style="211" customWidth="1"/>
    <col min="14090" max="14090" width="7.28515625" style="211" customWidth="1"/>
    <col min="14091" max="14091" width="8.5703125" style="211" customWidth="1"/>
    <col min="14092" max="14092" width="6.7109375" style="211" customWidth="1"/>
    <col min="14093" max="14093" width="7.85546875" style="211" customWidth="1"/>
    <col min="14094" max="14094" width="6.7109375" style="211" customWidth="1"/>
    <col min="14095" max="14095" width="10" style="211" customWidth="1"/>
    <col min="14096" max="14096" width="7.140625" style="211" customWidth="1"/>
    <col min="14097" max="14097" width="7.42578125" style="211" customWidth="1"/>
    <col min="14098" max="14098" width="7.7109375" style="211" customWidth="1"/>
    <col min="14099" max="14336" width="8.85546875" style="211"/>
    <col min="14337" max="14337" width="11.28515625" style="211" customWidth="1"/>
    <col min="14338" max="14338" width="10.42578125" style="211" customWidth="1"/>
    <col min="14339" max="14339" width="7.28515625" style="211" customWidth="1"/>
    <col min="14340" max="14340" width="8.5703125" style="211" customWidth="1"/>
    <col min="14341" max="14341" width="7.28515625" style="211" customWidth="1"/>
    <col min="14342" max="14342" width="8.42578125" style="211" customWidth="1"/>
    <col min="14343" max="14343" width="8" style="211" customWidth="1"/>
    <col min="14344" max="14344" width="7.5703125" style="211" customWidth="1"/>
    <col min="14345" max="14345" width="8.28515625" style="211" customWidth="1"/>
    <col min="14346" max="14346" width="7.28515625" style="211" customWidth="1"/>
    <col min="14347" max="14347" width="8.5703125" style="211" customWidth="1"/>
    <col min="14348" max="14348" width="6.7109375" style="211" customWidth="1"/>
    <col min="14349" max="14349" width="7.85546875" style="211" customWidth="1"/>
    <col min="14350" max="14350" width="6.7109375" style="211" customWidth="1"/>
    <col min="14351" max="14351" width="10" style="211" customWidth="1"/>
    <col min="14352" max="14352" width="7.140625" style="211" customWidth="1"/>
    <col min="14353" max="14353" width="7.42578125" style="211" customWidth="1"/>
    <col min="14354" max="14354" width="7.7109375" style="211" customWidth="1"/>
    <col min="14355" max="14592" width="8.85546875" style="211"/>
    <col min="14593" max="14593" width="11.28515625" style="211" customWidth="1"/>
    <col min="14594" max="14594" width="10.42578125" style="211" customWidth="1"/>
    <col min="14595" max="14595" width="7.28515625" style="211" customWidth="1"/>
    <col min="14596" max="14596" width="8.5703125" style="211" customWidth="1"/>
    <col min="14597" max="14597" width="7.28515625" style="211" customWidth="1"/>
    <col min="14598" max="14598" width="8.42578125" style="211" customWidth="1"/>
    <col min="14599" max="14599" width="8" style="211" customWidth="1"/>
    <col min="14600" max="14600" width="7.5703125" style="211" customWidth="1"/>
    <col min="14601" max="14601" width="8.28515625" style="211" customWidth="1"/>
    <col min="14602" max="14602" width="7.28515625" style="211" customWidth="1"/>
    <col min="14603" max="14603" width="8.5703125" style="211" customWidth="1"/>
    <col min="14604" max="14604" width="6.7109375" style="211" customWidth="1"/>
    <col min="14605" max="14605" width="7.85546875" style="211" customWidth="1"/>
    <col min="14606" max="14606" width="6.7109375" style="211" customWidth="1"/>
    <col min="14607" max="14607" width="10" style="211" customWidth="1"/>
    <col min="14608" max="14608" width="7.140625" style="211" customWidth="1"/>
    <col min="14609" max="14609" width="7.42578125" style="211" customWidth="1"/>
    <col min="14610" max="14610" width="7.7109375" style="211" customWidth="1"/>
    <col min="14611" max="14848" width="8.85546875" style="211"/>
    <col min="14849" max="14849" width="11.28515625" style="211" customWidth="1"/>
    <col min="14850" max="14850" width="10.42578125" style="211" customWidth="1"/>
    <col min="14851" max="14851" width="7.28515625" style="211" customWidth="1"/>
    <col min="14852" max="14852" width="8.5703125" style="211" customWidth="1"/>
    <col min="14853" max="14853" width="7.28515625" style="211" customWidth="1"/>
    <col min="14854" max="14854" width="8.42578125" style="211" customWidth="1"/>
    <col min="14855" max="14855" width="8" style="211" customWidth="1"/>
    <col min="14856" max="14856" width="7.5703125" style="211" customWidth="1"/>
    <col min="14857" max="14857" width="8.28515625" style="211" customWidth="1"/>
    <col min="14858" max="14858" width="7.28515625" style="211" customWidth="1"/>
    <col min="14859" max="14859" width="8.5703125" style="211" customWidth="1"/>
    <col min="14860" max="14860" width="6.7109375" style="211" customWidth="1"/>
    <col min="14861" max="14861" width="7.85546875" style="211" customWidth="1"/>
    <col min="14862" max="14862" width="6.7109375" style="211" customWidth="1"/>
    <col min="14863" max="14863" width="10" style="211" customWidth="1"/>
    <col min="14864" max="14864" width="7.140625" style="211" customWidth="1"/>
    <col min="14865" max="14865" width="7.42578125" style="211" customWidth="1"/>
    <col min="14866" max="14866" width="7.7109375" style="211" customWidth="1"/>
    <col min="14867" max="15104" width="8.85546875" style="211"/>
    <col min="15105" max="15105" width="11.28515625" style="211" customWidth="1"/>
    <col min="15106" max="15106" width="10.42578125" style="211" customWidth="1"/>
    <col min="15107" max="15107" width="7.28515625" style="211" customWidth="1"/>
    <col min="15108" max="15108" width="8.5703125" style="211" customWidth="1"/>
    <col min="15109" max="15109" width="7.28515625" style="211" customWidth="1"/>
    <col min="15110" max="15110" width="8.42578125" style="211" customWidth="1"/>
    <col min="15111" max="15111" width="8" style="211" customWidth="1"/>
    <col min="15112" max="15112" width="7.5703125" style="211" customWidth="1"/>
    <col min="15113" max="15113" width="8.28515625" style="211" customWidth="1"/>
    <col min="15114" max="15114" width="7.28515625" style="211" customWidth="1"/>
    <col min="15115" max="15115" width="8.5703125" style="211" customWidth="1"/>
    <col min="15116" max="15116" width="6.7109375" style="211" customWidth="1"/>
    <col min="15117" max="15117" width="7.85546875" style="211" customWidth="1"/>
    <col min="15118" max="15118" width="6.7109375" style="211" customWidth="1"/>
    <col min="15119" max="15119" width="10" style="211" customWidth="1"/>
    <col min="15120" max="15120" width="7.140625" style="211" customWidth="1"/>
    <col min="15121" max="15121" width="7.42578125" style="211" customWidth="1"/>
    <col min="15122" max="15122" width="7.7109375" style="211" customWidth="1"/>
    <col min="15123" max="15360" width="8.85546875" style="211"/>
    <col min="15361" max="15361" width="11.28515625" style="211" customWidth="1"/>
    <col min="15362" max="15362" width="10.42578125" style="211" customWidth="1"/>
    <col min="15363" max="15363" width="7.28515625" style="211" customWidth="1"/>
    <col min="15364" max="15364" width="8.5703125" style="211" customWidth="1"/>
    <col min="15365" max="15365" width="7.28515625" style="211" customWidth="1"/>
    <col min="15366" max="15366" width="8.42578125" style="211" customWidth="1"/>
    <col min="15367" max="15367" width="8" style="211" customWidth="1"/>
    <col min="15368" max="15368" width="7.5703125" style="211" customWidth="1"/>
    <col min="15369" max="15369" width="8.28515625" style="211" customWidth="1"/>
    <col min="15370" max="15370" width="7.28515625" style="211" customWidth="1"/>
    <col min="15371" max="15371" width="8.5703125" style="211" customWidth="1"/>
    <col min="15372" max="15372" width="6.7109375" style="211" customWidth="1"/>
    <col min="15373" max="15373" width="7.85546875" style="211" customWidth="1"/>
    <col min="15374" max="15374" width="6.7109375" style="211" customWidth="1"/>
    <col min="15375" max="15375" width="10" style="211" customWidth="1"/>
    <col min="15376" max="15376" width="7.140625" style="211" customWidth="1"/>
    <col min="15377" max="15377" width="7.42578125" style="211" customWidth="1"/>
    <col min="15378" max="15378" width="7.7109375" style="211" customWidth="1"/>
    <col min="15379" max="15616" width="8.85546875" style="211"/>
    <col min="15617" max="15617" width="11.28515625" style="211" customWidth="1"/>
    <col min="15618" max="15618" width="10.42578125" style="211" customWidth="1"/>
    <col min="15619" max="15619" width="7.28515625" style="211" customWidth="1"/>
    <col min="15620" max="15620" width="8.5703125" style="211" customWidth="1"/>
    <col min="15621" max="15621" width="7.28515625" style="211" customWidth="1"/>
    <col min="15622" max="15622" width="8.42578125" style="211" customWidth="1"/>
    <col min="15623" max="15623" width="8" style="211" customWidth="1"/>
    <col min="15624" max="15624" width="7.5703125" style="211" customWidth="1"/>
    <col min="15625" max="15625" width="8.28515625" style="211" customWidth="1"/>
    <col min="15626" max="15626" width="7.28515625" style="211" customWidth="1"/>
    <col min="15627" max="15627" width="8.5703125" style="211" customWidth="1"/>
    <col min="15628" max="15628" width="6.7109375" style="211" customWidth="1"/>
    <col min="15629" max="15629" width="7.85546875" style="211" customWidth="1"/>
    <col min="15630" max="15630" width="6.7109375" style="211" customWidth="1"/>
    <col min="15631" max="15631" width="10" style="211" customWidth="1"/>
    <col min="15632" max="15632" width="7.140625" style="211" customWidth="1"/>
    <col min="15633" max="15633" width="7.42578125" style="211" customWidth="1"/>
    <col min="15634" max="15634" width="7.7109375" style="211" customWidth="1"/>
    <col min="15635" max="15872" width="8.85546875" style="211"/>
    <col min="15873" max="15873" width="11.28515625" style="211" customWidth="1"/>
    <col min="15874" max="15874" width="10.42578125" style="211" customWidth="1"/>
    <col min="15875" max="15875" width="7.28515625" style="211" customWidth="1"/>
    <col min="15876" max="15876" width="8.5703125" style="211" customWidth="1"/>
    <col min="15877" max="15877" width="7.28515625" style="211" customWidth="1"/>
    <col min="15878" max="15878" width="8.42578125" style="211" customWidth="1"/>
    <col min="15879" max="15879" width="8" style="211" customWidth="1"/>
    <col min="15880" max="15880" width="7.5703125" style="211" customWidth="1"/>
    <col min="15881" max="15881" width="8.28515625" style="211" customWidth="1"/>
    <col min="15882" max="15882" width="7.28515625" style="211" customWidth="1"/>
    <col min="15883" max="15883" width="8.5703125" style="211" customWidth="1"/>
    <col min="15884" max="15884" width="6.7109375" style="211" customWidth="1"/>
    <col min="15885" max="15885" width="7.85546875" style="211" customWidth="1"/>
    <col min="15886" max="15886" width="6.7109375" style="211" customWidth="1"/>
    <col min="15887" max="15887" width="10" style="211" customWidth="1"/>
    <col min="15888" max="15888" width="7.140625" style="211" customWidth="1"/>
    <col min="15889" max="15889" width="7.42578125" style="211" customWidth="1"/>
    <col min="15890" max="15890" width="7.7109375" style="211" customWidth="1"/>
    <col min="15891" max="16128" width="8.85546875" style="211"/>
    <col min="16129" max="16129" width="11.28515625" style="211" customWidth="1"/>
    <col min="16130" max="16130" width="10.42578125" style="211" customWidth="1"/>
    <col min="16131" max="16131" width="7.28515625" style="211" customWidth="1"/>
    <col min="16132" max="16132" width="8.5703125" style="211" customWidth="1"/>
    <col min="16133" max="16133" width="7.28515625" style="211" customWidth="1"/>
    <col min="16134" max="16134" width="8.42578125" style="211" customWidth="1"/>
    <col min="16135" max="16135" width="8" style="211" customWidth="1"/>
    <col min="16136" max="16136" width="7.5703125" style="211" customWidth="1"/>
    <col min="16137" max="16137" width="8.28515625" style="211" customWidth="1"/>
    <col min="16138" max="16138" width="7.28515625" style="211" customWidth="1"/>
    <col min="16139" max="16139" width="8.5703125" style="211" customWidth="1"/>
    <col min="16140" max="16140" width="6.7109375" style="211" customWidth="1"/>
    <col min="16141" max="16141" width="7.85546875" style="211" customWidth="1"/>
    <col min="16142" max="16142" width="6.7109375" style="211" customWidth="1"/>
    <col min="16143" max="16143" width="10" style="211" customWidth="1"/>
    <col min="16144" max="16144" width="7.140625" style="211" customWidth="1"/>
    <col min="16145" max="16145" width="7.42578125" style="211" customWidth="1"/>
    <col min="16146" max="16146" width="7.7109375" style="211" customWidth="1"/>
    <col min="16147" max="16384" width="8.85546875" style="211"/>
  </cols>
  <sheetData>
    <row r="1" spans="1:21" ht="15" customHeight="1"/>
    <row r="2" spans="1:21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21" ht="12" customHeight="1">
      <c r="E3" s="1285" t="s">
        <v>168</v>
      </c>
      <c r="F3" s="1285"/>
      <c r="G3" s="1285"/>
      <c r="H3" s="1285"/>
      <c r="I3" s="1285"/>
      <c r="J3" s="1285"/>
    </row>
    <row r="4" spans="1:21" ht="12" customHeight="1">
      <c r="A4" s="1296" t="s">
        <v>1900</v>
      </c>
      <c r="B4" s="1296"/>
      <c r="C4" s="1297"/>
      <c r="D4" s="1286" t="s">
        <v>1959</v>
      </c>
      <c r="E4" s="1287"/>
      <c r="F4" s="1288"/>
      <c r="H4" s="211" t="s">
        <v>1902</v>
      </c>
      <c r="K4" s="1335" t="s">
        <v>1960</v>
      </c>
      <c r="L4" s="1336"/>
      <c r="M4" s="1337"/>
      <c r="N4" s="211" t="s">
        <v>5</v>
      </c>
      <c r="P4" s="225">
        <v>144.47499999999999</v>
      </c>
      <c r="Q4" s="226" t="s">
        <v>436</v>
      </c>
      <c r="R4" s="226"/>
    </row>
    <row r="5" spans="1:21" ht="12" customHeight="1">
      <c r="A5" s="808" t="s">
        <v>4176</v>
      </c>
      <c r="B5" s="808"/>
      <c r="C5" s="808"/>
      <c r="D5" s="227"/>
      <c r="E5" s="227"/>
      <c r="F5" s="227"/>
      <c r="K5" s="227"/>
      <c r="L5" s="227"/>
      <c r="M5" s="227"/>
      <c r="Q5" s="226"/>
      <c r="R5" s="228">
        <v>80</v>
      </c>
    </row>
    <row r="6" spans="1:21" ht="12" customHeight="1">
      <c r="A6" s="211" t="s">
        <v>832</v>
      </c>
      <c r="D6" s="1303" t="s">
        <v>1961</v>
      </c>
      <c r="E6" s="1304"/>
      <c r="F6" s="1305"/>
      <c r="H6" s="211" t="s">
        <v>1208</v>
      </c>
      <c r="K6" s="1303" t="s">
        <v>1962</v>
      </c>
      <c r="L6" s="1304"/>
      <c r="M6" s="1305"/>
    </row>
    <row r="7" spans="1:21" ht="12" customHeight="1"/>
    <row r="8" spans="1:21" ht="12" customHeight="1">
      <c r="A8" s="211" t="s">
        <v>1906</v>
      </c>
      <c r="D8" s="1293" t="s">
        <v>5662</v>
      </c>
      <c r="E8" s="1294"/>
      <c r="F8" s="1295"/>
      <c r="H8" s="1301" t="s">
        <v>1908</v>
      </c>
      <c r="I8" s="1301"/>
      <c r="J8" s="1301"/>
      <c r="K8" s="1338" t="s">
        <v>5663</v>
      </c>
      <c r="L8" s="1339"/>
      <c r="M8" s="1339"/>
      <c r="N8" s="1339"/>
      <c r="O8" s="1340"/>
    </row>
    <row r="9" spans="1:21" ht="12" customHeight="1">
      <c r="H9" s="1301"/>
      <c r="I9" s="1301"/>
      <c r="J9" s="1301"/>
      <c r="K9" s="1341"/>
      <c r="L9" s="1342"/>
      <c r="M9" s="1342"/>
      <c r="N9" s="1342"/>
      <c r="O9" s="1343"/>
    </row>
    <row r="10" spans="1:21" ht="12" customHeight="1"/>
    <row r="11" spans="1:21" ht="12" customHeight="1">
      <c r="A11" s="1266" t="s">
        <v>1909</v>
      </c>
      <c r="B11" s="1267"/>
      <c r="C11" s="1267"/>
      <c r="D11" s="1306" t="s">
        <v>1963</v>
      </c>
      <c r="E11" s="1306"/>
      <c r="F11" s="1306"/>
      <c r="G11" s="1306"/>
      <c r="H11" s="1306"/>
      <c r="I11" s="1306"/>
      <c r="J11" s="1306" t="s">
        <v>1964</v>
      </c>
      <c r="K11" s="1306"/>
      <c r="L11" s="1306"/>
      <c r="M11" s="1306"/>
      <c r="N11" s="1306"/>
      <c r="O11" s="1306"/>
      <c r="P11" s="1307" t="s">
        <v>1965</v>
      </c>
      <c r="Q11" s="1307"/>
      <c r="R11" s="1307"/>
      <c r="S11" s="1307"/>
      <c r="T11" s="1307"/>
      <c r="U11" s="1307"/>
    </row>
    <row r="12" spans="1:21" ht="12" customHeight="1">
      <c r="A12" s="1266" t="s">
        <v>1346</v>
      </c>
      <c r="B12" s="1267"/>
      <c r="C12" s="1267"/>
      <c r="D12" s="1306" t="s">
        <v>1966</v>
      </c>
      <c r="E12" s="1306"/>
      <c r="F12" s="1306"/>
      <c r="G12" s="1306"/>
      <c r="H12" s="1306"/>
      <c r="I12" s="1306"/>
      <c r="J12" s="1306" t="s">
        <v>1967</v>
      </c>
      <c r="K12" s="1306"/>
      <c r="L12" s="1306"/>
      <c r="M12" s="1306"/>
      <c r="N12" s="1306"/>
      <c r="O12" s="1306"/>
      <c r="P12" s="1307" t="s">
        <v>1968</v>
      </c>
      <c r="Q12" s="1307"/>
      <c r="R12" s="1307"/>
      <c r="S12" s="1307"/>
      <c r="T12" s="1307"/>
      <c r="U12" s="1307"/>
    </row>
    <row r="13" spans="1:21" ht="12" customHeight="1">
      <c r="A13" s="1266" t="s">
        <v>844</v>
      </c>
      <c r="B13" s="1267"/>
      <c r="C13" s="1267"/>
      <c r="D13" s="1306" t="s">
        <v>1969</v>
      </c>
      <c r="E13" s="1306"/>
      <c r="F13" s="1306"/>
      <c r="G13" s="1306"/>
      <c r="H13" s="1306"/>
      <c r="I13" s="1306"/>
      <c r="J13" s="1306" t="s">
        <v>1970</v>
      </c>
      <c r="K13" s="1306"/>
      <c r="L13" s="1306"/>
      <c r="M13" s="1306"/>
      <c r="N13" s="1306"/>
      <c r="O13" s="1306"/>
      <c r="P13" s="1307" t="s">
        <v>1971</v>
      </c>
      <c r="Q13" s="1307"/>
      <c r="R13" s="1307"/>
      <c r="S13" s="1307"/>
      <c r="T13" s="1307"/>
      <c r="U13" s="1307"/>
    </row>
    <row r="14" spans="1:21" ht="12" customHeight="1">
      <c r="A14" s="1269" t="s">
        <v>1196</v>
      </c>
      <c r="B14" s="1269"/>
      <c r="C14" s="1269"/>
      <c r="D14" s="1307" t="s">
        <v>1907</v>
      </c>
      <c r="E14" s="1307"/>
      <c r="F14" s="1307"/>
      <c r="G14" s="1307"/>
      <c r="H14" s="1307"/>
      <c r="I14" s="1307"/>
      <c r="J14" s="1307" t="s">
        <v>1907</v>
      </c>
      <c r="K14" s="1307"/>
      <c r="L14" s="1307"/>
      <c r="M14" s="1307"/>
      <c r="N14" s="1307"/>
      <c r="O14" s="1307"/>
      <c r="P14" s="1307" t="s">
        <v>1907</v>
      </c>
      <c r="Q14" s="1307"/>
      <c r="R14" s="1307"/>
      <c r="S14" s="1307"/>
      <c r="T14" s="1307"/>
      <c r="U14" s="1307"/>
    </row>
    <row r="15" spans="1:21" ht="12" customHeight="1"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</row>
    <row r="16" spans="1:21" ht="12" customHeight="1">
      <c r="A16" s="212" t="s">
        <v>1916</v>
      </c>
      <c r="B16" s="212"/>
      <c r="D16" s="228">
        <v>3</v>
      </c>
      <c r="E16" s="212" t="s">
        <v>1917</v>
      </c>
      <c r="H16" s="228">
        <v>3</v>
      </c>
      <c r="I16" s="212" t="s">
        <v>1918</v>
      </c>
      <c r="J16" s="228">
        <v>5</v>
      </c>
      <c r="K16" s="212" t="s">
        <v>1492</v>
      </c>
      <c r="L16" s="228">
        <v>1</v>
      </c>
      <c r="M16" s="212" t="s">
        <v>1493</v>
      </c>
      <c r="N16" s="1307">
        <v>5</v>
      </c>
      <c r="O16" s="1307"/>
    </row>
    <row r="17" spans="1:21" ht="12" customHeight="1"/>
    <row r="18" spans="1:21" ht="12" customHeight="1">
      <c r="A18" s="1271" t="s">
        <v>203</v>
      </c>
      <c r="B18" s="1271"/>
      <c r="C18" s="212"/>
      <c r="D18" s="212" t="s">
        <v>204</v>
      </c>
      <c r="E18" s="215">
        <v>72</v>
      </c>
      <c r="F18" s="212" t="s">
        <v>205</v>
      </c>
      <c r="G18" s="215">
        <v>0</v>
      </c>
      <c r="H18" s="1272" t="s">
        <v>206</v>
      </c>
      <c r="I18" s="1271"/>
      <c r="J18" s="215">
        <v>0</v>
      </c>
      <c r="K18" s="1272" t="s">
        <v>245</v>
      </c>
      <c r="L18" s="1271"/>
      <c r="M18" s="215">
        <v>72</v>
      </c>
      <c r="N18" s="212" t="s">
        <v>207</v>
      </c>
      <c r="O18" s="215">
        <v>2</v>
      </c>
      <c r="P18" s="514" t="s">
        <v>855</v>
      </c>
      <c r="Q18" s="514"/>
      <c r="R18" s="215">
        <v>3</v>
      </c>
      <c r="S18" s="212"/>
      <c r="T18" s="212"/>
      <c r="U18" s="212"/>
    </row>
    <row r="19" spans="1:21" ht="12" customHeight="1">
      <c r="A19" s="1271" t="s">
        <v>1029</v>
      </c>
      <c r="B19" s="1271"/>
      <c r="C19" s="212"/>
      <c r="D19" s="212" t="s">
        <v>210</v>
      </c>
      <c r="E19" s="215">
        <v>211</v>
      </c>
      <c r="F19" s="212" t="s">
        <v>1919</v>
      </c>
      <c r="G19" s="215">
        <v>0</v>
      </c>
      <c r="H19" s="514" t="s">
        <v>212</v>
      </c>
      <c r="I19" s="514"/>
      <c r="J19" s="215">
        <v>0</v>
      </c>
      <c r="K19" s="1272" t="s">
        <v>1920</v>
      </c>
      <c r="L19" s="1271"/>
      <c r="M19" s="215">
        <v>211</v>
      </c>
      <c r="N19" s="212"/>
      <c r="O19" s="212"/>
      <c r="P19" s="212"/>
      <c r="Q19" s="212"/>
      <c r="R19" s="214"/>
      <c r="S19" s="212"/>
      <c r="T19" s="212"/>
      <c r="U19" s="212"/>
    </row>
    <row r="20" spans="1:21" ht="12" customHeight="1">
      <c r="A20" s="212"/>
      <c r="B20" s="212"/>
      <c r="C20" s="212"/>
      <c r="D20" s="212" t="s">
        <v>213</v>
      </c>
      <c r="E20" s="215">
        <v>221</v>
      </c>
      <c r="F20" s="212" t="s">
        <v>214</v>
      </c>
      <c r="G20" s="215">
        <v>0</v>
      </c>
      <c r="H20" s="1272" t="s">
        <v>215</v>
      </c>
      <c r="I20" s="1271"/>
      <c r="J20" s="215">
        <v>0</v>
      </c>
      <c r="K20" s="1272" t="s">
        <v>1921</v>
      </c>
      <c r="L20" s="1271"/>
      <c r="M20" s="215">
        <v>221</v>
      </c>
      <c r="N20" s="212"/>
      <c r="O20" s="212"/>
      <c r="P20" s="212"/>
      <c r="Q20" s="212"/>
      <c r="R20" s="212"/>
      <c r="S20" s="212"/>
      <c r="T20" s="212"/>
      <c r="U20" s="212"/>
    </row>
    <row r="21" spans="1:21" ht="12" customHeigh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</row>
    <row r="22" spans="1:21" ht="12" customHeight="1">
      <c r="A22" s="1332" t="s">
        <v>409</v>
      </c>
      <c r="B22" s="133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</row>
    <row r="23" spans="1:21" s="217" customFormat="1" ht="12" customHeight="1">
      <c r="A23" s="1274" t="s">
        <v>217</v>
      </c>
      <c r="B23" s="1275"/>
      <c r="C23" s="1276"/>
      <c r="D23" s="1333" t="s">
        <v>1922</v>
      </c>
      <c r="E23" s="1333" t="s">
        <v>219</v>
      </c>
      <c r="F23" s="1333" t="s">
        <v>1923</v>
      </c>
      <c r="G23" s="1333" t="s">
        <v>1924</v>
      </c>
      <c r="H23" s="1334" t="s">
        <v>1925</v>
      </c>
      <c r="I23" s="1334"/>
      <c r="J23" s="1334"/>
      <c r="K23" s="1334"/>
      <c r="L23" s="1334"/>
      <c r="M23" s="1334"/>
      <c r="N23" s="1334"/>
      <c r="O23" s="1334"/>
      <c r="P23" s="1334"/>
    </row>
    <row r="24" spans="1:21" s="217" customFormat="1" ht="31.15" customHeight="1">
      <c r="A24" s="1277"/>
      <c r="B24" s="1278"/>
      <c r="C24" s="1279"/>
      <c r="D24" s="1333"/>
      <c r="E24" s="1333"/>
      <c r="F24" s="1333"/>
      <c r="G24" s="1333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517" t="s">
        <v>230</v>
      </c>
      <c r="P24" s="517" t="s">
        <v>662</v>
      </c>
    </row>
    <row r="25" spans="1:21" ht="12" customHeight="1">
      <c r="A25" s="1269" t="s">
        <v>232</v>
      </c>
      <c r="B25" s="1269"/>
      <c r="C25" s="1269"/>
      <c r="D25" s="218">
        <v>8000</v>
      </c>
      <c r="E25" s="513" t="s">
        <v>233</v>
      </c>
      <c r="F25" s="219">
        <v>11.558</v>
      </c>
      <c r="G25" s="219">
        <v>5.64133</v>
      </c>
      <c r="H25" s="220">
        <v>0</v>
      </c>
      <c r="I25" s="220">
        <v>0</v>
      </c>
      <c r="J25" s="220">
        <v>1.56745</v>
      </c>
      <c r="K25" s="220">
        <v>2.3521000000000001</v>
      </c>
      <c r="L25" s="220">
        <v>0</v>
      </c>
      <c r="M25" s="220">
        <v>0</v>
      </c>
      <c r="N25" s="220">
        <v>0</v>
      </c>
      <c r="O25" s="220">
        <v>3.9195500000000001</v>
      </c>
      <c r="P25" s="220">
        <v>69.479183100439073</v>
      </c>
    </row>
    <row r="26" spans="1:21" ht="12" customHeight="1">
      <c r="A26" s="1269" t="s">
        <v>234</v>
      </c>
      <c r="B26" s="1269"/>
      <c r="C26" s="1269"/>
      <c r="D26" s="218">
        <v>7000</v>
      </c>
      <c r="E26" s="513" t="s">
        <v>233</v>
      </c>
      <c r="F26" s="219">
        <v>0.83795500000000001</v>
      </c>
      <c r="G26" s="219">
        <v>0</v>
      </c>
      <c r="H26" s="220">
        <v>0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</row>
    <row r="27" spans="1:21" ht="12" customHeight="1">
      <c r="A27" s="1269" t="s">
        <v>235</v>
      </c>
      <c r="B27" s="1269"/>
      <c r="C27" s="1269"/>
      <c r="D27" s="218">
        <v>43000</v>
      </c>
      <c r="E27" s="513" t="s">
        <v>236</v>
      </c>
      <c r="F27" s="219">
        <v>0.43</v>
      </c>
      <c r="G27" s="219">
        <v>0.18</v>
      </c>
      <c r="H27" s="220">
        <v>0</v>
      </c>
      <c r="I27" s="220">
        <v>0</v>
      </c>
      <c r="J27" s="220">
        <v>0</v>
      </c>
      <c r="K27" s="220">
        <v>0.18</v>
      </c>
      <c r="L27" s="220">
        <v>0</v>
      </c>
      <c r="M27" s="220">
        <v>0</v>
      </c>
      <c r="N27" s="220">
        <v>0</v>
      </c>
      <c r="O27" s="220">
        <v>0.18</v>
      </c>
      <c r="P27" s="220">
        <v>100</v>
      </c>
    </row>
    <row r="28" spans="1:21" ht="12" customHeight="1">
      <c r="A28" s="1269" t="s">
        <v>237</v>
      </c>
      <c r="B28" s="1269"/>
      <c r="C28" s="1269"/>
      <c r="D28" s="218">
        <v>34000</v>
      </c>
      <c r="E28" s="513" t="s">
        <v>236</v>
      </c>
      <c r="F28" s="219">
        <v>0.34</v>
      </c>
      <c r="G28" s="219">
        <v>0.16</v>
      </c>
      <c r="H28" s="220">
        <v>0</v>
      </c>
      <c r="I28" s="220">
        <v>0</v>
      </c>
      <c r="J28" s="220"/>
      <c r="K28" s="220">
        <v>0.16</v>
      </c>
      <c r="L28" s="220">
        <v>0</v>
      </c>
      <c r="M28" s="220">
        <v>0</v>
      </c>
      <c r="N28" s="220">
        <v>0</v>
      </c>
      <c r="O28" s="220">
        <v>0.16</v>
      </c>
      <c r="P28" s="220">
        <v>100</v>
      </c>
    </row>
    <row r="29" spans="1:21" ht="12" customHeight="1">
      <c r="A29" s="1269" t="s">
        <v>238</v>
      </c>
      <c r="B29" s="1269"/>
      <c r="C29" s="1269"/>
      <c r="D29" s="218">
        <v>1200</v>
      </c>
      <c r="E29" s="513" t="s">
        <v>233</v>
      </c>
      <c r="F29" s="219">
        <v>1.7337</v>
      </c>
      <c r="G29" s="219">
        <v>1.7</v>
      </c>
      <c r="H29" s="220">
        <v>0</v>
      </c>
      <c r="I29" s="220">
        <v>0</v>
      </c>
      <c r="J29" s="220">
        <v>0</v>
      </c>
      <c r="K29" s="220">
        <v>0.46015</v>
      </c>
      <c r="L29" s="220">
        <v>0</v>
      </c>
      <c r="M29" s="220">
        <v>0</v>
      </c>
      <c r="N29" s="220">
        <v>0</v>
      </c>
      <c r="O29" s="220">
        <v>0.46015</v>
      </c>
      <c r="P29" s="220">
        <v>27.067647058823528</v>
      </c>
    </row>
    <row r="30" spans="1:21" ht="12" customHeight="1">
      <c r="A30" s="1269" t="s">
        <v>667</v>
      </c>
      <c r="B30" s="1269"/>
      <c r="C30" s="1269"/>
      <c r="D30" s="218">
        <v>565</v>
      </c>
      <c r="E30" s="513" t="s">
        <v>233</v>
      </c>
      <c r="F30" s="219">
        <v>0.81628374999999997</v>
      </c>
      <c r="G30" s="219">
        <v>0.79461999999999999</v>
      </c>
      <c r="H30" s="220">
        <v>0</v>
      </c>
      <c r="I30" s="220">
        <v>0</v>
      </c>
      <c r="J30" s="220">
        <v>0</v>
      </c>
      <c r="K30" s="220">
        <v>0.79461999999999999</v>
      </c>
      <c r="L30" s="220">
        <v>0</v>
      </c>
      <c r="M30" s="220">
        <v>0</v>
      </c>
      <c r="N30" s="220">
        <v>0</v>
      </c>
      <c r="O30" s="220">
        <v>0.79461999999999999</v>
      </c>
      <c r="P30" s="220">
        <v>100</v>
      </c>
    </row>
    <row r="31" spans="1:21" ht="12" customHeight="1">
      <c r="A31" s="1269" t="s">
        <v>1503</v>
      </c>
      <c r="B31" s="1269"/>
      <c r="C31" s="1269"/>
      <c r="D31" s="218">
        <v>1000</v>
      </c>
      <c r="E31" s="513" t="s">
        <v>233</v>
      </c>
      <c r="F31" s="219">
        <v>1.44475</v>
      </c>
      <c r="G31" s="219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</row>
    <row r="32" spans="1:21" ht="12" customHeight="1">
      <c r="A32" s="1269" t="s">
        <v>394</v>
      </c>
      <c r="B32" s="1269"/>
      <c r="C32" s="1269"/>
      <c r="D32" s="218">
        <v>2750</v>
      </c>
      <c r="E32" s="513" t="s">
        <v>242</v>
      </c>
      <c r="F32" s="219">
        <v>2.1</v>
      </c>
      <c r="G32" s="219">
        <v>0.41249999999999998</v>
      </c>
      <c r="H32" s="220">
        <v>0</v>
      </c>
      <c r="I32" s="220">
        <v>0</v>
      </c>
      <c r="J32" s="220">
        <v>3.7500000000000006E-2</v>
      </c>
      <c r="K32" s="220">
        <v>0.27500000000000002</v>
      </c>
      <c r="L32" s="220">
        <v>0</v>
      </c>
      <c r="M32" s="220">
        <v>0</v>
      </c>
      <c r="N32" s="220">
        <v>0</v>
      </c>
      <c r="O32" s="220">
        <v>0.3125</v>
      </c>
      <c r="P32" s="220">
        <v>75.757575757575751</v>
      </c>
    </row>
    <row r="33" spans="1:16" ht="12" customHeight="1">
      <c r="A33" s="1269" t="s">
        <v>670</v>
      </c>
      <c r="B33" s="1269"/>
      <c r="C33" s="1269"/>
      <c r="D33" s="218">
        <v>10000</v>
      </c>
      <c r="E33" s="513" t="s">
        <v>244</v>
      </c>
      <c r="F33" s="219">
        <v>0.1</v>
      </c>
      <c r="G33" s="219">
        <v>0.1</v>
      </c>
      <c r="H33" s="220">
        <v>0</v>
      </c>
      <c r="I33" s="220">
        <v>0</v>
      </c>
      <c r="J33" s="219">
        <v>0.1</v>
      </c>
      <c r="K33" s="220">
        <v>0</v>
      </c>
      <c r="L33" s="220">
        <v>0</v>
      </c>
      <c r="M33" s="220">
        <v>0</v>
      </c>
      <c r="N33" s="220">
        <v>0</v>
      </c>
      <c r="O33" s="220">
        <v>0.1</v>
      </c>
      <c r="P33" s="220">
        <v>100</v>
      </c>
    </row>
    <row r="34" spans="1:16" ht="12" customHeight="1">
      <c r="A34" s="1258" t="s">
        <v>230</v>
      </c>
      <c r="B34" s="1259"/>
      <c r="C34" s="1260"/>
      <c r="D34" s="221"/>
      <c r="E34" s="221"/>
      <c r="F34" s="222">
        <v>19.360688750000005</v>
      </c>
      <c r="G34" s="222">
        <v>8.9884499999999985</v>
      </c>
      <c r="H34" s="222">
        <v>0</v>
      </c>
      <c r="I34" s="222">
        <v>0</v>
      </c>
      <c r="J34" s="222">
        <v>1.7049500000000002</v>
      </c>
      <c r="K34" s="222">
        <v>4.2218700000000009</v>
      </c>
      <c r="L34" s="222">
        <v>0</v>
      </c>
      <c r="M34" s="222">
        <v>0</v>
      </c>
      <c r="N34" s="222">
        <v>0</v>
      </c>
      <c r="O34" s="222">
        <v>5.9268199999999993</v>
      </c>
      <c r="P34" s="222"/>
    </row>
    <row r="35" spans="1:16" ht="19.899999999999999" customHeight="1"/>
    <row r="36" spans="1:16" ht="19.899999999999999" customHeight="1"/>
    <row r="37" spans="1:16" ht="19.899999999999999" customHeight="1"/>
    <row r="38" spans="1:16" ht="19.899999999999999" customHeight="1"/>
    <row r="39" spans="1:16" ht="19.899999999999999" customHeight="1"/>
    <row r="40" spans="1:16" ht="19.899999999999999" customHeight="1"/>
    <row r="41" spans="1:16" ht="19.899999999999999" customHeight="1"/>
    <row r="42" spans="1:16" ht="19.899999999999999" customHeight="1"/>
    <row r="43" spans="1:16" ht="19.899999999999999" customHeight="1"/>
    <row r="44" spans="1:16" ht="19.899999999999999" customHeight="1"/>
    <row r="45" spans="1:16" ht="19.899999999999999" customHeight="1"/>
    <row r="46" spans="1:16" ht="19.899999999999999" customHeight="1"/>
    <row r="47" spans="1:16" ht="19.899999999999999" customHeight="1"/>
    <row r="48" spans="1:16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</sheetData>
  <mergeCells count="52">
    <mergeCell ref="A34:C34"/>
    <mergeCell ref="A28:C28"/>
    <mergeCell ref="A30:C30"/>
    <mergeCell ref="A31:C31"/>
    <mergeCell ref="A32:C32"/>
    <mergeCell ref="A33:C33"/>
    <mergeCell ref="N16:O16"/>
    <mergeCell ref="A29:C29"/>
    <mergeCell ref="A19:B19"/>
    <mergeCell ref="K19:L19"/>
    <mergeCell ref="H20:I20"/>
    <mergeCell ref="K20:L20"/>
    <mergeCell ref="A22:B22"/>
    <mergeCell ref="A23:C24"/>
    <mergeCell ref="D23:D24"/>
    <mergeCell ref="E23:E24"/>
    <mergeCell ref="F23:F24"/>
    <mergeCell ref="G23:G24"/>
    <mergeCell ref="H23:P23"/>
    <mergeCell ref="A25:C25"/>
    <mergeCell ref="A26:C26"/>
    <mergeCell ref="A27:C27"/>
    <mergeCell ref="A18:B18"/>
    <mergeCell ref="H18:I18"/>
    <mergeCell ref="K18:L18"/>
    <mergeCell ref="P11:U11"/>
    <mergeCell ref="A12:C12"/>
    <mergeCell ref="D12:I12"/>
    <mergeCell ref="J12:O12"/>
    <mergeCell ref="P12:U12"/>
    <mergeCell ref="A13:C13"/>
    <mergeCell ref="D13:I13"/>
    <mergeCell ref="J13:O13"/>
    <mergeCell ref="P13:U13"/>
    <mergeCell ref="A14:C14"/>
    <mergeCell ref="D14:I14"/>
    <mergeCell ref="J14:O14"/>
    <mergeCell ref="P14:U14"/>
    <mergeCell ref="D8:F8"/>
    <mergeCell ref="H8:J9"/>
    <mergeCell ref="K8:O9"/>
    <mergeCell ref="A11:C11"/>
    <mergeCell ref="D11:I11"/>
    <mergeCell ref="J11:O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75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R104"/>
  <sheetViews>
    <sheetView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9.7109375" style="211" customWidth="1"/>
    <col min="3" max="3" width="7.28515625" style="211" customWidth="1"/>
    <col min="4" max="5" width="7.42578125" style="211" customWidth="1"/>
    <col min="6" max="6" width="8.28515625" style="211" customWidth="1"/>
    <col min="7" max="7" width="8.140625" style="211" customWidth="1"/>
    <col min="8" max="8" width="7.42578125" style="211" customWidth="1"/>
    <col min="9" max="9" width="9.140625" style="211" customWidth="1"/>
    <col min="10" max="10" width="7.7109375" style="211" customWidth="1"/>
    <col min="11" max="11" width="8.42578125" style="211" customWidth="1"/>
    <col min="12" max="12" width="6.28515625" style="211" customWidth="1"/>
    <col min="13" max="13" width="7.28515625" style="211" customWidth="1"/>
    <col min="14" max="14" width="6.7109375" style="211" customWidth="1"/>
    <col min="15" max="15" width="8.28515625" style="211" customWidth="1"/>
    <col min="16" max="16" width="7.5703125" style="211" customWidth="1"/>
    <col min="17" max="17" width="9" style="211" customWidth="1"/>
    <col min="18" max="18" width="7.7109375" style="211" customWidth="1"/>
    <col min="19" max="256" width="8.85546875" style="211"/>
    <col min="257" max="257" width="11.28515625" style="211" customWidth="1"/>
    <col min="258" max="258" width="9.7109375" style="211" customWidth="1"/>
    <col min="259" max="259" width="7.28515625" style="211" customWidth="1"/>
    <col min="260" max="261" width="7.42578125" style="211" customWidth="1"/>
    <col min="262" max="262" width="8.28515625" style="211" customWidth="1"/>
    <col min="263" max="263" width="8.140625" style="211" customWidth="1"/>
    <col min="264" max="264" width="7.42578125" style="211" customWidth="1"/>
    <col min="265" max="265" width="9.140625" style="211" customWidth="1"/>
    <col min="266" max="266" width="7.7109375" style="211" customWidth="1"/>
    <col min="267" max="267" width="8.42578125" style="211" customWidth="1"/>
    <col min="268" max="268" width="6.28515625" style="211" customWidth="1"/>
    <col min="269" max="269" width="7.28515625" style="211" customWidth="1"/>
    <col min="270" max="270" width="6.7109375" style="211" customWidth="1"/>
    <col min="271" max="271" width="8.28515625" style="211" customWidth="1"/>
    <col min="272" max="272" width="7.5703125" style="211" customWidth="1"/>
    <col min="273" max="273" width="9" style="211" customWidth="1"/>
    <col min="274" max="274" width="7.7109375" style="211" customWidth="1"/>
    <col min="275" max="512" width="8.85546875" style="211"/>
    <col min="513" max="513" width="11.28515625" style="211" customWidth="1"/>
    <col min="514" max="514" width="9.7109375" style="211" customWidth="1"/>
    <col min="515" max="515" width="7.28515625" style="211" customWidth="1"/>
    <col min="516" max="517" width="7.42578125" style="211" customWidth="1"/>
    <col min="518" max="518" width="8.28515625" style="211" customWidth="1"/>
    <col min="519" max="519" width="8.140625" style="211" customWidth="1"/>
    <col min="520" max="520" width="7.42578125" style="211" customWidth="1"/>
    <col min="521" max="521" width="9.140625" style="211" customWidth="1"/>
    <col min="522" max="522" width="7.7109375" style="211" customWidth="1"/>
    <col min="523" max="523" width="8.42578125" style="211" customWidth="1"/>
    <col min="524" max="524" width="6.28515625" style="211" customWidth="1"/>
    <col min="525" max="525" width="7.28515625" style="211" customWidth="1"/>
    <col min="526" max="526" width="6.7109375" style="211" customWidth="1"/>
    <col min="527" max="527" width="8.28515625" style="211" customWidth="1"/>
    <col min="528" max="528" width="7.5703125" style="211" customWidth="1"/>
    <col min="529" max="529" width="9" style="211" customWidth="1"/>
    <col min="530" max="530" width="7.7109375" style="211" customWidth="1"/>
    <col min="531" max="768" width="8.85546875" style="211"/>
    <col min="769" max="769" width="11.28515625" style="211" customWidth="1"/>
    <col min="770" max="770" width="9.7109375" style="211" customWidth="1"/>
    <col min="771" max="771" width="7.28515625" style="211" customWidth="1"/>
    <col min="772" max="773" width="7.42578125" style="211" customWidth="1"/>
    <col min="774" max="774" width="8.28515625" style="211" customWidth="1"/>
    <col min="775" max="775" width="8.140625" style="211" customWidth="1"/>
    <col min="776" max="776" width="7.42578125" style="211" customWidth="1"/>
    <col min="777" max="777" width="9.140625" style="211" customWidth="1"/>
    <col min="778" max="778" width="7.7109375" style="211" customWidth="1"/>
    <col min="779" max="779" width="8.42578125" style="211" customWidth="1"/>
    <col min="780" max="780" width="6.28515625" style="211" customWidth="1"/>
    <col min="781" max="781" width="7.28515625" style="211" customWidth="1"/>
    <col min="782" max="782" width="6.7109375" style="211" customWidth="1"/>
    <col min="783" max="783" width="8.28515625" style="211" customWidth="1"/>
    <col min="784" max="784" width="7.5703125" style="211" customWidth="1"/>
    <col min="785" max="785" width="9" style="211" customWidth="1"/>
    <col min="786" max="786" width="7.7109375" style="211" customWidth="1"/>
    <col min="787" max="1024" width="8.85546875" style="211"/>
    <col min="1025" max="1025" width="11.28515625" style="211" customWidth="1"/>
    <col min="1026" max="1026" width="9.7109375" style="211" customWidth="1"/>
    <col min="1027" max="1027" width="7.28515625" style="211" customWidth="1"/>
    <col min="1028" max="1029" width="7.42578125" style="211" customWidth="1"/>
    <col min="1030" max="1030" width="8.28515625" style="211" customWidth="1"/>
    <col min="1031" max="1031" width="8.140625" style="211" customWidth="1"/>
    <col min="1032" max="1032" width="7.42578125" style="211" customWidth="1"/>
    <col min="1033" max="1033" width="9.140625" style="211" customWidth="1"/>
    <col min="1034" max="1034" width="7.7109375" style="211" customWidth="1"/>
    <col min="1035" max="1035" width="8.42578125" style="211" customWidth="1"/>
    <col min="1036" max="1036" width="6.28515625" style="211" customWidth="1"/>
    <col min="1037" max="1037" width="7.28515625" style="211" customWidth="1"/>
    <col min="1038" max="1038" width="6.7109375" style="211" customWidth="1"/>
    <col min="1039" max="1039" width="8.28515625" style="211" customWidth="1"/>
    <col min="1040" max="1040" width="7.5703125" style="211" customWidth="1"/>
    <col min="1041" max="1041" width="9" style="211" customWidth="1"/>
    <col min="1042" max="1042" width="7.7109375" style="211" customWidth="1"/>
    <col min="1043" max="1280" width="8.85546875" style="211"/>
    <col min="1281" max="1281" width="11.28515625" style="211" customWidth="1"/>
    <col min="1282" max="1282" width="9.7109375" style="211" customWidth="1"/>
    <col min="1283" max="1283" width="7.28515625" style="211" customWidth="1"/>
    <col min="1284" max="1285" width="7.42578125" style="211" customWidth="1"/>
    <col min="1286" max="1286" width="8.28515625" style="211" customWidth="1"/>
    <col min="1287" max="1287" width="8.140625" style="211" customWidth="1"/>
    <col min="1288" max="1288" width="7.42578125" style="211" customWidth="1"/>
    <col min="1289" max="1289" width="9.140625" style="211" customWidth="1"/>
    <col min="1290" max="1290" width="7.7109375" style="211" customWidth="1"/>
    <col min="1291" max="1291" width="8.42578125" style="211" customWidth="1"/>
    <col min="1292" max="1292" width="6.28515625" style="211" customWidth="1"/>
    <col min="1293" max="1293" width="7.28515625" style="211" customWidth="1"/>
    <col min="1294" max="1294" width="6.7109375" style="211" customWidth="1"/>
    <col min="1295" max="1295" width="8.28515625" style="211" customWidth="1"/>
    <col min="1296" max="1296" width="7.5703125" style="211" customWidth="1"/>
    <col min="1297" max="1297" width="9" style="211" customWidth="1"/>
    <col min="1298" max="1298" width="7.7109375" style="211" customWidth="1"/>
    <col min="1299" max="1536" width="8.85546875" style="211"/>
    <col min="1537" max="1537" width="11.28515625" style="211" customWidth="1"/>
    <col min="1538" max="1538" width="9.7109375" style="211" customWidth="1"/>
    <col min="1539" max="1539" width="7.28515625" style="211" customWidth="1"/>
    <col min="1540" max="1541" width="7.42578125" style="211" customWidth="1"/>
    <col min="1542" max="1542" width="8.28515625" style="211" customWidth="1"/>
    <col min="1543" max="1543" width="8.140625" style="211" customWidth="1"/>
    <col min="1544" max="1544" width="7.42578125" style="211" customWidth="1"/>
    <col min="1545" max="1545" width="9.140625" style="211" customWidth="1"/>
    <col min="1546" max="1546" width="7.7109375" style="211" customWidth="1"/>
    <col min="1547" max="1547" width="8.42578125" style="211" customWidth="1"/>
    <col min="1548" max="1548" width="6.28515625" style="211" customWidth="1"/>
    <col min="1549" max="1549" width="7.28515625" style="211" customWidth="1"/>
    <col min="1550" max="1550" width="6.7109375" style="211" customWidth="1"/>
    <col min="1551" max="1551" width="8.28515625" style="211" customWidth="1"/>
    <col min="1552" max="1552" width="7.5703125" style="211" customWidth="1"/>
    <col min="1553" max="1553" width="9" style="211" customWidth="1"/>
    <col min="1554" max="1554" width="7.7109375" style="211" customWidth="1"/>
    <col min="1555" max="1792" width="8.85546875" style="211"/>
    <col min="1793" max="1793" width="11.28515625" style="211" customWidth="1"/>
    <col min="1794" max="1794" width="9.7109375" style="211" customWidth="1"/>
    <col min="1795" max="1795" width="7.28515625" style="211" customWidth="1"/>
    <col min="1796" max="1797" width="7.42578125" style="211" customWidth="1"/>
    <col min="1798" max="1798" width="8.28515625" style="211" customWidth="1"/>
    <col min="1799" max="1799" width="8.140625" style="211" customWidth="1"/>
    <col min="1800" max="1800" width="7.42578125" style="211" customWidth="1"/>
    <col min="1801" max="1801" width="9.140625" style="211" customWidth="1"/>
    <col min="1802" max="1802" width="7.7109375" style="211" customWidth="1"/>
    <col min="1803" max="1803" width="8.42578125" style="211" customWidth="1"/>
    <col min="1804" max="1804" width="6.28515625" style="211" customWidth="1"/>
    <col min="1805" max="1805" width="7.28515625" style="211" customWidth="1"/>
    <col min="1806" max="1806" width="6.7109375" style="211" customWidth="1"/>
    <col min="1807" max="1807" width="8.28515625" style="211" customWidth="1"/>
    <col min="1808" max="1808" width="7.5703125" style="211" customWidth="1"/>
    <col min="1809" max="1809" width="9" style="211" customWidth="1"/>
    <col min="1810" max="1810" width="7.7109375" style="211" customWidth="1"/>
    <col min="1811" max="2048" width="8.85546875" style="211"/>
    <col min="2049" max="2049" width="11.28515625" style="211" customWidth="1"/>
    <col min="2050" max="2050" width="9.7109375" style="211" customWidth="1"/>
    <col min="2051" max="2051" width="7.28515625" style="211" customWidth="1"/>
    <col min="2052" max="2053" width="7.42578125" style="211" customWidth="1"/>
    <col min="2054" max="2054" width="8.28515625" style="211" customWidth="1"/>
    <col min="2055" max="2055" width="8.140625" style="211" customWidth="1"/>
    <col min="2056" max="2056" width="7.42578125" style="211" customWidth="1"/>
    <col min="2057" max="2057" width="9.140625" style="211" customWidth="1"/>
    <col min="2058" max="2058" width="7.7109375" style="211" customWidth="1"/>
    <col min="2059" max="2059" width="8.42578125" style="211" customWidth="1"/>
    <col min="2060" max="2060" width="6.28515625" style="211" customWidth="1"/>
    <col min="2061" max="2061" width="7.28515625" style="211" customWidth="1"/>
    <col min="2062" max="2062" width="6.7109375" style="211" customWidth="1"/>
    <col min="2063" max="2063" width="8.28515625" style="211" customWidth="1"/>
    <col min="2064" max="2064" width="7.5703125" style="211" customWidth="1"/>
    <col min="2065" max="2065" width="9" style="211" customWidth="1"/>
    <col min="2066" max="2066" width="7.7109375" style="211" customWidth="1"/>
    <col min="2067" max="2304" width="8.85546875" style="211"/>
    <col min="2305" max="2305" width="11.28515625" style="211" customWidth="1"/>
    <col min="2306" max="2306" width="9.7109375" style="211" customWidth="1"/>
    <col min="2307" max="2307" width="7.28515625" style="211" customWidth="1"/>
    <col min="2308" max="2309" width="7.42578125" style="211" customWidth="1"/>
    <col min="2310" max="2310" width="8.28515625" style="211" customWidth="1"/>
    <col min="2311" max="2311" width="8.140625" style="211" customWidth="1"/>
    <col min="2312" max="2312" width="7.42578125" style="211" customWidth="1"/>
    <col min="2313" max="2313" width="9.140625" style="211" customWidth="1"/>
    <col min="2314" max="2314" width="7.7109375" style="211" customWidth="1"/>
    <col min="2315" max="2315" width="8.42578125" style="211" customWidth="1"/>
    <col min="2316" max="2316" width="6.28515625" style="211" customWidth="1"/>
    <col min="2317" max="2317" width="7.28515625" style="211" customWidth="1"/>
    <col min="2318" max="2318" width="6.7109375" style="211" customWidth="1"/>
    <col min="2319" max="2319" width="8.28515625" style="211" customWidth="1"/>
    <col min="2320" max="2320" width="7.5703125" style="211" customWidth="1"/>
    <col min="2321" max="2321" width="9" style="211" customWidth="1"/>
    <col min="2322" max="2322" width="7.7109375" style="211" customWidth="1"/>
    <col min="2323" max="2560" width="8.85546875" style="211"/>
    <col min="2561" max="2561" width="11.28515625" style="211" customWidth="1"/>
    <col min="2562" max="2562" width="9.7109375" style="211" customWidth="1"/>
    <col min="2563" max="2563" width="7.28515625" style="211" customWidth="1"/>
    <col min="2564" max="2565" width="7.42578125" style="211" customWidth="1"/>
    <col min="2566" max="2566" width="8.28515625" style="211" customWidth="1"/>
    <col min="2567" max="2567" width="8.140625" style="211" customWidth="1"/>
    <col min="2568" max="2568" width="7.42578125" style="211" customWidth="1"/>
    <col min="2569" max="2569" width="9.140625" style="211" customWidth="1"/>
    <col min="2570" max="2570" width="7.7109375" style="211" customWidth="1"/>
    <col min="2571" max="2571" width="8.42578125" style="211" customWidth="1"/>
    <col min="2572" max="2572" width="6.28515625" style="211" customWidth="1"/>
    <col min="2573" max="2573" width="7.28515625" style="211" customWidth="1"/>
    <col min="2574" max="2574" width="6.7109375" style="211" customWidth="1"/>
    <col min="2575" max="2575" width="8.28515625" style="211" customWidth="1"/>
    <col min="2576" max="2576" width="7.5703125" style="211" customWidth="1"/>
    <col min="2577" max="2577" width="9" style="211" customWidth="1"/>
    <col min="2578" max="2578" width="7.7109375" style="211" customWidth="1"/>
    <col min="2579" max="2816" width="8.85546875" style="211"/>
    <col min="2817" max="2817" width="11.28515625" style="211" customWidth="1"/>
    <col min="2818" max="2818" width="9.7109375" style="211" customWidth="1"/>
    <col min="2819" max="2819" width="7.28515625" style="211" customWidth="1"/>
    <col min="2820" max="2821" width="7.42578125" style="211" customWidth="1"/>
    <col min="2822" max="2822" width="8.28515625" style="211" customWidth="1"/>
    <col min="2823" max="2823" width="8.140625" style="211" customWidth="1"/>
    <col min="2824" max="2824" width="7.42578125" style="211" customWidth="1"/>
    <col min="2825" max="2825" width="9.140625" style="211" customWidth="1"/>
    <col min="2826" max="2826" width="7.7109375" style="211" customWidth="1"/>
    <col min="2827" max="2827" width="8.42578125" style="211" customWidth="1"/>
    <col min="2828" max="2828" width="6.28515625" style="211" customWidth="1"/>
    <col min="2829" max="2829" width="7.28515625" style="211" customWidth="1"/>
    <col min="2830" max="2830" width="6.7109375" style="211" customWidth="1"/>
    <col min="2831" max="2831" width="8.28515625" style="211" customWidth="1"/>
    <col min="2832" max="2832" width="7.5703125" style="211" customWidth="1"/>
    <col min="2833" max="2833" width="9" style="211" customWidth="1"/>
    <col min="2834" max="2834" width="7.7109375" style="211" customWidth="1"/>
    <col min="2835" max="3072" width="8.85546875" style="211"/>
    <col min="3073" max="3073" width="11.28515625" style="211" customWidth="1"/>
    <col min="3074" max="3074" width="9.7109375" style="211" customWidth="1"/>
    <col min="3075" max="3075" width="7.28515625" style="211" customWidth="1"/>
    <col min="3076" max="3077" width="7.42578125" style="211" customWidth="1"/>
    <col min="3078" max="3078" width="8.28515625" style="211" customWidth="1"/>
    <col min="3079" max="3079" width="8.140625" style="211" customWidth="1"/>
    <col min="3080" max="3080" width="7.42578125" style="211" customWidth="1"/>
    <col min="3081" max="3081" width="9.140625" style="211" customWidth="1"/>
    <col min="3082" max="3082" width="7.7109375" style="211" customWidth="1"/>
    <col min="3083" max="3083" width="8.42578125" style="211" customWidth="1"/>
    <col min="3084" max="3084" width="6.28515625" style="211" customWidth="1"/>
    <col min="3085" max="3085" width="7.28515625" style="211" customWidth="1"/>
    <col min="3086" max="3086" width="6.7109375" style="211" customWidth="1"/>
    <col min="3087" max="3087" width="8.28515625" style="211" customWidth="1"/>
    <col min="3088" max="3088" width="7.5703125" style="211" customWidth="1"/>
    <col min="3089" max="3089" width="9" style="211" customWidth="1"/>
    <col min="3090" max="3090" width="7.7109375" style="211" customWidth="1"/>
    <col min="3091" max="3328" width="8.85546875" style="211"/>
    <col min="3329" max="3329" width="11.28515625" style="211" customWidth="1"/>
    <col min="3330" max="3330" width="9.7109375" style="211" customWidth="1"/>
    <col min="3331" max="3331" width="7.28515625" style="211" customWidth="1"/>
    <col min="3332" max="3333" width="7.42578125" style="211" customWidth="1"/>
    <col min="3334" max="3334" width="8.28515625" style="211" customWidth="1"/>
    <col min="3335" max="3335" width="8.140625" style="211" customWidth="1"/>
    <col min="3336" max="3336" width="7.42578125" style="211" customWidth="1"/>
    <col min="3337" max="3337" width="9.140625" style="211" customWidth="1"/>
    <col min="3338" max="3338" width="7.7109375" style="211" customWidth="1"/>
    <col min="3339" max="3339" width="8.42578125" style="211" customWidth="1"/>
    <col min="3340" max="3340" width="6.28515625" style="211" customWidth="1"/>
    <col min="3341" max="3341" width="7.28515625" style="211" customWidth="1"/>
    <col min="3342" max="3342" width="6.7109375" style="211" customWidth="1"/>
    <col min="3343" max="3343" width="8.28515625" style="211" customWidth="1"/>
    <col min="3344" max="3344" width="7.5703125" style="211" customWidth="1"/>
    <col min="3345" max="3345" width="9" style="211" customWidth="1"/>
    <col min="3346" max="3346" width="7.7109375" style="211" customWidth="1"/>
    <col min="3347" max="3584" width="8.85546875" style="211"/>
    <col min="3585" max="3585" width="11.28515625" style="211" customWidth="1"/>
    <col min="3586" max="3586" width="9.7109375" style="211" customWidth="1"/>
    <col min="3587" max="3587" width="7.28515625" style="211" customWidth="1"/>
    <col min="3588" max="3589" width="7.42578125" style="211" customWidth="1"/>
    <col min="3590" max="3590" width="8.28515625" style="211" customWidth="1"/>
    <col min="3591" max="3591" width="8.140625" style="211" customWidth="1"/>
    <col min="3592" max="3592" width="7.42578125" style="211" customWidth="1"/>
    <col min="3593" max="3593" width="9.140625" style="211" customWidth="1"/>
    <col min="3594" max="3594" width="7.7109375" style="211" customWidth="1"/>
    <col min="3595" max="3595" width="8.42578125" style="211" customWidth="1"/>
    <col min="3596" max="3596" width="6.28515625" style="211" customWidth="1"/>
    <col min="3597" max="3597" width="7.28515625" style="211" customWidth="1"/>
    <col min="3598" max="3598" width="6.7109375" style="211" customWidth="1"/>
    <col min="3599" max="3599" width="8.28515625" style="211" customWidth="1"/>
    <col min="3600" max="3600" width="7.5703125" style="211" customWidth="1"/>
    <col min="3601" max="3601" width="9" style="211" customWidth="1"/>
    <col min="3602" max="3602" width="7.7109375" style="211" customWidth="1"/>
    <col min="3603" max="3840" width="8.85546875" style="211"/>
    <col min="3841" max="3841" width="11.28515625" style="211" customWidth="1"/>
    <col min="3842" max="3842" width="9.7109375" style="211" customWidth="1"/>
    <col min="3843" max="3843" width="7.28515625" style="211" customWidth="1"/>
    <col min="3844" max="3845" width="7.42578125" style="211" customWidth="1"/>
    <col min="3846" max="3846" width="8.28515625" style="211" customWidth="1"/>
    <col min="3847" max="3847" width="8.140625" style="211" customWidth="1"/>
    <col min="3848" max="3848" width="7.42578125" style="211" customWidth="1"/>
    <col min="3849" max="3849" width="9.140625" style="211" customWidth="1"/>
    <col min="3850" max="3850" width="7.7109375" style="211" customWidth="1"/>
    <col min="3851" max="3851" width="8.42578125" style="211" customWidth="1"/>
    <col min="3852" max="3852" width="6.28515625" style="211" customWidth="1"/>
    <col min="3853" max="3853" width="7.28515625" style="211" customWidth="1"/>
    <col min="3854" max="3854" width="6.7109375" style="211" customWidth="1"/>
    <col min="3855" max="3855" width="8.28515625" style="211" customWidth="1"/>
    <col min="3856" max="3856" width="7.5703125" style="211" customWidth="1"/>
    <col min="3857" max="3857" width="9" style="211" customWidth="1"/>
    <col min="3858" max="3858" width="7.7109375" style="211" customWidth="1"/>
    <col min="3859" max="4096" width="8.85546875" style="211"/>
    <col min="4097" max="4097" width="11.28515625" style="211" customWidth="1"/>
    <col min="4098" max="4098" width="9.7109375" style="211" customWidth="1"/>
    <col min="4099" max="4099" width="7.28515625" style="211" customWidth="1"/>
    <col min="4100" max="4101" width="7.42578125" style="211" customWidth="1"/>
    <col min="4102" max="4102" width="8.28515625" style="211" customWidth="1"/>
    <col min="4103" max="4103" width="8.140625" style="211" customWidth="1"/>
    <col min="4104" max="4104" width="7.42578125" style="211" customWidth="1"/>
    <col min="4105" max="4105" width="9.140625" style="211" customWidth="1"/>
    <col min="4106" max="4106" width="7.7109375" style="211" customWidth="1"/>
    <col min="4107" max="4107" width="8.42578125" style="211" customWidth="1"/>
    <col min="4108" max="4108" width="6.28515625" style="211" customWidth="1"/>
    <col min="4109" max="4109" width="7.28515625" style="211" customWidth="1"/>
    <col min="4110" max="4110" width="6.7109375" style="211" customWidth="1"/>
    <col min="4111" max="4111" width="8.28515625" style="211" customWidth="1"/>
    <col min="4112" max="4112" width="7.5703125" style="211" customWidth="1"/>
    <col min="4113" max="4113" width="9" style="211" customWidth="1"/>
    <col min="4114" max="4114" width="7.7109375" style="211" customWidth="1"/>
    <col min="4115" max="4352" width="8.85546875" style="211"/>
    <col min="4353" max="4353" width="11.28515625" style="211" customWidth="1"/>
    <col min="4354" max="4354" width="9.7109375" style="211" customWidth="1"/>
    <col min="4355" max="4355" width="7.28515625" style="211" customWidth="1"/>
    <col min="4356" max="4357" width="7.42578125" style="211" customWidth="1"/>
    <col min="4358" max="4358" width="8.28515625" style="211" customWidth="1"/>
    <col min="4359" max="4359" width="8.140625" style="211" customWidth="1"/>
    <col min="4360" max="4360" width="7.42578125" style="211" customWidth="1"/>
    <col min="4361" max="4361" width="9.140625" style="211" customWidth="1"/>
    <col min="4362" max="4362" width="7.7109375" style="211" customWidth="1"/>
    <col min="4363" max="4363" width="8.42578125" style="211" customWidth="1"/>
    <col min="4364" max="4364" width="6.28515625" style="211" customWidth="1"/>
    <col min="4365" max="4365" width="7.28515625" style="211" customWidth="1"/>
    <col min="4366" max="4366" width="6.7109375" style="211" customWidth="1"/>
    <col min="4367" max="4367" width="8.28515625" style="211" customWidth="1"/>
    <col min="4368" max="4368" width="7.5703125" style="211" customWidth="1"/>
    <col min="4369" max="4369" width="9" style="211" customWidth="1"/>
    <col min="4370" max="4370" width="7.7109375" style="211" customWidth="1"/>
    <col min="4371" max="4608" width="8.85546875" style="211"/>
    <col min="4609" max="4609" width="11.28515625" style="211" customWidth="1"/>
    <col min="4610" max="4610" width="9.7109375" style="211" customWidth="1"/>
    <col min="4611" max="4611" width="7.28515625" style="211" customWidth="1"/>
    <col min="4612" max="4613" width="7.42578125" style="211" customWidth="1"/>
    <col min="4614" max="4614" width="8.28515625" style="211" customWidth="1"/>
    <col min="4615" max="4615" width="8.140625" style="211" customWidth="1"/>
    <col min="4616" max="4616" width="7.42578125" style="211" customWidth="1"/>
    <col min="4617" max="4617" width="9.140625" style="211" customWidth="1"/>
    <col min="4618" max="4618" width="7.7109375" style="211" customWidth="1"/>
    <col min="4619" max="4619" width="8.42578125" style="211" customWidth="1"/>
    <col min="4620" max="4620" width="6.28515625" style="211" customWidth="1"/>
    <col min="4621" max="4621" width="7.28515625" style="211" customWidth="1"/>
    <col min="4622" max="4622" width="6.7109375" style="211" customWidth="1"/>
    <col min="4623" max="4623" width="8.28515625" style="211" customWidth="1"/>
    <col min="4624" max="4624" width="7.5703125" style="211" customWidth="1"/>
    <col min="4625" max="4625" width="9" style="211" customWidth="1"/>
    <col min="4626" max="4626" width="7.7109375" style="211" customWidth="1"/>
    <col min="4627" max="4864" width="8.85546875" style="211"/>
    <col min="4865" max="4865" width="11.28515625" style="211" customWidth="1"/>
    <col min="4866" max="4866" width="9.7109375" style="211" customWidth="1"/>
    <col min="4867" max="4867" width="7.28515625" style="211" customWidth="1"/>
    <col min="4868" max="4869" width="7.42578125" style="211" customWidth="1"/>
    <col min="4870" max="4870" width="8.28515625" style="211" customWidth="1"/>
    <col min="4871" max="4871" width="8.140625" style="211" customWidth="1"/>
    <col min="4872" max="4872" width="7.42578125" style="211" customWidth="1"/>
    <col min="4873" max="4873" width="9.140625" style="211" customWidth="1"/>
    <col min="4874" max="4874" width="7.7109375" style="211" customWidth="1"/>
    <col min="4875" max="4875" width="8.42578125" style="211" customWidth="1"/>
    <col min="4876" max="4876" width="6.28515625" style="211" customWidth="1"/>
    <col min="4877" max="4877" width="7.28515625" style="211" customWidth="1"/>
    <col min="4878" max="4878" width="6.7109375" style="211" customWidth="1"/>
    <col min="4879" max="4879" width="8.28515625" style="211" customWidth="1"/>
    <col min="4880" max="4880" width="7.5703125" style="211" customWidth="1"/>
    <col min="4881" max="4881" width="9" style="211" customWidth="1"/>
    <col min="4882" max="4882" width="7.7109375" style="211" customWidth="1"/>
    <col min="4883" max="5120" width="8.85546875" style="211"/>
    <col min="5121" max="5121" width="11.28515625" style="211" customWidth="1"/>
    <col min="5122" max="5122" width="9.7109375" style="211" customWidth="1"/>
    <col min="5123" max="5123" width="7.28515625" style="211" customWidth="1"/>
    <col min="5124" max="5125" width="7.42578125" style="211" customWidth="1"/>
    <col min="5126" max="5126" width="8.28515625" style="211" customWidth="1"/>
    <col min="5127" max="5127" width="8.140625" style="211" customWidth="1"/>
    <col min="5128" max="5128" width="7.42578125" style="211" customWidth="1"/>
    <col min="5129" max="5129" width="9.140625" style="211" customWidth="1"/>
    <col min="5130" max="5130" width="7.7109375" style="211" customWidth="1"/>
    <col min="5131" max="5131" width="8.42578125" style="211" customWidth="1"/>
    <col min="5132" max="5132" width="6.28515625" style="211" customWidth="1"/>
    <col min="5133" max="5133" width="7.28515625" style="211" customWidth="1"/>
    <col min="5134" max="5134" width="6.7109375" style="211" customWidth="1"/>
    <col min="5135" max="5135" width="8.28515625" style="211" customWidth="1"/>
    <col min="5136" max="5136" width="7.5703125" style="211" customWidth="1"/>
    <col min="5137" max="5137" width="9" style="211" customWidth="1"/>
    <col min="5138" max="5138" width="7.7109375" style="211" customWidth="1"/>
    <col min="5139" max="5376" width="8.85546875" style="211"/>
    <col min="5377" max="5377" width="11.28515625" style="211" customWidth="1"/>
    <col min="5378" max="5378" width="9.7109375" style="211" customWidth="1"/>
    <col min="5379" max="5379" width="7.28515625" style="211" customWidth="1"/>
    <col min="5380" max="5381" width="7.42578125" style="211" customWidth="1"/>
    <col min="5382" max="5382" width="8.28515625" style="211" customWidth="1"/>
    <col min="5383" max="5383" width="8.140625" style="211" customWidth="1"/>
    <col min="5384" max="5384" width="7.42578125" style="211" customWidth="1"/>
    <col min="5385" max="5385" width="9.140625" style="211" customWidth="1"/>
    <col min="5386" max="5386" width="7.7109375" style="211" customWidth="1"/>
    <col min="5387" max="5387" width="8.42578125" style="211" customWidth="1"/>
    <col min="5388" max="5388" width="6.28515625" style="211" customWidth="1"/>
    <col min="5389" max="5389" width="7.28515625" style="211" customWidth="1"/>
    <col min="5390" max="5390" width="6.7109375" style="211" customWidth="1"/>
    <col min="5391" max="5391" width="8.28515625" style="211" customWidth="1"/>
    <col min="5392" max="5392" width="7.5703125" style="211" customWidth="1"/>
    <col min="5393" max="5393" width="9" style="211" customWidth="1"/>
    <col min="5394" max="5394" width="7.7109375" style="211" customWidth="1"/>
    <col min="5395" max="5632" width="8.85546875" style="211"/>
    <col min="5633" max="5633" width="11.28515625" style="211" customWidth="1"/>
    <col min="5634" max="5634" width="9.7109375" style="211" customWidth="1"/>
    <col min="5635" max="5635" width="7.28515625" style="211" customWidth="1"/>
    <col min="5636" max="5637" width="7.42578125" style="211" customWidth="1"/>
    <col min="5638" max="5638" width="8.28515625" style="211" customWidth="1"/>
    <col min="5639" max="5639" width="8.140625" style="211" customWidth="1"/>
    <col min="5640" max="5640" width="7.42578125" style="211" customWidth="1"/>
    <col min="5641" max="5641" width="9.140625" style="211" customWidth="1"/>
    <col min="5642" max="5642" width="7.7109375" style="211" customWidth="1"/>
    <col min="5643" max="5643" width="8.42578125" style="211" customWidth="1"/>
    <col min="5644" max="5644" width="6.28515625" style="211" customWidth="1"/>
    <col min="5645" max="5645" width="7.28515625" style="211" customWidth="1"/>
    <col min="5646" max="5646" width="6.7109375" style="211" customWidth="1"/>
    <col min="5647" max="5647" width="8.28515625" style="211" customWidth="1"/>
    <col min="5648" max="5648" width="7.5703125" style="211" customWidth="1"/>
    <col min="5649" max="5649" width="9" style="211" customWidth="1"/>
    <col min="5650" max="5650" width="7.7109375" style="211" customWidth="1"/>
    <col min="5651" max="5888" width="8.85546875" style="211"/>
    <col min="5889" max="5889" width="11.28515625" style="211" customWidth="1"/>
    <col min="5890" max="5890" width="9.7109375" style="211" customWidth="1"/>
    <col min="5891" max="5891" width="7.28515625" style="211" customWidth="1"/>
    <col min="5892" max="5893" width="7.42578125" style="211" customWidth="1"/>
    <col min="5894" max="5894" width="8.28515625" style="211" customWidth="1"/>
    <col min="5895" max="5895" width="8.140625" style="211" customWidth="1"/>
    <col min="5896" max="5896" width="7.42578125" style="211" customWidth="1"/>
    <col min="5897" max="5897" width="9.140625" style="211" customWidth="1"/>
    <col min="5898" max="5898" width="7.7109375" style="211" customWidth="1"/>
    <col min="5899" max="5899" width="8.42578125" style="211" customWidth="1"/>
    <col min="5900" max="5900" width="6.28515625" style="211" customWidth="1"/>
    <col min="5901" max="5901" width="7.28515625" style="211" customWidth="1"/>
    <col min="5902" max="5902" width="6.7109375" style="211" customWidth="1"/>
    <col min="5903" max="5903" width="8.28515625" style="211" customWidth="1"/>
    <col min="5904" max="5904" width="7.5703125" style="211" customWidth="1"/>
    <col min="5905" max="5905" width="9" style="211" customWidth="1"/>
    <col min="5906" max="5906" width="7.7109375" style="211" customWidth="1"/>
    <col min="5907" max="6144" width="8.85546875" style="211"/>
    <col min="6145" max="6145" width="11.28515625" style="211" customWidth="1"/>
    <col min="6146" max="6146" width="9.7109375" style="211" customWidth="1"/>
    <col min="6147" max="6147" width="7.28515625" style="211" customWidth="1"/>
    <col min="6148" max="6149" width="7.42578125" style="211" customWidth="1"/>
    <col min="6150" max="6150" width="8.28515625" style="211" customWidth="1"/>
    <col min="6151" max="6151" width="8.140625" style="211" customWidth="1"/>
    <col min="6152" max="6152" width="7.42578125" style="211" customWidth="1"/>
    <col min="6153" max="6153" width="9.140625" style="211" customWidth="1"/>
    <col min="6154" max="6154" width="7.7109375" style="211" customWidth="1"/>
    <col min="6155" max="6155" width="8.42578125" style="211" customWidth="1"/>
    <col min="6156" max="6156" width="6.28515625" style="211" customWidth="1"/>
    <col min="6157" max="6157" width="7.28515625" style="211" customWidth="1"/>
    <col min="6158" max="6158" width="6.7109375" style="211" customWidth="1"/>
    <col min="6159" max="6159" width="8.28515625" style="211" customWidth="1"/>
    <col min="6160" max="6160" width="7.5703125" style="211" customWidth="1"/>
    <col min="6161" max="6161" width="9" style="211" customWidth="1"/>
    <col min="6162" max="6162" width="7.7109375" style="211" customWidth="1"/>
    <col min="6163" max="6400" width="8.85546875" style="211"/>
    <col min="6401" max="6401" width="11.28515625" style="211" customWidth="1"/>
    <col min="6402" max="6402" width="9.7109375" style="211" customWidth="1"/>
    <col min="6403" max="6403" width="7.28515625" style="211" customWidth="1"/>
    <col min="6404" max="6405" width="7.42578125" style="211" customWidth="1"/>
    <col min="6406" max="6406" width="8.28515625" style="211" customWidth="1"/>
    <col min="6407" max="6407" width="8.140625" style="211" customWidth="1"/>
    <col min="6408" max="6408" width="7.42578125" style="211" customWidth="1"/>
    <col min="6409" max="6409" width="9.140625" style="211" customWidth="1"/>
    <col min="6410" max="6410" width="7.7109375" style="211" customWidth="1"/>
    <col min="6411" max="6411" width="8.42578125" style="211" customWidth="1"/>
    <col min="6412" max="6412" width="6.28515625" style="211" customWidth="1"/>
    <col min="6413" max="6413" width="7.28515625" style="211" customWidth="1"/>
    <col min="6414" max="6414" width="6.7109375" style="211" customWidth="1"/>
    <col min="6415" max="6415" width="8.28515625" style="211" customWidth="1"/>
    <col min="6416" max="6416" width="7.5703125" style="211" customWidth="1"/>
    <col min="6417" max="6417" width="9" style="211" customWidth="1"/>
    <col min="6418" max="6418" width="7.7109375" style="211" customWidth="1"/>
    <col min="6419" max="6656" width="8.85546875" style="211"/>
    <col min="6657" max="6657" width="11.28515625" style="211" customWidth="1"/>
    <col min="6658" max="6658" width="9.7109375" style="211" customWidth="1"/>
    <col min="6659" max="6659" width="7.28515625" style="211" customWidth="1"/>
    <col min="6660" max="6661" width="7.42578125" style="211" customWidth="1"/>
    <col min="6662" max="6662" width="8.28515625" style="211" customWidth="1"/>
    <col min="6663" max="6663" width="8.140625" style="211" customWidth="1"/>
    <col min="6664" max="6664" width="7.42578125" style="211" customWidth="1"/>
    <col min="6665" max="6665" width="9.140625" style="211" customWidth="1"/>
    <col min="6666" max="6666" width="7.7109375" style="211" customWidth="1"/>
    <col min="6667" max="6667" width="8.42578125" style="211" customWidth="1"/>
    <col min="6668" max="6668" width="6.28515625" style="211" customWidth="1"/>
    <col min="6669" max="6669" width="7.28515625" style="211" customWidth="1"/>
    <col min="6670" max="6670" width="6.7109375" style="211" customWidth="1"/>
    <col min="6671" max="6671" width="8.28515625" style="211" customWidth="1"/>
    <col min="6672" max="6672" width="7.5703125" style="211" customWidth="1"/>
    <col min="6673" max="6673" width="9" style="211" customWidth="1"/>
    <col min="6674" max="6674" width="7.7109375" style="211" customWidth="1"/>
    <col min="6675" max="6912" width="8.85546875" style="211"/>
    <col min="6913" max="6913" width="11.28515625" style="211" customWidth="1"/>
    <col min="6914" max="6914" width="9.7109375" style="211" customWidth="1"/>
    <col min="6915" max="6915" width="7.28515625" style="211" customWidth="1"/>
    <col min="6916" max="6917" width="7.42578125" style="211" customWidth="1"/>
    <col min="6918" max="6918" width="8.28515625" style="211" customWidth="1"/>
    <col min="6919" max="6919" width="8.140625" style="211" customWidth="1"/>
    <col min="6920" max="6920" width="7.42578125" style="211" customWidth="1"/>
    <col min="6921" max="6921" width="9.140625" style="211" customWidth="1"/>
    <col min="6922" max="6922" width="7.7109375" style="211" customWidth="1"/>
    <col min="6923" max="6923" width="8.42578125" style="211" customWidth="1"/>
    <col min="6924" max="6924" width="6.28515625" style="211" customWidth="1"/>
    <col min="6925" max="6925" width="7.28515625" style="211" customWidth="1"/>
    <col min="6926" max="6926" width="6.7109375" style="211" customWidth="1"/>
    <col min="6927" max="6927" width="8.28515625" style="211" customWidth="1"/>
    <col min="6928" max="6928" width="7.5703125" style="211" customWidth="1"/>
    <col min="6929" max="6929" width="9" style="211" customWidth="1"/>
    <col min="6930" max="6930" width="7.7109375" style="211" customWidth="1"/>
    <col min="6931" max="7168" width="8.85546875" style="211"/>
    <col min="7169" max="7169" width="11.28515625" style="211" customWidth="1"/>
    <col min="7170" max="7170" width="9.7109375" style="211" customWidth="1"/>
    <col min="7171" max="7171" width="7.28515625" style="211" customWidth="1"/>
    <col min="7172" max="7173" width="7.42578125" style="211" customWidth="1"/>
    <col min="7174" max="7174" width="8.28515625" style="211" customWidth="1"/>
    <col min="7175" max="7175" width="8.140625" style="211" customWidth="1"/>
    <col min="7176" max="7176" width="7.42578125" style="211" customWidth="1"/>
    <col min="7177" max="7177" width="9.140625" style="211" customWidth="1"/>
    <col min="7178" max="7178" width="7.7109375" style="211" customWidth="1"/>
    <col min="7179" max="7179" width="8.42578125" style="211" customWidth="1"/>
    <col min="7180" max="7180" width="6.28515625" style="211" customWidth="1"/>
    <col min="7181" max="7181" width="7.28515625" style="211" customWidth="1"/>
    <col min="7182" max="7182" width="6.7109375" style="211" customWidth="1"/>
    <col min="7183" max="7183" width="8.28515625" style="211" customWidth="1"/>
    <col min="7184" max="7184" width="7.5703125" style="211" customWidth="1"/>
    <col min="7185" max="7185" width="9" style="211" customWidth="1"/>
    <col min="7186" max="7186" width="7.7109375" style="211" customWidth="1"/>
    <col min="7187" max="7424" width="8.85546875" style="211"/>
    <col min="7425" max="7425" width="11.28515625" style="211" customWidth="1"/>
    <col min="7426" max="7426" width="9.7109375" style="211" customWidth="1"/>
    <col min="7427" max="7427" width="7.28515625" style="211" customWidth="1"/>
    <col min="7428" max="7429" width="7.42578125" style="211" customWidth="1"/>
    <col min="7430" max="7430" width="8.28515625" style="211" customWidth="1"/>
    <col min="7431" max="7431" width="8.140625" style="211" customWidth="1"/>
    <col min="7432" max="7432" width="7.42578125" style="211" customWidth="1"/>
    <col min="7433" max="7433" width="9.140625" style="211" customWidth="1"/>
    <col min="7434" max="7434" width="7.7109375" style="211" customWidth="1"/>
    <col min="7435" max="7435" width="8.42578125" style="211" customWidth="1"/>
    <col min="7436" max="7436" width="6.28515625" style="211" customWidth="1"/>
    <col min="7437" max="7437" width="7.28515625" style="211" customWidth="1"/>
    <col min="7438" max="7438" width="6.7109375" style="211" customWidth="1"/>
    <col min="7439" max="7439" width="8.28515625" style="211" customWidth="1"/>
    <col min="7440" max="7440" width="7.5703125" style="211" customWidth="1"/>
    <col min="7441" max="7441" width="9" style="211" customWidth="1"/>
    <col min="7442" max="7442" width="7.7109375" style="211" customWidth="1"/>
    <col min="7443" max="7680" width="8.85546875" style="211"/>
    <col min="7681" max="7681" width="11.28515625" style="211" customWidth="1"/>
    <col min="7682" max="7682" width="9.7109375" style="211" customWidth="1"/>
    <col min="7683" max="7683" width="7.28515625" style="211" customWidth="1"/>
    <col min="7684" max="7685" width="7.42578125" style="211" customWidth="1"/>
    <col min="7686" max="7686" width="8.28515625" style="211" customWidth="1"/>
    <col min="7687" max="7687" width="8.140625" style="211" customWidth="1"/>
    <col min="7688" max="7688" width="7.42578125" style="211" customWidth="1"/>
    <col min="7689" max="7689" width="9.140625" style="211" customWidth="1"/>
    <col min="7690" max="7690" width="7.7109375" style="211" customWidth="1"/>
    <col min="7691" max="7691" width="8.42578125" style="211" customWidth="1"/>
    <col min="7692" max="7692" width="6.28515625" style="211" customWidth="1"/>
    <col min="7693" max="7693" width="7.28515625" style="211" customWidth="1"/>
    <col min="7694" max="7694" width="6.7109375" style="211" customWidth="1"/>
    <col min="7695" max="7695" width="8.28515625" style="211" customWidth="1"/>
    <col min="7696" max="7696" width="7.5703125" style="211" customWidth="1"/>
    <col min="7697" max="7697" width="9" style="211" customWidth="1"/>
    <col min="7698" max="7698" width="7.7109375" style="211" customWidth="1"/>
    <col min="7699" max="7936" width="8.85546875" style="211"/>
    <col min="7937" max="7937" width="11.28515625" style="211" customWidth="1"/>
    <col min="7938" max="7938" width="9.7109375" style="211" customWidth="1"/>
    <col min="7939" max="7939" width="7.28515625" style="211" customWidth="1"/>
    <col min="7940" max="7941" width="7.42578125" style="211" customWidth="1"/>
    <col min="7942" max="7942" width="8.28515625" style="211" customWidth="1"/>
    <col min="7943" max="7943" width="8.140625" style="211" customWidth="1"/>
    <col min="7944" max="7944" width="7.42578125" style="211" customWidth="1"/>
    <col min="7945" max="7945" width="9.140625" style="211" customWidth="1"/>
    <col min="7946" max="7946" width="7.7109375" style="211" customWidth="1"/>
    <col min="7947" max="7947" width="8.42578125" style="211" customWidth="1"/>
    <col min="7948" max="7948" width="6.28515625" style="211" customWidth="1"/>
    <col min="7949" max="7949" width="7.28515625" style="211" customWidth="1"/>
    <col min="7950" max="7950" width="6.7109375" style="211" customWidth="1"/>
    <col min="7951" max="7951" width="8.28515625" style="211" customWidth="1"/>
    <col min="7952" max="7952" width="7.5703125" style="211" customWidth="1"/>
    <col min="7953" max="7953" width="9" style="211" customWidth="1"/>
    <col min="7954" max="7954" width="7.7109375" style="211" customWidth="1"/>
    <col min="7955" max="8192" width="8.85546875" style="211"/>
    <col min="8193" max="8193" width="11.28515625" style="211" customWidth="1"/>
    <col min="8194" max="8194" width="9.7109375" style="211" customWidth="1"/>
    <col min="8195" max="8195" width="7.28515625" style="211" customWidth="1"/>
    <col min="8196" max="8197" width="7.42578125" style="211" customWidth="1"/>
    <col min="8198" max="8198" width="8.28515625" style="211" customWidth="1"/>
    <col min="8199" max="8199" width="8.140625" style="211" customWidth="1"/>
    <col min="8200" max="8200" width="7.42578125" style="211" customWidth="1"/>
    <col min="8201" max="8201" width="9.140625" style="211" customWidth="1"/>
    <col min="8202" max="8202" width="7.7109375" style="211" customWidth="1"/>
    <col min="8203" max="8203" width="8.42578125" style="211" customWidth="1"/>
    <col min="8204" max="8204" width="6.28515625" style="211" customWidth="1"/>
    <col min="8205" max="8205" width="7.28515625" style="211" customWidth="1"/>
    <col min="8206" max="8206" width="6.7109375" style="211" customWidth="1"/>
    <col min="8207" max="8207" width="8.28515625" style="211" customWidth="1"/>
    <col min="8208" max="8208" width="7.5703125" style="211" customWidth="1"/>
    <col min="8209" max="8209" width="9" style="211" customWidth="1"/>
    <col min="8210" max="8210" width="7.7109375" style="211" customWidth="1"/>
    <col min="8211" max="8448" width="8.85546875" style="211"/>
    <col min="8449" max="8449" width="11.28515625" style="211" customWidth="1"/>
    <col min="8450" max="8450" width="9.7109375" style="211" customWidth="1"/>
    <col min="8451" max="8451" width="7.28515625" style="211" customWidth="1"/>
    <col min="8452" max="8453" width="7.42578125" style="211" customWidth="1"/>
    <col min="8454" max="8454" width="8.28515625" style="211" customWidth="1"/>
    <col min="8455" max="8455" width="8.140625" style="211" customWidth="1"/>
    <col min="8456" max="8456" width="7.42578125" style="211" customWidth="1"/>
    <col min="8457" max="8457" width="9.140625" style="211" customWidth="1"/>
    <col min="8458" max="8458" width="7.7109375" style="211" customWidth="1"/>
    <col min="8459" max="8459" width="8.42578125" style="211" customWidth="1"/>
    <col min="8460" max="8460" width="6.28515625" style="211" customWidth="1"/>
    <col min="8461" max="8461" width="7.28515625" style="211" customWidth="1"/>
    <col min="8462" max="8462" width="6.7109375" style="211" customWidth="1"/>
    <col min="8463" max="8463" width="8.28515625" style="211" customWidth="1"/>
    <col min="8464" max="8464" width="7.5703125" style="211" customWidth="1"/>
    <col min="8465" max="8465" width="9" style="211" customWidth="1"/>
    <col min="8466" max="8466" width="7.7109375" style="211" customWidth="1"/>
    <col min="8467" max="8704" width="8.85546875" style="211"/>
    <col min="8705" max="8705" width="11.28515625" style="211" customWidth="1"/>
    <col min="8706" max="8706" width="9.7109375" style="211" customWidth="1"/>
    <col min="8707" max="8707" width="7.28515625" style="211" customWidth="1"/>
    <col min="8708" max="8709" width="7.42578125" style="211" customWidth="1"/>
    <col min="8710" max="8710" width="8.28515625" style="211" customWidth="1"/>
    <col min="8711" max="8711" width="8.140625" style="211" customWidth="1"/>
    <col min="8712" max="8712" width="7.42578125" style="211" customWidth="1"/>
    <col min="8713" max="8713" width="9.140625" style="211" customWidth="1"/>
    <col min="8714" max="8714" width="7.7109375" style="211" customWidth="1"/>
    <col min="8715" max="8715" width="8.42578125" style="211" customWidth="1"/>
    <col min="8716" max="8716" width="6.28515625" style="211" customWidth="1"/>
    <col min="8717" max="8717" width="7.28515625" style="211" customWidth="1"/>
    <col min="8718" max="8718" width="6.7109375" style="211" customWidth="1"/>
    <col min="8719" max="8719" width="8.28515625" style="211" customWidth="1"/>
    <col min="8720" max="8720" width="7.5703125" style="211" customWidth="1"/>
    <col min="8721" max="8721" width="9" style="211" customWidth="1"/>
    <col min="8722" max="8722" width="7.7109375" style="211" customWidth="1"/>
    <col min="8723" max="8960" width="8.85546875" style="211"/>
    <col min="8961" max="8961" width="11.28515625" style="211" customWidth="1"/>
    <col min="8962" max="8962" width="9.7109375" style="211" customWidth="1"/>
    <col min="8963" max="8963" width="7.28515625" style="211" customWidth="1"/>
    <col min="8964" max="8965" width="7.42578125" style="211" customWidth="1"/>
    <col min="8966" max="8966" width="8.28515625" style="211" customWidth="1"/>
    <col min="8967" max="8967" width="8.140625" style="211" customWidth="1"/>
    <col min="8968" max="8968" width="7.42578125" style="211" customWidth="1"/>
    <col min="8969" max="8969" width="9.140625" style="211" customWidth="1"/>
    <col min="8970" max="8970" width="7.7109375" style="211" customWidth="1"/>
    <col min="8971" max="8971" width="8.42578125" style="211" customWidth="1"/>
    <col min="8972" max="8972" width="6.28515625" style="211" customWidth="1"/>
    <col min="8973" max="8973" width="7.28515625" style="211" customWidth="1"/>
    <col min="8974" max="8974" width="6.7109375" style="211" customWidth="1"/>
    <col min="8975" max="8975" width="8.28515625" style="211" customWidth="1"/>
    <col min="8976" max="8976" width="7.5703125" style="211" customWidth="1"/>
    <col min="8977" max="8977" width="9" style="211" customWidth="1"/>
    <col min="8978" max="8978" width="7.7109375" style="211" customWidth="1"/>
    <col min="8979" max="9216" width="8.85546875" style="211"/>
    <col min="9217" max="9217" width="11.28515625" style="211" customWidth="1"/>
    <col min="9218" max="9218" width="9.7109375" style="211" customWidth="1"/>
    <col min="9219" max="9219" width="7.28515625" style="211" customWidth="1"/>
    <col min="9220" max="9221" width="7.42578125" style="211" customWidth="1"/>
    <col min="9222" max="9222" width="8.28515625" style="211" customWidth="1"/>
    <col min="9223" max="9223" width="8.140625" style="211" customWidth="1"/>
    <col min="9224" max="9224" width="7.42578125" style="211" customWidth="1"/>
    <col min="9225" max="9225" width="9.140625" style="211" customWidth="1"/>
    <col min="9226" max="9226" width="7.7109375" style="211" customWidth="1"/>
    <col min="9227" max="9227" width="8.42578125" style="211" customWidth="1"/>
    <col min="9228" max="9228" width="6.28515625" style="211" customWidth="1"/>
    <col min="9229" max="9229" width="7.28515625" style="211" customWidth="1"/>
    <col min="9230" max="9230" width="6.7109375" style="211" customWidth="1"/>
    <col min="9231" max="9231" width="8.28515625" style="211" customWidth="1"/>
    <col min="9232" max="9232" width="7.5703125" style="211" customWidth="1"/>
    <col min="9233" max="9233" width="9" style="211" customWidth="1"/>
    <col min="9234" max="9234" width="7.7109375" style="211" customWidth="1"/>
    <col min="9235" max="9472" width="8.85546875" style="211"/>
    <col min="9473" max="9473" width="11.28515625" style="211" customWidth="1"/>
    <col min="9474" max="9474" width="9.7109375" style="211" customWidth="1"/>
    <col min="9475" max="9475" width="7.28515625" style="211" customWidth="1"/>
    <col min="9476" max="9477" width="7.42578125" style="211" customWidth="1"/>
    <col min="9478" max="9478" width="8.28515625" style="211" customWidth="1"/>
    <col min="9479" max="9479" width="8.140625" style="211" customWidth="1"/>
    <col min="9480" max="9480" width="7.42578125" style="211" customWidth="1"/>
    <col min="9481" max="9481" width="9.140625" style="211" customWidth="1"/>
    <col min="9482" max="9482" width="7.7109375" style="211" customWidth="1"/>
    <col min="9483" max="9483" width="8.42578125" style="211" customWidth="1"/>
    <col min="9484" max="9484" width="6.28515625" style="211" customWidth="1"/>
    <col min="9485" max="9485" width="7.28515625" style="211" customWidth="1"/>
    <col min="9486" max="9486" width="6.7109375" style="211" customWidth="1"/>
    <col min="9487" max="9487" width="8.28515625" style="211" customWidth="1"/>
    <col min="9488" max="9488" width="7.5703125" style="211" customWidth="1"/>
    <col min="9489" max="9489" width="9" style="211" customWidth="1"/>
    <col min="9490" max="9490" width="7.7109375" style="211" customWidth="1"/>
    <col min="9491" max="9728" width="8.85546875" style="211"/>
    <col min="9729" max="9729" width="11.28515625" style="211" customWidth="1"/>
    <col min="9730" max="9730" width="9.7109375" style="211" customWidth="1"/>
    <col min="9731" max="9731" width="7.28515625" style="211" customWidth="1"/>
    <col min="9732" max="9733" width="7.42578125" style="211" customWidth="1"/>
    <col min="9734" max="9734" width="8.28515625" style="211" customWidth="1"/>
    <col min="9735" max="9735" width="8.140625" style="211" customWidth="1"/>
    <col min="9736" max="9736" width="7.42578125" style="211" customWidth="1"/>
    <col min="9737" max="9737" width="9.140625" style="211" customWidth="1"/>
    <col min="9738" max="9738" width="7.7109375" style="211" customWidth="1"/>
    <col min="9739" max="9739" width="8.42578125" style="211" customWidth="1"/>
    <col min="9740" max="9740" width="6.28515625" style="211" customWidth="1"/>
    <col min="9741" max="9741" width="7.28515625" style="211" customWidth="1"/>
    <col min="9742" max="9742" width="6.7109375" style="211" customWidth="1"/>
    <col min="9743" max="9743" width="8.28515625" style="211" customWidth="1"/>
    <col min="9744" max="9744" width="7.5703125" style="211" customWidth="1"/>
    <col min="9745" max="9745" width="9" style="211" customWidth="1"/>
    <col min="9746" max="9746" width="7.7109375" style="211" customWidth="1"/>
    <col min="9747" max="9984" width="8.85546875" style="211"/>
    <col min="9985" max="9985" width="11.28515625" style="211" customWidth="1"/>
    <col min="9986" max="9986" width="9.7109375" style="211" customWidth="1"/>
    <col min="9987" max="9987" width="7.28515625" style="211" customWidth="1"/>
    <col min="9988" max="9989" width="7.42578125" style="211" customWidth="1"/>
    <col min="9990" max="9990" width="8.28515625" style="211" customWidth="1"/>
    <col min="9991" max="9991" width="8.140625" style="211" customWidth="1"/>
    <col min="9992" max="9992" width="7.42578125" style="211" customWidth="1"/>
    <col min="9993" max="9993" width="9.140625" style="211" customWidth="1"/>
    <col min="9994" max="9994" width="7.7109375" style="211" customWidth="1"/>
    <col min="9995" max="9995" width="8.42578125" style="211" customWidth="1"/>
    <col min="9996" max="9996" width="6.28515625" style="211" customWidth="1"/>
    <col min="9997" max="9997" width="7.28515625" style="211" customWidth="1"/>
    <col min="9998" max="9998" width="6.7109375" style="211" customWidth="1"/>
    <col min="9999" max="9999" width="8.28515625" style="211" customWidth="1"/>
    <col min="10000" max="10000" width="7.5703125" style="211" customWidth="1"/>
    <col min="10001" max="10001" width="9" style="211" customWidth="1"/>
    <col min="10002" max="10002" width="7.7109375" style="211" customWidth="1"/>
    <col min="10003" max="10240" width="8.85546875" style="211"/>
    <col min="10241" max="10241" width="11.28515625" style="211" customWidth="1"/>
    <col min="10242" max="10242" width="9.7109375" style="211" customWidth="1"/>
    <col min="10243" max="10243" width="7.28515625" style="211" customWidth="1"/>
    <col min="10244" max="10245" width="7.42578125" style="211" customWidth="1"/>
    <col min="10246" max="10246" width="8.28515625" style="211" customWidth="1"/>
    <col min="10247" max="10247" width="8.140625" style="211" customWidth="1"/>
    <col min="10248" max="10248" width="7.42578125" style="211" customWidth="1"/>
    <col min="10249" max="10249" width="9.140625" style="211" customWidth="1"/>
    <col min="10250" max="10250" width="7.7109375" style="211" customWidth="1"/>
    <col min="10251" max="10251" width="8.42578125" style="211" customWidth="1"/>
    <col min="10252" max="10252" width="6.28515625" style="211" customWidth="1"/>
    <col min="10253" max="10253" width="7.28515625" style="211" customWidth="1"/>
    <col min="10254" max="10254" width="6.7109375" style="211" customWidth="1"/>
    <col min="10255" max="10255" width="8.28515625" style="211" customWidth="1"/>
    <col min="10256" max="10256" width="7.5703125" style="211" customWidth="1"/>
    <col min="10257" max="10257" width="9" style="211" customWidth="1"/>
    <col min="10258" max="10258" width="7.7109375" style="211" customWidth="1"/>
    <col min="10259" max="10496" width="8.85546875" style="211"/>
    <col min="10497" max="10497" width="11.28515625" style="211" customWidth="1"/>
    <col min="10498" max="10498" width="9.7109375" style="211" customWidth="1"/>
    <col min="10499" max="10499" width="7.28515625" style="211" customWidth="1"/>
    <col min="10500" max="10501" width="7.42578125" style="211" customWidth="1"/>
    <col min="10502" max="10502" width="8.28515625" style="211" customWidth="1"/>
    <col min="10503" max="10503" width="8.140625" style="211" customWidth="1"/>
    <col min="10504" max="10504" width="7.42578125" style="211" customWidth="1"/>
    <col min="10505" max="10505" width="9.140625" style="211" customWidth="1"/>
    <col min="10506" max="10506" width="7.7109375" style="211" customWidth="1"/>
    <col min="10507" max="10507" width="8.42578125" style="211" customWidth="1"/>
    <col min="10508" max="10508" width="6.28515625" style="211" customWidth="1"/>
    <col min="10509" max="10509" width="7.28515625" style="211" customWidth="1"/>
    <col min="10510" max="10510" width="6.7109375" style="211" customWidth="1"/>
    <col min="10511" max="10511" width="8.28515625" style="211" customWidth="1"/>
    <col min="10512" max="10512" width="7.5703125" style="211" customWidth="1"/>
    <col min="10513" max="10513" width="9" style="211" customWidth="1"/>
    <col min="10514" max="10514" width="7.7109375" style="211" customWidth="1"/>
    <col min="10515" max="10752" width="8.85546875" style="211"/>
    <col min="10753" max="10753" width="11.28515625" style="211" customWidth="1"/>
    <col min="10754" max="10754" width="9.7109375" style="211" customWidth="1"/>
    <col min="10755" max="10755" width="7.28515625" style="211" customWidth="1"/>
    <col min="10756" max="10757" width="7.42578125" style="211" customWidth="1"/>
    <col min="10758" max="10758" width="8.28515625" style="211" customWidth="1"/>
    <col min="10759" max="10759" width="8.140625" style="211" customWidth="1"/>
    <col min="10760" max="10760" width="7.42578125" style="211" customWidth="1"/>
    <col min="10761" max="10761" width="9.140625" style="211" customWidth="1"/>
    <col min="10762" max="10762" width="7.7109375" style="211" customWidth="1"/>
    <col min="10763" max="10763" width="8.42578125" style="211" customWidth="1"/>
    <col min="10764" max="10764" width="6.28515625" style="211" customWidth="1"/>
    <col min="10765" max="10765" width="7.28515625" style="211" customWidth="1"/>
    <col min="10766" max="10766" width="6.7109375" style="211" customWidth="1"/>
    <col min="10767" max="10767" width="8.28515625" style="211" customWidth="1"/>
    <col min="10768" max="10768" width="7.5703125" style="211" customWidth="1"/>
    <col min="10769" max="10769" width="9" style="211" customWidth="1"/>
    <col min="10770" max="10770" width="7.7109375" style="211" customWidth="1"/>
    <col min="10771" max="11008" width="8.85546875" style="211"/>
    <col min="11009" max="11009" width="11.28515625" style="211" customWidth="1"/>
    <col min="11010" max="11010" width="9.7109375" style="211" customWidth="1"/>
    <col min="11011" max="11011" width="7.28515625" style="211" customWidth="1"/>
    <col min="11012" max="11013" width="7.42578125" style="211" customWidth="1"/>
    <col min="11014" max="11014" width="8.28515625" style="211" customWidth="1"/>
    <col min="11015" max="11015" width="8.140625" style="211" customWidth="1"/>
    <col min="11016" max="11016" width="7.42578125" style="211" customWidth="1"/>
    <col min="11017" max="11017" width="9.140625" style="211" customWidth="1"/>
    <col min="11018" max="11018" width="7.7109375" style="211" customWidth="1"/>
    <col min="11019" max="11019" width="8.42578125" style="211" customWidth="1"/>
    <col min="11020" max="11020" width="6.28515625" style="211" customWidth="1"/>
    <col min="11021" max="11021" width="7.28515625" style="211" customWidth="1"/>
    <col min="11022" max="11022" width="6.7109375" style="211" customWidth="1"/>
    <col min="11023" max="11023" width="8.28515625" style="211" customWidth="1"/>
    <col min="11024" max="11024" width="7.5703125" style="211" customWidth="1"/>
    <col min="11025" max="11025" width="9" style="211" customWidth="1"/>
    <col min="11026" max="11026" width="7.7109375" style="211" customWidth="1"/>
    <col min="11027" max="11264" width="8.85546875" style="211"/>
    <col min="11265" max="11265" width="11.28515625" style="211" customWidth="1"/>
    <col min="11266" max="11266" width="9.7109375" style="211" customWidth="1"/>
    <col min="11267" max="11267" width="7.28515625" style="211" customWidth="1"/>
    <col min="11268" max="11269" width="7.42578125" style="211" customWidth="1"/>
    <col min="11270" max="11270" width="8.28515625" style="211" customWidth="1"/>
    <col min="11271" max="11271" width="8.140625" style="211" customWidth="1"/>
    <col min="11272" max="11272" width="7.42578125" style="211" customWidth="1"/>
    <col min="11273" max="11273" width="9.140625" style="211" customWidth="1"/>
    <col min="11274" max="11274" width="7.7109375" style="211" customWidth="1"/>
    <col min="11275" max="11275" width="8.42578125" style="211" customWidth="1"/>
    <col min="11276" max="11276" width="6.28515625" style="211" customWidth="1"/>
    <col min="11277" max="11277" width="7.28515625" style="211" customWidth="1"/>
    <col min="11278" max="11278" width="6.7109375" style="211" customWidth="1"/>
    <col min="11279" max="11279" width="8.28515625" style="211" customWidth="1"/>
    <col min="11280" max="11280" width="7.5703125" style="211" customWidth="1"/>
    <col min="11281" max="11281" width="9" style="211" customWidth="1"/>
    <col min="11282" max="11282" width="7.7109375" style="211" customWidth="1"/>
    <col min="11283" max="11520" width="8.85546875" style="211"/>
    <col min="11521" max="11521" width="11.28515625" style="211" customWidth="1"/>
    <col min="11522" max="11522" width="9.7109375" style="211" customWidth="1"/>
    <col min="11523" max="11523" width="7.28515625" style="211" customWidth="1"/>
    <col min="11524" max="11525" width="7.42578125" style="211" customWidth="1"/>
    <col min="11526" max="11526" width="8.28515625" style="211" customWidth="1"/>
    <col min="11527" max="11527" width="8.140625" style="211" customWidth="1"/>
    <col min="11528" max="11528" width="7.42578125" style="211" customWidth="1"/>
    <col min="11529" max="11529" width="9.140625" style="211" customWidth="1"/>
    <col min="11530" max="11530" width="7.7109375" style="211" customWidth="1"/>
    <col min="11531" max="11531" width="8.42578125" style="211" customWidth="1"/>
    <col min="11532" max="11532" width="6.28515625" style="211" customWidth="1"/>
    <col min="11533" max="11533" width="7.28515625" style="211" customWidth="1"/>
    <col min="11534" max="11534" width="6.7109375" style="211" customWidth="1"/>
    <col min="11535" max="11535" width="8.28515625" style="211" customWidth="1"/>
    <col min="11536" max="11536" width="7.5703125" style="211" customWidth="1"/>
    <col min="11537" max="11537" width="9" style="211" customWidth="1"/>
    <col min="11538" max="11538" width="7.7109375" style="211" customWidth="1"/>
    <col min="11539" max="11776" width="8.85546875" style="211"/>
    <col min="11777" max="11777" width="11.28515625" style="211" customWidth="1"/>
    <col min="11778" max="11778" width="9.7109375" style="211" customWidth="1"/>
    <col min="11779" max="11779" width="7.28515625" style="211" customWidth="1"/>
    <col min="11780" max="11781" width="7.42578125" style="211" customWidth="1"/>
    <col min="11782" max="11782" width="8.28515625" style="211" customWidth="1"/>
    <col min="11783" max="11783" width="8.140625" style="211" customWidth="1"/>
    <col min="11784" max="11784" width="7.42578125" style="211" customWidth="1"/>
    <col min="11785" max="11785" width="9.140625" style="211" customWidth="1"/>
    <col min="11786" max="11786" width="7.7109375" style="211" customWidth="1"/>
    <col min="11787" max="11787" width="8.42578125" style="211" customWidth="1"/>
    <col min="11788" max="11788" width="6.28515625" style="211" customWidth="1"/>
    <col min="11789" max="11789" width="7.28515625" style="211" customWidth="1"/>
    <col min="11790" max="11790" width="6.7109375" style="211" customWidth="1"/>
    <col min="11791" max="11791" width="8.28515625" style="211" customWidth="1"/>
    <col min="11792" max="11792" width="7.5703125" style="211" customWidth="1"/>
    <col min="11793" max="11793" width="9" style="211" customWidth="1"/>
    <col min="11794" max="11794" width="7.7109375" style="211" customWidth="1"/>
    <col min="11795" max="12032" width="8.85546875" style="211"/>
    <col min="12033" max="12033" width="11.28515625" style="211" customWidth="1"/>
    <col min="12034" max="12034" width="9.7109375" style="211" customWidth="1"/>
    <col min="12035" max="12035" width="7.28515625" style="211" customWidth="1"/>
    <col min="12036" max="12037" width="7.42578125" style="211" customWidth="1"/>
    <col min="12038" max="12038" width="8.28515625" style="211" customWidth="1"/>
    <col min="12039" max="12039" width="8.140625" style="211" customWidth="1"/>
    <col min="12040" max="12040" width="7.42578125" style="211" customWidth="1"/>
    <col min="12041" max="12041" width="9.140625" style="211" customWidth="1"/>
    <col min="12042" max="12042" width="7.7109375" style="211" customWidth="1"/>
    <col min="12043" max="12043" width="8.42578125" style="211" customWidth="1"/>
    <col min="12044" max="12044" width="6.28515625" style="211" customWidth="1"/>
    <col min="12045" max="12045" width="7.28515625" style="211" customWidth="1"/>
    <col min="12046" max="12046" width="6.7109375" style="211" customWidth="1"/>
    <col min="12047" max="12047" width="8.28515625" style="211" customWidth="1"/>
    <col min="12048" max="12048" width="7.5703125" style="211" customWidth="1"/>
    <col min="12049" max="12049" width="9" style="211" customWidth="1"/>
    <col min="12050" max="12050" width="7.7109375" style="211" customWidth="1"/>
    <col min="12051" max="12288" width="8.85546875" style="211"/>
    <col min="12289" max="12289" width="11.28515625" style="211" customWidth="1"/>
    <col min="12290" max="12290" width="9.7109375" style="211" customWidth="1"/>
    <col min="12291" max="12291" width="7.28515625" style="211" customWidth="1"/>
    <col min="12292" max="12293" width="7.42578125" style="211" customWidth="1"/>
    <col min="12294" max="12294" width="8.28515625" style="211" customWidth="1"/>
    <col min="12295" max="12295" width="8.140625" style="211" customWidth="1"/>
    <col min="12296" max="12296" width="7.42578125" style="211" customWidth="1"/>
    <col min="12297" max="12297" width="9.140625" style="211" customWidth="1"/>
    <col min="12298" max="12298" width="7.7109375" style="211" customWidth="1"/>
    <col min="12299" max="12299" width="8.42578125" style="211" customWidth="1"/>
    <col min="12300" max="12300" width="6.28515625" style="211" customWidth="1"/>
    <col min="12301" max="12301" width="7.28515625" style="211" customWidth="1"/>
    <col min="12302" max="12302" width="6.7109375" style="211" customWidth="1"/>
    <col min="12303" max="12303" width="8.28515625" style="211" customWidth="1"/>
    <col min="12304" max="12304" width="7.5703125" style="211" customWidth="1"/>
    <col min="12305" max="12305" width="9" style="211" customWidth="1"/>
    <col min="12306" max="12306" width="7.7109375" style="211" customWidth="1"/>
    <col min="12307" max="12544" width="8.85546875" style="211"/>
    <col min="12545" max="12545" width="11.28515625" style="211" customWidth="1"/>
    <col min="12546" max="12546" width="9.7109375" style="211" customWidth="1"/>
    <col min="12547" max="12547" width="7.28515625" style="211" customWidth="1"/>
    <col min="12548" max="12549" width="7.42578125" style="211" customWidth="1"/>
    <col min="12550" max="12550" width="8.28515625" style="211" customWidth="1"/>
    <col min="12551" max="12551" width="8.140625" style="211" customWidth="1"/>
    <col min="12552" max="12552" width="7.42578125" style="211" customWidth="1"/>
    <col min="12553" max="12553" width="9.140625" style="211" customWidth="1"/>
    <col min="12554" max="12554" width="7.7109375" style="211" customWidth="1"/>
    <col min="12555" max="12555" width="8.42578125" style="211" customWidth="1"/>
    <col min="12556" max="12556" width="6.28515625" style="211" customWidth="1"/>
    <col min="12557" max="12557" width="7.28515625" style="211" customWidth="1"/>
    <col min="12558" max="12558" width="6.7109375" style="211" customWidth="1"/>
    <col min="12559" max="12559" width="8.28515625" style="211" customWidth="1"/>
    <col min="12560" max="12560" width="7.5703125" style="211" customWidth="1"/>
    <col min="12561" max="12561" width="9" style="211" customWidth="1"/>
    <col min="12562" max="12562" width="7.7109375" style="211" customWidth="1"/>
    <col min="12563" max="12800" width="8.85546875" style="211"/>
    <col min="12801" max="12801" width="11.28515625" style="211" customWidth="1"/>
    <col min="12802" max="12802" width="9.7109375" style="211" customWidth="1"/>
    <col min="12803" max="12803" width="7.28515625" style="211" customWidth="1"/>
    <col min="12804" max="12805" width="7.42578125" style="211" customWidth="1"/>
    <col min="12806" max="12806" width="8.28515625" style="211" customWidth="1"/>
    <col min="12807" max="12807" width="8.140625" style="211" customWidth="1"/>
    <col min="12808" max="12808" width="7.42578125" style="211" customWidth="1"/>
    <col min="12809" max="12809" width="9.140625" style="211" customWidth="1"/>
    <col min="12810" max="12810" width="7.7109375" style="211" customWidth="1"/>
    <col min="12811" max="12811" width="8.42578125" style="211" customWidth="1"/>
    <col min="12812" max="12812" width="6.28515625" style="211" customWidth="1"/>
    <col min="12813" max="12813" width="7.28515625" style="211" customWidth="1"/>
    <col min="12814" max="12814" width="6.7109375" style="211" customWidth="1"/>
    <col min="12815" max="12815" width="8.28515625" style="211" customWidth="1"/>
    <col min="12816" max="12816" width="7.5703125" style="211" customWidth="1"/>
    <col min="12817" max="12817" width="9" style="211" customWidth="1"/>
    <col min="12818" max="12818" width="7.7109375" style="211" customWidth="1"/>
    <col min="12819" max="13056" width="8.85546875" style="211"/>
    <col min="13057" max="13057" width="11.28515625" style="211" customWidth="1"/>
    <col min="13058" max="13058" width="9.7109375" style="211" customWidth="1"/>
    <col min="13059" max="13059" width="7.28515625" style="211" customWidth="1"/>
    <col min="13060" max="13061" width="7.42578125" style="211" customWidth="1"/>
    <col min="13062" max="13062" width="8.28515625" style="211" customWidth="1"/>
    <col min="13063" max="13063" width="8.140625" style="211" customWidth="1"/>
    <col min="13064" max="13064" width="7.42578125" style="211" customWidth="1"/>
    <col min="13065" max="13065" width="9.140625" style="211" customWidth="1"/>
    <col min="13066" max="13066" width="7.7109375" style="211" customWidth="1"/>
    <col min="13067" max="13067" width="8.42578125" style="211" customWidth="1"/>
    <col min="13068" max="13068" width="6.28515625" style="211" customWidth="1"/>
    <col min="13069" max="13069" width="7.28515625" style="211" customWidth="1"/>
    <col min="13070" max="13070" width="6.7109375" style="211" customWidth="1"/>
    <col min="13071" max="13071" width="8.28515625" style="211" customWidth="1"/>
    <col min="13072" max="13072" width="7.5703125" style="211" customWidth="1"/>
    <col min="13073" max="13073" width="9" style="211" customWidth="1"/>
    <col min="13074" max="13074" width="7.7109375" style="211" customWidth="1"/>
    <col min="13075" max="13312" width="8.85546875" style="211"/>
    <col min="13313" max="13313" width="11.28515625" style="211" customWidth="1"/>
    <col min="13314" max="13314" width="9.7109375" style="211" customWidth="1"/>
    <col min="13315" max="13315" width="7.28515625" style="211" customWidth="1"/>
    <col min="13316" max="13317" width="7.42578125" style="211" customWidth="1"/>
    <col min="13318" max="13318" width="8.28515625" style="211" customWidth="1"/>
    <col min="13319" max="13319" width="8.140625" style="211" customWidth="1"/>
    <col min="13320" max="13320" width="7.42578125" style="211" customWidth="1"/>
    <col min="13321" max="13321" width="9.140625" style="211" customWidth="1"/>
    <col min="13322" max="13322" width="7.7109375" style="211" customWidth="1"/>
    <col min="13323" max="13323" width="8.42578125" style="211" customWidth="1"/>
    <col min="13324" max="13324" width="6.28515625" style="211" customWidth="1"/>
    <col min="13325" max="13325" width="7.28515625" style="211" customWidth="1"/>
    <col min="13326" max="13326" width="6.7109375" style="211" customWidth="1"/>
    <col min="13327" max="13327" width="8.28515625" style="211" customWidth="1"/>
    <col min="13328" max="13328" width="7.5703125" style="211" customWidth="1"/>
    <col min="13329" max="13329" width="9" style="211" customWidth="1"/>
    <col min="13330" max="13330" width="7.7109375" style="211" customWidth="1"/>
    <col min="13331" max="13568" width="8.85546875" style="211"/>
    <col min="13569" max="13569" width="11.28515625" style="211" customWidth="1"/>
    <col min="13570" max="13570" width="9.7109375" style="211" customWidth="1"/>
    <col min="13571" max="13571" width="7.28515625" style="211" customWidth="1"/>
    <col min="13572" max="13573" width="7.42578125" style="211" customWidth="1"/>
    <col min="13574" max="13574" width="8.28515625" style="211" customWidth="1"/>
    <col min="13575" max="13575" width="8.140625" style="211" customWidth="1"/>
    <col min="13576" max="13576" width="7.42578125" style="211" customWidth="1"/>
    <col min="13577" max="13577" width="9.140625" style="211" customWidth="1"/>
    <col min="13578" max="13578" width="7.7109375" style="211" customWidth="1"/>
    <col min="13579" max="13579" width="8.42578125" style="211" customWidth="1"/>
    <col min="13580" max="13580" width="6.28515625" style="211" customWidth="1"/>
    <col min="13581" max="13581" width="7.28515625" style="211" customWidth="1"/>
    <col min="13582" max="13582" width="6.7109375" style="211" customWidth="1"/>
    <col min="13583" max="13583" width="8.28515625" style="211" customWidth="1"/>
    <col min="13584" max="13584" width="7.5703125" style="211" customWidth="1"/>
    <col min="13585" max="13585" width="9" style="211" customWidth="1"/>
    <col min="13586" max="13586" width="7.7109375" style="211" customWidth="1"/>
    <col min="13587" max="13824" width="8.85546875" style="211"/>
    <col min="13825" max="13825" width="11.28515625" style="211" customWidth="1"/>
    <col min="13826" max="13826" width="9.7109375" style="211" customWidth="1"/>
    <col min="13827" max="13827" width="7.28515625" style="211" customWidth="1"/>
    <col min="13828" max="13829" width="7.42578125" style="211" customWidth="1"/>
    <col min="13830" max="13830" width="8.28515625" style="211" customWidth="1"/>
    <col min="13831" max="13831" width="8.140625" style="211" customWidth="1"/>
    <col min="13832" max="13832" width="7.42578125" style="211" customWidth="1"/>
    <col min="13833" max="13833" width="9.140625" style="211" customWidth="1"/>
    <col min="13834" max="13834" width="7.7109375" style="211" customWidth="1"/>
    <col min="13835" max="13835" width="8.42578125" style="211" customWidth="1"/>
    <col min="13836" max="13836" width="6.28515625" style="211" customWidth="1"/>
    <col min="13837" max="13837" width="7.28515625" style="211" customWidth="1"/>
    <col min="13838" max="13838" width="6.7109375" style="211" customWidth="1"/>
    <col min="13839" max="13839" width="8.28515625" style="211" customWidth="1"/>
    <col min="13840" max="13840" width="7.5703125" style="211" customWidth="1"/>
    <col min="13841" max="13841" width="9" style="211" customWidth="1"/>
    <col min="13842" max="13842" width="7.7109375" style="211" customWidth="1"/>
    <col min="13843" max="14080" width="8.85546875" style="211"/>
    <col min="14081" max="14081" width="11.28515625" style="211" customWidth="1"/>
    <col min="14082" max="14082" width="9.7109375" style="211" customWidth="1"/>
    <col min="14083" max="14083" width="7.28515625" style="211" customWidth="1"/>
    <col min="14084" max="14085" width="7.42578125" style="211" customWidth="1"/>
    <col min="14086" max="14086" width="8.28515625" style="211" customWidth="1"/>
    <col min="14087" max="14087" width="8.140625" style="211" customWidth="1"/>
    <col min="14088" max="14088" width="7.42578125" style="211" customWidth="1"/>
    <col min="14089" max="14089" width="9.140625" style="211" customWidth="1"/>
    <col min="14090" max="14090" width="7.7109375" style="211" customWidth="1"/>
    <col min="14091" max="14091" width="8.42578125" style="211" customWidth="1"/>
    <col min="14092" max="14092" width="6.28515625" style="211" customWidth="1"/>
    <col min="14093" max="14093" width="7.28515625" style="211" customWidth="1"/>
    <col min="14094" max="14094" width="6.7109375" style="211" customWidth="1"/>
    <col min="14095" max="14095" width="8.28515625" style="211" customWidth="1"/>
    <col min="14096" max="14096" width="7.5703125" style="211" customWidth="1"/>
    <col min="14097" max="14097" width="9" style="211" customWidth="1"/>
    <col min="14098" max="14098" width="7.7109375" style="211" customWidth="1"/>
    <col min="14099" max="14336" width="8.85546875" style="211"/>
    <col min="14337" max="14337" width="11.28515625" style="211" customWidth="1"/>
    <col min="14338" max="14338" width="9.7109375" style="211" customWidth="1"/>
    <col min="14339" max="14339" width="7.28515625" style="211" customWidth="1"/>
    <col min="14340" max="14341" width="7.42578125" style="211" customWidth="1"/>
    <col min="14342" max="14342" width="8.28515625" style="211" customWidth="1"/>
    <col min="14343" max="14343" width="8.140625" style="211" customWidth="1"/>
    <col min="14344" max="14344" width="7.42578125" style="211" customWidth="1"/>
    <col min="14345" max="14345" width="9.140625" style="211" customWidth="1"/>
    <col min="14346" max="14346" width="7.7109375" style="211" customWidth="1"/>
    <col min="14347" max="14347" width="8.42578125" style="211" customWidth="1"/>
    <col min="14348" max="14348" width="6.28515625" style="211" customWidth="1"/>
    <col min="14349" max="14349" width="7.28515625" style="211" customWidth="1"/>
    <col min="14350" max="14350" width="6.7109375" style="211" customWidth="1"/>
    <col min="14351" max="14351" width="8.28515625" style="211" customWidth="1"/>
    <col min="14352" max="14352" width="7.5703125" style="211" customWidth="1"/>
    <col min="14353" max="14353" width="9" style="211" customWidth="1"/>
    <col min="14354" max="14354" width="7.7109375" style="211" customWidth="1"/>
    <col min="14355" max="14592" width="8.85546875" style="211"/>
    <col min="14593" max="14593" width="11.28515625" style="211" customWidth="1"/>
    <col min="14594" max="14594" width="9.7109375" style="211" customWidth="1"/>
    <col min="14595" max="14595" width="7.28515625" style="211" customWidth="1"/>
    <col min="14596" max="14597" width="7.42578125" style="211" customWidth="1"/>
    <col min="14598" max="14598" width="8.28515625" style="211" customWidth="1"/>
    <col min="14599" max="14599" width="8.140625" style="211" customWidth="1"/>
    <col min="14600" max="14600" width="7.42578125" style="211" customWidth="1"/>
    <col min="14601" max="14601" width="9.140625" style="211" customWidth="1"/>
    <col min="14602" max="14602" width="7.7109375" style="211" customWidth="1"/>
    <col min="14603" max="14603" width="8.42578125" style="211" customWidth="1"/>
    <col min="14604" max="14604" width="6.28515625" style="211" customWidth="1"/>
    <col min="14605" max="14605" width="7.28515625" style="211" customWidth="1"/>
    <col min="14606" max="14606" width="6.7109375" style="211" customWidth="1"/>
    <col min="14607" max="14607" width="8.28515625" style="211" customWidth="1"/>
    <col min="14608" max="14608" width="7.5703125" style="211" customWidth="1"/>
    <col min="14609" max="14609" width="9" style="211" customWidth="1"/>
    <col min="14610" max="14610" width="7.7109375" style="211" customWidth="1"/>
    <col min="14611" max="14848" width="8.85546875" style="211"/>
    <col min="14849" max="14849" width="11.28515625" style="211" customWidth="1"/>
    <col min="14850" max="14850" width="9.7109375" style="211" customWidth="1"/>
    <col min="14851" max="14851" width="7.28515625" style="211" customWidth="1"/>
    <col min="14852" max="14853" width="7.42578125" style="211" customWidth="1"/>
    <col min="14854" max="14854" width="8.28515625" style="211" customWidth="1"/>
    <col min="14855" max="14855" width="8.140625" style="211" customWidth="1"/>
    <col min="14856" max="14856" width="7.42578125" style="211" customWidth="1"/>
    <col min="14857" max="14857" width="9.140625" style="211" customWidth="1"/>
    <col min="14858" max="14858" width="7.7109375" style="211" customWidth="1"/>
    <col min="14859" max="14859" width="8.42578125" style="211" customWidth="1"/>
    <col min="14860" max="14860" width="6.28515625" style="211" customWidth="1"/>
    <col min="14861" max="14861" width="7.28515625" style="211" customWidth="1"/>
    <col min="14862" max="14862" width="6.7109375" style="211" customWidth="1"/>
    <col min="14863" max="14863" width="8.28515625" style="211" customWidth="1"/>
    <col min="14864" max="14864" width="7.5703125" style="211" customWidth="1"/>
    <col min="14865" max="14865" width="9" style="211" customWidth="1"/>
    <col min="14866" max="14866" width="7.7109375" style="211" customWidth="1"/>
    <col min="14867" max="15104" width="8.85546875" style="211"/>
    <col min="15105" max="15105" width="11.28515625" style="211" customWidth="1"/>
    <col min="15106" max="15106" width="9.7109375" style="211" customWidth="1"/>
    <col min="15107" max="15107" width="7.28515625" style="211" customWidth="1"/>
    <col min="15108" max="15109" width="7.42578125" style="211" customWidth="1"/>
    <col min="15110" max="15110" width="8.28515625" style="211" customWidth="1"/>
    <col min="15111" max="15111" width="8.140625" style="211" customWidth="1"/>
    <col min="15112" max="15112" width="7.42578125" style="211" customWidth="1"/>
    <col min="15113" max="15113" width="9.140625" style="211" customWidth="1"/>
    <col min="15114" max="15114" width="7.7109375" style="211" customWidth="1"/>
    <col min="15115" max="15115" width="8.42578125" style="211" customWidth="1"/>
    <col min="15116" max="15116" width="6.28515625" style="211" customWidth="1"/>
    <col min="15117" max="15117" width="7.28515625" style="211" customWidth="1"/>
    <col min="15118" max="15118" width="6.7109375" style="211" customWidth="1"/>
    <col min="15119" max="15119" width="8.28515625" style="211" customWidth="1"/>
    <col min="15120" max="15120" width="7.5703125" style="211" customWidth="1"/>
    <col min="15121" max="15121" width="9" style="211" customWidth="1"/>
    <col min="15122" max="15122" width="7.7109375" style="211" customWidth="1"/>
    <col min="15123" max="15360" width="8.85546875" style="211"/>
    <col min="15361" max="15361" width="11.28515625" style="211" customWidth="1"/>
    <col min="15362" max="15362" width="9.7109375" style="211" customWidth="1"/>
    <col min="15363" max="15363" width="7.28515625" style="211" customWidth="1"/>
    <col min="15364" max="15365" width="7.42578125" style="211" customWidth="1"/>
    <col min="15366" max="15366" width="8.28515625" style="211" customWidth="1"/>
    <col min="15367" max="15367" width="8.140625" style="211" customWidth="1"/>
    <col min="15368" max="15368" width="7.42578125" style="211" customWidth="1"/>
    <col min="15369" max="15369" width="9.140625" style="211" customWidth="1"/>
    <col min="15370" max="15370" width="7.7109375" style="211" customWidth="1"/>
    <col min="15371" max="15371" width="8.42578125" style="211" customWidth="1"/>
    <col min="15372" max="15372" width="6.28515625" style="211" customWidth="1"/>
    <col min="15373" max="15373" width="7.28515625" style="211" customWidth="1"/>
    <col min="15374" max="15374" width="6.7109375" style="211" customWidth="1"/>
    <col min="15375" max="15375" width="8.28515625" style="211" customWidth="1"/>
    <col min="15376" max="15376" width="7.5703125" style="211" customWidth="1"/>
    <col min="15377" max="15377" width="9" style="211" customWidth="1"/>
    <col min="15378" max="15378" width="7.7109375" style="211" customWidth="1"/>
    <col min="15379" max="15616" width="8.85546875" style="211"/>
    <col min="15617" max="15617" width="11.28515625" style="211" customWidth="1"/>
    <col min="15618" max="15618" width="9.7109375" style="211" customWidth="1"/>
    <col min="15619" max="15619" width="7.28515625" style="211" customWidth="1"/>
    <col min="15620" max="15621" width="7.42578125" style="211" customWidth="1"/>
    <col min="15622" max="15622" width="8.28515625" style="211" customWidth="1"/>
    <col min="15623" max="15623" width="8.140625" style="211" customWidth="1"/>
    <col min="15624" max="15624" width="7.42578125" style="211" customWidth="1"/>
    <col min="15625" max="15625" width="9.140625" style="211" customWidth="1"/>
    <col min="15626" max="15626" width="7.7109375" style="211" customWidth="1"/>
    <col min="15627" max="15627" width="8.42578125" style="211" customWidth="1"/>
    <col min="15628" max="15628" width="6.28515625" style="211" customWidth="1"/>
    <col min="15629" max="15629" width="7.28515625" style="211" customWidth="1"/>
    <col min="15630" max="15630" width="6.7109375" style="211" customWidth="1"/>
    <col min="15631" max="15631" width="8.28515625" style="211" customWidth="1"/>
    <col min="15632" max="15632" width="7.5703125" style="211" customWidth="1"/>
    <col min="15633" max="15633" width="9" style="211" customWidth="1"/>
    <col min="15634" max="15634" width="7.7109375" style="211" customWidth="1"/>
    <col min="15635" max="15872" width="8.85546875" style="211"/>
    <col min="15873" max="15873" width="11.28515625" style="211" customWidth="1"/>
    <col min="15874" max="15874" width="9.7109375" style="211" customWidth="1"/>
    <col min="15875" max="15875" width="7.28515625" style="211" customWidth="1"/>
    <col min="15876" max="15877" width="7.42578125" style="211" customWidth="1"/>
    <col min="15878" max="15878" width="8.28515625" style="211" customWidth="1"/>
    <col min="15879" max="15879" width="8.140625" style="211" customWidth="1"/>
    <col min="15880" max="15880" width="7.42578125" style="211" customWidth="1"/>
    <col min="15881" max="15881" width="9.140625" style="211" customWidth="1"/>
    <col min="15882" max="15882" width="7.7109375" style="211" customWidth="1"/>
    <col min="15883" max="15883" width="8.42578125" style="211" customWidth="1"/>
    <col min="15884" max="15884" width="6.28515625" style="211" customWidth="1"/>
    <col min="15885" max="15885" width="7.28515625" style="211" customWidth="1"/>
    <col min="15886" max="15886" width="6.7109375" style="211" customWidth="1"/>
    <col min="15887" max="15887" width="8.28515625" style="211" customWidth="1"/>
    <col min="15888" max="15888" width="7.5703125" style="211" customWidth="1"/>
    <col min="15889" max="15889" width="9" style="211" customWidth="1"/>
    <col min="15890" max="15890" width="7.7109375" style="211" customWidth="1"/>
    <col min="15891" max="16128" width="8.85546875" style="211"/>
    <col min="16129" max="16129" width="11.28515625" style="211" customWidth="1"/>
    <col min="16130" max="16130" width="9.7109375" style="211" customWidth="1"/>
    <col min="16131" max="16131" width="7.28515625" style="211" customWidth="1"/>
    <col min="16132" max="16133" width="7.42578125" style="211" customWidth="1"/>
    <col min="16134" max="16134" width="8.28515625" style="211" customWidth="1"/>
    <col min="16135" max="16135" width="8.140625" style="211" customWidth="1"/>
    <col min="16136" max="16136" width="7.42578125" style="211" customWidth="1"/>
    <col min="16137" max="16137" width="9.140625" style="211" customWidth="1"/>
    <col min="16138" max="16138" width="7.7109375" style="211" customWidth="1"/>
    <col min="16139" max="16139" width="8.42578125" style="211" customWidth="1"/>
    <col min="16140" max="16140" width="6.28515625" style="211" customWidth="1"/>
    <col min="16141" max="16141" width="7.28515625" style="211" customWidth="1"/>
    <col min="16142" max="16142" width="6.7109375" style="211" customWidth="1"/>
    <col min="16143" max="16143" width="8.28515625" style="211" customWidth="1"/>
    <col min="16144" max="16144" width="7.5703125" style="211" customWidth="1"/>
    <col min="16145" max="16145" width="9" style="211" customWidth="1"/>
    <col min="16146" max="16146" width="7.7109375" style="211" customWidth="1"/>
    <col min="16147" max="16384" width="8.85546875" style="211"/>
  </cols>
  <sheetData>
    <row r="1" spans="1:18" ht="15" customHeight="1"/>
    <row r="2" spans="1:18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18" ht="12" customHeight="1">
      <c r="E3" s="1285" t="s">
        <v>168</v>
      </c>
      <c r="F3" s="1285"/>
      <c r="G3" s="1285"/>
      <c r="H3" s="1285"/>
      <c r="I3" s="1285"/>
      <c r="J3" s="1285"/>
    </row>
    <row r="4" spans="1:18" ht="12" customHeight="1">
      <c r="A4" s="1256" t="s">
        <v>1900</v>
      </c>
      <c r="B4" s="1256"/>
      <c r="C4" s="1257"/>
      <c r="D4" s="1286" t="s">
        <v>1972</v>
      </c>
      <c r="E4" s="1287"/>
      <c r="F4" s="1288"/>
      <c r="G4" s="212"/>
      <c r="H4" s="212" t="s">
        <v>1902</v>
      </c>
      <c r="I4" s="212"/>
      <c r="J4" s="212"/>
      <c r="K4" s="1289" t="s">
        <v>1973</v>
      </c>
      <c r="L4" s="1290"/>
      <c r="M4" s="1291"/>
      <c r="N4" s="212" t="s">
        <v>5</v>
      </c>
      <c r="O4" s="212"/>
      <c r="P4" s="215">
        <v>425.86900000000003</v>
      </c>
      <c r="Q4" s="214" t="s">
        <v>436</v>
      </c>
      <c r="R4" s="214"/>
    </row>
    <row r="5" spans="1:18" ht="12" customHeight="1">
      <c r="A5" s="808" t="s">
        <v>4176</v>
      </c>
      <c r="B5" s="808"/>
      <c r="C5" s="808"/>
      <c r="D5" s="516"/>
      <c r="E5" s="516"/>
      <c r="F5" s="516"/>
      <c r="G5" s="212"/>
      <c r="H5" s="212"/>
      <c r="I5" s="212"/>
      <c r="J5" s="212"/>
      <c r="K5" s="516"/>
      <c r="L5" s="516"/>
      <c r="M5" s="516"/>
      <c r="N5" s="212"/>
      <c r="O5" s="212"/>
      <c r="P5" s="212"/>
      <c r="Q5" s="214"/>
      <c r="R5" s="215">
        <v>80</v>
      </c>
    </row>
    <row r="6" spans="1:18" ht="12" customHeight="1">
      <c r="A6" s="212" t="s">
        <v>832</v>
      </c>
      <c r="B6" s="212"/>
      <c r="C6" s="212"/>
      <c r="D6" s="1266" t="s">
        <v>1974</v>
      </c>
      <c r="E6" s="1267"/>
      <c r="F6" s="1268"/>
      <c r="G6" s="212"/>
      <c r="H6" s="212" t="s">
        <v>1208</v>
      </c>
      <c r="I6" s="212"/>
      <c r="J6" s="212"/>
      <c r="K6" s="1266" t="s">
        <v>1975</v>
      </c>
      <c r="L6" s="1267"/>
      <c r="M6" s="1268"/>
      <c r="N6" s="514"/>
      <c r="O6" s="514"/>
      <c r="P6" s="212"/>
      <c r="Q6" s="212"/>
      <c r="R6" s="212"/>
    </row>
    <row r="7" spans="1:18" ht="12" customHeight="1">
      <c r="A7" s="212"/>
      <c r="B7" s="212"/>
      <c r="C7" s="212"/>
      <c r="D7" s="514"/>
      <c r="E7" s="514"/>
      <c r="F7" s="514"/>
      <c r="G7" s="212"/>
      <c r="H7" s="212"/>
      <c r="I7" s="212"/>
      <c r="J7" s="212"/>
      <c r="K7" s="514"/>
      <c r="L7" s="514"/>
      <c r="M7" s="514"/>
      <c r="N7" s="514"/>
      <c r="O7" s="514"/>
      <c r="P7" s="212"/>
      <c r="Q7" s="212"/>
      <c r="R7" s="212"/>
    </row>
    <row r="8" spans="1:18" ht="12" customHeight="1">
      <c r="A8" s="212" t="s">
        <v>1906</v>
      </c>
      <c r="B8" s="212"/>
      <c r="C8" s="212"/>
      <c r="D8" s="1266" t="s">
        <v>1907</v>
      </c>
      <c r="E8" s="1267"/>
      <c r="F8" s="1268"/>
      <c r="G8" s="212"/>
      <c r="H8" s="1264" t="s">
        <v>1908</v>
      </c>
      <c r="I8" s="1264"/>
      <c r="J8" s="1264"/>
      <c r="K8" s="1292" t="s">
        <v>1907</v>
      </c>
      <c r="L8" s="1292"/>
      <c r="M8" s="1292"/>
      <c r="N8" s="1292"/>
      <c r="O8" s="1292"/>
      <c r="P8" s="212"/>
      <c r="Q8" s="212"/>
      <c r="R8" s="212"/>
    </row>
    <row r="9" spans="1:18" ht="12" customHeight="1">
      <c r="A9" s="212"/>
      <c r="B9" s="212"/>
      <c r="C9" s="212"/>
      <c r="D9" s="212"/>
      <c r="E9" s="212"/>
      <c r="F9" s="212"/>
      <c r="G9" s="212"/>
      <c r="H9" s="1264"/>
      <c r="I9" s="1264"/>
      <c r="J9" s="1264"/>
      <c r="K9" s="1292"/>
      <c r="L9" s="1292"/>
      <c r="M9" s="1292"/>
      <c r="N9" s="1292"/>
      <c r="O9" s="1292"/>
      <c r="P9" s="212"/>
      <c r="Q9" s="212"/>
      <c r="R9" s="212"/>
    </row>
    <row r="10" spans="1:18" ht="12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</row>
    <row r="11" spans="1:18" ht="12" customHeight="1">
      <c r="A11" s="1266" t="s">
        <v>1909</v>
      </c>
      <c r="B11" s="1267"/>
      <c r="C11" s="1268"/>
      <c r="D11" s="1269" t="s">
        <v>1976</v>
      </c>
      <c r="E11" s="1269"/>
      <c r="F11" s="1269"/>
      <c r="G11" s="1269"/>
      <c r="H11" s="1269"/>
      <c r="I11" s="1269"/>
      <c r="J11" s="1269"/>
      <c r="K11" s="1269"/>
      <c r="L11" s="1269"/>
      <c r="M11" s="1266" t="s">
        <v>1977</v>
      </c>
      <c r="N11" s="1267"/>
      <c r="O11" s="1267"/>
      <c r="P11" s="1267"/>
      <c r="Q11" s="1267"/>
      <c r="R11" s="1268"/>
    </row>
    <row r="12" spans="1:18" ht="12" customHeight="1">
      <c r="A12" s="1266" t="s">
        <v>1346</v>
      </c>
      <c r="B12" s="1267"/>
      <c r="C12" s="1268"/>
      <c r="D12" s="1269" t="s">
        <v>1978</v>
      </c>
      <c r="E12" s="1269"/>
      <c r="F12" s="1269"/>
      <c r="G12" s="1269"/>
      <c r="H12" s="1269"/>
      <c r="I12" s="1269"/>
      <c r="J12" s="1269"/>
      <c r="K12" s="1269"/>
      <c r="L12" s="1269"/>
      <c r="M12" s="1269" t="s">
        <v>1979</v>
      </c>
      <c r="N12" s="1269"/>
      <c r="O12" s="1269"/>
      <c r="P12" s="1269"/>
      <c r="Q12" s="1269"/>
      <c r="R12" s="1269"/>
    </row>
    <row r="13" spans="1:18" ht="12.6" customHeight="1">
      <c r="A13" s="1266" t="s">
        <v>844</v>
      </c>
      <c r="B13" s="1267"/>
      <c r="C13" s="1268"/>
      <c r="D13" s="1269" t="s">
        <v>1980</v>
      </c>
      <c r="E13" s="1269"/>
      <c r="F13" s="1269"/>
      <c r="G13" s="1269"/>
      <c r="H13" s="1269"/>
      <c r="I13" s="1269"/>
      <c r="J13" s="1269"/>
      <c r="K13" s="1269"/>
      <c r="L13" s="1269"/>
      <c r="M13" s="1269" t="s">
        <v>1981</v>
      </c>
      <c r="N13" s="1269"/>
      <c r="O13" s="1269"/>
      <c r="P13" s="1269"/>
      <c r="Q13" s="1269"/>
      <c r="R13" s="1269"/>
    </row>
    <row r="14" spans="1:18" ht="12" customHeight="1">
      <c r="A14" s="1266" t="s">
        <v>1196</v>
      </c>
      <c r="B14" s="1267"/>
      <c r="C14" s="1268"/>
      <c r="D14" s="1269" t="s">
        <v>1907</v>
      </c>
      <c r="E14" s="1269"/>
      <c r="F14" s="1269"/>
      <c r="G14" s="1269"/>
      <c r="H14" s="1269"/>
      <c r="I14" s="1269"/>
      <c r="J14" s="1269"/>
      <c r="K14" s="1269"/>
      <c r="L14" s="1269"/>
      <c r="M14" s="1269" t="s">
        <v>1907</v>
      </c>
      <c r="N14" s="1269"/>
      <c r="O14" s="1269"/>
      <c r="P14" s="1269"/>
      <c r="Q14" s="1269"/>
      <c r="R14" s="1269"/>
    </row>
    <row r="15" spans="1:18" ht="12" customHeight="1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</row>
    <row r="16" spans="1:18" ht="12" customHeight="1">
      <c r="A16" s="212" t="s">
        <v>1916</v>
      </c>
      <c r="B16" s="212"/>
      <c r="C16" s="212"/>
      <c r="D16" s="215">
        <v>3</v>
      </c>
      <c r="E16" s="212" t="s">
        <v>1917</v>
      </c>
      <c r="F16" s="212"/>
      <c r="G16" s="212"/>
      <c r="H16" s="215">
        <v>2</v>
      </c>
      <c r="I16" s="212" t="s">
        <v>1918</v>
      </c>
      <c r="J16" s="215">
        <v>5</v>
      </c>
      <c r="K16" s="212" t="s">
        <v>1492</v>
      </c>
      <c r="L16" s="215">
        <v>2</v>
      </c>
      <c r="M16" s="212" t="s">
        <v>1493</v>
      </c>
      <c r="N16" s="1270">
        <v>5</v>
      </c>
      <c r="O16" s="1270"/>
      <c r="P16" s="212"/>
      <c r="Q16" s="212"/>
      <c r="R16" s="212"/>
    </row>
    <row r="17" spans="1:18" ht="12" customHeight="1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</row>
    <row r="18" spans="1:18" ht="12" customHeight="1">
      <c r="A18" s="1271" t="s">
        <v>203</v>
      </c>
      <c r="B18" s="1271"/>
      <c r="C18" s="212"/>
      <c r="D18" s="212" t="s">
        <v>204</v>
      </c>
      <c r="E18" s="215">
        <v>54</v>
      </c>
      <c r="F18" s="212" t="s">
        <v>205</v>
      </c>
      <c r="G18" s="215">
        <v>0</v>
      </c>
      <c r="H18" s="1272" t="s">
        <v>206</v>
      </c>
      <c r="I18" s="1257"/>
      <c r="J18" s="215">
        <v>0</v>
      </c>
      <c r="K18" s="1272" t="s">
        <v>245</v>
      </c>
      <c r="L18" s="1257"/>
      <c r="M18" s="215">
        <v>54</v>
      </c>
      <c r="N18" s="212" t="s">
        <v>207</v>
      </c>
      <c r="O18" s="215">
        <v>10</v>
      </c>
      <c r="P18" s="514" t="s">
        <v>855</v>
      </c>
      <c r="Q18" s="514"/>
      <c r="R18" s="215">
        <v>6</v>
      </c>
    </row>
    <row r="19" spans="1:18" ht="12" customHeight="1">
      <c r="A19" s="1271" t="s">
        <v>1029</v>
      </c>
      <c r="B19" s="1271"/>
      <c r="C19" s="212"/>
      <c r="D19" s="212" t="s">
        <v>210</v>
      </c>
      <c r="E19" s="215">
        <v>156</v>
      </c>
      <c r="F19" s="212" t="s">
        <v>1919</v>
      </c>
      <c r="G19" s="215">
        <v>0</v>
      </c>
      <c r="H19" s="514" t="s">
        <v>212</v>
      </c>
      <c r="I19" s="514"/>
      <c r="J19" s="215">
        <v>0</v>
      </c>
      <c r="K19" s="1272" t="s">
        <v>1920</v>
      </c>
      <c r="L19" s="1257"/>
      <c r="M19" s="215">
        <v>156</v>
      </c>
      <c r="N19" s="212"/>
      <c r="O19" s="212"/>
      <c r="P19" s="212"/>
      <c r="Q19" s="212"/>
      <c r="R19" s="214"/>
    </row>
    <row r="20" spans="1:18" ht="12" customHeight="1">
      <c r="A20" s="212"/>
      <c r="B20" s="212"/>
      <c r="C20" s="212"/>
      <c r="D20" s="212" t="s">
        <v>213</v>
      </c>
      <c r="E20" s="215">
        <v>167</v>
      </c>
      <c r="F20" s="212" t="s">
        <v>214</v>
      </c>
      <c r="G20" s="215">
        <v>0</v>
      </c>
      <c r="H20" s="1272" t="s">
        <v>215</v>
      </c>
      <c r="I20" s="1257"/>
      <c r="J20" s="215">
        <v>0</v>
      </c>
      <c r="K20" s="1272" t="s">
        <v>1921</v>
      </c>
      <c r="L20" s="1257"/>
      <c r="M20" s="215">
        <v>167</v>
      </c>
      <c r="N20" s="212"/>
      <c r="O20" s="212"/>
      <c r="P20" s="212"/>
      <c r="Q20" s="212"/>
      <c r="R20" s="212"/>
    </row>
    <row r="21" spans="1:18" ht="12" customHeigh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</row>
    <row r="22" spans="1:18" ht="12" customHeight="1">
      <c r="A22" s="1273" t="s">
        <v>409</v>
      </c>
      <c r="B22" s="1273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</row>
    <row r="23" spans="1:18" s="217" customFormat="1" ht="12" customHeight="1">
      <c r="A23" s="1274" t="s">
        <v>217</v>
      </c>
      <c r="B23" s="1275"/>
      <c r="C23" s="1276"/>
      <c r="D23" s="1280" t="s">
        <v>1922</v>
      </c>
      <c r="E23" s="1280" t="s">
        <v>219</v>
      </c>
      <c r="F23" s="1280" t="s">
        <v>1923</v>
      </c>
      <c r="G23" s="1280" t="s">
        <v>1924</v>
      </c>
      <c r="H23" s="1282" t="s">
        <v>1925</v>
      </c>
      <c r="I23" s="1283"/>
      <c r="J23" s="1283"/>
      <c r="K23" s="1283"/>
      <c r="L23" s="1283"/>
      <c r="M23" s="1283"/>
      <c r="N23" s="1283"/>
      <c r="O23" s="1283"/>
      <c r="P23" s="1284"/>
      <c r="Q23" s="216"/>
      <c r="R23" s="216"/>
    </row>
    <row r="24" spans="1:18" s="217" customFormat="1" ht="31.15" customHeight="1">
      <c r="A24" s="1277"/>
      <c r="B24" s="1278"/>
      <c r="C24" s="1279"/>
      <c r="D24" s="1281"/>
      <c r="E24" s="1281"/>
      <c r="F24" s="1281"/>
      <c r="G24" s="1281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517" t="s">
        <v>230</v>
      </c>
      <c r="P24" s="517" t="s">
        <v>662</v>
      </c>
      <c r="Q24" s="216"/>
      <c r="R24" s="216"/>
    </row>
    <row r="25" spans="1:18" ht="16.899999999999999" customHeight="1">
      <c r="A25" s="1266" t="s">
        <v>232</v>
      </c>
      <c r="B25" s="1267"/>
      <c r="C25" s="1268"/>
      <c r="D25" s="218">
        <v>8000</v>
      </c>
      <c r="E25" s="513" t="s">
        <v>233</v>
      </c>
      <c r="F25" s="219">
        <v>34.069519999999997</v>
      </c>
      <c r="G25" s="219">
        <v>13.608000000000001</v>
      </c>
      <c r="H25" s="220">
        <v>0</v>
      </c>
      <c r="I25" s="220">
        <v>0</v>
      </c>
      <c r="J25" s="220">
        <v>4.1163999999999996</v>
      </c>
      <c r="K25" s="220">
        <v>10.374599999999999</v>
      </c>
      <c r="L25" s="220">
        <v>0</v>
      </c>
      <c r="M25" s="220">
        <v>0</v>
      </c>
      <c r="N25" s="220">
        <v>0</v>
      </c>
      <c r="O25" s="220">
        <v>14.491</v>
      </c>
      <c r="P25" s="220">
        <v>106.48883009994121</v>
      </c>
      <c r="Q25" s="212"/>
      <c r="R25" s="212"/>
    </row>
    <row r="26" spans="1:18" ht="12" customHeight="1">
      <c r="A26" s="1266" t="s">
        <v>234</v>
      </c>
      <c r="B26" s="1267"/>
      <c r="C26" s="1268"/>
      <c r="D26" s="218">
        <v>7000</v>
      </c>
      <c r="E26" s="513" t="s">
        <v>233</v>
      </c>
      <c r="F26" s="219">
        <v>2.4700402000000001</v>
      </c>
      <c r="G26" s="219">
        <v>0</v>
      </c>
      <c r="H26" s="220">
        <v>0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  <c r="Q26" s="212"/>
      <c r="R26" s="212"/>
    </row>
    <row r="27" spans="1:18" ht="12" customHeight="1">
      <c r="A27" s="1266" t="s">
        <v>235</v>
      </c>
      <c r="B27" s="1267"/>
      <c r="C27" s="1268"/>
      <c r="D27" s="218">
        <v>43000</v>
      </c>
      <c r="E27" s="513" t="s">
        <v>236</v>
      </c>
      <c r="F27" s="219">
        <v>0.43</v>
      </c>
      <c r="G27" s="219">
        <v>0.18</v>
      </c>
      <c r="H27" s="220">
        <v>0</v>
      </c>
      <c r="I27" s="220">
        <v>0</v>
      </c>
      <c r="J27" s="220">
        <v>0</v>
      </c>
      <c r="K27" s="220">
        <v>0.18</v>
      </c>
      <c r="L27" s="220">
        <v>0</v>
      </c>
      <c r="M27" s="220">
        <v>0</v>
      </c>
      <c r="N27" s="220">
        <v>0</v>
      </c>
      <c r="O27" s="220">
        <v>0.18</v>
      </c>
      <c r="P27" s="220">
        <v>100</v>
      </c>
      <c r="Q27" s="212"/>
      <c r="R27" s="212"/>
    </row>
    <row r="28" spans="1:18" ht="12" customHeight="1">
      <c r="A28" s="1266" t="s">
        <v>237</v>
      </c>
      <c r="B28" s="1267"/>
      <c r="C28" s="1268"/>
      <c r="D28" s="218">
        <v>34000</v>
      </c>
      <c r="E28" s="513" t="s">
        <v>236</v>
      </c>
      <c r="F28" s="219">
        <v>0.34</v>
      </c>
      <c r="G28" s="219">
        <v>0.16</v>
      </c>
      <c r="H28" s="220">
        <v>0</v>
      </c>
      <c r="I28" s="220">
        <v>0</v>
      </c>
      <c r="J28" s="220">
        <v>0</v>
      </c>
      <c r="K28" s="220">
        <v>0.16</v>
      </c>
      <c r="L28" s="220">
        <v>0</v>
      </c>
      <c r="M28" s="220">
        <v>0</v>
      </c>
      <c r="N28" s="220">
        <v>0</v>
      </c>
      <c r="O28" s="220">
        <v>0.16</v>
      </c>
      <c r="P28" s="220">
        <v>100</v>
      </c>
      <c r="Q28" s="212"/>
      <c r="R28" s="212"/>
    </row>
    <row r="29" spans="1:18" ht="12" customHeight="1">
      <c r="A29" s="1266" t="s">
        <v>238</v>
      </c>
      <c r="B29" s="1267"/>
      <c r="C29" s="1268"/>
      <c r="D29" s="218">
        <v>1200</v>
      </c>
      <c r="E29" s="513" t="s">
        <v>233</v>
      </c>
      <c r="F29" s="219">
        <v>5.1104280000000006</v>
      </c>
      <c r="G29" s="219">
        <v>2</v>
      </c>
      <c r="H29" s="220">
        <v>0</v>
      </c>
      <c r="I29" s="220">
        <v>0</v>
      </c>
      <c r="J29" s="220">
        <v>0</v>
      </c>
      <c r="K29" s="220">
        <v>1.36</v>
      </c>
      <c r="L29" s="220">
        <v>0</v>
      </c>
      <c r="M29" s="220">
        <v>0</v>
      </c>
      <c r="N29" s="220">
        <v>0</v>
      </c>
      <c r="O29" s="220">
        <v>1.36</v>
      </c>
      <c r="P29" s="220">
        <v>68</v>
      </c>
      <c r="Q29" s="212"/>
      <c r="R29" s="212"/>
    </row>
    <row r="30" spans="1:18" ht="12" customHeight="1">
      <c r="A30" s="1266" t="s">
        <v>667</v>
      </c>
      <c r="B30" s="1267"/>
      <c r="C30" s="1268"/>
      <c r="D30" s="218">
        <v>565</v>
      </c>
      <c r="E30" s="513" t="s">
        <v>233</v>
      </c>
      <c r="F30" s="219">
        <v>2.4061598500000003</v>
      </c>
      <c r="G30" s="219">
        <v>2.3422800000000001</v>
      </c>
      <c r="H30" s="220">
        <v>0</v>
      </c>
      <c r="I30" s="220">
        <v>0</v>
      </c>
      <c r="J30" s="220">
        <v>0</v>
      </c>
      <c r="K30" s="220">
        <v>2.3422800000000001</v>
      </c>
      <c r="L30" s="220">
        <v>0</v>
      </c>
      <c r="M30" s="220">
        <v>0</v>
      </c>
      <c r="N30" s="220">
        <v>0</v>
      </c>
      <c r="O30" s="220">
        <v>2.3422800000000001</v>
      </c>
      <c r="P30" s="220">
        <v>100</v>
      </c>
      <c r="Q30" s="212"/>
      <c r="R30" s="212"/>
    </row>
    <row r="31" spans="1:18" ht="12" customHeight="1">
      <c r="A31" s="1266" t="s">
        <v>1503</v>
      </c>
      <c r="B31" s="1267"/>
      <c r="C31" s="1268"/>
      <c r="D31" s="218">
        <v>1000</v>
      </c>
      <c r="E31" s="513" t="s">
        <v>233</v>
      </c>
      <c r="F31" s="219">
        <v>4.2586899999999996</v>
      </c>
      <c r="G31" s="219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  <c r="Q31" s="212"/>
      <c r="R31" s="212"/>
    </row>
    <row r="32" spans="1:18" ht="12" customHeight="1">
      <c r="A32" s="1266" t="s">
        <v>394</v>
      </c>
      <c r="B32" s="1267"/>
      <c r="C32" s="1268"/>
      <c r="D32" s="218">
        <v>2750</v>
      </c>
      <c r="E32" s="513" t="s">
        <v>242</v>
      </c>
      <c r="F32" s="219">
        <v>2.1</v>
      </c>
      <c r="G32" s="219">
        <v>0.41249999999999998</v>
      </c>
      <c r="H32" s="220">
        <v>0</v>
      </c>
      <c r="I32" s="220">
        <v>0</v>
      </c>
      <c r="J32" s="220">
        <v>3.7500000000000006E-2</v>
      </c>
      <c r="K32" s="220">
        <v>2.75E-2</v>
      </c>
      <c r="L32" s="220">
        <v>0</v>
      </c>
      <c r="M32" s="220">
        <v>0</v>
      </c>
      <c r="N32" s="220">
        <v>0</v>
      </c>
      <c r="O32" s="220">
        <v>6.5000000000000002E-2</v>
      </c>
      <c r="P32" s="220">
        <v>15.75757575757576</v>
      </c>
      <c r="Q32" s="212"/>
      <c r="R32" s="212"/>
    </row>
    <row r="33" spans="1:18" ht="12" customHeight="1">
      <c r="A33" s="1266" t="s">
        <v>670</v>
      </c>
      <c r="B33" s="1267"/>
      <c r="C33" s="1268"/>
      <c r="D33" s="218">
        <v>10000</v>
      </c>
      <c r="E33" s="513" t="s">
        <v>244</v>
      </c>
      <c r="F33" s="219">
        <v>0.1</v>
      </c>
      <c r="G33" s="219">
        <v>0.1</v>
      </c>
      <c r="H33" s="220">
        <v>0</v>
      </c>
      <c r="I33" s="220">
        <v>0</v>
      </c>
      <c r="J33" s="220">
        <v>0.1</v>
      </c>
      <c r="K33" s="220">
        <v>0</v>
      </c>
      <c r="L33" s="220">
        <v>0</v>
      </c>
      <c r="M33" s="220">
        <v>0</v>
      </c>
      <c r="N33" s="220">
        <v>0</v>
      </c>
      <c r="O33" s="220">
        <v>0.1</v>
      </c>
      <c r="P33" s="220">
        <v>100</v>
      </c>
      <c r="Q33" s="212"/>
      <c r="R33" s="212"/>
    </row>
    <row r="34" spans="1:18" s="224" customFormat="1" ht="12" customHeight="1">
      <c r="A34" s="1258" t="s">
        <v>230</v>
      </c>
      <c r="B34" s="1259"/>
      <c r="C34" s="1260"/>
      <c r="D34" s="221"/>
      <c r="E34" s="221"/>
      <c r="F34" s="222">
        <v>51.284838050000005</v>
      </c>
      <c r="G34" s="222">
        <v>18.802780000000002</v>
      </c>
      <c r="H34" s="222">
        <v>0</v>
      </c>
      <c r="I34" s="222">
        <v>0</v>
      </c>
      <c r="J34" s="222">
        <v>4.2538999999999989</v>
      </c>
      <c r="K34" s="222">
        <v>14.444379999999999</v>
      </c>
      <c r="L34" s="222">
        <v>0</v>
      </c>
      <c r="M34" s="222">
        <v>0</v>
      </c>
      <c r="N34" s="222">
        <v>0</v>
      </c>
      <c r="O34" s="222">
        <v>18.69828</v>
      </c>
      <c r="P34" s="222"/>
      <c r="Q34" s="223"/>
      <c r="R34" s="223"/>
    </row>
    <row r="35" spans="1:18" ht="19.899999999999999" customHeight="1">
      <c r="A35" s="212"/>
      <c r="B35" s="212"/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</row>
    <row r="36" spans="1:18" ht="19.899999999999999" customHeight="1">
      <c r="A36" s="212"/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</row>
    <row r="37" spans="1:18" ht="19.899999999999999" customHeight="1">
      <c r="A37" s="241" t="s">
        <v>1982</v>
      </c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</row>
    <row r="38" spans="1:18" ht="19.899999999999999" customHeight="1">
      <c r="A38" s="212"/>
      <c r="B38" s="212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</row>
    <row r="39" spans="1:18" ht="19.899999999999999" customHeight="1">
      <c r="A39" s="212"/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</row>
    <row r="40" spans="1:18" ht="19.899999999999999" customHeight="1">
      <c r="A40" s="212"/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</row>
    <row r="41" spans="1:18" ht="19.899999999999999" customHeight="1">
      <c r="A41" s="212"/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</row>
    <row r="42" spans="1:18" ht="19.899999999999999" customHeight="1">
      <c r="A42" s="212"/>
      <c r="B42" s="212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</row>
    <row r="43" spans="1:18" ht="19.899999999999999" customHeight="1">
      <c r="A43" s="212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</row>
    <row r="44" spans="1:18" ht="19.899999999999999" customHeight="1">
      <c r="A44" s="212"/>
      <c r="B44" s="212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</row>
    <row r="45" spans="1:18" ht="19.899999999999999" customHeight="1">
      <c r="A45" s="212"/>
      <c r="B45" s="212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</row>
    <row r="46" spans="1:18" ht="19.899999999999999" customHeight="1">
      <c r="A46" s="212"/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</row>
    <row r="47" spans="1:18" ht="19.899999999999999" customHeight="1">
      <c r="A47" s="212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</row>
    <row r="48" spans="1:18" ht="19.899999999999999" customHeight="1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</row>
    <row r="49" spans="1:18" ht="19.899999999999999" customHeight="1">
      <c r="A49" s="212"/>
      <c r="B49" s="212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</row>
    <row r="50" spans="1:18" ht="19.899999999999999" customHeight="1">
      <c r="A50" s="212"/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</row>
    <row r="51" spans="1:18" ht="19.899999999999999" customHeight="1">
      <c r="A51" s="212"/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</row>
    <row r="52" spans="1:18" ht="19.899999999999999" customHeight="1">
      <c r="A52" s="212"/>
      <c r="B52" s="212"/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</row>
    <row r="53" spans="1:18" ht="19.899999999999999" customHeight="1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</row>
    <row r="54" spans="1:18" ht="19.899999999999999" customHeight="1">
      <c r="A54" s="212"/>
      <c r="B54" s="212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</row>
    <row r="55" spans="1:18" ht="19.899999999999999" customHeight="1">
      <c r="A55" s="212"/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</row>
    <row r="56" spans="1:18" ht="19.899999999999999" customHeight="1">
      <c r="A56" s="212"/>
      <c r="B56" s="212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</row>
    <row r="57" spans="1:18" ht="19.899999999999999" customHeight="1">
      <c r="A57" s="212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</row>
    <row r="58" spans="1:18" ht="19.899999999999999" customHeight="1">
      <c r="A58" s="212"/>
      <c r="B58" s="212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</row>
    <row r="59" spans="1:18" ht="19.899999999999999" customHeight="1">
      <c r="A59" s="212"/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</row>
    <row r="60" spans="1:18" ht="19.899999999999999" customHeight="1">
      <c r="A60" s="212"/>
      <c r="B60" s="212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</row>
    <row r="61" spans="1:18" ht="19.899999999999999" customHeight="1">
      <c r="A61" s="212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</row>
    <row r="62" spans="1:18" ht="19.899999999999999" customHeight="1">
      <c r="A62" s="212"/>
      <c r="B62" s="212"/>
      <c r="C62" s="212"/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</row>
    <row r="63" spans="1:18" ht="19.899999999999999" customHeight="1">
      <c r="A63" s="212"/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</row>
    <row r="64" spans="1:18" ht="19.899999999999999" customHeight="1">
      <c r="A64" s="212"/>
      <c r="B64" s="212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</row>
    <row r="65" spans="1:18" ht="19.899999999999999" customHeight="1">
      <c r="A65" s="212"/>
      <c r="B65" s="212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</row>
    <row r="66" spans="1:18" ht="19.899999999999999" customHeight="1"/>
    <row r="67" spans="1:18" ht="19.899999999999999" customHeight="1"/>
    <row r="68" spans="1:18" ht="19.899999999999999" customHeight="1"/>
    <row r="69" spans="1:18" ht="19.899999999999999" customHeight="1"/>
    <row r="70" spans="1:18" ht="19.899999999999999" customHeight="1"/>
    <row r="71" spans="1:18" ht="19.899999999999999" customHeight="1"/>
    <row r="72" spans="1:18" ht="19.899999999999999" customHeight="1"/>
    <row r="73" spans="1:18" ht="19.899999999999999" customHeight="1"/>
    <row r="74" spans="1:18" ht="19.899999999999999" customHeight="1"/>
    <row r="75" spans="1:18" ht="19.899999999999999" customHeight="1"/>
    <row r="76" spans="1:18" ht="19.899999999999999" customHeight="1"/>
    <row r="77" spans="1:18" ht="19.899999999999999" customHeight="1"/>
    <row r="78" spans="1:18" ht="19.899999999999999" customHeight="1"/>
    <row r="79" spans="1:18" ht="19.899999999999999" customHeight="1"/>
    <row r="80" spans="1:18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</sheetData>
  <mergeCells count="48">
    <mergeCell ref="A30:C30"/>
    <mergeCell ref="A31:C31"/>
    <mergeCell ref="A32:C32"/>
    <mergeCell ref="A33:C33"/>
    <mergeCell ref="A34:C34"/>
    <mergeCell ref="A29:C29"/>
    <mergeCell ref="A19:B19"/>
    <mergeCell ref="K19:L19"/>
    <mergeCell ref="H20:I20"/>
    <mergeCell ref="K20:L20"/>
    <mergeCell ref="A22:B22"/>
    <mergeCell ref="A23:C24"/>
    <mergeCell ref="D23:D24"/>
    <mergeCell ref="E23:E24"/>
    <mergeCell ref="F23:F24"/>
    <mergeCell ref="G23:G24"/>
    <mergeCell ref="H23:P23"/>
    <mergeCell ref="A25:C25"/>
    <mergeCell ref="A26:C26"/>
    <mergeCell ref="A27:C27"/>
    <mergeCell ref="A28:C28"/>
    <mergeCell ref="A14:C14"/>
    <mergeCell ref="D14:L14"/>
    <mergeCell ref="M14:R14"/>
    <mergeCell ref="N16:O16"/>
    <mergeCell ref="A18:B18"/>
    <mergeCell ref="H18:I18"/>
    <mergeCell ref="K18:L18"/>
    <mergeCell ref="A12:C12"/>
    <mergeCell ref="D12:L12"/>
    <mergeCell ref="M12:R12"/>
    <mergeCell ref="A13:C13"/>
    <mergeCell ref="D13:L13"/>
    <mergeCell ref="M13:R13"/>
    <mergeCell ref="D8:F8"/>
    <mergeCell ref="H8:J9"/>
    <mergeCell ref="K8:O9"/>
    <mergeCell ref="A11:C11"/>
    <mergeCell ref="D11:L11"/>
    <mergeCell ref="M11:R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9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S103"/>
  <sheetViews>
    <sheetView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10.42578125" style="211" customWidth="1"/>
    <col min="3" max="3" width="8.7109375" style="211" customWidth="1"/>
    <col min="4" max="4" width="8.5703125" style="211" customWidth="1"/>
    <col min="5" max="5" width="7" style="211" customWidth="1"/>
    <col min="6" max="6" width="8.28515625" style="211" customWidth="1"/>
    <col min="7" max="7" width="8.5703125" style="211" customWidth="1"/>
    <col min="8" max="8" width="7.140625" style="211" customWidth="1"/>
    <col min="9" max="9" width="11.7109375" style="211" customWidth="1"/>
    <col min="10" max="10" width="7.28515625" style="211" customWidth="1"/>
    <col min="11" max="11" width="8.5703125" style="211" customWidth="1"/>
    <col min="12" max="12" width="6.7109375" style="211" customWidth="1"/>
    <col min="13" max="13" width="8.42578125" style="211" customWidth="1"/>
    <col min="14" max="14" width="6.7109375" style="211" customWidth="1"/>
    <col min="15" max="15" width="10" style="211" customWidth="1"/>
    <col min="16" max="16" width="6.7109375" style="211" customWidth="1"/>
    <col min="17" max="17" width="8.28515625" style="211" customWidth="1"/>
    <col min="18" max="18" width="7.7109375" style="211" customWidth="1"/>
    <col min="19" max="256" width="8.85546875" style="211"/>
    <col min="257" max="257" width="11.28515625" style="211" customWidth="1"/>
    <col min="258" max="258" width="10.42578125" style="211" customWidth="1"/>
    <col min="259" max="259" width="8.7109375" style="211" customWidth="1"/>
    <col min="260" max="260" width="8.5703125" style="211" customWidth="1"/>
    <col min="261" max="261" width="7" style="211" customWidth="1"/>
    <col min="262" max="262" width="8.28515625" style="211" customWidth="1"/>
    <col min="263" max="263" width="8.5703125" style="211" customWidth="1"/>
    <col min="264" max="264" width="7.140625" style="211" customWidth="1"/>
    <col min="265" max="265" width="11.7109375" style="211" customWidth="1"/>
    <col min="266" max="266" width="7.28515625" style="211" customWidth="1"/>
    <col min="267" max="267" width="8.5703125" style="211" customWidth="1"/>
    <col min="268" max="268" width="6.7109375" style="211" customWidth="1"/>
    <col min="269" max="269" width="8.42578125" style="211" customWidth="1"/>
    <col min="270" max="270" width="6.7109375" style="211" customWidth="1"/>
    <col min="271" max="271" width="10" style="211" customWidth="1"/>
    <col min="272" max="272" width="6.7109375" style="211" customWidth="1"/>
    <col min="273" max="273" width="8.28515625" style="211" customWidth="1"/>
    <col min="274" max="274" width="7.7109375" style="211" customWidth="1"/>
    <col min="275" max="512" width="8.85546875" style="211"/>
    <col min="513" max="513" width="11.28515625" style="211" customWidth="1"/>
    <col min="514" max="514" width="10.42578125" style="211" customWidth="1"/>
    <col min="515" max="515" width="8.7109375" style="211" customWidth="1"/>
    <col min="516" max="516" width="8.5703125" style="211" customWidth="1"/>
    <col min="517" max="517" width="7" style="211" customWidth="1"/>
    <col min="518" max="518" width="8.28515625" style="211" customWidth="1"/>
    <col min="519" max="519" width="8.5703125" style="211" customWidth="1"/>
    <col min="520" max="520" width="7.140625" style="211" customWidth="1"/>
    <col min="521" max="521" width="11.7109375" style="211" customWidth="1"/>
    <col min="522" max="522" width="7.28515625" style="211" customWidth="1"/>
    <col min="523" max="523" width="8.5703125" style="211" customWidth="1"/>
    <col min="524" max="524" width="6.7109375" style="211" customWidth="1"/>
    <col min="525" max="525" width="8.42578125" style="211" customWidth="1"/>
    <col min="526" max="526" width="6.7109375" style="211" customWidth="1"/>
    <col min="527" max="527" width="10" style="211" customWidth="1"/>
    <col min="528" max="528" width="6.7109375" style="211" customWidth="1"/>
    <col min="529" max="529" width="8.28515625" style="211" customWidth="1"/>
    <col min="530" max="530" width="7.7109375" style="211" customWidth="1"/>
    <col min="531" max="768" width="8.85546875" style="211"/>
    <col min="769" max="769" width="11.28515625" style="211" customWidth="1"/>
    <col min="770" max="770" width="10.42578125" style="211" customWidth="1"/>
    <col min="771" max="771" width="8.7109375" style="211" customWidth="1"/>
    <col min="772" max="772" width="8.5703125" style="211" customWidth="1"/>
    <col min="773" max="773" width="7" style="211" customWidth="1"/>
    <col min="774" max="774" width="8.28515625" style="211" customWidth="1"/>
    <col min="775" max="775" width="8.5703125" style="211" customWidth="1"/>
    <col min="776" max="776" width="7.140625" style="211" customWidth="1"/>
    <col min="777" max="777" width="11.7109375" style="211" customWidth="1"/>
    <col min="778" max="778" width="7.28515625" style="211" customWidth="1"/>
    <col min="779" max="779" width="8.5703125" style="211" customWidth="1"/>
    <col min="780" max="780" width="6.7109375" style="211" customWidth="1"/>
    <col min="781" max="781" width="8.42578125" style="211" customWidth="1"/>
    <col min="782" max="782" width="6.7109375" style="211" customWidth="1"/>
    <col min="783" max="783" width="10" style="211" customWidth="1"/>
    <col min="784" max="784" width="6.7109375" style="211" customWidth="1"/>
    <col min="785" max="785" width="8.28515625" style="211" customWidth="1"/>
    <col min="786" max="786" width="7.7109375" style="211" customWidth="1"/>
    <col min="787" max="1024" width="8.85546875" style="211"/>
    <col min="1025" max="1025" width="11.28515625" style="211" customWidth="1"/>
    <col min="1026" max="1026" width="10.42578125" style="211" customWidth="1"/>
    <col min="1027" max="1027" width="8.7109375" style="211" customWidth="1"/>
    <col min="1028" max="1028" width="8.5703125" style="211" customWidth="1"/>
    <col min="1029" max="1029" width="7" style="211" customWidth="1"/>
    <col min="1030" max="1030" width="8.28515625" style="211" customWidth="1"/>
    <col min="1031" max="1031" width="8.5703125" style="211" customWidth="1"/>
    <col min="1032" max="1032" width="7.140625" style="211" customWidth="1"/>
    <col min="1033" max="1033" width="11.7109375" style="211" customWidth="1"/>
    <col min="1034" max="1034" width="7.28515625" style="211" customWidth="1"/>
    <col min="1035" max="1035" width="8.5703125" style="211" customWidth="1"/>
    <col min="1036" max="1036" width="6.7109375" style="211" customWidth="1"/>
    <col min="1037" max="1037" width="8.42578125" style="211" customWidth="1"/>
    <col min="1038" max="1038" width="6.7109375" style="211" customWidth="1"/>
    <col min="1039" max="1039" width="10" style="211" customWidth="1"/>
    <col min="1040" max="1040" width="6.7109375" style="211" customWidth="1"/>
    <col min="1041" max="1041" width="8.28515625" style="211" customWidth="1"/>
    <col min="1042" max="1042" width="7.7109375" style="211" customWidth="1"/>
    <col min="1043" max="1280" width="8.85546875" style="211"/>
    <col min="1281" max="1281" width="11.28515625" style="211" customWidth="1"/>
    <col min="1282" max="1282" width="10.42578125" style="211" customWidth="1"/>
    <col min="1283" max="1283" width="8.7109375" style="211" customWidth="1"/>
    <col min="1284" max="1284" width="8.5703125" style="211" customWidth="1"/>
    <col min="1285" max="1285" width="7" style="211" customWidth="1"/>
    <col min="1286" max="1286" width="8.28515625" style="211" customWidth="1"/>
    <col min="1287" max="1287" width="8.5703125" style="211" customWidth="1"/>
    <col min="1288" max="1288" width="7.140625" style="211" customWidth="1"/>
    <col min="1289" max="1289" width="11.7109375" style="211" customWidth="1"/>
    <col min="1290" max="1290" width="7.28515625" style="211" customWidth="1"/>
    <col min="1291" max="1291" width="8.5703125" style="211" customWidth="1"/>
    <col min="1292" max="1292" width="6.7109375" style="211" customWidth="1"/>
    <col min="1293" max="1293" width="8.42578125" style="211" customWidth="1"/>
    <col min="1294" max="1294" width="6.7109375" style="211" customWidth="1"/>
    <col min="1295" max="1295" width="10" style="211" customWidth="1"/>
    <col min="1296" max="1296" width="6.7109375" style="211" customWidth="1"/>
    <col min="1297" max="1297" width="8.28515625" style="211" customWidth="1"/>
    <col min="1298" max="1298" width="7.7109375" style="211" customWidth="1"/>
    <col min="1299" max="1536" width="8.85546875" style="211"/>
    <col min="1537" max="1537" width="11.28515625" style="211" customWidth="1"/>
    <col min="1538" max="1538" width="10.42578125" style="211" customWidth="1"/>
    <col min="1539" max="1539" width="8.7109375" style="211" customWidth="1"/>
    <col min="1540" max="1540" width="8.5703125" style="211" customWidth="1"/>
    <col min="1541" max="1541" width="7" style="211" customWidth="1"/>
    <col min="1542" max="1542" width="8.28515625" style="211" customWidth="1"/>
    <col min="1543" max="1543" width="8.5703125" style="211" customWidth="1"/>
    <col min="1544" max="1544" width="7.140625" style="211" customWidth="1"/>
    <col min="1545" max="1545" width="11.7109375" style="211" customWidth="1"/>
    <col min="1546" max="1546" width="7.28515625" style="211" customWidth="1"/>
    <col min="1547" max="1547" width="8.5703125" style="211" customWidth="1"/>
    <col min="1548" max="1548" width="6.7109375" style="211" customWidth="1"/>
    <col min="1549" max="1549" width="8.42578125" style="211" customWidth="1"/>
    <col min="1550" max="1550" width="6.7109375" style="211" customWidth="1"/>
    <col min="1551" max="1551" width="10" style="211" customWidth="1"/>
    <col min="1552" max="1552" width="6.7109375" style="211" customWidth="1"/>
    <col min="1553" max="1553" width="8.28515625" style="211" customWidth="1"/>
    <col min="1554" max="1554" width="7.7109375" style="211" customWidth="1"/>
    <col min="1555" max="1792" width="8.85546875" style="211"/>
    <col min="1793" max="1793" width="11.28515625" style="211" customWidth="1"/>
    <col min="1794" max="1794" width="10.42578125" style="211" customWidth="1"/>
    <col min="1795" max="1795" width="8.7109375" style="211" customWidth="1"/>
    <col min="1796" max="1796" width="8.5703125" style="211" customWidth="1"/>
    <col min="1797" max="1797" width="7" style="211" customWidth="1"/>
    <col min="1798" max="1798" width="8.28515625" style="211" customWidth="1"/>
    <col min="1799" max="1799" width="8.5703125" style="211" customWidth="1"/>
    <col min="1800" max="1800" width="7.140625" style="211" customWidth="1"/>
    <col min="1801" max="1801" width="11.7109375" style="211" customWidth="1"/>
    <col min="1802" max="1802" width="7.28515625" style="211" customWidth="1"/>
    <col min="1803" max="1803" width="8.5703125" style="211" customWidth="1"/>
    <col min="1804" max="1804" width="6.7109375" style="211" customWidth="1"/>
    <col min="1805" max="1805" width="8.42578125" style="211" customWidth="1"/>
    <col min="1806" max="1806" width="6.7109375" style="211" customWidth="1"/>
    <col min="1807" max="1807" width="10" style="211" customWidth="1"/>
    <col min="1808" max="1808" width="6.7109375" style="211" customWidth="1"/>
    <col min="1809" max="1809" width="8.28515625" style="211" customWidth="1"/>
    <col min="1810" max="1810" width="7.7109375" style="211" customWidth="1"/>
    <col min="1811" max="2048" width="8.85546875" style="211"/>
    <col min="2049" max="2049" width="11.28515625" style="211" customWidth="1"/>
    <col min="2050" max="2050" width="10.42578125" style="211" customWidth="1"/>
    <col min="2051" max="2051" width="8.7109375" style="211" customWidth="1"/>
    <col min="2052" max="2052" width="8.5703125" style="211" customWidth="1"/>
    <col min="2053" max="2053" width="7" style="211" customWidth="1"/>
    <col min="2054" max="2054" width="8.28515625" style="211" customWidth="1"/>
    <col min="2055" max="2055" width="8.5703125" style="211" customWidth="1"/>
    <col min="2056" max="2056" width="7.140625" style="211" customWidth="1"/>
    <col min="2057" max="2057" width="11.7109375" style="211" customWidth="1"/>
    <col min="2058" max="2058" width="7.28515625" style="211" customWidth="1"/>
    <col min="2059" max="2059" width="8.5703125" style="211" customWidth="1"/>
    <col min="2060" max="2060" width="6.7109375" style="211" customWidth="1"/>
    <col min="2061" max="2061" width="8.42578125" style="211" customWidth="1"/>
    <col min="2062" max="2062" width="6.7109375" style="211" customWidth="1"/>
    <col min="2063" max="2063" width="10" style="211" customWidth="1"/>
    <col min="2064" max="2064" width="6.7109375" style="211" customWidth="1"/>
    <col min="2065" max="2065" width="8.28515625" style="211" customWidth="1"/>
    <col min="2066" max="2066" width="7.7109375" style="211" customWidth="1"/>
    <col min="2067" max="2304" width="8.85546875" style="211"/>
    <col min="2305" max="2305" width="11.28515625" style="211" customWidth="1"/>
    <col min="2306" max="2306" width="10.42578125" style="211" customWidth="1"/>
    <col min="2307" max="2307" width="8.7109375" style="211" customWidth="1"/>
    <col min="2308" max="2308" width="8.5703125" style="211" customWidth="1"/>
    <col min="2309" max="2309" width="7" style="211" customWidth="1"/>
    <col min="2310" max="2310" width="8.28515625" style="211" customWidth="1"/>
    <col min="2311" max="2311" width="8.5703125" style="211" customWidth="1"/>
    <col min="2312" max="2312" width="7.140625" style="211" customWidth="1"/>
    <col min="2313" max="2313" width="11.7109375" style="211" customWidth="1"/>
    <col min="2314" max="2314" width="7.28515625" style="211" customWidth="1"/>
    <col min="2315" max="2315" width="8.5703125" style="211" customWidth="1"/>
    <col min="2316" max="2316" width="6.7109375" style="211" customWidth="1"/>
    <col min="2317" max="2317" width="8.42578125" style="211" customWidth="1"/>
    <col min="2318" max="2318" width="6.7109375" style="211" customWidth="1"/>
    <col min="2319" max="2319" width="10" style="211" customWidth="1"/>
    <col min="2320" max="2320" width="6.7109375" style="211" customWidth="1"/>
    <col min="2321" max="2321" width="8.28515625" style="211" customWidth="1"/>
    <col min="2322" max="2322" width="7.7109375" style="211" customWidth="1"/>
    <col min="2323" max="2560" width="8.85546875" style="211"/>
    <col min="2561" max="2561" width="11.28515625" style="211" customWidth="1"/>
    <col min="2562" max="2562" width="10.42578125" style="211" customWidth="1"/>
    <col min="2563" max="2563" width="8.7109375" style="211" customWidth="1"/>
    <col min="2564" max="2564" width="8.5703125" style="211" customWidth="1"/>
    <col min="2565" max="2565" width="7" style="211" customWidth="1"/>
    <col min="2566" max="2566" width="8.28515625" style="211" customWidth="1"/>
    <col min="2567" max="2567" width="8.5703125" style="211" customWidth="1"/>
    <col min="2568" max="2568" width="7.140625" style="211" customWidth="1"/>
    <col min="2569" max="2569" width="11.7109375" style="211" customWidth="1"/>
    <col min="2570" max="2570" width="7.28515625" style="211" customWidth="1"/>
    <col min="2571" max="2571" width="8.5703125" style="211" customWidth="1"/>
    <col min="2572" max="2572" width="6.7109375" style="211" customWidth="1"/>
    <col min="2573" max="2573" width="8.42578125" style="211" customWidth="1"/>
    <col min="2574" max="2574" width="6.7109375" style="211" customWidth="1"/>
    <col min="2575" max="2575" width="10" style="211" customWidth="1"/>
    <col min="2576" max="2576" width="6.7109375" style="211" customWidth="1"/>
    <col min="2577" max="2577" width="8.28515625" style="211" customWidth="1"/>
    <col min="2578" max="2578" width="7.7109375" style="211" customWidth="1"/>
    <col min="2579" max="2816" width="8.85546875" style="211"/>
    <col min="2817" max="2817" width="11.28515625" style="211" customWidth="1"/>
    <col min="2818" max="2818" width="10.42578125" style="211" customWidth="1"/>
    <col min="2819" max="2819" width="8.7109375" style="211" customWidth="1"/>
    <col min="2820" max="2820" width="8.5703125" style="211" customWidth="1"/>
    <col min="2821" max="2821" width="7" style="211" customWidth="1"/>
    <col min="2822" max="2822" width="8.28515625" style="211" customWidth="1"/>
    <col min="2823" max="2823" width="8.5703125" style="211" customWidth="1"/>
    <col min="2824" max="2824" width="7.140625" style="211" customWidth="1"/>
    <col min="2825" max="2825" width="11.7109375" style="211" customWidth="1"/>
    <col min="2826" max="2826" width="7.28515625" style="211" customWidth="1"/>
    <col min="2827" max="2827" width="8.5703125" style="211" customWidth="1"/>
    <col min="2828" max="2828" width="6.7109375" style="211" customWidth="1"/>
    <col min="2829" max="2829" width="8.42578125" style="211" customWidth="1"/>
    <col min="2830" max="2830" width="6.7109375" style="211" customWidth="1"/>
    <col min="2831" max="2831" width="10" style="211" customWidth="1"/>
    <col min="2832" max="2832" width="6.7109375" style="211" customWidth="1"/>
    <col min="2833" max="2833" width="8.28515625" style="211" customWidth="1"/>
    <col min="2834" max="2834" width="7.7109375" style="211" customWidth="1"/>
    <col min="2835" max="3072" width="8.85546875" style="211"/>
    <col min="3073" max="3073" width="11.28515625" style="211" customWidth="1"/>
    <col min="3074" max="3074" width="10.42578125" style="211" customWidth="1"/>
    <col min="3075" max="3075" width="8.7109375" style="211" customWidth="1"/>
    <col min="3076" max="3076" width="8.5703125" style="211" customWidth="1"/>
    <col min="3077" max="3077" width="7" style="211" customWidth="1"/>
    <col min="3078" max="3078" width="8.28515625" style="211" customWidth="1"/>
    <col min="3079" max="3079" width="8.5703125" style="211" customWidth="1"/>
    <col min="3080" max="3080" width="7.140625" style="211" customWidth="1"/>
    <col min="3081" max="3081" width="11.7109375" style="211" customWidth="1"/>
    <col min="3082" max="3082" width="7.28515625" style="211" customWidth="1"/>
    <col min="3083" max="3083" width="8.5703125" style="211" customWidth="1"/>
    <col min="3084" max="3084" width="6.7109375" style="211" customWidth="1"/>
    <col min="3085" max="3085" width="8.42578125" style="211" customWidth="1"/>
    <col min="3086" max="3086" width="6.7109375" style="211" customWidth="1"/>
    <col min="3087" max="3087" width="10" style="211" customWidth="1"/>
    <col min="3088" max="3088" width="6.7109375" style="211" customWidth="1"/>
    <col min="3089" max="3089" width="8.28515625" style="211" customWidth="1"/>
    <col min="3090" max="3090" width="7.7109375" style="211" customWidth="1"/>
    <col min="3091" max="3328" width="8.85546875" style="211"/>
    <col min="3329" max="3329" width="11.28515625" style="211" customWidth="1"/>
    <col min="3330" max="3330" width="10.42578125" style="211" customWidth="1"/>
    <col min="3331" max="3331" width="8.7109375" style="211" customWidth="1"/>
    <col min="3332" max="3332" width="8.5703125" style="211" customWidth="1"/>
    <col min="3333" max="3333" width="7" style="211" customWidth="1"/>
    <col min="3334" max="3334" width="8.28515625" style="211" customWidth="1"/>
    <col min="3335" max="3335" width="8.5703125" style="211" customWidth="1"/>
    <col min="3336" max="3336" width="7.140625" style="211" customWidth="1"/>
    <col min="3337" max="3337" width="11.7109375" style="211" customWidth="1"/>
    <col min="3338" max="3338" width="7.28515625" style="211" customWidth="1"/>
    <col min="3339" max="3339" width="8.5703125" style="211" customWidth="1"/>
    <col min="3340" max="3340" width="6.7109375" style="211" customWidth="1"/>
    <col min="3341" max="3341" width="8.42578125" style="211" customWidth="1"/>
    <col min="3342" max="3342" width="6.7109375" style="211" customWidth="1"/>
    <col min="3343" max="3343" width="10" style="211" customWidth="1"/>
    <col min="3344" max="3344" width="6.7109375" style="211" customWidth="1"/>
    <col min="3345" max="3345" width="8.28515625" style="211" customWidth="1"/>
    <col min="3346" max="3346" width="7.7109375" style="211" customWidth="1"/>
    <col min="3347" max="3584" width="8.85546875" style="211"/>
    <col min="3585" max="3585" width="11.28515625" style="211" customWidth="1"/>
    <col min="3586" max="3586" width="10.42578125" style="211" customWidth="1"/>
    <col min="3587" max="3587" width="8.7109375" style="211" customWidth="1"/>
    <col min="3588" max="3588" width="8.5703125" style="211" customWidth="1"/>
    <col min="3589" max="3589" width="7" style="211" customWidth="1"/>
    <col min="3590" max="3590" width="8.28515625" style="211" customWidth="1"/>
    <col min="3591" max="3591" width="8.5703125" style="211" customWidth="1"/>
    <col min="3592" max="3592" width="7.140625" style="211" customWidth="1"/>
    <col min="3593" max="3593" width="11.7109375" style="211" customWidth="1"/>
    <col min="3594" max="3594" width="7.28515625" style="211" customWidth="1"/>
    <col min="3595" max="3595" width="8.5703125" style="211" customWidth="1"/>
    <col min="3596" max="3596" width="6.7109375" style="211" customWidth="1"/>
    <col min="3597" max="3597" width="8.42578125" style="211" customWidth="1"/>
    <col min="3598" max="3598" width="6.7109375" style="211" customWidth="1"/>
    <col min="3599" max="3599" width="10" style="211" customWidth="1"/>
    <col min="3600" max="3600" width="6.7109375" style="211" customWidth="1"/>
    <col min="3601" max="3601" width="8.28515625" style="211" customWidth="1"/>
    <col min="3602" max="3602" width="7.7109375" style="211" customWidth="1"/>
    <col min="3603" max="3840" width="8.85546875" style="211"/>
    <col min="3841" max="3841" width="11.28515625" style="211" customWidth="1"/>
    <col min="3842" max="3842" width="10.42578125" style="211" customWidth="1"/>
    <col min="3843" max="3843" width="8.7109375" style="211" customWidth="1"/>
    <col min="3844" max="3844" width="8.5703125" style="211" customWidth="1"/>
    <col min="3845" max="3845" width="7" style="211" customWidth="1"/>
    <col min="3846" max="3846" width="8.28515625" style="211" customWidth="1"/>
    <col min="3847" max="3847" width="8.5703125" style="211" customWidth="1"/>
    <col min="3848" max="3848" width="7.140625" style="211" customWidth="1"/>
    <col min="3849" max="3849" width="11.7109375" style="211" customWidth="1"/>
    <col min="3850" max="3850" width="7.28515625" style="211" customWidth="1"/>
    <col min="3851" max="3851" width="8.5703125" style="211" customWidth="1"/>
    <col min="3852" max="3852" width="6.7109375" style="211" customWidth="1"/>
    <col min="3853" max="3853" width="8.42578125" style="211" customWidth="1"/>
    <col min="3854" max="3854" width="6.7109375" style="211" customWidth="1"/>
    <col min="3855" max="3855" width="10" style="211" customWidth="1"/>
    <col min="3856" max="3856" width="6.7109375" style="211" customWidth="1"/>
    <col min="3857" max="3857" width="8.28515625" style="211" customWidth="1"/>
    <col min="3858" max="3858" width="7.7109375" style="211" customWidth="1"/>
    <col min="3859" max="4096" width="8.85546875" style="211"/>
    <col min="4097" max="4097" width="11.28515625" style="211" customWidth="1"/>
    <col min="4098" max="4098" width="10.42578125" style="211" customWidth="1"/>
    <col min="4099" max="4099" width="8.7109375" style="211" customWidth="1"/>
    <col min="4100" max="4100" width="8.5703125" style="211" customWidth="1"/>
    <col min="4101" max="4101" width="7" style="211" customWidth="1"/>
    <col min="4102" max="4102" width="8.28515625" style="211" customWidth="1"/>
    <col min="4103" max="4103" width="8.5703125" style="211" customWidth="1"/>
    <col min="4104" max="4104" width="7.140625" style="211" customWidth="1"/>
    <col min="4105" max="4105" width="11.7109375" style="211" customWidth="1"/>
    <col min="4106" max="4106" width="7.28515625" style="211" customWidth="1"/>
    <col min="4107" max="4107" width="8.5703125" style="211" customWidth="1"/>
    <col min="4108" max="4108" width="6.7109375" style="211" customWidth="1"/>
    <col min="4109" max="4109" width="8.42578125" style="211" customWidth="1"/>
    <col min="4110" max="4110" width="6.7109375" style="211" customWidth="1"/>
    <col min="4111" max="4111" width="10" style="211" customWidth="1"/>
    <col min="4112" max="4112" width="6.7109375" style="211" customWidth="1"/>
    <col min="4113" max="4113" width="8.28515625" style="211" customWidth="1"/>
    <col min="4114" max="4114" width="7.7109375" style="211" customWidth="1"/>
    <col min="4115" max="4352" width="8.85546875" style="211"/>
    <col min="4353" max="4353" width="11.28515625" style="211" customWidth="1"/>
    <col min="4354" max="4354" width="10.42578125" style="211" customWidth="1"/>
    <col min="4355" max="4355" width="8.7109375" style="211" customWidth="1"/>
    <col min="4356" max="4356" width="8.5703125" style="211" customWidth="1"/>
    <col min="4357" max="4357" width="7" style="211" customWidth="1"/>
    <col min="4358" max="4358" width="8.28515625" style="211" customWidth="1"/>
    <col min="4359" max="4359" width="8.5703125" style="211" customWidth="1"/>
    <col min="4360" max="4360" width="7.140625" style="211" customWidth="1"/>
    <col min="4361" max="4361" width="11.7109375" style="211" customWidth="1"/>
    <col min="4362" max="4362" width="7.28515625" style="211" customWidth="1"/>
    <col min="4363" max="4363" width="8.5703125" style="211" customWidth="1"/>
    <col min="4364" max="4364" width="6.7109375" style="211" customWidth="1"/>
    <col min="4365" max="4365" width="8.42578125" style="211" customWidth="1"/>
    <col min="4366" max="4366" width="6.7109375" style="211" customWidth="1"/>
    <col min="4367" max="4367" width="10" style="211" customWidth="1"/>
    <col min="4368" max="4368" width="6.7109375" style="211" customWidth="1"/>
    <col min="4369" max="4369" width="8.28515625" style="211" customWidth="1"/>
    <col min="4370" max="4370" width="7.7109375" style="211" customWidth="1"/>
    <col min="4371" max="4608" width="8.85546875" style="211"/>
    <col min="4609" max="4609" width="11.28515625" style="211" customWidth="1"/>
    <col min="4610" max="4610" width="10.42578125" style="211" customWidth="1"/>
    <col min="4611" max="4611" width="8.7109375" style="211" customWidth="1"/>
    <col min="4612" max="4612" width="8.5703125" style="211" customWidth="1"/>
    <col min="4613" max="4613" width="7" style="211" customWidth="1"/>
    <col min="4614" max="4614" width="8.28515625" style="211" customWidth="1"/>
    <col min="4615" max="4615" width="8.5703125" style="211" customWidth="1"/>
    <col min="4616" max="4616" width="7.140625" style="211" customWidth="1"/>
    <col min="4617" max="4617" width="11.7109375" style="211" customWidth="1"/>
    <col min="4618" max="4618" width="7.28515625" style="211" customWidth="1"/>
    <col min="4619" max="4619" width="8.5703125" style="211" customWidth="1"/>
    <col min="4620" max="4620" width="6.7109375" style="211" customWidth="1"/>
    <col min="4621" max="4621" width="8.42578125" style="211" customWidth="1"/>
    <col min="4622" max="4622" width="6.7109375" style="211" customWidth="1"/>
    <col min="4623" max="4623" width="10" style="211" customWidth="1"/>
    <col min="4624" max="4624" width="6.7109375" style="211" customWidth="1"/>
    <col min="4625" max="4625" width="8.28515625" style="211" customWidth="1"/>
    <col min="4626" max="4626" width="7.7109375" style="211" customWidth="1"/>
    <col min="4627" max="4864" width="8.85546875" style="211"/>
    <col min="4865" max="4865" width="11.28515625" style="211" customWidth="1"/>
    <col min="4866" max="4866" width="10.42578125" style="211" customWidth="1"/>
    <col min="4867" max="4867" width="8.7109375" style="211" customWidth="1"/>
    <col min="4868" max="4868" width="8.5703125" style="211" customWidth="1"/>
    <col min="4869" max="4869" width="7" style="211" customWidth="1"/>
    <col min="4870" max="4870" width="8.28515625" style="211" customWidth="1"/>
    <col min="4871" max="4871" width="8.5703125" style="211" customWidth="1"/>
    <col min="4872" max="4872" width="7.140625" style="211" customWidth="1"/>
    <col min="4873" max="4873" width="11.7109375" style="211" customWidth="1"/>
    <col min="4874" max="4874" width="7.28515625" style="211" customWidth="1"/>
    <col min="4875" max="4875" width="8.5703125" style="211" customWidth="1"/>
    <col min="4876" max="4876" width="6.7109375" style="211" customWidth="1"/>
    <col min="4877" max="4877" width="8.42578125" style="211" customWidth="1"/>
    <col min="4878" max="4878" width="6.7109375" style="211" customWidth="1"/>
    <col min="4879" max="4879" width="10" style="211" customWidth="1"/>
    <col min="4880" max="4880" width="6.7109375" style="211" customWidth="1"/>
    <col min="4881" max="4881" width="8.28515625" style="211" customWidth="1"/>
    <col min="4882" max="4882" width="7.7109375" style="211" customWidth="1"/>
    <col min="4883" max="5120" width="8.85546875" style="211"/>
    <col min="5121" max="5121" width="11.28515625" style="211" customWidth="1"/>
    <col min="5122" max="5122" width="10.42578125" style="211" customWidth="1"/>
    <col min="5123" max="5123" width="8.7109375" style="211" customWidth="1"/>
    <col min="5124" max="5124" width="8.5703125" style="211" customWidth="1"/>
    <col min="5125" max="5125" width="7" style="211" customWidth="1"/>
    <col min="5126" max="5126" width="8.28515625" style="211" customWidth="1"/>
    <col min="5127" max="5127" width="8.5703125" style="211" customWidth="1"/>
    <col min="5128" max="5128" width="7.140625" style="211" customWidth="1"/>
    <col min="5129" max="5129" width="11.7109375" style="211" customWidth="1"/>
    <col min="5130" max="5130" width="7.28515625" style="211" customWidth="1"/>
    <col min="5131" max="5131" width="8.5703125" style="211" customWidth="1"/>
    <col min="5132" max="5132" width="6.7109375" style="211" customWidth="1"/>
    <col min="5133" max="5133" width="8.42578125" style="211" customWidth="1"/>
    <col min="5134" max="5134" width="6.7109375" style="211" customWidth="1"/>
    <col min="5135" max="5135" width="10" style="211" customWidth="1"/>
    <col min="5136" max="5136" width="6.7109375" style="211" customWidth="1"/>
    <col min="5137" max="5137" width="8.28515625" style="211" customWidth="1"/>
    <col min="5138" max="5138" width="7.7109375" style="211" customWidth="1"/>
    <col min="5139" max="5376" width="8.85546875" style="211"/>
    <col min="5377" max="5377" width="11.28515625" style="211" customWidth="1"/>
    <col min="5378" max="5378" width="10.42578125" style="211" customWidth="1"/>
    <col min="5379" max="5379" width="8.7109375" style="211" customWidth="1"/>
    <col min="5380" max="5380" width="8.5703125" style="211" customWidth="1"/>
    <col min="5381" max="5381" width="7" style="211" customWidth="1"/>
    <col min="5382" max="5382" width="8.28515625" style="211" customWidth="1"/>
    <col min="5383" max="5383" width="8.5703125" style="211" customWidth="1"/>
    <col min="5384" max="5384" width="7.140625" style="211" customWidth="1"/>
    <col min="5385" max="5385" width="11.7109375" style="211" customWidth="1"/>
    <col min="5386" max="5386" width="7.28515625" style="211" customWidth="1"/>
    <col min="5387" max="5387" width="8.5703125" style="211" customWidth="1"/>
    <col min="5388" max="5388" width="6.7109375" style="211" customWidth="1"/>
    <col min="5389" max="5389" width="8.42578125" style="211" customWidth="1"/>
    <col min="5390" max="5390" width="6.7109375" style="211" customWidth="1"/>
    <col min="5391" max="5391" width="10" style="211" customWidth="1"/>
    <col min="5392" max="5392" width="6.7109375" style="211" customWidth="1"/>
    <col min="5393" max="5393" width="8.28515625" style="211" customWidth="1"/>
    <col min="5394" max="5394" width="7.7109375" style="211" customWidth="1"/>
    <col min="5395" max="5632" width="8.85546875" style="211"/>
    <col min="5633" max="5633" width="11.28515625" style="211" customWidth="1"/>
    <col min="5634" max="5634" width="10.42578125" style="211" customWidth="1"/>
    <col min="5635" max="5635" width="8.7109375" style="211" customWidth="1"/>
    <col min="5636" max="5636" width="8.5703125" style="211" customWidth="1"/>
    <col min="5637" max="5637" width="7" style="211" customWidth="1"/>
    <col min="5638" max="5638" width="8.28515625" style="211" customWidth="1"/>
    <col min="5639" max="5639" width="8.5703125" style="211" customWidth="1"/>
    <col min="5640" max="5640" width="7.140625" style="211" customWidth="1"/>
    <col min="5641" max="5641" width="11.7109375" style="211" customWidth="1"/>
    <col min="5642" max="5642" width="7.28515625" style="211" customWidth="1"/>
    <col min="5643" max="5643" width="8.5703125" style="211" customWidth="1"/>
    <col min="5644" max="5644" width="6.7109375" style="211" customWidth="1"/>
    <col min="5645" max="5645" width="8.42578125" style="211" customWidth="1"/>
    <col min="5646" max="5646" width="6.7109375" style="211" customWidth="1"/>
    <col min="5647" max="5647" width="10" style="211" customWidth="1"/>
    <col min="5648" max="5648" width="6.7109375" style="211" customWidth="1"/>
    <col min="5649" max="5649" width="8.28515625" style="211" customWidth="1"/>
    <col min="5650" max="5650" width="7.7109375" style="211" customWidth="1"/>
    <col min="5651" max="5888" width="8.85546875" style="211"/>
    <col min="5889" max="5889" width="11.28515625" style="211" customWidth="1"/>
    <col min="5890" max="5890" width="10.42578125" style="211" customWidth="1"/>
    <col min="5891" max="5891" width="8.7109375" style="211" customWidth="1"/>
    <col min="5892" max="5892" width="8.5703125" style="211" customWidth="1"/>
    <col min="5893" max="5893" width="7" style="211" customWidth="1"/>
    <col min="5894" max="5894" width="8.28515625" style="211" customWidth="1"/>
    <col min="5895" max="5895" width="8.5703125" style="211" customWidth="1"/>
    <col min="5896" max="5896" width="7.140625" style="211" customWidth="1"/>
    <col min="5897" max="5897" width="11.7109375" style="211" customWidth="1"/>
    <col min="5898" max="5898" width="7.28515625" style="211" customWidth="1"/>
    <col min="5899" max="5899" width="8.5703125" style="211" customWidth="1"/>
    <col min="5900" max="5900" width="6.7109375" style="211" customWidth="1"/>
    <col min="5901" max="5901" width="8.42578125" style="211" customWidth="1"/>
    <col min="5902" max="5902" width="6.7109375" style="211" customWidth="1"/>
    <col min="5903" max="5903" width="10" style="211" customWidth="1"/>
    <col min="5904" max="5904" width="6.7109375" style="211" customWidth="1"/>
    <col min="5905" max="5905" width="8.28515625" style="211" customWidth="1"/>
    <col min="5906" max="5906" width="7.7109375" style="211" customWidth="1"/>
    <col min="5907" max="6144" width="8.85546875" style="211"/>
    <col min="6145" max="6145" width="11.28515625" style="211" customWidth="1"/>
    <col min="6146" max="6146" width="10.42578125" style="211" customWidth="1"/>
    <col min="6147" max="6147" width="8.7109375" style="211" customWidth="1"/>
    <col min="6148" max="6148" width="8.5703125" style="211" customWidth="1"/>
    <col min="6149" max="6149" width="7" style="211" customWidth="1"/>
    <col min="6150" max="6150" width="8.28515625" style="211" customWidth="1"/>
    <col min="6151" max="6151" width="8.5703125" style="211" customWidth="1"/>
    <col min="6152" max="6152" width="7.140625" style="211" customWidth="1"/>
    <col min="6153" max="6153" width="11.7109375" style="211" customWidth="1"/>
    <col min="6154" max="6154" width="7.28515625" style="211" customWidth="1"/>
    <col min="6155" max="6155" width="8.5703125" style="211" customWidth="1"/>
    <col min="6156" max="6156" width="6.7109375" style="211" customWidth="1"/>
    <col min="6157" max="6157" width="8.42578125" style="211" customWidth="1"/>
    <col min="6158" max="6158" width="6.7109375" style="211" customWidth="1"/>
    <col min="6159" max="6159" width="10" style="211" customWidth="1"/>
    <col min="6160" max="6160" width="6.7109375" style="211" customWidth="1"/>
    <col min="6161" max="6161" width="8.28515625" style="211" customWidth="1"/>
    <col min="6162" max="6162" width="7.7109375" style="211" customWidth="1"/>
    <col min="6163" max="6400" width="8.85546875" style="211"/>
    <col min="6401" max="6401" width="11.28515625" style="211" customWidth="1"/>
    <col min="6402" max="6402" width="10.42578125" style="211" customWidth="1"/>
    <col min="6403" max="6403" width="8.7109375" style="211" customWidth="1"/>
    <col min="6404" max="6404" width="8.5703125" style="211" customWidth="1"/>
    <col min="6405" max="6405" width="7" style="211" customWidth="1"/>
    <col min="6406" max="6406" width="8.28515625" style="211" customWidth="1"/>
    <col min="6407" max="6407" width="8.5703125" style="211" customWidth="1"/>
    <col min="6408" max="6408" width="7.140625" style="211" customWidth="1"/>
    <col min="6409" max="6409" width="11.7109375" style="211" customWidth="1"/>
    <col min="6410" max="6410" width="7.28515625" style="211" customWidth="1"/>
    <col min="6411" max="6411" width="8.5703125" style="211" customWidth="1"/>
    <col min="6412" max="6412" width="6.7109375" style="211" customWidth="1"/>
    <col min="6413" max="6413" width="8.42578125" style="211" customWidth="1"/>
    <col min="6414" max="6414" width="6.7109375" style="211" customWidth="1"/>
    <col min="6415" max="6415" width="10" style="211" customWidth="1"/>
    <col min="6416" max="6416" width="6.7109375" style="211" customWidth="1"/>
    <col min="6417" max="6417" width="8.28515625" style="211" customWidth="1"/>
    <col min="6418" max="6418" width="7.7109375" style="211" customWidth="1"/>
    <col min="6419" max="6656" width="8.85546875" style="211"/>
    <col min="6657" max="6657" width="11.28515625" style="211" customWidth="1"/>
    <col min="6658" max="6658" width="10.42578125" style="211" customWidth="1"/>
    <col min="6659" max="6659" width="8.7109375" style="211" customWidth="1"/>
    <col min="6660" max="6660" width="8.5703125" style="211" customWidth="1"/>
    <col min="6661" max="6661" width="7" style="211" customWidth="1"/>
    <col min="6662" max="6662" width="8.28515625" style="211" customWidth="1"/>
    <col min="6663" max="6663" width="8.5703125" style="211" customWidth="1"/>
    <col min="6664" max="6664" width="7.140625" style="211" customWidth="1"/>
    <col min="6665" max="6665" width="11.7109375" style="211" customWidth="1"/>
    <col min="6666" max="6666" width="7.28515625" style="211" customWidth="1"/>
    <col min="6667" max="6667" width="8.5703125" style="211" customWidth="1"/>
    <col min="6668" max="6668" width="6.7109375" style="211" customWidth="1"/>
    <col min="6669" max="6669" width="8.42578125" style="211" customWidth="1"/>
    <col min="6670" max="6670" width="6.7109375" style="211" customWidth="1"/>
    <col min="6671" max="6671" width="10" style="211" customWidth="1"/>
    <col min="6672" max="6672" width="6.7109375" style="211" customWidth="1"/>
    <col min="6673" max="6673" width="8.28515625" style="211" customWidth="1"/>
    <col min="6674" max="6674" width="7.7109375" style="211" customWidth="1"/>
    <col min="6675" max="6912" width="8.85546875" style="211"/>
    <col min="6913" max="6913" width="11.28515625" style="211" customWidth="1"/>
    <col min="6914" max="6914" width="10.42578125" style="211" customWidth="1"/>
    <col min="6915" max="6915" width="8.7109375" style="211" customWidth="1"/>
    <col min="6916" max="6916" width="8.5703125" style="211" customWidth="1"/>
    <col min="6917" max="6917" width="7" style="211" customWidth="1"/>
    <col min="6918" max="6918" width="8.28515625" style="211" customWidth="1"/>
    <col min="6919" max="6919" width="8.5703125" style="211" customWidth="1"/>
    <col min="6920" max="6920" width="7.140625" style="211" customWidth="1"/>
    <col min="6921" max="6921" width="11.7109375" style="211" customWidth="1"/>
    <col min="6922" max="6922" width="7.28515625" style="211" customWidth="1"/>
    <col min="6923" max="6923" width="8.5703125" style="211" customWidth="1"/>
    <col min="6924" max="6924" width="6.7109375" style="211" customWidth="1"/>
    <col min="6925" max="6925" width="8.42578125" style="211" customWidth="1"/>
    <col min="6926" max="6926" width="6.7109375" style="211" customWidth="1"/>
    <col min="6927" max="6927" width="10" style="211" customWidth="1"/>
    <col min="6928" max="6928" width="6.7109375" style="211" customWidth="1"/>
    <col min="6929" max="6929" width="8.28515625" style="211" customWidth="1"/>
    <col min="6930" max="6930" width="7.7109375" style="211" customWidth="1"/>
    <col min="6931" max="7168" width="8.85546875" style="211"/>
    <col min="7169" max="7169" width="11.28515625" style="211" customWidth="1"/>
    <col min="7170" max="7170" width="10.42578125" style="211" customWidth="1"/>
    <col min="7171" max="7171" width="8.7109375" style="211" customWidth="1"/>
    <col min="7172" max="7172" width="8.5703125" style="211" customWidth="1"/>
    <col min="7173" max="7173" width="7" style="211" customWidth="1"/>
    <col min="7174" max="7174" width="8.28515625" style="211" customWidth="1"/>
    <col min="7175" max="7175" width="8.5703125" style="211" customWidth="1"/>
    <col min="7176" max="7176" width="7.140625" style="211" customWidth="1"/>
    <col min="7177" max="7177" width="11.7109375" style="211" customWidth="1"/>
    <col min="7178" max="7178" width="7.28515625" style="211" customWidth="1"/>
    <col min="7179" max="7179" width="8.5703125" style="211" customWidth="1"/>
    <col min="7180" max="7180" width="6.7109375" style="211" customWidth="1"/>
    <col min="7181" max="7181" width="8.42578125" style="211" customWidth="1"/>
    <col min="7182" max="7182" width="6.7109375" style="211" customWidth="1"/>
    <col min="7183" max="7183" width="10" style="211" customWidth="1"/>
    <col min="7184" max="7184" width="6.7109375" style="211" customWidth="1"/>
    <col min="7185" max="7185" width="8.28515625" style="211" customWidth="1"/>
    <col min="7186" max="7186" width="7.7109375" style="211" customWidth="1"/>
    <col min="7187" max="7424" width="8.85546875" style="211"/>
    <col min="7425" max="7425" width="11.28515625" style="211" customWidth="1"/>
    <col min="7426" max="7426" width="10.42578125" style="211" customWidth="1"/>
    <col min="7427" max="7427" width="8.7109375" style="211" customWidth="1"/>
    <col min="7428" max="7428" width="8.5703125" style="211" customWidth="1"/>
    <col min="7429" max="7429" width="7" style="211" customWidth="1"/>
    <col min="7430" max="7430" width="8.28515625" style="211" customWidth="1"/>
    <col min="7431" max="7431" width="8.5703125" style="211" customWidth="1"/>
    <col min="7432" max="7432" width="7.140625" style="211" customWidth="1"/>
    <col min="7433" max="7433" width="11.7109375" style="211" customWidth="1"/>
    <col min="7434" max="7434" width="7.28515625" style="211" customWidth="1"/>
    <col min="7435" max="7435" width="8.5703125" style="211" customWidth="1"/>
    <col min="7436" max="7436" width="6.7109375" style="211" customWidth="1"/>
    <col min="7437" max="7437" width="8.42578125" style="211" customWidth="1"/>
    <col min="7438" max="7438" width="6.7109375" style="211" customWidth="1"/>
    <col min="7439" max="7439" width="10" style="211" customWidth="1"/>
    <col min="7440" max="7440" width="6.7109375" style="211" customWidth="1"/>
    <col min="7441" max="7441" width="8.28515625" style="211" customWidth="1"/>
    <col min="7442" max="7442" width="7.7109375" style="211" customWidth="1"/>
    <col min="7443" max="7680" width="8.85546875" style="211"/>
    <col min="7681" max="7681" width="11.28515625" style="211" customWidth="1"/>
    <col min="7682" max="7682" width="10.42578125" style="211" customWidth="1"/>
    <col min="7683" max="7683" width="8.7109375" style="211" customWidth="1"/>
    <col min="7684" max="7684" width="8.5703125" style="211" customWidth="1"/>
    <col min="7685" max="7685" width="7" style="211" customWidth="1"/>
    <col min="7686" max="7686" width="8.28515625" style="211" customWidth="1"/>
    <col min="7687" max="7687" width="8.5703125" style="211" customWidth="1"/>
    <col min="7688" max="7688" width="7.140625" style="211" customWidth="1"/>
    <col min="7689" max="7689" width="11.7109375" style="211" customWidth="1"/>
    <col min="7690" max="7690" width="7.28515625" style="211" customWidth="1"/>
    <col min="7691" max="7691" width="8.5703125" style="211" customWidth="1"/>
    <col min="7692" max="7692" width="6.7109375" style="211" customWidth="1"/>
    <col min="7693" max="7693" width="8.42578125" style="211" customWidth="1"/>
    <col min="7694" max="7694" width="6.7109375" style="211" customWidth="1"/>
    <col min="7695" max="7695" width="10" style="211" customWidth="1"/>
    <col min="7696" max="7696" width="6.7109375" style="211" customWidth="1"/>
    <col min="7697" max="7697" width="8.28515625" style="211" customWidth="1"/>
    <col min="7698" max="7698" width="7.7109375" style="211" customWidth="1"/>
    <col min="7699" max="7936" width="8.85546875" style="211"/>
    <col min="7937" max="7937" width="11.28515625" style="211" customWidth="1"/>
    <col min="7938" max="7938" width="10.42578125" style="211" customWidth="1"/>
    <col min="7939" max="7939" width="8.7109375" style="211" customWidth="1"/>
    <col min="7940" max="7940" width="8.5703125" style="211" customWidth="1"/>
    <col min="7941" max="7941" width="7" style="211" customWidth="1"/>
    <col min="7942" max="7942" width="8.28515625" style="211" customWidth="1"/>
    <col min="7943" max="7943" width="8.5703125" style="211" customWidth="1"/>
    <col min="7944" max="7944" width="7.140625" style="211" customWidth="1"/>
    <col min="7945" max="7945" width="11.7109375" style="211" customWidth="1"/>
    <col min="7946" max="7946" width="7.28515625" style="211" customWidth="1"/>
    <col min="7947" max="7947" width="8.5703125" style="211" customWidth="1"/>
    <col min="7948" max="7948" width="6.7109375" style="211" customWidth="1"/>
    <col min="7949" max="7949" width="8.42578125" style="211" customWidth="1"/>
    <col min="7950" max="7950" width="6.7109375" style="211" customWidth="1"/>
    <col min="7951" max="7951" width="10" style="211" customWidth="1"/>
    <col min="7952" max="7952" width="6.7109375" style="211" customWidth="1"/>
    <col min="7953" max="7953" width="8.28515625" style="211" customWidth="1"/>
    <col min="7954" max="7954" width="7.7109375" style="211" customWidth="1"/>
    <col min="7955" max="8192" width="8.85546875" style="211"/>
    <col min="8193" max="8193" width="11.28515625" style="211" customWidth="1"/>
    <col min="8194" max="8194" width="10.42578125" style="211" customWidth="1"/>
    <col min="8195" max="8195" width="8.7109375" style="211" customWidth="1"/>
    <col min="8196" max="8196" width="8.5703125" style="211" customWidth="1"/>
    <col min="8197" max="8197" width="7" style="211" customWidth="1"/>
    <col min="8198" max="8198" width="8.28515625" style="211" customWidth="1"/>
    <col min="8199" max="8199" width="8.5703125" style="211" customWidth="1"/>
    <col min="8200" max="8200" width="7.140625" style="211" customWidth="1"/>
    <col min="8201" max="8201" width="11.7109375" style="211" customWidth="1"/>
    <col min="8202" max="8202" width="7.28515625" style="211" customWidth="1"/>
    <col min="8203" max="8203" width="8.5703125" style="211" customWidth="1"/>
    <col min="8204" max="8204" width="6.7109375" style="211" customWidth="1"/>
    <col min="8205" max="8205" width="8.42578125" style="211" customWidth="1"/>
    <col min="8206" max="8206" width="6.7109375" style="211" customWidth="1"/>
    <col min="8207" max="8207" width="10" style="211" customWidth="1"/>
    <col min="8208" max="8208" width="6.7109375" style="211" customWidth="1"/>
    <col min="8209" max="8209" width="8.28515625" style="211" customWidth="1"/>
    <col min="8210" max="8210" width="7.7109375" style="211" customWidth="1"/>
    <col min="8211" max="8448" width="8.85546875" style="211"/>
    <col min="8449" max="8449" width="11.28515625" style="211" customWidth="1"/>
    <col min="8450" max="8450" width="10.42578125" style="211" customWidth="1"/>
    <col min="8451" max="8451" width="8.7109375" style="211" customWidth="1"/>
    <col min="8452" max="8452" width="8.5703125" style="211" customWidth="1"/>
    <col min="8453" max="8453" width="7" style="211" customWidth="1"/>
    <col min="8454" max="8454" width="8.28515625" style="211" customWidth="1"/>
    <col min="8455" max="8455" width="8.5703125" style="211" customWidth="1"/>
    <col min="8456" max="8456" width="7.140625" style="211" customWidth="1"/>
    <col min="8457" max="8457" width="11.7109375" style="211" customWidth="1"/>
    <col min="8458" max="8458" width="7.28515625" style="211" customWidth="1"/>
    <col min="8459" max="8459" width="8.5703125" style="211" customWidth="1"/>
    <col min="8460" max="8460" width="6.7109375" style="211" customWidth="1"/>
    <col min="8461" max="8461" width="8.42578125" style="211" customWidth="1"/>
    <col min="8462" max="8462" width="6.7109375" style="211" customWidth="1"/>
    <col min="8463" max="8463" width="10" style="211" customWidth="1"/>
    <col min="8464" max="8464" width="6.7109375" style="211" customWidth="1"/>
    <col min="8465" max="8465" width="8.28515625" style="211" customWidth="1"/>
    <col min="8466" max="8466" width="7.7109375" style="211" customWidth="1"/>
    <col min="8467" max="8704" width="8.85546875" style="211"/>
    <col min="8705" max="8705" width="11.28515625" style="211" customWidth="1"/>
    <col min="8706" max="8706" width="10.42578125" style="211" customWidth="1"/>
    <col min="8707" max="8707" width="8.7109375" style="211" customWidth="1"/>
    <col min="8708" max="8708" width="8.5703125" style="211" customWidth="1"/>
    <col min="8709" max="8709" width="7" style="211" customWidth="1"/>
    <col min="8710" max="8710" width="8.28515625" style="211" customWidth="1"/>
    <col min="8711" max="8711" width="8.5703125" style="211" customWidth="1"/>
    <col min="8712" max="8712" width="7.140625" style="211" customWidth="1"/>
    <col min="8713" max="8713" width="11.7109375" style="211" customWidth="1"/>
    <col min="8714" max="8714" width="7.28515625" style="211" customWidth="1"/>
    <col min="8715" max="8715" width="8.5703125" style="211" customWidth="1"/>
    <col min="8716" max="8716" width="6.7109375" style="211" customWidth="1"/>
    <col min="8717" max="8717" width="8.42578125" style="211" customWidth="1"/>
    <col min="8718" max="8718" width="6.7109375" style="211" customWidth="1"/>
    <col min="8719" max="8719" width="10" style="211" customWidth="1"/>
    <col min="8720" max="8720" width="6.7109375" style="211" customWidth="1"/>
    <col min="8721" max="8721" width="8.28515625" style="211" customWidth="1"/>
    <col min="8722" max="8722" width="7.7109375" style="211" customWidth="1"/>
    <col min="8723" max="8960" width="8.85546875" style="211"/>
    <col min="8961" max="8961" width="11.28515625" style="211" customWidth="1"/>
    <col min="8962" max="8962" width="10.42578125" style="211" customWidth="1"/>
    <col min="8963" max="8963" width="8.7109375" style="211" customWidth="1"/>
    <col min="8964" max="8964" width="8.5703125" style="211" customWidth="1"/>
    <col min="8965" max="8965" width="7" style="211" customWidth="1"/>
    <col min="8966" max="8966" width="8.28515625" style="211" customWidth="1"/>
    <col min="8967" max="8967" width="8.5703125" style="211" customWidth="1"/>
    <col min="8968" max="8968" width="7.140625" style="211" customWidth="1"/>
    <col min="8969" max="8969" width="11.7109375" style="211" customWidth="1"/>
    <col min="8970" max="8970" width="7.28515625" style="211" customWidth="1"/>
    <col min="8971" max="8971" width="8.5703125" style="211" customWidth="1"/>
    <col min="8972" max="8972" width="6.7109375" style="211" customWidth="1"/>
    <col min="8973" max="8973" width="8.42578125" style="211" customWidth="1"/>
    <col min="8974" max="8974" width="6.7109375" style="211" customWidth="1"/>
    <col min="8975" max="8975" width="10" style="211" customWidth="1"/>
    <col min="8976" max="8976" width="6.7109375" style="211" customWidth="1"/>
    <col min="8977" max="8977" width="8.28515625" style="211" customWidth="1"/>
    <col min="8978" max="8978" width="7.7109375" style="211" customWidth="1"/>
    <col min="8979" max="9216" width="8.85546875" style="211"/>
    <col min="9217" max="9217" width="11.28515625" style="211" customWidth="1"/>
    <col min="9218" max="9218" width="10.42578125" style="211" customWidth="1"/>
    <col min="9219" max="9219" width="8.7109375" style="211" customWidth="1"/>
    <col min="9220" max="9220" width="8.5703125" style="211" customWidth="1"/>
    <col min="9221" max="9221" width="7" style="211" customWidth="1"/>
    <col min="9222" max="9222" width="8.28515625" style="211" customWidth="1"/>
    <col min="9223" max="9223" width="8.5703125" style="211" customWidth="1"/>
    <col min="9224" max="9224" width="7.140625" style="211" customWidth="1"/>
    <col min="9225" max="9225" width="11.7109375" style="211" customWidth="1"/>
    <col min="9226" max="9226" width="7.28515625" style="211" customWidth="1"/>
    <col min="9227" max="9227" width="8.5703125" style="211" customWidth="1"/>
    <col min="9228" max="9228" width="6.7109375" style="211" customWidth="1"/>
    <col min="9229" max="9229" width="8.42578125" style="211" customWidth="1"/>
    <col min="9230" max="9230" width="6.7109375" style="211" customWidth="1"/>
    <col min="9231" max="9231" width="10" style="211" customWidth="1"/>
    <col min="9232" max="9232" width="6.7109375" style="211" customWidth="1"/>
    <col min="9233" max="9233" width="8.28515625" style="211" customWidth="1"/>
    <col min="9234" max="9234" width="7.7109375" style="211" customWidth="1"/>
    <col min="9235" max="9472" width="8.85546875" style="211"/>
    <col min="9473" max="9473" width="11.28515625" style="211" customWidth="1"/>
    <col min="9474" max="9474" width="10.42578125" style="211" customWidth="1"/>
    <col min="9475" max="9475" width="8.7109375" style="211" customWidth="1"/>
    <col min="9476" max="9476" width="8.5703125" style="211" customWidth="1"/>
    <col min="9477" max="9477" width="7" style="211" customWidth="1"/>
    <col min="9478" max="9478" width="8.28515625" style="211" customWidth="1"/>
    <col min="9479" max="9479" width="8.5703125" style="211" customWidth="1"/>
    <col min="9480" max="9480" width="7.140625" style="211" customWidth="1"/>
    <col min="9481" max="9481" width="11.7109375" style="211" customWidth="1"/>
    <col min="9482" max="9482" width="7.28515625" style="211" customWidth="1"/>
    <col min="9483" max="9483" width="8.5703125" style="211" customWidth="1"/>
    <col min="9484" max="9484" width="6.7109375" style="211" customWidth="1"/>
    <col min="9485" max="9485" width="8.42578125" style="211" customWidth="1"/>
    <col min="9486" max="9486" width="6.7109375" style="211" customWidth="1"/>
    <col min="9487" max="9487" width="10" style="211" customWidth="1"/>
    <col min="9488" max="9488" width="6.7109375" style="211" customWidth="1"/>
    <col min="9489" max="9489" width="8.28515625" style="211" customWidth="1"/>
    <col min="9490" max="9490" width="7.7109375" style="211" customWidth="1"/>
    <col min="9491" max="9728" width="8.85546875" style="211"/>
    <col min="9729" max="9729" width="11.28515625" style="211" customWidth="1"/>
    <col min="9730" max="9730" width="10.42578125" style="211" customWidth="1"/>
    <col min="9731" max="9731" width="8.7109375" style="211" customWidth="1"/>
    <col min="9732" max="9732" width="8.5703125" style="211" customWidth="1"/>
    <col min="9733" max="9733" width="7" style="211" customWidth="1"/>
    <col min="9734" max="9734" width="8.28515625" style="211" customWidth="1"/>
    <col min="9735" max="9735" width="8.5703125" style="211" customWidth="1"/>
    <col min="9736" max="9736" width="7.140625" style="211" customWidth="1"/>
    <col min="9737" max="9737" width="11.7109375" style="211" customWidth="1"/>
    <col min="9738" max="9738" width="7.28515625" style="211" customWidth="1"/>
    <col min="9739" max="9739" width="8.5703125" style="211" customWidth="1"/>
    <col min="9740" max="9740" width="6.7109375" style="211" customWidth="1"/>
    <col min="9741" max="9741" width="8.42578125" style="211" customWidth="1"/>
    <col min="9742" max="9742" width="6.7109375" style="211" customWidth="1"/>
    <col min="9743" max="9743" width="10" style="211" customWidth="1"/>
    <col min="9744" max="9744" width="6.7109375" style="211" customWidth="1"/>
    <col min="9745" max="9745" width="8.28515625" style="211" customWidth="1"/>
    <col min="9746" max="9746" width="7.7109375" style="211" customWidth="1"/>
    <col min="9747" max="9984" width="8.85546875" style="211"/>
    <col min="9985" max="9985" width="11.28515625" style="211" customWidth="1"/>
    <col min="9986" max="9986" width="10.42578125" style="211" customWidth="1"/>
    <col min="9987" max="9987" width="8.7109375" style="211" customWidth="1"/>
    <col min="9988" max="9988" width="8.5703125" style="211" customWidth="1"/>
    <col min="9989" max="9989" width="7" style="211" customWidth="1"/>
    <col min="9990" max="9990" width="8.28515625" style="211" customWidth="1"/>
    <col min="9991" max="9991" width="8.5703125" style="211" customWidth="1"/>
    <col min="9992" max="9992" width="7.140625" style="211" customWidth="1"/>
    <col min="9993" max="9993" width="11.7109375" style="211" customWidth="1"/>
    <col min="9994" max="9994" width="7.28515625" style="211" customWidth="1"/>
    <col min="9995" max="9995" width="8.5703125" style="211" customWidth="1"/>
    <col min="9996" max="9996" width="6.7109375" style="211" customWidth="1"/>
    <col min="9997" max="9997" width="8.42578125" style="211" customWidth="1"/>
    <col min="9998" max="9998" width="6.7109375" style="211" customWidth="1"/>
    <col min="9999" max="9999" width="10" style="211" customWidth="1"/>
    <col min="10000" max="10000" width="6.7109375" style="211" customWidth="1"/>
    <col min="10001" max="10001" width="8.28515625" style="211" customWidth="1"/>
    <col min="10002" max="10002" width="7.7109375" style="211" customWidth="1"/>
    <col min="10003" max="10240" width="8.85546875" style="211"/>
    <col min="10241" max="10241" width="11.28515625" style="211" customWidth="1"/>
    <col min="10242" max="10242" width="10.42578125" style="211" customWidth="1"/>
    <col min="10243" max="10243" width="8.7109375" style="211" customWidth="1"/>
    <col min="10244" max="10244" width="8.5703125" style="211" customWidth="1"/>
    <col min="10245" max="10245" width="7" style="211" customWidth="1"/>
    <col min="10246" max="10246" width="8.28515625" style="211" customWidth="1"/>
    <col min="10247" max="10247" width="8.5703125" style="211" customWidth="1"/>
    <col min="10248" max="10248" width="7.140625" style="211" customWidth="1"/>
    <col min="10249" max="10249" width="11.7109375" style="211" customWidth="1"/>
    <col min="10250" max="10250" width="7.28515625" style="211" customWidth="1"/>
    <col min="10251" max="10251" width="8.5703125" style="211" customWidth="1"/>
    <col min="10252" max="10252" width="6.7109375" style="211" customWidth="1"/>
    <col min="10253" max="10253" width="8.42578125" style="211" customWidth="1"/>
    <col min="10254" max="10254" width="6.7109375" style="211" customWidth="1"/>
    <col min="10255" max="10255" width="10" style="211" customWidth="1"/>
    <col min="10256" max="10256" width="6.7109375" style="211" customWidth="1"/>
    <col min="10257" max="10257" width="8.28515625" style="211" customWidth="1"/>
    <col min="10258" max="10258" width="7.7109375" style="211" customWidth="1"/>
    <col min="10259" max="10496" width="8.85546875" style="211"/>
    <col min="10497" max="10497" width="11.28515625" style="211" customWidth="1"/>
    <col min="10498" max="10498" width="10.42578125" style="211" customWidth="1"/>
    <col min="10499" max="10499" width="8.7109375" style="211" customWidth="1"/>
    <col min="10500" max="10500" width="8.5703125" style="211" customWidth="1"/>
    <col min="10501" max="10501" width="7" style="211" customWidth="1"/>
    <col min="10502" max="10502" width="8.28515625" style="211" customWidth="1"/>
    <col min="10503" max="10503" width="8.5703125" style="211" customWidth="1"/>
    <col min="10504" max="10504" width="7.140625" style="211" customWidth="1"/>
    <col min="10505" max="10505" width="11.7109375" style="211" customWidth="1"/>
    <col min="10506" max="10506" width="7.28515625" style="211" customWidth="1"/>
    <col min="10507" max="10507" width="8.5703125" style="211" customWidth="1"/>
    <col min="10508" max="10508" width="6.7109375" style="211" customWidth="1"/>
    <col min="10509" max="10509" width="8.42578125" style="211" customWidth="1"/>
    <col min="10510" max="10510" width="6.7109375" style="211" customWidth="1"/>
    <col min="10511" max="10511" width="10" style="211" customWidth="1"/>
    <col min="10512" max="10512" width="6.7109375" style="211" customWidth="1"/>
    <col min="10513" max="10513" width="8.28515625" style="211" customWidth="1"/>
    <col min="10514" max="10514" width="7.7109375" style="211" customWidth="1"/>
    <col min="10515" max="10752" width="8.85546875" style="211"/>
    <col min="10753" max="10753" width="11.28515625" style="211" customWidth="1"/>
    <col min="10754" max="10754" width="10.42578125" style="211" customWidth="1"/>
    <col min="10755" max="10755" width="8.7109375" style="211" customWidth="1"/>
    <col min="10756" max="10756" width="8.5703125" style="211" customWidth="1"/>
    <col min="10757" max="10757" width="7" style="211" customWidth="1"/>
    <col min="10758" max="10758" width="8.28515625" style="211" customWidth="1"/>
    <col min="10759" max="10759" width="8.5703125" style="211" customWidth="1"/>
    <col min="10760" max="10760" width="7.140625" style="211" customWidth="1"/>
    <col min="10761" max="10761" width="11.7109375" style="211" customWidth="1"/>
    <col min="10762" max="10762" width="7.28515625" style="211" customWidth="1"/>
    <col min="10763" max="10763" width="8.5703125" style="211" customWidth="1"/>
    <col min="10764" max="10764" width="6.7109375" style="211" customWidth="1"/>
    <col min="10765" max="10765" width="8.42578125" style="211" customWidth="1"/>
    <col min="10766" max="10766" width="6.7109375" style="211" customWidth="1"/>
    <col min="10767" max="10767" width="10" style="211" customWidth="1"/>
    <col min="10768" max="10768" width="6.7109375" style="211" customWidth="1"/>
    <col min="10769" max="10769" width="8.28515625" style="211" customWidth="1"/>
    <col min="10770" max="10770" width="7.7109375" style="211" customWidth="1"/>
    <col min="10771" max="11008" width="8.85546875" style="211"/>
    <col min="11009" max="11009" width="11.28515625" style="211" customWidth="1"/>
    <col min="11010" max="11010" width="10.42578125" style="211" customWidth="1"/>
    <col min="11011" max="11011" width="8.7109375" style="211" customWidth="1"/>
    <col min="11012" max="11012" width="8.5703125" style="211" customWidth="1"/>
    <col min="11013" max="11013" width="7" style="211" customWidth="1"/>
    <col min="11014" max="11014" width="8.28515625" style="211" customWidth="1"/>
    <col min="11015" max="11015" width="8.5703125" style="211" customWidth="1"/>
    <col min="11016" max="11016" width="7.140625" style="211" customWidth="1"/>
    <col min="11017" max="11017" width="11.7109375" style="211" customWidth="1"/>
    <col min="11018" max="11018" width="7.28515625" style="211" customWidth="1"/>
    <col min="11019" max="11019" width="8.5703125" style="211" customWidth="1"/>
    <col min="11020" max="11020" width="6.7109375" style="211" customWidth="1"/>
    <col min="11021" max="11021" width="8.42578125" style="211" customWidth="1"/>
    <col min="11022" max="11022" width="6.7109375" style="211" customWidth="1"/>
    <col min="11023" max="11023" width="10" style="211" customWidth="1"/>
    <col min="11024" max="11024" width="6.7109375" style="211" customWidth="1"/>
    <col min="11025" max="11025" width="8.28515625" style="211" customWidth="1"/>
    <col min="11026" max="11026" width="7.7109375" style="211" customWidth="1"/>
    <col min="11027" max="11264" width="8.85546875" style="211"/>
    <col min="11265" max="11265" width="11.28515625" style="211" customWidth="1"/>
    <col min="11266" max="11266" width="10.42578125" style="211" customWidth="1"/>
    <col min="11267" max="11267" width="8.7109375" style="211" customWidth="1"/>
    <col min="11268" max="11268" width="8.5703125" style="211" customWidth="1"/>
    <col min="11269" max="11269" width="7" style="211" customWidth="1"/>
    <col min="11270" max="11270" width="8.28515625" style="211" customWidth="1"/>
    <col min="11271" max="11271" width="8.5703125" style="211" customWidth="1"/>
    <col min="11272" max="11272" width="7.140625" style="211" customWidth="1"/>
    <col min="11273" max="11273" width="11.7109375" style="211" customWidth="1"/>
    <col min="11274" max="11274" width="7.28515625" style="211" customWidth="1"/>
    <col min="11275" max="11275" width="8.5703125" style="211" customWidth="1"/>
    <col min="11276" max="11276" width="6.7109375" style="211" customWidth="1"/>
    <col min="11277" max="11277" width="8.42578125" style="211" customWidth="1"/>
    <col min="11278" max="11278" width="6.7109375" style="211" customWidth="1"/>
    <col min="11279" max="11279" width="10" style="211" customWidth="1"/>
    <col min="11280" max="11280" width="6.7109375" style="211" customWidth="1"/>
    <col min="11281" max="11281" width="8.28515625" style="211" customWidth="1"/>
    <col min="11282" max="11282" width="7.7109375" style="211" customWidth="1"/>
    <col min="11283" max="11520" width="8.85546875" style="211"/>
    <col min="11521" max="11521" width="11.28515625" style="211" customWidth="1"/>
    <col min="11522" max="11522" width="10.42578125" style="211" customWidth="1"/>
    <col min="11523" max="11523" width="8.7109375" style="211" customWidth="1"/>
    <col min="11524" max="11524" width="8.5703125" style="211" customWidth="1"/>
    <col min="11525" max="11525" width="7" style="211" customWidth="1"/>
    <col min="11526" max="11526" width="8.28515625" style="211" customWidth="1"/>
    <col min="11527" max="11527" width="8.5703125" style="211" customWidth="1"/>
    <col min="11528" max="11528" width="7.140625" style="211" customWidth="1"/>
    <col min="11529" max="11529" width="11.7109375" style="211" customWidth="1"/>
    <col min="11530" max="11530" width="7.28515625" style="211" customWidth="1"/>
    <col min="11531" max="11531" width="8.5703125" style="211" customWidth="1"/>
    <col min="11532" max="11532" width="6.7109375" style="211" customWidth="1"/>
    <col min="11533" max="11533" width="8.42578125" style="211" customWidth="1"/>
    <col min="11534" max="11534" width="6.7109375" style="211" customWidth="1"/>
    <col min="11535" max="11535" width="10" style="211" customWidth="1"/>
    <col min="11536" max="11536" width="6.7109375" style="211" customWidth="1"/>
    <col min="11537" max="11537" width="8.28515625" style="211" customWidth="1"/>
    <col min="11538" max="11538" width="7.7109375" style="211" customWidth="1"/>
    <col min="11539" max="11776" width="8.85546875" style="211"/>
    <col min="11777" max="11777" width="11.28515625" style="211" customWidth="1"/>
    <col min="11778" max="11778" width="10.42578125" style="211" customWidth="1"/>
    <col min="11779" max="11779" width="8.7109375" style="211" customWidth="1"/>
    <col min="11780" max="11780" width="8.5703125" style="211" customWidth="1"/>
    <col min="11781" max="11781" width="7" style="211" customWidth="1"/>
    <col min="11782" max="11782" width="8.28515625" style="211" customWidth="1"/>
    <col min="11783" max="11783" width="8.5703125" style="211" customWidth="1"/>
    <col min="11784" max="11784" width="7.140625" style="211" customWidth="1"/>
    <col min="11785" max="11785" width="11.7109375" style="211" customWidth="1"/>
    <col min="11786" max="11786" width="7.28515625" style="211" customWidth="1"/>
    <col min="11787" max="11787" width="8.5703125" style="211" customWidth="1"/>
    <col min="11788" max="11788" width="6.7109375" style="211" customWidth="1"/>
    <col min="11789" max="11789" width="8.42578125" style="211" customWidth="1"/>
    <col min="11790" max="11790" width="6.7109375" style="211" customWidth="1"/>
    <col min="11791" max="11791" width="10" style="211" customWidth="1"/>
    <col min="11792" max="11792" width="6.7109375" style="211" customWidth="1"/>
    <col min="11793" max="11793" width="8.28515625" style="211" customWidth="1"/>
    <col min="11794" max="11794" width="7.7109375" style="211" customWidth="1"/>
    <col min="11795" max="12032" width="8.85546875" style="211"/>
    <col min="12033" max="12033" width="11.28515625" style="211" customWidth="1"/>
    <col min="12034" max="12034" width="10.42578125" style="211" customWidth="1"/>
    <col min="12035" max="12035" width="8.7109375" style="211" customWidth="1"/>
    <col min="12036" max="12036" width="8.5703125" style="211" customWidth="1"/>
    <col min="12037" max="12037" width="7" style="211" customWidth="1"/>
    <col min="12038" max="12038" width="8.28515625" style="211" customWidth="1"/>
    <col min="12039" max="12039" width="8.5703125" style="211" customWidth="1"/>
    <col min="12040" max="12040" width="7.140625" style="211" customWidth="1"/>
    <col min="12041" max="12041" width="11.7109375" style="211" customWidth="1"/>
    <col min="12042" max="12042" width="7.28515625" style="211" customWidth="1"/>
    <col min="12043" max="12043" width="8.5703125" style="211" customWidth="1"/>
    <col min="12044" max="12044" width="6.7109375" style="211" customWidth="1"/>
    <col min="12045" max="12045" width="8.42578125" style="211" customWidth="1"/>
    <col min="12046" max="12046" width="6.7109375" style="211" customWidth="1"/>
    <col min="12047" max="12047" width="10" style="211" customWidth="1"/>
    <col min="12048" max="12048" width="6.7109375" style="211" customWidth="1"/>
    <col min="12049" max="12049" width="8.28515625" style="211" customWidth="1"/>
    <col min="12050" max="12050" width="7.7109375" style="211" customWidth="1"/>
    <col min="12051" max="12288" width="8.85546875" style="211"/>
    <col min="12289" max="12289" width="11.28515625" style="211" customWidth="1"/>
    <col min="12290" max="12290" width="10.42578125" style="211" customWidth="1"/>
    <col min="12291" max="12291" width="8.7109375" style="211" customWidth="1"/>
    <col min="12292" max="12292" width="8.5703125" style="211" customWidth="1"/>
    <col min="12293" max="12293" width="7" style="211" customWidth="1"/>
    <col min="12294" max="12294" width="8.28515625" style="211" customWidth="1"/>
    <col min="12295" max="12295" width="8.5703125" style="211" customWidth="1"/>
    <col min="12296" max="12296" width="7.140625" style="211" customWidth="1"/>
    <col min="12297" max="12297" width="11.7109375" style="211" customWidth="1"/>
    <col min="12298" max="12298" width="7.28515625" style="211" customWidth="1"/>
    <col min="12299" max="12299" width="8.5703125" style="211" customWidth="1"/>
    <col min="12300" max="12300" width="6.7109375" style="211" customWidth="1"/>
    <col min="12301" max="12301" width="8.42578125" style="211" customWidth="1"/>
    <col min="12302" max="12302" width="6.7109375" style="211" customWidth="1"/>
    <col min="12303" max="12303" width="10" style="211" customWidth="1"/>
    <col min="12304" max="12304" width="6.7109375" style="211" customWidth="1"/>
    <col min="12305" max="12305" width="8.28515625" style="211" customWidth="1"/>
    <col min="12306" max="12306" width="7.7109375" style="211" customWidth="1"/>
    <col min="12307" max="12544" width="8.85546875" style="211"/>
    <col min="12545" max="12545" width="11.28515625" style="211" customWidth="1"/>
    <col min="12546" max="12546" width="10.42578125" style="211" customWidth="1"/>
    <col min="12547" max="12547" width="8.7109375" style="211" customWidth="1"/>
    <col min="12548" max="12548" width="8.5703125" style="211" customWidth="1"/>
    <col min="12549" max="12549" width="7" style="211" customWidth="1"/>
    <col min="12550" max="12550" width="8.28515625" style="211" customWidth="1"/>
    <col min="12551" max="12551" width="8.5703125" style="211" customWidth="1"/>
    <col min="12552" max="12552" width="7.140625" style="211" customWidth="1"/>
    <col min="12553" max="12553" width="11.7109375" style="211" customWidth="1"/>
    <col min="12554" max="12554" width="7.28515625" style="211" customWidth="1"/>
    <col min="12555" max="12555" width="8.5703125" style="211" customWidth="1"/>
    <col min="12556" max="12556" width="6.7109375" style="211" customWidth="1"/>
    <col min="12557" max="12557" width="8.42578125" style="211" customWidth="1"/>
    <col min="12558" max="12558" width="6.7109375" style="211" customWidth="1"/>
    <col min="12559" max="12559" width="10" style="211" customWidth="1"/>
    <col min="12560" max="12560" width="6.7109375" style="211" customWidth="1"/>
    <col min="12561" max="12561" width="8.28515625" style="211" customWidth="1"/>
    <col min="12562" max="12562" width="7.7109375" style="211" customWidth="1"/>
    <col min="12563" max="12800" width="8.85546875" style="211"/>
    <col min="12801" max="12801" width="11.28515625" style="211" customWidth="1"/>
    <col min="12802" max="12802" width="10.42578125" style="211" customWidth="1"/>
    <col min="12803" max="12803" width="8.7109375" style="211" customWidth="1"/>
    <col min="12804" max="12804" width="8.5703125" style="211" customWidth="1"/>
    <col min="12805" max="12805" width="7" style="211" customWidth="1"/>
    <col min="12806" max="12806" width="8.28515625" style="211" customWidth="1"/>
    <col min="12807" max="12807" width="8.5703125" style="211" customWidth="1"/>
    <col min="12808" max="12808" width="7.140625" style="211" customWidth="1"/>
    <col min="12809" max="12809" width="11.7109375" style="211" customWidth="1"/>
    <col min="12810" max="12810" width="7.28515625" style="211" customWidth="1"/>
    <col min="12811" max="12811" width="8.5703125" style="211" customWidth="1"/>
    <col min="12812" max="12812" width="6.7109375" style="211" customWidth="1"/>
    <col min="12813" max="12813" width="8.42578125" style="211" customWidth="1"/>
    <col min="12814" max="12814" width="6.7109375" style="211" customWidth="1"/>
    <col min="12815" max="12815" width="10" style="211" customWidth="1"/>
    <col min="12816" max="12816" width="6.7109375" style="211" customWidth="1"/>
    <col min="12817" max="12817" width="8.28515625" style="211" customWidth="1"/>
    <col min="12818" max="12818" width="7.7109375" style="211" customWidth="1"/>
    <col min="12819" max="13056" width="8.85546875" style="211"/>
    <col min="13057" max="13057" width="11.28515625" style="211" customWidth="1"/>
    <col min="13058" max="13058" width="10.42578125" style="211" customWidth="1"/>
    <col min="13059" max="13059" width="8.7109375" style="211" customWidth="1"/>
    <col min="13060" max="13060" width="8.5703125" style="211" customWidth="1"/>
    <col min="13061" max="13061" width="7" style="211" customWidth="1"/>
    <col min="13062" max="13062" width="8.28515625" style="211" customWidth="1"/>
    <col min="13063" max="13063" width="8.5703125" style="211" customWidth="1"/>
    <col min="13064" max="13064" width="7.140625" style="211" customWidth="1"/>
    <col min="13065" max="13065" width="11.7109375" style="211" customWidth="1"/>
    <col min="13066" max="13066" width="7.28515625" style="211" customWidth="1"/>
    <col min="13067" max="13067" width="8.5703125" style="211" customWidth="1"/>
    <col min="13068" max="13068" width="6.7109375" style="211" customWidth="1"/>
    <col min="13069" max="13069" width="8.42578125" style="211" customWidth="1"/>
    <col min="13070" max="13070" width="6.7109375" style="211" customWidth="1"/>
    <col min="13071" max="13071" width="10" style="211" customWidth="1"/>
    <col min="13072" max="13072" width="6.7109375" style="211" customWidth="1"/>
    <col min="13073" max="13073" width="8.28515625" style="211" customWidth="1"/>
    <col min="13074" max="13074" width="7.7109375" style="211" customWidth="1"/>
    <col min="13075" max="13312" width="8.85546875" style="211"/>
    <col min="13313" max="13313" width="11.28515625" style="211" customWidth="1"/>
    <col min="13314" max="13314" width="10.42578125" style="211" customWidth="1"/>
    <col min="13315" max="13315" width="8.7109375" style="211" customWidth="1"/>
    <col min="13316" max="13316" width="8.5703125" style="211" customWidth="1"/>
    <col min="13317" max="13317" width="7" style="211" customWidth="1"/>
    <col min="13318" max="13318" width="8.28515625" style="211" customWidth="1"/>
    <col min="13319" max="13319" width="8.5703125" style="211" customWidth="1"/>
    <col min="13320" max="13320" width="7.140625" style="211" customWidth="1"/>
    <col min="13321" max="13321" width="11.7109375" style="211" customWidth="1"/>
    <col min="13322" max="13322" width="7.28515625" style="211" customWidth="1"/>
    <col min="13323" max="13323" width="8.5703125" style="211" customWidth="1"/>
    <col min="13324" max="13324" width="6.7109375" style="211" customWidth="1"/>
    <col min="13325" max="13325" width="8.42578125" style="211" customWidth="1"/>
    <col min="13326" max="13326" width="6.7109375" style="211" customWidth="1"/>
    <col min="13327" max="13327" width="10" style="211" customWidth="1"/>
    <col min="13328" max="13328" width="6.7109375" style="211" customWidth="1"/>
    <col min="13329" max="13329" width="8.28515625" style="211" customWidth="1"/>
    <col min="13330" max="13330" width="7.7109375" style="211" customWidth="1"/>
    <col min="13331" max="13568" width="8.85546875" style="211"/>
    <col min="13569" max="13569" width="11.28515625" style="211" customWidth="1"/>
    <col min="13570" max="13570" width="10.42578125" style="211" customWidth="1"/>
    <col min="13571" max="13571" width="8.7109375" style="211" customWidth="1"/>
    <col min="13572" max="13572" width="8.5703125" style="211" customWidth="1"/>
    <col min="13573" max="13573" width="7" style="211" customWidth="1"/>
    <col min="13574" max="13574" width="8.28515625" style="211" customWidth="1"/>
    <col min="13575" max="13575" width="8.5703125" style="211" customWidth="1"/>
    <col min="13576" max="13576" width="7.140625" style="211" customWidth="1"/>
    <col min="13577" max="13577" width="11.7109375" style="211" customWidth="1"/>
    <col min="13578" max="13578" width="7.28515625" style="211" customWidth="1"/>
    <col min="13579" max="13579" width="8.5703125" style="211" customWidth="1"/>
    <col min="13580" max="13580" width="6.7109375" style="211" customWidth="1"/>
    <col min="13581" max="13581" width="8.42578125" style="211" customWidth="1"/>
    <col min="13582" max="13582" width="6.7109375" style="211" customWidth="1"/>
    <col min="13583" max="13583" width="10" style="211" customWidth="1"/>
    <col min="13584" max="13584" width="6.7109375" style="211" customWidth="1"/>
    <col min="13585" max="13585" width="8.28515625" style="211" customWidth="1"/>
    <col min="13586" max="13586" width="7.7109375" style="211" customWidth="1"/>
    <col min="13587" max="13824" width="8.85546875" style="211"/>
    <col min="13825" max="13825" width="11.28515625" style="211" customWidth="1"/>
    <col min="13826" max="13826" width="10.42578125" style="211" customWidth="1"/>
    <col min="13827" max="13827" width="8.7109375" style="211" customWidth="1"/>
    <col min="13828" max="13828" width="8.5703125" style="211" customWidth="1"/>
    <col min="13829" max="13829" width="7" style="211" customWidth="1"/>
    <col min="13830" max="13830" width="8.28515625" style="211" customWidth="1"/>
    <col min="13831" max="13831" width="8.5703125" style="211" customWidth="1"/>
    <col min="13832" max="13832" width="7.140625" style="211" customWidth="1"/>
    <col min="13833" max="13833" width="11.7109375" style="211" customWidth="1"/>
    <col min="13834" max="13834" width="7.28515625" style="211" customWidth="1"/>
    <col min="13835" max="13835" width="8.5703125" style="211" customWidth="1"/>
    <col min="13836" max="13836" width="6.7109375" style="211" customWidth="1"/>
    <col min="13837" max="13837" width="8.42578125" style="211" customWidth="1"/>
    <col min="13838" max="13838" width="6.7109375" style="211" customWidth="1"/>
    <col min="13839" max="13839" width="10" style="211" customWidth="1"/>
    <col min="13840" max="13840" width="6.7109375" style="211" customWidth="1"/>
    <col min="13841" max="13841" width="8.28515625" style="211" customWidth="1"/>
    <col min="13842" max="13842" width="7.7109375" style="211" customWidth="1"/>
    <col min="13843" max="14080" width="8.85546875" style="211"/>
    <col min="14081" max="14081" width="11.28515625" style="211" customWidth="1"/>
    <col min="14082" max="14082" width="10.42578125" style="211" customWidth="1"/>
    <col min="14083" max="14083" width="8.7109375" style="211" customWidth="1"/>
    <col min="14084" max="14084" width="8.5703125" style="211" customWidth="1"/>
    <col min="14085" max="14085" width="7" style="211" customWidth="1"/>
    <col min="14086" max="14086" width="8.28515625" style="211" customWidth="1"/>
    <col min="14087" max="14087" width="8.5703125" style="211" customWidth="1"/>
    <col min="14088" max="14088" width="7.140625" style="211" customWidth="1"/>
    <col min="14089" max="14089" width="11.7109375" style="211" customWidth="1"/>
    <col min="14090" max="14090" width="7.28515625" style="211" customWidth="1"/>
    <col min="14091" max="14091" width="8.5703125" style="211" customWidth="1"/>
    <col min="14092" max="14092" width="6.7109375" style="211" customWidth="1"/>
    <col min="14093" max="14093" width="8.42578125" style="211" customWidth="1"/>
    <col min="14094" max="14094" width="6.7109375" style="211" customWidth="1"/>
    <col min="14095" max="14095" width="10" style="211" customWidth="1"/>
    <col min="14096" max="14096" width="6.7109375" style="211" customWidth="1"/>
    <col min="14097" max="14097" width="8.28515625" style="211" customWidth="1"/>
    <col min="14098" max="14098" width="7.7109375" style="211" customWidth="1"/>
    <col min="14099" max="14336" width="8.85546875" style="211"/>
    <col min="14337" max="14337" width="11.28515625" style="211" customWidth="1"/>
    <col min="14338" max="14338" width="10.42578125" style="211" customWidth="1"/>
    <col min="14339" max="14339" width="8.7109375" style="211" customWidth="1"/>
    <col min="14340" max="14340" width="8.5703125" style="211" customWidth="1"/>
    <col min="14341" max="14341" width="7" style="211" customWidth="1"/>
    <col min="14342" max="14342" width="8.28515625" style="211" customWidth="1"/>
    <col min="14343" max="14343" width="8.5703125" style="211" customWidth="1"/>
    <col min="14344" max="14344" width="7.140625" style="211" customWidth="1"/>
    <col min="14345" max="14345" width="11.7109375" style="211" customWidth="1"/>
    <col min="14346" max="14346" width="7.28515625" style="211" customWidth="1"/>
    <col min="14347" max="14347" width="8.5703125" style="211" customWidth="1"/>
    <col min="14348" max="14348" width="6.7109375" style="211" customWidth="1"/>
    <col min="14349" max="14349" width="8.42578125" style="211" customWidth="1"/>
    <col min="14350" max="14350" width="6.7109375" style="211" customWidth="1"/>
    <col min="14351" max="14351" width="10" style="211" customWidth="1"/>
    <col min="14352" max="14352" width="6.7109375" style="211" customWidth="1"/>
    <col min="14353" max="14353" width="8.28515625" style="211" customWidth="1"/>
    <col min="14354" max="14354" width="7.7109375" style="211" customWidth="1"/>
    <col min="14355" max="14592" width="8.85546875" style="211"/>
    <col min="14593" max="14593" width="11.28515625" style="211" customWidth="1"/>
    <col min="14594" max="14594" width="10.42578125" style="211" customWidth="1"/>
    <col min="14595" max="14595" width="8.7109375" style="211" customWidth="1"/>
    <col min="14596" max="14596" width="8.5703125" style="211" customWidth="1"/>
    <col min="14597" max="14597" width="7" style="211" customWidth="1"/>
    <col min="14598" max="14598" width="8.28515625" style="211" customWidth="1"/>
    <col min="14599" max="14599" width="8.5703125" style="211" customWidth="1"/>
    <col min="14600" max="14600" width="7.140625" style="211" customWidth="1"/>
    <col min="14601" max="14601" width="11.7109375" style="211" customWidth="1"/>
    <col min="14602" max="14602" width="7.28515625" style="211" customWidth="1"/>
    <col min="14603" max="14603" width="8.5703125" style="211" customWidth="1"/>
    <col min="14604" max="14604" width="6.7109375" style="211" customWidth="1"/>
    <col min="14605" max="14605" width="8.42578125" style="211" customWidth="1"/>
    <col min="14606" max="14606" width="6.7109375" style="211" customWidth="1"/>
    <col min="14607" max="14607" width="10" style="211" customWidth="1"/>
    <col min="14608" max="14608" width="6.7109375" style="211" customWidth="1"/>
    <col min="14609" max="14609" width="8.28515625" style="211" customWidth="1"/>
    <col min="14610" max="14610" width="7.7109375" style="211" customWidth="1"/>
    <col min="14611" max="14848" width="8.85546875" style="211"/>
    <col min="14849" max="14849" width="11.28515625" style="211" customWidth="1"/>
    <col min="14850" max="14850" width="10.42578125" style="211" customWidth="1"/>
    <col min="14851" max="14851" width="8.7109375" style="211" customWidth="1"/>
    <col min="14852" max="14852" width="8.5703125" style="211" customWidth="1"/>
    <col min="14853" max="14853" width="7" style="211" customWidth="1"/>
    <col min="14854" max="14854" width="8.28515625" style="211" customWidth="1"/>
    <col min="14855" max="14855" width="8.5703125" style="211" customWidth="1"/>
    <col min="14856" max="14856" width="7.140625" style="211" customWidth="1"/>
    <col min="14857" max="14857" width="11.7109375" style="211" customWidth="1"/>
    <col min="14858" max="14858" width="7.28515625" style="211" customWidth="1"/>
    <col min="14859" max="14859" width="8.5703125" style="211" customWidth="1"/>
    <col min="14860" max="14860" width="6.7109375" style="211" customWidth="1"/>
    <col min="14861" max="14861" width="8.42578125" style="211" customWidth="1"/>
    <col min="14862" max="14862" width="6.7109375" style="211" customWidth="1"/>
    <col min="14863" max="14863" width="10" style="211" customWidth="1"/>
    <col min="14864" max="14864" width="6.7109375" style="211" customWidth="1"/>
    <col min="14865" max="14865" width="8.28515625" style="211" customWidth="1"/>
    <col min="14866" max="14866" width="7.7109375" style="211" customWidth="1"/>
    <col min="14867" max="15104" width="8.85546875" style="211"/>
    <col min="15105" max="15105" width="11.28515625" style="211" customWidth="1"/>
    <col min="15106" max="15106" width="10.42578125" style="211" customWidth="1"/>
    <col min="15107" max="15107" width="8.7109375" style="211" customWidth="1"/>
    <col min="15108" max="15108" width="8.5703125" style="211" customWidth="1"/>
    <col min="15109" max="15109" width="7" style="211" customWidth="1"/>
    <col min="15110" max="15110" width="8.28515625" style="211" customWidth="1"/>
    <col min="15111" max="15111" width="8.5703125" style="211" customWidth="1"/>
    <col min="15112" max="15112" width="7.140625" style="211" customWidth="1"/>
    <col min="15113" max="15113" width="11.7109375" style="211" customWidth="1"/>
    <col min="15114" max="15114" width="7.28515625" style="211" customWidth="1"/>
    <col min="15115" max="15115" width="8.5703125" style="211" customWidth="1"/>
    <col min="15116" max="15116" width="6.7109375" style="211" customWidth="1"/>
    <col min="15117" max="15117" width="8.42578125" style="211" customWidth="1"/>
    <col min="15118" max="15118" width="6.7109375" style="211" customWidth="1"/>
    <col min="15119" max="15119" width="10" style="211" customWidth="1"/>
    <col min="15120" max="15120" width="6.7109375" style="211" customWidth="1"/>
    <col min="15121" max="15121" width="8.28515625" style="211" customWidth="1"/>
    <col min="15122" max="15122" width="7.7109375" style="211" customWidth="1"/>
    <col min="15123" max="15360" width="8.85546875" style="211"/>
    <col min="15361" max="15361" width="11.28515625" style="211" customWidth="1"/>
    <col min="15362" max="15362" width="10.42578125" style="211" customWidth="1"/>
    <col min="15363" max="15363" width="8.7109375" style="211" customWidth="1"/>
    <col min="15364" max="15364" width="8.5703125" style="211" customWidth="1"/>
    <col min="15365" max="15365" width="7" style="211" customWidth="1"/>
    <col min="15366" max="15366" width="8.28515625" style="211" customWidth="1"/>
    <col min="15367" max="15367" width="8.5703125" style="211" customWidth="1"/>
    <col min="15368" max="15368" width="7.140625" style="211" customWidth="1"/>
    <col min="15369" max="15369" width="11.7109375" style="211" customWidth="1"/>
    <col min="15370" max="15370" width="7.28515625" style="211" customWidth="1"/>
    <col min="15371" max="15371" width="8.5703125" style="211" customWidth="1"/>
    <col min="15372" max="15372" width="6.7109375" style="211" customWidth="1"/>
    <col min="15373" max="15373" width="8.42578125" style="211" customWidth="1"/>
    <col min="15374" max="15374" width="6.7109375" style="211" customWidth="1"/>
    <col min="15375" max="15375" width="10" style="211" customWidth="1"/>
    <col min="15376" max="15376" width="6.7109375" style="211" customWidth="1"/>
    <col min="15377" max="15377" width="8.28515625" style="211" customWidth="1"/>
    <col min="15378" max="15378" width="7.7109375" style="211" customWidth="1"/>
    <col min="15379" max="15616" width="8.85546875" style="211"/>
    <col min="15617" max="15617" width="11.28515625" style="211" customWidth="1"/>
    <col min="15618" max="15618" width="10.42578125" style="211" customWidth="1"/>
    <col min="15619" max="15619" width="8.7109375" style="211" customWidth="1"/>
    <col min="15620" max="15620" width="8.5703125" style="211" customWidth="1"/>
    <col min="15621" max="15621" width="7" style="211" customWidth="1"/>
    <col min="15622" max="15622" width="8.28515625" style="211" customWidth="1"/>
    <col min="15623" max="15623" width="8.5703125" style="211" customWidth="1"/>
    <col min="15624" max="15624" width="7.140625" style="211" customWidth="1"/>
    <col min="15625" max="15625" width="11.7109375" style="211" customWidth="1"/>
    <col min="15626" max="15626" width="7.28515625" style="211" customWidth="1"/>
    <col min="15627" max="15627" width="8.5703125" style="211" customWidth="1"/>
    <col min="15628" max="15628" width="6.7109375" style="211" customWidth="1"/>
    <col min="15629" max="15629" width="8.42578125" style="211" customWidth="1"/>
    <col min="15630" max="15630" width="6.7109375" style="211" customWidth="1"/>
    <col min="15631" max="15631" width="10" style="211" customWidth="1"/>
    <col min="15632" max="15632" width="6.7109375" style="211" customWidth="1"/>
    <col min="15633" max="15633" width="8.28515625" style="211" customWidth="1"/>
    <col min="15634" max="15634" width="7.7109375" style="211" customWidth="1"/>
    <col min="15635" max="15872" width="8.85546875" style="211"/>
    <col min="15873" max="15873" width="11.28515625" style="211" customWidth="1"/>
    <col min="15874" max="15874" width="10.42578125" style="211" customWidth="1"/>
    <col min="15875" max="15875" width="8.7109375" style="211" customWidth="1"/>
    <col min="15876" max="15876" width="8.5703125" style="211" customWidth="1"/>
    <col min="15877" max="15877" width="7" style="211" customWidth="1"/>
    <col min="15878" max="15878" width="8.28515625" style="211" customWidth="1"/>
    <col min="15879" max="15879" width="8.5703125" style="211" customWidth="1"/>
    <col min="15880" max="15880" width="7.140625" style="211" customWidth="1"/>
    <col min="15881" max="15881" width="11.7109375" style="211" customWidth="1"/>
    <col min="15882" max="15882" width="7.28515625" style="211" customWidth="1"/>
    <col min="15883" max="15883" width="8.5703125" style="211" customWidth="1"/>
    <col min="15884" max="15884" width="6.7109375" style="211" customWidth="1"/>
    <col min="15885" max="15885" width="8.42578125" style="211" customWidth="1"/>
    <col min="15886" max="15886" width="6.7109375" style="211" customWidth="1"/>
    <col min="15887" max="15887" width="10" style="211" customWidth="1"/>
    <col min="15888" max="15888" width="6.7109375" style="211" customWidth="1"/>
    <col min="15889" max="15889" width="8.28515625" style="211" customWidth="1"/>
    <col min="15890" max="15890" width="7.7109375" style="211" customWidth="1"/>
    <col min="15891" max="16128" width="8.85546875" style="211"/>
    <col min="16129" max="16129" width="11.28515625" style="211" customWidth="1"/>
    <col min="16130" max="16130" width="10.42578125" style="211" customWidth="1"/>
    <col min="16131" max="16131" width="8.7109375" style="211" customWidth="1"/>
    <col min="16132" max="16132" width="8.5703125" style="211" customWidth="1"/>
    <col min="16133" max="16133" width="7" style="211" customWidth="1"/>
    <col min="16134" max="16134" width="8.28515625" style="211" customWidth="1"/>
    <col min="16135" max="16135" width="8.5703125" style="211" customWidth="1"/>
    <col min="16136" max="16136" width="7.140625" style="211" customWidth="1"/>
    <col min="16137" max="16137" width="11.7109375" style="211" customWidth="1"/>
    <col min="16138" max="16138" width="7.28515625" style="211" customWidth="1"/>
    <col min="16139" max="16139" width="8.5703125" style="211" customWidth="1"/>
    <col min="16140" max="16140" width="6.7109375" style="211" customWidth="1"/>
    <col min="16141" max="16141" width="8.42578125" style="211" customWidth="1"/>
    <col min="16142" max="16142" width="6.7109375" style="211" customWidth="1"/>
    <col min="16143" max="16143" width="10" style="211" customWidth="1"/>
    <col min="16144" max="16144" width="6.7109375" style="211" customWidth="1"/>
    <col min="16145" max="16145" width="8.28515625" style="211" customWidth="1"/>
    <col min="16146" max="16146" width="7.7109375" style="211" customWidth="1"/>
    <col min="16147" max="16384" width="8.85546875" style="211"/>
  </cols>
  <sheetData>
    <row r="1" spans="1:19" ht="15" customHeight="1"/>
    <row r="2" spans="1:19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19" ht="12" customHeight="1">
      <c r="E3" s="1285" t="s">
        <v>168</v>
      </c>
      <c r="F3" s="1285"/>
      <c r="G3" s="1285"/>
      <c r="H3" s="1285"/>
      <c r="I3" s="1285"/>
      <c r="J3" s="1285"/>
    </row>
    <row r="4" spans="1:19" ht="12" customHeight="1">
      <c r="A4" s="1256" t="s">
        <v>1900</v>
      </c>
      <c r="B4" s="1256"/>
      <c r="C4" s="1257"/>
      <c r="D4" s="1286" t="s">
        <v>1870</v>
      </c>
      <c r="E4" s="1287"/>
      <c r="F4" s="1288"/>
      <c r="G4" s="212"/>
      <c r="H4" s="212" t="s">
        <v>1902</v>
      </c>
      <c r="I4" s="212"/>
      <c r="J4" s="212"/>
      <c r="K4" s="1289" t="s">
        <v>1983</v>
      </c>
      <c r="L4" s="1290"/>
      <c r="M4" s="1291"/>
      <c r="N4" s="212" t="s">
        <v>5</v>
      </c>
      <c r="O4" s="212"/>
      <c r="P4" s="215">
        <v>384.154</v>
      </c>
      <c r="Q4" s="214" t="s">
        <v>436</v>
      </c>
      <c r="R4" s="214"/>
      <c r="S4" s="212"/>
    </row>
    <row r="5" spans="1:19" ht="12" customHeight="1">
      <c r="A5" s="808" t="s">
        <v>4176</v>
      </c>
      <c r="B5" s="808"/>
      <c r="C5" s="808"/>
      <c r="D5" s="516"/>
      <c r="E5" s="516"/>
      <c r="F5" s="516"/>
      <c r="G5" s="212"/>
      <c r="H5" s="212"/>
      <c r="I5" s="212"/>
      <c r="J5" s="212"/>
      <c r="K5" s="516"/>
      <c r="L5" s="516"/>
      <c r="M5" s="516"/>
      <c r="N5" s="212"/>
      <c r="O5" s="212"/>
      <c r="P5" s="212"/>
      <c r="Q5" s="214"/>
      <c r="R5" s="215">
        <v>80</v>
      </c>
      <c r="S5" s="212"/>
    </row>
    <row r="6" spans="1:19" ht="12" customHeight="1">
      <c r="A6" s="212" t="s">
        <v>832</v>
      </c>
      <c r="B6" s="212"/>
      <c r="C6" s="212"/>
      <c r="D6" s="1266" t="s">
        <v>1984</v>
      </c>
      <c r="E6" s="1267"/>
      <c r="F6" s="1268"/>
      <c r="G6" s="212"/>
      <c r="H6" s="212" t="s">
        <v>1208</v>
      </c>
      <c r="I6" s="212"/>
      <c r="J6" s="212"/>
      <c r="K6" s="1266" t="s">
        <v>1985</v>
      </c>
      <c r="L6" s="1267"/>
      <c r="M6" s="1268"/>
      <c r="N6" s="212"/>
      <c r="O6" s="212"/>
      <c r="P6" s="212"/>
      <c r="Q6" s="212"/>
      <c r="R6" s="212"/>
      <c r="S6" s="212"/>
    </row>
    <row r="7" spans="1:19" ht="12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</row>
    <row r="8" spans="1:19" ht="12" customHeight="1">
      <c r="A8" s="212" t="s">
        <v>1906</v>
      </c>
      <c r="B8" s="212"/>
      <c r="C8" s="212"/>
      <c r="D8" s="1251"/>
      <c r="E8" s="1252"/>
      <c r="F8" s="1253"/>
      <c r="G8" s="212"/>
      <c r="H8" s="1264" t="s">
        <v>1908</v>
      </c>
      <c r="I8" s="1264"/>
      <c r="J8" s="1264"/>
      <c r="K8" s="1325" t="s">
        <v>1986</v>
      </c>
      <c r="L8" s="1326"/>
      <c r="M8" s="1326"/>
      <c r="N8" s="1326"/>
      <c r="O8" s="1327"/>
      <c r="P8" s="212"/>
      <c r="Q8" s="212"/>
      <c r="R8" s="212"/>
      <c r="S8" s="212"/>
    </row>
    <row r="9" spans="1:19" ht="12" customHeight="1">
      <c r="A9" s="212"/>
      <c r="B9" s="212"/>
      <c r="C9" s="212"/>
      <c r="D9" s="212"/>
      <c r="E9" s="212"/>
      <c r="F9" s="212"/>
      <c r="G9" s="212"/>
      <c r="H9" s="1264"/>
      <c r="I9" s="1264"/>
      <c r="J9" s="1264"/>
      <c r="K9" s="1328"/>
      <c r="L9" s="1329"/>
      <c r="M9" s="1329"/>
      <c r="N9" s="1329"/>
      <c r="O9" s="1330"/>
      <c r="P9" s="212"/>
      <c r="Q9" s="212"/>
      <c r="R9" s="212"/>
      <c r="S9" s="212"/>
    </row>
    <row r="10" spans="1:19" ht="12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</row>
    <row r="11" spans="1:19" ht="12" customHeight="1">
      <c r="A11" s="1266" t="s">
        <v>1909</v>
      </c>
      <c r="B11" s="1267"/>
      <c r="C11" s="1267"/>
      <c r="D11" s="1269" t="s">
        <v>1987</v>
      </c>
      <c r="E11" s="1269"/>
      <c r="F11" s="1269"/>
      <c r="G11" s="1269"/>
      <c r="H11" s="1269"/>
      <c r="I11" s="1269"/>
      <c r="J11" s="1269" t="s">
        <v>1988</v>
      </c>
      <c r="K11" s="1269"/>
      <c r="L11" s="1269"/>
      <c r="M11" s="1269"/>
      <c r="N11" s="1269"/>
      <c r="O11" s="1269"/>
      <c r="P11" s="212"/>
      <c r="Q11" s="212"/>
      <c r="R11" s="212"/>
      <c r="S11" s="212"/>
    </row>
    <row r="12" spans="1:19" ht="12" customHeight="1">
      <c r="A12" s="1266" t="s">
        <v>1346</v>
      </c>
      <c r="B12" s="1267"/>
      <c r="C12" s="1267"/>
      <c r="D12" s="1269" t="s">
        <v>1989</v>
      </c>
      <c r="E12" s="1269"/>
      <c r="F12" s="1269"/>
      <c r="G12" s="1269"/>
      <c r="H12" s="1269"/>
      <c r="I12" s="1269"/>
      <c r="J12" s="1269" t="s">
        <v>797</v>
      </c>
      <c r="K12" s="1269"/>
      <c r="L12" s="1269"/>
      <c r="M12" s="1269"/>
      <c r="N12" s="1269"/>
      <c r="O12" s="1269"/>
      <c r="P12" s="212"/>
      <c r="Q12" s="212"/>
      <c r="R12" s="212"/>
      <c r="S12" s="212"/>
    </row>
    <row r="13" spans="1:19" ht="12" customHeight="1">
      <c r="A13" s="1266" t="s">
        <v>844</v>
      </c>
      <c r="B13" s="1267"/>
      <c r="C13" s="1267"/>
      <c r="D13" s="1269" t="s">
        <v>1990</v>
      </c>
      <c r="E13" s="1269"/>
      <c r="F13" s="1269"/>
      <c r="G13" s="1269"/>
      <c r="H13" s="1269"/>
      <c r="I13" s="1269"/>
      <c r="J13" s="1269" t="s">
        <v>1907</v>
      </c>
      <c r="K13" s="1269"/>
      <c r="L13" s="1269"/>
      <c r="M13" s="1269"/>
      <c r="N13" s="1269"/>
      <c r="O13" s="1269"/>
      <c r="P13" s="212"/>
      <c r="Q13" s="212"/>
      <c r="R13" s="212"/>
      <c r="S13" s="212"/>
    </row>
    <row r="14" spans="1:19" ht="12" customHeight="1">
      <c r="A14" s="1269" t="s">
        <v>1196</v>
      </c>
      <c r="B14" s="1269"/>
      <c r="C14" s="1269"/>
      <c r="D14" s="1269" t="s">
        <v>1907</v>
      </c>
      <c r="E14" s="1269"/>
      <c r="F14" s="1269"/>
      <c r="G14" s="1269"/>
      <c r="H14" s="1269"/>
      <c r="I14" s="1269"/>
      <c r="J14" s="1269" t="s">
        <v>1907</v>
      </c>
      <c r="K14" s="1269"/>
      <c r="L14" s="1269"/>
      <c r="M14" s="1269"/>
      <c r="N14" s="1269"/>
      <c r="O14" s="1269"/>
      <c r="P14" s="212"/>
      <c r="Q14" s="212"/>
      <c r="R14" s="212"/>
      <c r="S14" s="212"/>
    </row>
    <row r="15" spans="1:19" ht="12" customHeight="1">
      <c r="A15" s="212"/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2"/>
      <c r="R15" s="212"/>
      <c r="S15" s="212"/>
    </row>
    <row r="16" spans="1:19" ht="12" customHeight="1">
      <c r="A16" s="212" t="s">
        <v>1916</v>
      </c>
      <c r="B16" s="212"/>
      <c r="C16" s="212"/>
      <c r="D16" s="215">
        <v>2</v>
      </c>
      <c r="E16" s="212" t="s">
        <v>1917</v>
      </c>
      <c r="F16" s="212"/>
      <c r="G16" s="212"/>
      <c r="H16" s="215">
        <v>2</v>
      </c>
      <c r="I16" s="212" t="s">
        <v>1918</v>
      </c>
      <c r="J16" s="215">
        <v>9</v>
      </c>
      <c r="K16" s="212" t="s">
        <v>1492</v>
      </c>
      <c r="L16" s="215">
        <v>1</v>
      </c>
      <c r="M16" s="212" t="s">
        <v>1493</v>
      </c>
      <c r="N16" s="1270">
        <v>5</v>
      </c>
      <c r="O16" s="1270"/>
      <c r="P16" s="212"/>
      <c r="Q16" s="212"/>
      <c r="R16" s="212"/>
      <c r="S16" s="212"/>
    </row>
    <row r="17" spans="1:19" ht="12" customHeight="1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</row>
    <row r="18" spans="1:19" ht="12" customHeight="1">
      <c r="A18" s="1271" t="s">
        <v>203</v>
      </c>
      <c r="B18" s="1271"/>
      <c r="C18" s="212"/>
      <c r="D18" s="212" t="s">
        <v>204</v>
      </c>
      <c r="E18" s="215">
        <v>33</v>
      </c>
      <c r="F18" s="212" t="s">
        <v>205</v>
      </c>
      <c r="G18" s="215">
        <v>84</v>
      </c>
      <c r="H18" s="1272" t="s">
        <v>206</v>
      </c>
      <c r="I18" s="1271"/>
      <c r="J18" s="215">
        <v>0</v>
      </c>
      <c r="K18" s="1272" t="s">
        <v>245</v>
      </c>
      <c r="L18" s="1271"/>
      <c r="M18" s="556">
        <v>117</v>
      </c>
      <c r="N18" s="212" t="s">
        <v>207</v>
      </c>
      <c r="O18" s="215">
        <v>8</v>
      </c>
      <c r="P18" s="514" t="s">
        <v>855</v>
      </c>
      <c r="Q18" s="514"/>
      <c r="R18" s="215">
        <v>7</v>
      </c>
      <c r="S18" s="212"/>
    </row>
    <row r="19" spans="1:19" ht="12" customHeight="1">
      <c r="A19" s="1271" t="s">
        <v>1029</v>
      </c>
      <c r="B19" s="1271"/>
      <c r="C19" s="212"/>
      <c r="D19" s="212" t="s">
        <v>210</v>
      </c>
      <c r="E19" s="215">
        <v>97</v>
      </c>
      <c r="F19" s="212" t="s">
        <v>1919</v>
      </c>
      <c r="G19" s="215">
        <v>248</v>
      </c>
      <c r="H19" s="514" t="s">
        <v>212</v>
      </c>
      <c r="I19" s="514"/>
      <c r="J19" s="215">
        <v>0</v>
      </c>
      <c r="K19" s="1272" t="s">
        <v>1920</v>
      </c>
      <c r="L19" s="1271"/>
      <c r="M19" s="215">
        <v>345</v>
      </c>
      <c r="N19" s="212"/>
      <c r="O19" s="212"/>
      <c r="P19" s="212"/>
      <c r="Q19" s="212"/>
      <c r="R19" s="214"/>
      <c r="S19" s="212"/>
    </row>
    <row r="20" spans="1:19" ht="12" customHeight="1">
      <c r="A20" s="212"/>
      <c r="B20" s="212"/>
      <c r="C20" s="212"/>
      <c r="D20" s="212" t="s">
        <v>213</v>
      </c>
      <c r="E20" s="215">
        <v>319</v>
      </c>
      <c r="F20" s="212" t="s">
        <v>214</v>
      </c>
      <c r="G20" s="215">
        <v>256</v>
      </c>
      <c r="H20" s="1272" t="s">
        <v>215</v>
      </c>
      <c r="I20" s="1271"/>
      <c r="J20" s="215">
        <v>0</v>
      </c>
      <c r="K20" s="1272" t="s">
        <v>1921</v>
      </c>
      <c r="L20" s="1271"/>
      <c r="M20" s="215">
        <v>575</v>
      </c>
      <c r="N20" s="212"/>
      <c r="O20" s="212"/>
      <c r="P20" s="212"/>
      <c r="Q20" s="212"/>
      <c r="R20" s="212"/>
      <c r="S20" s="212"/>
    </row>
    <row r="21" spans="1:19" ht="12" customHeigh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</row>
    <row r="22" spans="1:19" ht="12" customHeight="1">
      <c r="A22" s="1332" t="s">
        <v>409</v>
      </c>
      <c r="B22" s="133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</row>
    <row r="23" spans="1:19" s="217" customFormat="1" ht="12" customHeight="1">
      <c r="A23" s="1274" t="s">
        <v>217</v>
      </c>
      <c r="B23" s="1275"/>
      <c r="C23" s="1276"/>
      <c r="D23" s="1333" t="s">
        <v>1922</v>
      </c>
      <c r="E23" s="1333" t="s">
        <v>219</v>
      </c>
      <c r="F23" s="1333" t="s">
        <v>1923</v>
      </c>
      <c r="G23" s="1333" t="s">
        <v>1924</v>
      </c>
      <c r="H23" s="1334" t="s">
        <v>1925</v>
      </c>
      <c r="I23" s="1334"/>
      <c r="J23" s="1334"/>
      <c r="K23" s="1334"/>
      <c r="L23" s="1334"/>
      <c r="M23" s="1334"/>
      <c r="N23" s="1334"/>
      <c r="O23" s="1334"/>
      <c r="P23" s="1334"/>
      <c r="Q23" s="216"/>
      <c r="R23" s="216"/>
      <c r="S23" s="216"/>
    </row>
    <row r="24" spans="1:19" s="217" customFormat="1" ht="31.15" customHeight="1">
      <c r="A24" s="1277"/>
      <c r="B24" s="1278"/>
      <c r="C24" s="1279"/>
      <c r="D24" s="1333"/>
      <c r="E24" s="1333"/>
      <c r="F24" s="1333"/>
      <c r="G24" s="1333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517" t="s">
        <v>230</v>
      </c>
      <c r="P24" s="517" t="s">
        <v>662</v>
      </c>
      <c r="Q24" s="216"/>
      <c r="R24" s="216"/>
      <c r="S24" s="216"/>
    </row>
    <row r="25" spans="1:19" ht="12" customHeight="1">
      <c r="A25" s="1269" t="s">
        <v>232</v>
      </c>
      <c r="B25" s="1269"/>
      <c r="C25" s="1269"/>
      <c r="D25" s="218">
        <v>8000</v>
      </c>
      <c r="E25" s="513" t="s">
        <v>233</v>
      </c>
      <c r="F25" s="219">
        <v>30.732320000000001</v>
      </c>
      <c r="G25" s="220">
        <v>12.28</v>
      </c>
      <c r="H25" s="220">
        <v>0</v>
      </c>
      <c r="I25" s="220">
        <v>0</v>
      </c>
      <c r="J25" s="220">
        <v>3.17658</v>
      </c>
      <c r="K25" s="220">
        <v>7.5640999999999998</v>
      </c>
      <c r="L25" s="220">
        <v>0</v>
      </c>
      <c r="M25" s="220">
        <v>0</v>
      </c>
      <c r="N25" s="220">
        <v>0</v>
      </c>
      <c r="O25" s="219">
        <v>10.740679999999999</v>
      </c>
      <c r="P25" s="220">
        <v>87.464820846905539</v>
      </c>
      <c r="Q25" s="212"/>
      <c r="R25" s="212"/>
      <c r="S25" s="212"/>
    </row>
    <row r="26" spans="1:19" ht="12" customHeight="1">
      <c r="A26" s="1269" t="s">
        <v>234</v>
      </c>
      <c r="B26" s="1269"/>
      <c r="C26" s="1269"/>
      <c r="D26" s="218">
        <v>7000</v>
      </c>
      <c r="E26" s="513" t="s">
        <v>233</v>
      </c>
      <c r="F26" s="219">
        <v>2.2280932</v>
      </c>
      <c r="G26" s="220">
        <v>0</v>
      </c>
      <c r="H26" s="220">
        <v>0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19">
        <v>0</v>
      </c>
      <c r="P26" s="220">
        <v>0</v>
      </c>
      <c r="Q26" s="212"/>
      <c r="R26" s="212"/>
      <c r="S26" s="212"/>
    </row>
    <row r="27" spans="1:19" ht="12" customHeight="1">
      <c r="A27" s="1269" t="s">
        <v>235</v>
      </c>
      <c r="B27" s="1269"/>
      <c r="C27" s="1269"/>
      <c r="D27" s="218">
        <v>43000</v>
      </c>
      <c r="E27" s="513" t="s">
        <v>236</v>
      </c>
      <c r="F27" s="219">
        <v>0.43</v>
      </c>
      <c r="G27" s="220">
        <v>0.18</v>
      </c>
      <c r="H27" s="220">
        <v>0</v>
      </c>
      <c r="I27" s="220">
        <v>0</v>
      </c>
      <c r="J27" s="220">
        <v>0</v>
      </c>
      <c r="K27" s="220">
        <v>0.18</v>
      </c>
      <c r="L27" s="220">
        <v>0</v>
      </c>
      <c r="M27" s="220">
        <v>0</v>
      </c>
      <c r="N27" s="220">
        <v>0</v>
      </c>
      <c r="O27" s="219">
        <v>0.18</v>
      </c>
      <c r="P27" s="220">
        <v>100</v>
      </c>
      <c r="Q27" s="212"/>
      <c r="R27" s="212"/>
      <c r="S27" s="212"/>
    </row>
    <row r="28" spans="1:19" ht="12" customHeight="1">
      <c r="A28" s="1269" t="s">
        <v>237</v>
      </c>
      <c r="B28" s="1269"/>
      <c r="C28" s="1269"/>
      <c r="D28" s="218">
        <v>34000</v>
      </c>
      <c r="E28" s="513" t="s">
        <v>236</v>
      </c>
      <c r="F28" s="219">
        <v>0.34</v>
      </c>
      <c r="G28" s="220">
        <v>0.16</v>
      </c>
      <c r="H28" s="220">
        <v>0</v>
      </c>
      <c r="I28" s="220">
        <v>0</v>
      </c>
      <c r="J28" s="220">
        <v>0</v>
      </c>
      <c r="K28" s="220">
        <v>0.16</v>
      </c>
      <c r="L28" s="220">
        <v>0</v>
      </c>
      <c r="M28" s="220">
        <v>0</v>
      </c>
      <c r="N28" s="220">
        <v>0</v>
      </c>
      <c r="O28" s="219">
        <v>0.16</v>
      </c>
      <c r="P28" s="220">
        <v>100</v>
      </c>
      <c r="Q28" s="212"/>
      <c r="R28" s="212"/>
      <c r="S28" s="212"/>
    </row>
    <row r="29" spans="1:19" ht="12" customHeight="1">
      <c r="A29" s="1269" t="s">
        <v>238</v>
      </c>
      <c r="B29" s="1269"/>
      <c r="C29" s="1269"/>
      <c r="D29" s="218">
        <v>1200</v>
      </c>
      <c r="E29" s="513" t="s">
        <v>233</v>
      </c>
      <c r="F29" s="219">
        <v>4.6098479999999995</v>
      </c>
      <c r="G29" s="220">
        <v>2</v>
      </c>
      <c r="H29" s="220">
        <v>0</v>
      </c>
      <c r="I29" s="220">
        <v>0</v>
      </c>
      <c r="J29" s="220">
        <v>0</v>
      </c>
      <c r="K29" s="220">
        <v>1.4692000000000001</v>
      </c>
      <c r="L29" s="220">
        <v>0</v>
      </c>
      <c r="M29" s="220">
        <v>0</v>
      </c>
      <c r="N29" s="220">
        <v>0</v>
      </c>
      <c r="O29" s="219">
        <v>1.4692000000000001</v>
      </c>
      <c r="P29" s="220">
        <v>73.460000000000008</v>
      </c>
      <c r="Q29" s="212"/>
      <c r="R29" s="212"/>
      <c r="S29" s="212"/>
    </row>
    <row r="30" spans="1:19" ht="12" customHeight="1">
      <c r="A30" s="1269" t="s">
        <v>667</v>
      </c>
      <c r="B30" s="1269"/>
      <c r="C30" s="1269"/>
      <c r="D30" s="218">
        <v>565</v>
      </c>
      <c r="E30" s="513" t="s">
        <v>233</v>
      </c>
      <c r="F30" s="219">
        <v>2.1704701000000002</v>
      </c>
      <c r="G30" s="220">
        <v>2.1128399999999998</v>
      </c>
      <c r="H30" s="220">
        <v>0</v>
      </c>
      <c r="I30" s="220">
        <v>0</v>
      </c>
      <c r="J30" s="220">
        <v>0</v>
      </c>
      <c r="K30" s="220">
        <v>2.1128399999999998</v>
      </c>
      <c r="L30" s="220">
        <v>0</v>
      </c>
      <c r="M30" s="220">
        <v>0</v>
      </c>
      <c r="N30" s="220">
        <v>0</v>
      </c>
      <c r="O30" s="219">
        <v>2.1128399999999998</v>
      </c>
      <c r="P30" s="220">
        <v>100</v>
      </c>
      <c r="Q30" s="212"/>
      <c r="R30" s="212"/>
      <c r="S30" s="212"/>
    </row>
    <row r="31" spans="1:19" ht="12" customHeight="1">
      <c r="A31" s="1269" t="s">
        <v>1503</v>
      </c>
      <c r="B31" s="1269"/>
      <c r="C31" s="1269"/>
      <c r="D31" s="218">
        <v>1000</v>
      </c>
      <c r="E31" s="513" t="s">
        <v>233</v>
      </c>
      <c r="F31" s="219">
        <v>3.8415400000000002</v>
      </c>
      <c r="G31" s="220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19">
        <v>0</v>
      </c>
      <c r="P31" s="220">
        <v>0</v>
      </c>
      <c r="Q31" s="212"/>
      <c r="R31" s="212"/>
      <c r="S31" s="212"/>
    </row>
    <row r="32" spans="1:19" ht="12" customHeight="1">
      <c r="A32" s="1269" t="s">
        <v>394</v>
      </c>
      <c r="B32" s="1269"/>
      <c r="C32" s="1269"/>
      <c r="D32" s="218">
        <v>2750</v>
      </c>
      <c r="E32" s="513" t="s">
        <v>242</v>
      </c>
      <c r="F32" s="219">
        <v>2.1</v>
      </c>
      <c r="G32" s="220">
        <v>0.41249999999999998</v>
      </c>
      <c r="H32" s="220">
        <v>0</v>
      </c>
      <c r="I32" s="220">
        <v>0</v>
      </c>
      <c r="J32" s="220">
        <v>9.999999999999995E-3</v>
      </c>
      <c r="K32" s="220">
        <v>0.375</v>
      </c>
      <c r="L32" s="220">
        <v>0</v>
      </c>
      <c r="M32" s="220">
        <v>0</v>
      </c>
      <c r="N32" s="220">
        <v>0</v>
      </c>
      <c r="O32" s="219">
        <v>0.38500000000000001</v>
      </c>
      <c r="P32" s="220">
        <v>93.333333333333343</v>
      </c>
      <c r="Q32" s="212"/>
      <c r="R32" s="212"/>
      <c r="S32" s="212"/>
    </row>
    <row r="33" spans="1:19" ht="12" customHeight="1">
      <c r="A33" s="1269" t="s">
        <v>670</v>
      </c>
      <c r="B33" s="1269"/>
      <c r="C33" s="1269"/>
      <c r="D33" s="218">
        <v>10000</v>
      </c>
      <c r="E33" s="513" t="s">
        <v>244</v>
      </c>
      <c r="F33" s="219">
        <v>0.1</v>
      </c>
      <c r="G33" s="220">
        <v>0.1</v>
      </c>
      <c r="H33" s="220">
        <v>0</v>
      </c>
      <c r="I33" s="220">
        <v>0</v>
      </c>
      <c r="J33" s="220">
        <v>0.1</v>
      </c>
      <c r="K33" s="220">
        <v>0</v>
      </c>
      <c r="L33" s="220">
        <v>0</v>
      </c>
      <c r="M33" s="220">
        <v>0</v>
      </c>
      <c r="N33" s="220">
        <v>0</v>
      </c>
      <c r="O33" s="219">
        <v>0.1</v>
      </c>
      <c r="P33" s="220">
        <v>100</v>
      </c>
      <c r="Q33" s="212"/>
      <c r="R33" s="212"/>
      <c r="S33" s="212"/>
    </row>
    <row r="34" spans="1:19" s="224" customFormat="1" ht="12" customHeight="1">
      <c r="A34" s="1258" t="s">
        <v>230</v>
      </c>
      <c r="B34" s="1259"/>
      <c r="C34" s="1260"/>
      <c r="D34" s="221"/>
      <c r="E34" s="221"/>
      <c r="F34" s="222">
        <v>46.552271300000015</v>
      </c>
      <c r="G34" s="222">
        <v>17.245340000000002</v>
      </c>
      <c r="H34" s="222">
        <v>0</v>
      </c>
      <c r="I34" s="222">
        <v>0</v>
      </c>
      <c r="J34" s="222">
        <v>3.2865799999999998</v>
      </c>
      <c r="K34" s="222">
        <v>11.861140000000001</v>
      </c>
      <c r="L34" s="222">
        <v>0</v>
      </c>
      <c r="M34" s="222">
        <v>0</v>
      </c>
      <c r="N34" s="222">
        <v>0</v>
      </c>
      <c r="O34" s="222">
        <v>15.14772</v>
      </c>
      <c r="P34" s="222"/>
      <c r="Q34" s="223"/>
      <c r="R34" s="223"/>
      <c r="S34" s="223"/>
    </row>
    <row r="35" spans="1:19" ht="19.899999999999999" customHeight="1">
      <c r="A35" s="212"/>
      <c r="B35" s="212"/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</row>
    <row r="36" spans="1:19" ht="19.899999999999999" customHeight="1">
      <c r="A36" s="212"/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</row>
    <row r="37" spans="1:19" ht="19.899999999999999" customHeight="1"/>
    <row r="38" spans="1:19" ht="19.899999999999999" customHeight="1"/>
    <row r="39" spans="1:19" ht="19.899999999999999" customHeight="1"/>
    <row r="40" spans="1:19" ht="19.899999999999999" customHeight="1"/>
    <row r="41" spans="1:19" ht="19.899999999999999" customHeight="1"/>
    <row r="42" spans="1:19" ht="19.899999999999999" customHeight="1"/>
    <row r="43" spans="1:19" ht="19.899999999999999" customHeight="1"/>
    <row r="44" spans="1:19" ht="19.899999999999999" customHeight="1"/>
    <row r="45" spans="1:19" ht="19.899999999999999" customHeight="1"/>
    <row r="46" spans="1:19" ht="19.899999999999999" customHeight="1"/>
    <row r="47" spans="1:19" ht="19.899999999999999" customHeight="1"/>
    <row r="48" spans="1:19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</sheetData>
  <mergeCells count="48">
    <mergeCell ref="A30:C30"/>
    <mergeCell ref="A31:C31"/>
    <mergeCell ref="A32:C32"/>
    <mergeCell ref="A33:C33"/>
    <mergeCell ref="A34:C34"/>
    <mergeCell ref="A29:C29"/>
    <mergeCell ref="A19:B19"/>
    <mergeCell ref="K19:L19"/>
    <mergeCell ref="H20:I20"/>
    <mergeCell ref="K20:L20"/>
    <mergeCell ref="A22:B22"/>
    <mergeCell ref="A23:C24"/>
    <mergeCell ref="D23:D24"/>
    <mergeCell ref="E23:E24"/>
    <mergeCell ref="F23:F24"/>
    <mergeCell ref="G23:G24"/>
    <mergeCell ref="H23:P23"/>
    <mergeCell ref="A25:C25"/>
    <mergeCell ref="A26:C26"/>
    <mergeCell ref="A27:C27"/>
    <mergeCell ref="A28:C28"/>
    <mergeCell ref="A14:C14"/>
    <mergeCell ref="D14:I14"/>
    <mergeCell ref="J14:O14"/>
    <mergeCell ref="N16:O16"/>
    <mergeCell ref="A18:B18"/>
    <mergeCell ref="H18:I18"/>
    <mergeCell ref="K18:L18"/>
    <mergeCell ref="A12:C12"/>
    <mergeCell ref="D12:I12"/>
    <mergeCell ref="J12:O12"/>
    <mergeCell ref="A13:C13"/>
    <mergeCell ref="D13:I13"/>
    <mergeCell ref="J13:O13"/>
    <mergeCell ref="D8:F8"/>
    <mergeCell ref="H8:J9"/>
    <mergeCell ref="K8:O9"/>
    <mergeCell ref="A11:C11"/>
    <mergeCell ref="D11:I11"/>
    <mergeCell ref="J11:O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5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S104"/>
  <sheetViews>
    <sheetView zoomScale="107" zoomScaleNormal="107"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8.85546875" style="211" customWidth="1"/>
    <col min="3" max="3" width="7.28515625" style="211" customWidth="1"/>
    <col min="4" max="5" width="7.42578125" style="211" customWidth="1"/>
    <col min="6" max="6" width="9.28515625" style="211" customWidth="1"/>
    <col min="7" max="7" width="8.140625" style="211" customWidth="1"/>
    <col min="8" max="8" width="7.42578125" style="211" customWidth="1"/>
    <col min="9" max="9" width="7.5703125" style="211" customWidth="1"/>
    <col min="10" max="10" width="7.7109375" style="211" customWidth="1"/>
    <col min="11" max="11" width="7.85546875" style="211" customWidth="1"/>
    <col min="12" max="12" width="5.85546875" style="211" customWidth="1"/>
    <col min="13" max="13" width="6.85546875" style="211" customWidth="1"/>
    <col min="14" max="14" width="6.7109375" style="211" customWidth="1"/>
    <col min="15" max="15" width="8.85546875" style="211" customWidth="1"/>
    <col min="16" max="16" width="7.28515625" style="211" customWidth="1"/>
    <col min="17" max="17" width="8.28515625" style="211" customWidth="1"/>
    <col min="18" max="18" width="5" style="211" customWidth="1"/>
    <col min="19" max="19" width="4.28515625" style="211" customWidth="1"/>
    <col min="20" max="256" width="8.85546875" style="211"/>
    <col min="257" max="257" width="11.28515625" style="211" customWidth="1"/>
    <col min="258" max="258" width="8.85546875" style="211" customWidth="1"/>
    <col min="259" max="259" width="7.28515625" style="211" customWidth="1"/>
    <col min="260" max="261" width="7.42578125" style="211" customWidth="1"/>
    <col min="262" max="262" width="9.28515625" style="211" customWidth="1"/>
    <col min="263" max="263" width="8.140625" style="211" customWidth="1"/>
    <col min="264" max="264" width="7.42578125" style="211" customWidth="1"/>
    <col min="265" max="265" width="7.5703125" style="211" customWidth="1"/>
    <col min="266" max="266" width="7.7109375" style="211" customWidth="1"/>
    <col min="267" max="267" width="7.85546875" style="211" customWidth="1"/>
    <col min="268" max="268" width="5.85546875" style="211" customWidth="1"/>
    <col min="269" max="269" width="6.85546875" style="211" customWidth="1"/>
    <col min="270" max="270" width="6.7109375" style="211" customWidth="1"/>
    <col min="271" max="271" width="8.85546875" style="211" customWidth="1"/>
    <col min="272" max="272" width="7.28515625" style="211" customWidth="1"/>
    <col min="273" max="273" width="8.28515625" style="211" customWidth="1"/>
    <col min="274" max="274" width="5" style="211" customWidth="1"/>
    <col min="275" max="275" width="4.28515625" style="211" customWidth="1"/>
    <col min="276" max="512" width="8.85546875" style="211"/>
    <col min="513" max="513" width="11.28515625" style="211" customWidth="1"/>
    <col min="514" max="514" width="8.85546875" style="211" customWidth="1"/>
    <col min="515" max="515" width="7.28515625" style="211" customWidth="1"/>
    <col min="516" max="517" width="7.42578125" style="211" customWidth="1"/>
    <col min="518" max="518" width="9.28515625" style="211" customWidth="1"/>
    <col min="519" max="519" width="8.140625" style="211" customWidth="1"/>
    <col min="520" max="520" width="7.42578125" style="211" customWidth="1"/>
    <col min="521" max="521" width="7.5703125" style="211" customWidth="1"/>
    <col min="522" max="522" width="7.7109375" style="211" customWidth="1"/>
    <col min="523" max="523" width="7.85546875" style="211" customWidth="1"/>
    <col min="524" max="524" width="5.85546875" style="211" customWidth="1"/>
    <col min="525" max="525" width="6.85546875" style="211" customWidth="1"/>
    <col min="526" max="526" width="6.7109375" style="211" customWidth="1"/>
    <col min="527" max="527" width="8.85546875" style="211" customWidth="1"/>
    <col min="528" max="528" width="7.28515625" style="211" customWidth="1"/>
    <col min="529" max="529" width="8.28515625" style="211" customWidth="1"/>
    <col min="530" max="530" width="5" style="211" customWidth="1"/>
    <col min="531" max="531" width="4.28515625" style="211" customWidth="1"/>
    <col min="532" max="768" width="8.85546875" style="211"/>
    <col min="769" max="769" width="11.28515625" style="211" customWidth="1"/>
    <col min="770" max="770" width="8.85546875" style="211" customWidth="1"/>
    <col min="771" max="771" width="7.28515625" style="211" customWidth="1"/>
    <col min="772" max="773" width="7.42578125" style="211" customWidth="1"/>
    <col min="774" max="774" width="9.28515625" style="211" customWidth="1"/>
    <col min="775" max="775" width="8.140625" style="211" customWidth="1"/>
    <col min="776" max="776" width="7.42578125" style="211" customWidth="1"/>
    <col min="777" max="777" width="7.5703125" style="211" customWidth="1"/>
    <col min="778" max="778" width="7.7109375" style="211" customWidth="1"/>
    <col min="779" max="779" width="7.85546875" style="211" customWidth="1"/>
    <col min="780" max="780" width="5.85546875" style="211" customWidth="1"/>
    <col min="781" max="781" width="6.85546875" style="211" customWidth="1"/>
    <col min="782" max="782" width="6.7109375" style="211" customWidth="1"/>
    <col min="783" max="783" width="8.85546875" style="211" customWidth="1"/>
    <col min="784" max="784" width="7.28515625" style="211" customWidth="1"/>
    <col min="785" max="785" width="8.28515625" style="211" customWidth="1"/>
    <col min="786" max="786" width="5" style="211" customWidth="1"/>
    <col min="787" max="787" width="4.28515625" style="211" customWidth="1"/>
    <col min="788" max="1024" width="8.85546875" style="211"/>
    <col min="1025" max="1025" width="11.28515625" style="211" customWidth="1"/>
    <col min="1026" max="1026" width="8.85546875" style="211" customWidth="1"/>
    <col min="1027" max="1027" width="7.28515625" style="211" customWidth="1"/>
    <col min="1028" max="1029" width="7.42578125" style="211" customWidth="1"/>
    <col min="1030" max="1030" width="9.28515625" style="211" customWidth="1"/>
    <col min="1031" max="1031" width="8.140625" style="211" customWidth="1"/>
    <col min="1032" max="1032" width="7.42578125" style="211" customWidth="1"/>
    <col min="1033" max="1033" width="7.5703125" style="211" customWidth="1"/>
    <col min="1034" max="1034" width="7.7109375" style="211" customWidth="1"/>
    <col min="1035" max="1035" width="7.85546875" style="211" customWidth="1"/>
    <col min="1036" max="1036" width="5.85546875" style="211" customWidth="1"/>
    <col min="1037" max="1037" width="6.85546875" style="211" customWidth="1"/>
    <col min="1038" max="1038" width="6.7109375" style="211" customWidth="1"/>
    <col min="1039" max="1039" width="8.85546875" style="211" customWidth="1"/>
    <col min="1040" max="1040" width="7.28515625" style="211" customWidth="1"/>
    <col min="1041" max="1041" width="8.28515625" style="211" customWidth="1"/>
    <col min="1042" max="1042" width="5" style="211" customWidth="1"/>
    <col min="1043" max="1043" width="4.28515625" style="211" customWidth="1"/>
    <col min="1044" max="1280" width="8.85546875" style="211"/>
    <col min="1281" max="1281" width="11.28515625" style="211" customWidth="1"/>
    <col min="1282" max="1282" width="8.85546875" style="211" customWidth="1"/>
    <col min="1283" max="1283" width="7.28515625" style="211" customWidth="1"/>
    <col min="1284" max="1285" width="7.42578125" style="211" customWidth="1"/>
    <col min="1286" max="1286" width="9.28515625" style="211" customWidth="1"/>
    <col min="1287" max="1287" width="8.140625" style="211" customWidth="1"/>
    <col min="1288" max="1288" width="7.42578125" style="211" customWidth="1"/>
    <col min="1289" max="1289" width="7.5703125" style="211" customWidth="1"/>
    <col min="1290" max="1290" width="7.7109375" style="211" customWidth="1"/>
    <col min="1291" max="1291" width="7.85546875" style="211" customWidth="1"/>
    <col min="1292" max="1292" width="5.85546875" style="211" customWidth="1"/>
    <col min="1293" max="1293" width="6.85546875" style="211" customWidth="1"/>
    <col min="1294" max="1294" width="6.7109375" style="211" customWidth="1"/>
    <col min="1295" max="1295" width="8.85546875" style="211" customWidth="1"/>
    <col min="1296" max="1296" width="7.28515625" style="211" customWidth="1"/>
    <col min="1297" max="1297" width="8.28515625" style="211" customWidth="1"/>
    <col min="1298" max="1298" width="5" style="211" customWidth="1"/>
    <col min="1299" max="1299" width="4.28515625" style="211" customWidth="1"/>
    <col min="1300" max="1536" width="8.85546875" style="211"/>
    <col min="1537" max="1537" width="11.28515625" style="211" customWidth="1"/>
    <col min="1538" max="1538" width="8.85546875" style="211" customWidth="1"/>
    <col min="1539" max="1539" width="7.28515625" style="211" customWidth="1"/>
    <col min="1540" max="1541" width="7.42578125" style="211" customWidth="1"/>
    <col min="1542" max="1542" width="9.28515625" style="211" customWidth="1"/>
    <col min="1543" max="1543" width="8.140625" style="211" customWidth="1"/>
    <col min="1544" max="1544" width="7.42578125" style="211" customWidth="1"/>
    <col min="1545" max="1545" width="7.5703125" style="211" customWidth="1"/>
    <col min="1546" max="1546" width="7.7109375" style="211" customWidth="1"/>
    <col min="1547" max="1547" width="7.85546875" style="211" customWidth="1"/>
    <col min="1548" max="1548" width="5.85546875" style="211" customWidth="1"/>
    <col min="1549" max="1549" width="6.85546875" style="211" customWidth="1"/>
    <col min="1550" max="1550" width="6.7109375" style="211" customWidth="1"/>
    <col min="1551" max="1551" width="8.85546875" style="211" customWidth="1"/>
    <col min="1552" max="1552" width="7.28515625" style="211" customWidth="1"/>
    <col min="1553" max="1553" width="8.28515625" style="211" customWidth="1"/>
    <col min="1554" max="1554" width="5" style="211" customWidth="1"/>
    <col min="1555" max="1555" width="4.28515625" style="211" customWidth="1"/>
    <col min="1556" max="1792" width="8.85546875" style="211"/>
    <col min="1793" max="1793" width="11.28515625" style="211" customWidth="1"/>
    <col min="1794" max="1794" width="8.85546875" style="211" customWidth="1"/>
    <col min="1795" max="1795" width="7.28515625" style="211" customWidth="1"/>
    <col min="1796" max="1797" width="7.42578125" style="211" customWidth="1"/>
    <col min="1798" max="1798" width="9.28515625" style="211" customWidth="1"/>
    <col min="1799" max="1799" width="8.140625" style="211" customWidth="1"/>
    <col min="1800" max="1800" width="7.42578125" style="211" customWidth="1"/>
    <col min="1801" max="1801" width="7.5703125" style="211" customWidth="1"/>
    <col min="1802" max="1802" width="7.7109375" style="211" customWidth="1"/>
    <col min="1803" max="1803" width="7.85546875" style="211" customWidth="1"/>
    <col min="1804" max="1804" width="5.85546875" style="211" customWidth="1"/>
    <col min="1805" max="1805" width="6.85546875" style="211" customWidth="1"/>
    <col min="1806" max="1806" width="6.7109375" style="211" customWidth="1"/>
    <col min="1807" max="1807" width="8.85546875" style="211" customWidth="1"/>
    <col min="1808" max="1808" width="7.28515625" style="211" customWidth="1"/>
    <col min="1809" max="1809" width="8.28515625" style="211" customWidth="1"/>
    <col min="1810" max="1810" width="5" style="211" customWidth="1"/>
    <col min="1811" max="1811" width="4.28515625" style="211" customWidth="1"/>
    <col min="1812" max="2048" width="8.85546875" style="211"/>
    <col min="2049" max="2049" width="11.28515625" style="211" customWidth="1"/>
    <col min="2050" max="2050" width="8.85546875" style="211" customWidth="1"/>
    <col min="2051" max="2051" width="7.28515625" style="211" customWidth="1"/>
    <col min="2052" max="2053" width="7.42578125" style="211" customWidth="1"/>
    <col min="2054" max="2054" width="9.28515625" style="211" customWidth="1"/>
    <col min="2055" max="2055" width="8.140625" style="211" customWidth="1"/>
    <col min="2056" max="2056" width="7.42578125" style="211" customWidth="1"/>
    <col min="2057" max="2057" width="7.5703125" style="211" customWidth="1"/>
    <col min="2058" max="2058" width="7.7109375" style="211" customWidth="1"/>
    <col min="2059" max="2059" width="7.85546875" style="211" customWidth="1"/>
    <col min="2060" max="2060" width="5.85546875" style="211" customWidth="1"/>
    <col min="2061" max="2061" width="6.85546875" style="211" customWidth="1"/>
    <col min="2062" max="2062" width="6.7109375" style="211" customWidth="1"/>
    <col min="2063" max="2063" width="8.85546875" style="211" customWidth="1"/>
    <col min="2064" max="2064" width="7.28515625" style="211" customWidth="1"/>
    <col min="2065" max="2065" width="8.28515625" style="211" customWidth="1"/>
    <col min="2066" max="2066" width="5" style="211" customWidth="1"/>
    <col min="2067" max="2067" width="4.28515625" style="211" customWidth="1"/>
    <col min="2068" max="2304" width="8.85546875" style="211"/>
    <col min="2305" max="2305" width="11.28515625" style="211" customWidth="1"/>
    <col min="2306" max="2306" width="8.85546875" style="211" customWidth="1"/>
    <col min="2307" max="2307" width="7.28515625" style="211" customWidth="1"/>
    <col min="2308" max="2309" width="7.42578125" style="211" customWidth="1"/>
    <col min="2310" max="2310" width="9.28515625" style="211" customWidth="1"/>
    <col min="2311" max="2311" width="8.140625" style="211" customWidth="1"/>
    <col min="2312" max="2312" width="7.42578125" style="211" customWidth="1"/>
    <col min="2313" max="2313" width="7.5703125" style="211" customWidth="1"/>
    <col min="2314" max="2314" width="7.7109375" style="211" customWidth="1"/>
    <col min="2315" max="2315" width="7.85546875" style="211" customWidth="1"/>
    <col min="2316" max="2316" width="5.85546875" style="211" customWidth="1"/>
    <col min="2317" max="2317" width="6.85546875" style="211" customWidth="1"/>
    <col min="2318" max="2318" width="6.7109375" style="211" customWidth="1"/>
    <col min="2319" max="2319" width="8.85546875" style="211" customWidth="1"/>
    <col min="2320" max="2320" width="7.28515625" style="211" customWidth="1"/>
    <col min="2321" max="2321" width="8.28515625" style="211" customWidth="1"/>
    <col min="2322" max="2322" width="5" style="211" customWidth="1"/>
    <col min="2323" max="2323" width="4.28515625" style="211" customWidth="1"/>
    <col min="2324" max="2560" width="8.85546875" style="211"/>
    <col min="2561" max="2561" width="11.28515625" style="211" customWidth="1"/>
    <col min="2562" max="2562" width="8.85546875" style="211" customWidth="1"/>
    <col min="2563" max="2563" width="7.28515625" style="211" customWidth="1"/>
    <col min="2564" max="2565" width="7.42578125" style="211" customWidth="1"/>
    <col min="2566" max="2566" width="9.28515625" style="211" customWidth="1"/>
    <col min="2567" max="2567" width="8.140625" style="211" customWidth="1"/>
    <col min="2568" max="2568" width="7.42578125" style="211" customWidth="1"/>
    <col min="2569" max="2569" width="7.5703125" style="211" customWidth="1"/>
    <col min="2570" max="2570" width="7.7109375" style="211" customWidth="1"/>
    <col min="2571" max="2571" width="7.85546875" style="211" customWidth="1"/>
    <col min="2572" max="2572" width="5.85546875" style="211" customWidth="1"/>
    <col min="2573" max="2573" width="6.85546875" style="211" customWidth="1"/>
    <col min="2574" max="2574" width="6.7109375" style="211" customWidth="1"/>
    <col min="2575" max="2575" width="8.85546875" style="211" customWidth="1"/>
    <col min="2576" max="2576" width="7.28515625" style="211" customWidth="1"/>
    <col min="2577" max="2577" width="8.28515625" style="211" customWidth="1"/>
    <col min="2578" max="2578" width="5" style="211" customWidth="1"/>
    <col min="2579" max="2579" width="4.28515625" style="211" customWidth="1"/>
    <col min="2580" max="2816" width="8.85546875" style="211"/>
    <col min="2817" max="2817" width="11.28515625" style="211" customWidth="1"/>
    <col min="2818" max="2818" width="8.85546875" style="211" customWidth="1"/>
    <col min="2819" max="2819" width="7.28515625" style="211" customWidth="1"/>
    <col min="2820" max="2821" width="7.42578125" style="211" customWidth="1"/>
    <col min="2822" max="2822" width="9.28515625" style="211" customWidth="1"/>
    <col min="2823" max="2823" width="8.140625" style="211" customWidth="1"/>
    <col min="2824" max="2824" width="7.42578125" style="211" customWidth="1"/>
    <col min="2825" max="2825" width="7.5703125" style="211" customWidth="1"/>
    <col min="2826" max="2826" width="7.7109375" style="211" customWidth="1"/>
    <col min="2827" max="2827" width="7.85546875" style="211" customWidth="1"/>
    <col min="2828" max="2828" width="5.85546875" style="211" customWidth="1"/>
    <col min="2829" max="2829" width="6.85546875" style="211" customWidth="1"/>
    <col min="2830" max="2830" width="6.7109375" style="211" customWidth="1"/>
    <col min="2831" max="2831" width="8.85546875" style="211" customWidth="1"/>
    <col min="2832" max="2832" width="7.28515625" style="211" customWidth="1"/>
    <col min="2833" max="2833" width="8.28515625" style="211" customWidth="1"/>
    <col min="2834" max="2834" width="5" style="211" customWidth="1"/>
    <col min="2835" max="2835" width="4.28515625" style="211" customWidth="1"/>
    <col min="2836" max="3072" width="8.85546875" style="211"/>
    <col min="3073" max="3073" width="11.28515625" style="211" customWidth="1"/>
    <col min="3074" max="3074" width="8.85546875" style="211" customWidth="1"/>
    <col min="3075" max="3075" width="7.28515625" style="211" customWidth="1"/>
    <col min="3076" max="3077" width="7.42578125" style="211" customWidth="1"/>
    <col min="3078" max="3078" width="9.28515625" style="211" customWidth="1"/>
    <col min="3079" max="3079" width="8.140625" style="211" customWidth="1"/>
    <col min="3080" max="3080" width="7.42578125" style="211" customWidth="1"/>
    <col min="3081" max="3081" width="7.5703125" style="211" customWidth="1"/>
    <col min="3082" max="3082" width="7.7109375" style="211" customWidth="1"/>
    <col min="3083" max="3083" width="7.85546875" style="211" customWidth="1"/>
    <col min="3084" max="3084" width="5.85546875" style="211" customWidth="1"/>
    <col min="3085" max="3085" width="6.85546875" style="211" customWidth="1"/>
    <col min="3086" max="3086" width="6.7109375" style="211" customWidth="1"/>
    <col min="3087" max="3087" width="8.85546875" style="211" customWidth="1"/>
    <col min="3088" max="3088" width="7.28515625" style="211" customWidth="1"/>
    <col min="3089" max="3089" width="8.28515625" style="211" customWidth="1"/>
    <col min="3090" max="3090" width="5" style="211" customWidth="1"/>
    <col min="3091" max="3091" width="4.28515625" style="211" customWidth="1"/>
    <col min="3092" max="3328" width="8.85546875" style="211"/>
    <col min="3329" max="3329" width="11.28515625" style="211" customWidth="1"/>
    <col min="3330" max="3330" width="8.85546875" style="211" customWidth="1"/>
    <col min="3331" max="3331" width="7.28515625" style="211" customWidth="1"/>
    <col min="3332" max="3333" width="7.42578125" style="211" customWidth="1"/>
    <col min="3334" max="3334" width="9.28515625" style="211" customWidth="1"/>
    <col min="3335" max="3335" width="8.140625" style="211" customWidth="1"/>
    <col min="3336" max="3336" width="7.42578125" style="211" customWidth="1"/>
    <col min="3337" max="3337" width="7.5703125" style="211" customWidth="1"/>
    <col min="3338" max="3338" width="7.7109375" style="211" customWidth="1"/>
    <col min="3339" max="3339" width="7.85546875" style="211" customWidth="1"/>
    <col min="3340" max="3340" width="5.85546875" style="211" customWidth="1"/>
    <col min="3341" max="3341" width="6.85546875" style="211" customWidth="1"/>
    <col min="3342" max="3342" width="6.7109375" style="211" customWidth="1"/>
    <col min="3343" max="3343" width="8.85546875" style="211" customWidth="1"/>
    <col min="3344" max="3344" width="7.28515625" style="211" customWidth="1"/>
    <col min="3345" max="3345" width="8.28515625" style="211" customWidth="1"/>
    <col min="3346" max="3346" width="5" style="211" customWidth="1"/>
    <col min="3347" max="3347" width="4.28515625" style="211" customWidth="1"/>
    <col min="3348" max="3584" width="8.85546875" style="211"/>
    <col min="3585" max="3585" width="11.28515625" style="211" customWidth="1"/>
    <col min="3586" max="3586" width="8.85546875" style="211" customWidth="1"/>
    <col min="3587" max="3587" width="7.28515625" style="211" customWidth="1"/>
    <col min="3588" max="3589" width="7.42578125" style="211" customWidth="1"/>
    <col min="3590" max="3590" width="9.28515625" style="211" customWidth="1"/>
    <col min="3591" max="3591" width="8.140625" style="211" customWidth="1"/>
    <col min="3592" max="3592" width="7.42578125" style="211" customWidth="1"/>
    <col min="3593" max="3593" width="7.5703125" style="211" customWidth="1"/>
    <col min="3594" max="3594" width="7.7109375" style="211" customWidth="1"/>
    <col min="3595" max="3595" width="7.85546875" style="211" customWidth="1"/>
    <col min="3596" max="3596" width="5.85546875" style="211" customWidth="1"/>
    <col min="3597" max="3597" width="6.85546875" style="211" customWidth="1"/>
    <col min="3598" max="3598" width="6.7109375" style="211" customWidth="1"/>
    <col min="3599" max="3599" width="8.85546875" style="211" customWidth="1"/>
    <col min="3600" max="3600" width="7.28515625" style="211" customWidth="1"/>
    <col min="3601" max="3601" width="8.28515625" style="211" customWidth="1"/>
    <col min="3602" max="3602" width="5" style="211" customWidth="1"/>
    <col min="3603" max="3603" width="4.28515625" style="211" customWidth="1"/>
    <col min="3604" max="3840" width="8.85546875" style="211"/>
    <col min="3841" max="3841" width="11.28515625" style="211" customWidth="1"/>
    <col min="3842" max="3842" width="8.85546875" style="211" customWidth="1"/>
    <col min="3843" max="3843" width="7.28515625" style="211" customWidth="1"/>
    <col min="3844" max="3845" width="7.42578125" style="211" customWidth="1"/>
    <col min="3846" max="3846" width="9.28515625" style="211" customWidth="1"/>
    <col min="3847" max="3847" width="8.140625" style="211" customWidth="1"/>
    <col min="3848" max="3848" width="7.42578125" style="211" customWidth="1"/>
    <col min="3849" max="3849" width="7.5703125" style="211" customWidth="1"/>
    <col min="3850" max="3850" width="7.7109375" style="211" customWidth="1"/>
    <col min="3851" max="3851" width="7.85546875" style="211" customWidth="1"/>
    <col min="3852" max="3852" width="5.85546875" style="211" customWidth="1"/>
    <col min="3853" max="3853" width="6.85546875" style="211" customWidth="1"/>
    <col min="3854" max="3854" width="6.7109375" style="211" customWidth="1"/>
    <col min="3855" max="3855" width="8.85546875" style="211" customWidth="1"/>
    <col min="3856" max="3856" width="7.28515625" style="211" customWidth="1"/>
    <col min="3857" max="3857" width="8.28515625" style="211" customWidth="1"/>
    <col min="3858" max="3858" width="5" style="211" customWidth="1"/>
    <col min="3859" max="3859" width="4.28515625" style="211" customWidth="1"/>
    <col min="3860" max="4096" width="8.85546875" style="211"/>
    <col min="4097" max="4097" width="11.28515625" style="211" customWidth="1"/>
    <col min="4098" max="4098" width="8.85546875" style="211" customWidth="1"/>
    <col min="4099" max="4099" width="7.28515625" style="211" customWidth="1"/>
    <col min="4100" max="4101" width="7.42578125" style="211" customWidth="1"/>
    <col min="4102" max="4102" width="9.28515625" style="211" customWidth="1"/>
    <col min="4103" max="4103" width="8.140625" style="211" customWidth="1"/>
    <col min="4104" max="4104" width="7.42578125" style="211" customWidth="1"/>
    <col min="4105" max="4105" width="7.5703125" style="211" customWidth="1"/>
    <col min="4106" max="4106" width="7.7109375" style="211" customWidth="1"/>
    <col min="4107" max="4107" width="7.85546875" style="211" customWidth="1"/>
    <col min="4108" max="4108" width="5.85546875" style="211" customWidth="1"/>
    <col min="4109" max="4109" width="6.85546875" style="211" customWidth="1"/>
    <col min="4110" max="4110" width="6.7109375" style="211" customWidth="1"/>
    <col min="4111" max="4111" width="8.85546875" style="211" customWidth="1"/>
    <col min="4112" max="4112" width="7.28515625" style="211" customWidth="1"/>
    <col min="4113" max="4113" width="8.28515625" style="211" customWidth="1"/>
    <col min="4114" max="4114" width="5" style="211" customWidth="1"/>
    <col min="4115" max="4115" width="4.28515625" style="211" customWidth="1"/>
    <col min="4116" max="4352" width="8.85546875" style="211"/>
    <col min="4353" max="4353" width="11.28515625" style="211" customWidth="1"/>
    <col min="4354" max="4354" width="8.85546875" style="211" customWidth="1"/>
    <col min="4355" max="4355" width="7.28515625" style="211" customWidth="1"/>
    <col min="4356" max="4357" width="7.42578125" style="211" customWidth="1"/>
    <col min="4358" max="4358" width="9.28515625" style="211" customWidth="1"/>
    <col min="4359" max="4359" width="8.140625" style="211" customWidth="1"/>
    <col min="4360" max="4360" width="7.42578125" style="211" customWidth="1"/>
    <col min="4361" max="4361" width="7.5703125" style="211" customWidth="1"/>
    <col min="4362" max="4362" width="7.7109375" style="211" customWidth="1"/>
    <col min="4363" max="4363" width="7.85546875" style="211" customWidth="1"/>
    <col min="4364" max="4364" width="5.85546875" style="211" customWidth="1"/>
    <col min="4365" max="4365" width="6.85546875" style="211" customWidth="1"/>
    <col min="4366" max="4366" width="6.7109375" style="211" customWidth="1"/>
    <col min="4367" max="4367" width="8.85546875" style="211" customWidth="1"/>
    <col min="4368" max="4368" width="7.28515625" style="211" customWidth="1"/>
    <col min="4369" max="4369" width="8.28515625" style="211" customWidth="1"/>
    <col min="4370" max="4370" width="5" style="211" customWidth="1"/>
    <col min="4371" max="4371" width="4.28515625" style="211" customWidth="1"/>
    <col min="4372" max="4608" width="8.85546875" style="211"/>
    <col min="4609" max="4609" width="11.28515625" style="211" customWidth="1"/>
    <col min="4610" max="4610" width="8.85546875" style="211" customWidth="1"/>
    <col min="4611" max="4611" width="7.28515625" style="211" customWidth="1"/>
    <col min="4612" max="4613" width="7.42578125" style="211" customWidth="1"/>
    <col min="4614" max="4614" width="9.28515625" style="211" customWidth="1"/>
    <col min="4615" max="4615" width="8.140625" style="211" customWidth="1"/>
    <col min="4616" max="4616" width="7.42578125" style="211" customWidth="1"/>
    <col min="4617" max="4617" width="7.5703125" style="211" customWidth="1"/>
    <col min="4618" max="4618" width="7.7109375" style="211" customWidth="1"/>
    <col min="4619" max="4619" width="7.85546875" style="211" customWidth="1"/>
    <col min="4620" max="4620" width="5.85546875" style="211" customWidth="1"/>
    <col min="4621" max="4621" width="6.85546875" style="211" customWidth="1"/>
    <col min="4622" max="4622" width="6.7109375" style="211" customWidth="1"/>
    <col min="4623" max="4623" width="8.85546875" style="211" customWidth="1"/>
    <col min="4624" max="4624" width="7.28515625" style="211" customWidth="1"/>
    <col min="4625" max="4625" width="8.28515625" style="211" customWidth="1"/>
    <col min="4626" max="4626" width="5" style="211" customWidth="1"/>
    <col min="4627" max="4627" width="4.28515625" style="211" customWidth="1"/>
    <col min="4628" max="4864" width="8.85546875" style="211"/>
    <col min="4865" max="4865" width="11.28515625" style="211" customWidth="1"/>
    <col min="4866" max="4866" width="8.85546875" style="211" customWidth="1"/>
    <col min="4867" max="4867" width="7.28515625" style="211" customWidth="1"/>
    <col min="4868" max="4869" width="7.42578125" style="211" customWidth="1"/>
    <col min="4870" max="4870" width="9.28515625" style="211" customWidth="1"/>
    <col min="4871" max="4871" width="8.140625" style="211" customWidth="1"/>
    <col min="4872" max="4872" width="7.42578125" style="211" customWidth="1"/>
    <col min="4873" max="4873" width="7.5703125" style="211" customWidth="1"/>
    <col min="4874" max="4874" width="7.7109375" style="211" customWidth="1"/>
    <col min="4875" max="4875" width="7.85546875" style="211" customWidth="1"/>
    <col min="4876" max="4876" width="5.85546875" style="211" customWidth="1"/>
    <col min="4877" max="4877" width="6.85546875" style="211" customWidth="1"/>
    <col min="4878" max="4878" width="6.7109375" style="211" customWidth="1"/>
    <col min="4879" max="4879" width="8.85546875" style="211" customWidth="1"/>
    <col min="4880" max="4880" width="7.28515625" style="211" customWidth="1"/>
    <col min="4881" max="4881" width="8.28515625" style="211" customWidth="1"/>
    <col min="4882" max="4882" width="5" style="211" customWidth="1"/>
    <col min="4883" max="4883" width="4.28515625" style="211" customWidth="1"/>
    <col min="4884" max="5120" width="8.85546875" style="211"/>
    <col min="5121" max="5121" width="11.28515625" style="211" customWidth="1"/>
    <col min="5122" max="5122" width="8.85546875" style="211" customWidth="1"/>
    <col min="5123" max="5123" width="7.28515625" style="211" customWidth="1"/>
    <col min="5124" max="5125" width="7.42578125" style="211" customWidth="1"/>
    <col min="5126" max="5126" width="9.28515625" style="211" customWidth="1"/>
    <col min="5127" max="5127" width="8.140625" style="211" customWidth="1"/>
    <col min="5128" max="5128" width="7.42578125" style="211" customWidth="1"/>
    <col min="5129" max="5129" width="7.5703125" style="211" customWidth="1"/>
    <col min="5130" max="5130" width="7.7109375" style="211" customWidth="1"/>
    <col min="5131" max="5131" width="7.85546875" style="211" customWidth="1"/>
    <col min="5132" max="5132" width="5.85546875" style="211" customWidth="1"/>
    <col min="5133" max="5133" width="6.85546875" style="211" customWidth="1"/>
    <col min="5134" max="5134" width="6.7109375" style="211" customWidth="1"/>
    <col min="5135" max="5135" width="8.85546875" style="211" customWidth="1"/>
    <col min="5136" max="5136" width="7.28515625" style="211" customWidth="1"/>
    <col min="5137" max="5137" width="8.28515625" style="211" customWidth="1"/>
    <col min="5138" max="5138" width="5" style="211" customWidth="1"/>
    <col min="5139" max="5139" width="4.28515625" style="211" customWidth="1"/>
    <col min="5140" max="5376" width="8.85546875" style="211"/>
    <col min="5377" max="5377" width="11.28515625" style="211" customWidth="1"/>
    <col min="5378" max="5378" width="8.85546875" style="211" customWidth="1"/>
    <col min="5379" max="5379" width="7.28515625" style="211" customWidth="1"/>
    <col min="5380" max="5381" width="7.42578125" style="211" customWidth="1"/>
    <col min="5382" max="5382" width="9.28515625" style="211" customWidth="1"/>
    <col min="5383" max="5383" width="8.140625" style="211" customWidth="1"/>
    <col min="5384" max="5384" width="7.42578125" style="211" customWidth="1"/>
    <col min="5385" max="5385" width="7.5703125" style="211" customWidth="1"/>
    <col min="5386" max="5386" width="7.7109375" style="211" customWidth="1"/>
    <col min="5387" max="5387" width="7.85546875" style="211" customWidth="1"/>
    <col min="5388" max="5388" width="5.85546875" style="211" customWidth="1"/>
    <col min="5389" max="5389" width="6.85546875" style="211" customWidth="1"/>
    <col min="5390" max="5390" width="6.7109375" style="211" customWidth="1"/>
    <col min="5391" max="5391" width="8.85546875" style="211" customWidth="1"/>
    <col min="5392" max="5392" width="7.28515625" style="211" customWidth="1"/>
    <col min="5393" max="5393" width="8.28515625" style="211" customWidth="1"/>
    <col min="5394" max="5394" width="5" style="211" customWidth="1"/>
    <col min="5395" max="5395" width="4.28515625" style="211" customWidth="1"/>
    <col min="5396" max="5632" width="8.85546875" style="211"/>
    <col min="5633" max="5633" width="11.28515625" style="211" customWidth="1"/>
    <col min="5634" max="5634" width="8.85546875" style="211" customWidth="1"/>
    <col min="5635" max="5635" width="7.28515625" style="211" customWidth="1"/>
    <col min="5636" max="5637" width="7.42578125" style="211" customWidth="1"/>
    <col min="5638" max="5638" width="9.28515625" style="211" customWidth="1"/>
    <col min="5639" max="5639" width="8.140625" style="211" customWidth="1"/>
    <col min="5640" max="5640" width="7.42578125" style="211" customWidth="1"/>
    <col min="5641" max="5641" width="7.5703125" style="211" customWidth="1"/>
    <col min="5642" max="5642" width="7.7109375" style="211" customWidth="1"/>
    <col min="5643" max="5643" width="7.85546875" style="211" customWidth="1"/>
    <col min="5644" max="5644" width="5.85546875" style="211" customWidth="1"/>
    <col min="5645" max="5645" width="6.85546875" style="211" customWidth="1"/>
    <col min="5646" max="5646" width="6.7109375" style="211" customWidth="1"/>
    <col min="5647" max="5647" width="8.85546875" style="211" customWidth="1"/>
    <col min="5648" max="5648" width="7.28515625" style="211" customWidth="1"/>
    <col min="5649" max="5649" width="8.28515625" style="211" customWidth="1"/>
    <col min="5650" max="5650" width="5" style="211" customWidth="1"/>
    <col min="5651" max="5651" width="4.28515625" style="211" customWidth="1"/>
    <col min="5652" max="5888" width="8.85546875" style="211"/>
    <col min="5889" max="5889" width="11.28515625" style="211" customWidth="1"/>
    <col min="5890" max="5890" width="8.85546875" style="211" customWidth="1"/>
    <col min="5891" max="5891" width="7.28515625" style="211" customWidth="1"/>
    <col min="5892" max="5893" width="7.42578125" style="211" customWidth="1"/>
    <col min="5894" max="5894" width="9.28515625" style="211" customWidth="1"/>
    <col min="5895" max="5895" width="8.140625" style="211" customWidth="1"/>
    <col min="5896" max="5896" width="7.42578125" style="211" customWidth="1"/>
    <col min="5897" max="5897" width="7.5703125" style="211" customWidth="1"/>
    <col min="5898" max="5898" width="7.7109375" style="211" customWidth="1"/>
    <col min="5899" max="5899" width="7.85546875" style="211" customWidth="1"/>
    <col min="5900" max="5900" width="5.85546875" style="211" customWidth="1"/>
    <col min="5901" max="5901" width="6.85546875" style="211" customWidth="1"/>
    <col min="5902" max="5902" width="6.7109375" style="211" customWidth="1"/>
    <col min="5903" max="5903" width="8.85546875" style="211" customWidth="1"/>
    <col min="5904" max="5904" width="7.28515625" style="211" customWidth="1"/>
    <col min="5905" max="5905" width="8.28515625" style="211" customWidth="1"/>
    <col min="5906" max="5906" width="5" style="211" customWidth="1"/>
    <col min="5907" max="5907" width="4.28515625" style="211" customWidth="1"/>
    <col min="5908" max="6144" width="8.85546875" style="211"/>
    <col min="6145" max="6145" width="11.28515625" style="211" customWidth="1"/>
    <col min="6146" max="6146" width="8.85546875" style="211" customWidth="1"/>
    <col min="6147" max="6147" width="7.28515625" style="211" customWidth="1"/>
    <col min="6148" max="6149" width="7.42578125" style="211" customWidth="1"/>
    <col min="6150" max="6150" width="9.28515625" style="211" customWidth="1"/>
    <col min="6151" max="6151" width="8.140625" style="211" customWidth="1"/>
    <col min="6152" max="6152" width="7.42578125" style="211" customWidth="1"/>
    <col min="6153" max="6153" width="7.5703125" style="211" customWidth="1"/>
    <col min="6154" max="6154" width="7.7109375" style="211" customWidth="1"/>
    <col min="6155" max="6155" width="7.85546875" style="211" customWidth="1"/>
    <col min="6156" max="6156" width="5.85546875" style="211" customWidth="1"/>
    <col min="6157" max="6157" width="6.85546875" style="211" customWidth="1"/>
    <col min="6158" max="6158" width="6.7109375" style="211" customWidth="1"/>
    <col min="6159" max="6159" width="8.85546875" style="211" customWidth="1"/>
    <col min="6160" max="6160" width="7.28515625" style="211" customWidth="1"/>
    <col min="6161" max="6161" width="8.28515625" style="211" customWidth="1"/>
    <col min="6162" max="6162" width="5" style="211" customWidth="1"/>
    <col min="6163" max="6163" width="4.28515625" style="211" customWidth="1"/>
    <col min="6164" max="6400" width="8.85546875" style="211"/>
    <col min="6401" max="6401" width="11.28515625" style="211" customWidth="1"/>
    <col min="6402" max="6402" width="8.85546875" style="211" customWidth="1"/>
    <col min="6403" max="6403" width="7.28515625" style="211" customWidth="1"/>
    <col min="6404" max="6405" width="7.42578125" style="211" customWidth="1"/>
    <col min="6406" max="6406" width="9.28515625" style="211" customWidth="1"/>
    <col min="6407" max="6407" width="8.140625" style="211" customWidth="1"/>
    <col min="6408" max="6408" width="7.42578125" style="211" customWidth="1"/>
    <col min="6409" max="6409" width="7.5703125" style="211" customWidth="1"/>
    <col min="6410" max="6410" width="7.7109375" style="211" customWidth="1"/>
    <col min="6411" max="6411" width="7.85546875" style="211" customWidth="1"/>
    <col min="6412" max="6412" width="5.85546875" style="211" customWidth="1"/>
    <col min="6413" max="6413" width="6.85546875" style="211" customWidth="1"/>
    <col min="6414" max="6414" width="6.7109375" style="211" customWidth="1"/>
    <col min="6415" max="6415" width="8.85546875" style="211" customWidth="1"/>
    <col min="6416" max="6416" width="7.28515625" style="211" customWidth="1"/>
    <col min="6417" max="6417" width="8.28515625" style="211" customWidth="1"/>
    <col min="6418" max="6418" width="5" style="211" customWidth="1"/>
    <col min="6419" max="6419" width="4.28515625" style="211" customWidth="1"/>
    <col min="6420" max="6656" width="8.85546875" style="211"/>
    <col min="6657" max="6657" width="11.28515625" style="211" customWidth="1"/>
    <col min="6658" max="6658" width="8.85546875" style="211" customWidth="1"/>
    <col min="6659" max="6659" width="7.28515625" style="211" customWidth="1"/>
    <col min="6660" max="6661" width="7.42578125" style="211" customWidth="1"/>
    <col min="6662" max="6662" width="9.28515625" style="211" customWidth="1"/>
    <col min="6663" max="6663" width="8.140625" style="211" customWidth="1"/>
    <col min="6664" max="6664" width="7.42578125" style="211" customWidth="1"/>
    <col min="6665" max="6665" width="7.5703125" style="211" customWidth="1"/>
    <col min="6666" max="6666" width="7.7109375" style="211" customWidth="1"/>
    <col min="6667" max="6667" width="7.85546875" style="211" customWidth="1"/>
    <col min="6668" max="6668" width="5.85546875" style="211" customWidth="1"/>
    <col min="6669" max="6669" width="6.85546875" style="211" customWidth="1"/>
    <col min="6670" max="6670" width="6.7109375" style="211" customWidth="1"/>
    <col min="6671" max="6671" width="8.85546875" style="211" customWidth="1"/>
    <col min="6672" max="6672" width="7.28515625" style="211" customWidth="1"/>
    <col min="6673" max="6673" width="8.28515625" style="211" customWidth="1"/>
    <col min="6674" max="6674" width="5" style="211" customWidth="1"/>
    <col min="6675" max="6675" width="4.28515625" style="211" customWidth="1"/>
    <col min="6676" max="6912" width="8.85546875" style="211"/>
    <col min="6913" max="6913" width="11.28515625" style="211" customWidth="1"/>
    <col min="6914" max="6914" width="8.85546875" style="211" customWidth="1"/>
    <col min="6915" max="6915" width="7.28515625" style="211" customWidth="1"/>
    <col min="6916" max="6917" width="7.42578125" style="211" customWidth="1"/>
    <col min="6918" max="6918" width="9.28515625" style="211" customWidth="1"/>
    <col min="6919" max="6919" width="8.140625" style="211" customWidth="1"/>
    <col min="6920" max="6920" width="7.42578125" style="211" customWidth="1"/>
    <col min="6921" max="6921" width="7.5703125" style="211" customWidth="1"/>
    <col min="6922" max="6922" width="7.7109375" style="211" customWidth="1"/>
    <col min="6923" max="6923" width="7.85546875" style="211" customWidth="1"/>
    <col min="6924" max="6924" width="5.85546875" style="211" customWidth="1"/>
    <col min="6925" max="6925" width="6.85546875" style="211" customWidth="1"/>
    <col min="6926" max="6926" width="6.7109375" style="211" customWidth="1"/>
    <col min="6927" max="6927" width="8.85546875" style="211" customWidth="1"/>
    <col min="6928" max="6928" width="7.28515625" style="211" customWidth="1"/>
    <col min="6929" max="6929" width="8.28515625" style="211" customWidth="1"/>
    <col min="6930" max="6930" width="5" style="211" customWidth="1"/>
    <col min="6931" max="6931" width="4.28515625" style="211" customWidth="1"/>
    <col min="6932" max="7168" width="8.85546875" style="211"/>
    <col min="7169" max="7169" width="11.28515625" style="211" customWidth="1"/>
    <col min="7170" max="7170" width="8.85546875" style="211" customWidth="1"/>
    <col min="7171" max="7171" width="7.28515625" style="211" customWidth="1"/>
    <col min="7172" max="7173" width="7.42578125" style="211" customWidth="1"/>
    <col min="7174" max="7174" width="9.28515625" style="211" customWidth="1"/>
    <col min="7175" max="7175" width="8.140625" style="211" customWidth="1"/>
    <col min="7176" max="7176" width="7.42578125" style="211" customWidth="1"/>
    <col min="7177" max="7177" width="7.5703125" style="211" customWidth="1"/>
    <col min="7178" max="7178" width="7.7109375" style="211" customWidth="1"/>
    <col min="7179" max="7179" width="7.85546875" style="211" customWidth="1"/>
    <col min="7180" max="7180" width="5.85546875" style="211" customWidth="1"/>
    <col min="7181" max="7181" width="6.85546875" style="211" customWidth="1"/>
    <col min="7182" max="7182" width="6.7109375" style="211" customWidth="1"/>
    <col min="7183" max="7183" width="8.85546875" style="211" customWidth="1"/>
    <col min="7184" max="7184" width="7.28515625" style="211" customWidth="1"/>
    <col min="7185" max="7185" width="8.28515625" style="211" customWidth="1"/>
    <col min="7186" max="7186" width="5" style="211" customWidth="1"/>
    <col min="7187" max="7187" width="4.28515625" style="211" customWidth="1"/>
    <col min="7188" max="7424" width="8.85546875" style="211"/>
    <col min="7425" max="7425" width="11.28515625" style="211" customWidth="1"/>
    <col min="7426" max="7426" width="8.85546875" style="211" customWidth="1"/>
    <col min="7427" max="7427" width="7.28515625" style="211" customWidth="1"/>
    <col min="7428" max="7429" width="7.42578125" style="211" customWidth="1"/>
    <col min="7430" max="7430" width="9.28515625" style="211" customWidth="1"/>
    <col min="7431" max="7431" width="8.140625" style="211" customWidth="1"/>
    <col min="7432" max="7432" width="7.42578125" style="211" customWidth="1"/>
    <col min="7433" max="7433" width="7.5703125" style="211" customWidth="1"/>
    <col min="7434" max="7434" width="7.7109375" style="211" customWidth="1"/>
    <col min="7435" max="7435" width="7.85546875" style="211" customWidth="1"/>
    <col min="7436" max="7436" width="5.85546875" style="211" customWidth="1"/>
    <col min="7437" max="7437" width="6.85546875" style="211" customWidth="1"/>
    <col min="7438" max="7438" width="6.7109375" style="211" customWidth="1"/>
    <col min="7439" max="7439" width="8.85546875" style="211" customWidth="1"/>
    <col min="7440" max="7440" width="7.28515625" style="211" customWidth="1"/>
    <col min="7441" max="7441" width="8.28515625" style="211" customWidth="1"/>
    <col min="7442" max="7442" width="5" style="211" customWidth="1"/>
    <col min="7443" max="7443" width="4.28515625" style="211" customWidth="1"/>
    <col min="7444" max="7680" width="8.85546875" style="211"/>
    <col min="7681" max="7681" width="11.28515625" style="211" customWidth="1"/>
    <col min="7682" max="7682" width="8.85546875" style="211" customWidth="1"/>
    <col min="7683" max="7683" width="7.28515625" style="211" customWidth="1"/>
    <col min="7684" max="7685" width="7.42578125" style="211" customWidth="1"/>
    <col min="7686" max="7686" width="9.28515625" style="211" customWidth="1"/>
    <col min="7687" max="7687" width="8.140625" style="211" customWidth="1"/>
    <col min="7688" max="7688" width="7.42578125" style="211" customWidth="1"/>
    <col min="7689" max="7689" width="7.5703125" style="211" customWidth="1"/>
    <col min="7690" max="7690" width="7.7109375" style="211" customWidth="1"/>
    <col min="7691" max="7691" width="7.85546875" style="211" customWidth="1"/>
    <col min="7692" max="7692" width="5.85546875" style="211" customWidth="1"/>
    <col min="7693" max="7693" width="6.85546875" style="211" customWidth="1"/>
    <col min="7694" max="7694" width="6.7109375" style="211" customWidth="1"/>
    <col min="7695" max="7695" width="8.85546875" style="211" customWidth="1"/>
    <col min="7696" max="7696" width="7.28515625" style="211" customWidth="1"/>
    <col min="7697" max="7697" width="8.28515625" style="211" customWidth="1"/>
    <col min="7698" max="7698" width="5" style="211" customWidth="1"/>
    <col min="7699" max="7699" width="4.28515625" style="211" customWidth="1"/>
    <col min="7700" max="7936" width="8.85546875" style="211"/>
    <col min="7937" max="7937" width="11.28515625" style="211" customWidth="1"/>
    <col min="7938" max="7938" width="8.85546875" style="211" customWidth="1"/>
    <col min="7939" max="7939" width="7.28515625" style="211" customWidth="1"/>
    <col min="7940" max="7941" width="7.42578125" style="211" customWidth="1"/>
    <col min="7942" max="7942" width="9.28515625" style="211" customWidth="1"/>
    <col min="7943" max="7943" width="8.140625" style="211" customWidth="1"/>
    <col min="7944" max="7944" width="7.42578125" style="211" customWidth="1"/>
    <col min="7945" max="7945" width="7.5703125" style="211" customWidth="1"/>
    <col min="7946" max="7946" width="7.7109375" style="211" customWidth="1"/>
    <col min="7947" max="7947" width="7.85546875" style="211" customWidth="1"/>
    <col min="7948" max="7948" width="5.85546875" style="211" customWidth="1"/>
    <col min="7949" max="7949" width="6.85546875" style="211" customWidth="1"/>
    <col min="7950" max="7950" width="6.7109375" style="211" customWidth="1"/>
    <col min="7951" max="7951" width="8.85546875" style="211" customWidth="1"/>
    <col min="7952" max="7952" width="7.28515625" style="211" customWidth="1"/>
    <col min="7953" max="7953" width="8.28515625" style="211" customWidth="1"/>
    <col min="7954" max="7954" width="5" style="211" customWidth="1"/>
    <col min="7955" max="7955" width="4.28515625" style="211" customWidth="1"/>
    <col min="7956" max="8192" width="8.85546875" style="211"/>
    <col min="8193" max="8193" width="11.28515625" style="211" customWidth="1"/>
    <col min="8194" max="8194" width="8.85546875" style="211" customWidth="1"/>
    <col min="8195" max="8195" width="7.28515625" style="211" customWidth="1"/>
    <col min="8196" max="8197" width="7.42578125" style="211" customWidth="1"/>
    <col min="8198" max="8198" width="9.28515625" style="211" customWidth="1"/>
    <col min="8199" max="8199" width="8.140625" style="211" customWidth="1"/>
    <col min="8200" max="8200" width="7.42578125" style="211" customWidth="1"/>
    <col min="8201" max="8201" width="7.5703125" style="211" customWidth="1"/>
    <col min="8202" max="8202" width="7.7109375" style="211" customWidth="1"/>
    <col min="8203" max="8203" width="7.85546875" style="211" customWidth="1"/>
    <col min="8204" max="8204" width="5.85546875" style="211" customWidth="1"/>
    <col min="8205" max="8205" width="6.85546875" style="211" customWidth="1"/>
    <col min="8206" max="8206" width="6.7109375" style="211" customWidth="1"/>
    <col min="8207" max="8207" width="8.85546875" style="211" customWidth="1"/>
    <col min="8208" max="8208" width="7.28515625" style="211" customWidth="1"/>
    <col min="8209" max="8209" width="8.28515625" style="211" customWidth="1"/>
    <col min="8210" max="8210" width="5" style="211" customWidth="1"/>
    <col min="8211" max="8211" width="4.28515625" style="211" customWidth="1"/>
    <col min="8212" max="8448" width="8.85546875" style="211"/>
    <col min="8449" max="8449" width="11.28515625" style="211" customWidth="1"/>
    <col min="8450" max="8450" width="8.85546875" style="211" customWidth="1"/>
    <col min="8451" max="8451" width="7.28515625" style="211" customWidth="1"/>
    <col min="8452" max="8453" width="7.42578125" style="211" customWidth="1"/>
    <col min="8454" max="8454" width="9.28515625" style="211" customWidth="1"/>
    <col min="8455" max="8455" width="8.140625" style="211" customWidth="1"/>
    <col min="8456" max="8456" width="7.42578125" style="211" customWidth="1"/>
    <col min="8457" max="8457" width="7.5703125" style="211" customWidth="1"/>
    <col min="8458" max="8458" width="7.7109375" style="211" customWidth="1"/>
    <col min="8459" max="8459" width="7.85546875" style="211" customWidth="1"/>
    <col min="8460" max="8460" width="5.85546875" style="211" customWidth="1"/>
    <col min="8461" max="8461" width="6.85546875" style="211" customWidth="1"/>
    <col min="8462" max="8462" width="6.7109375" style="211" customWidth="1"/>
    <col min="8463" max="8463" width="8.85546875" style="211" customWidth="1"/>
    <col min="8464" max="8464" width="7.28515625" style="211" customWidth="1"/>
    <col min="8465" max="8465" width="8.28515625" style="211" customWidth="1"/>
    <col min="8466" max="8466" width="5" style="211" customWidth="1"/>
    <col min="8467" max="8467" width="4.28515625" style="211" customWidth="1"/>
    <col min="8468" max="8704" width="8.85546875" style="211"/>
    <col min="8705" max="8705" width="11.28515625" style="211" customWidth="1"/>
    <col min="8706" max="8706" width="8.85546875" style="211" customWidth="1"/>
    <col min="8707" max="8707" width="7.28515625" style="211" customWidth="1"/>
    <col min="8708" max="8709" width="7.42578125" style="211" customWidth="1"/>
    <col min="8710" max="8710" width="9.28515625" style="211" customWidth="1"/>
    <col min="8711" max="8711" width="8.140625" style="211" customWidth="1"/>
    <col min="8712" max="8712" width="7.42578125" style="211" customWidth="1"/>
    <col min="8713" max="8713" width="7.5703125" style="211" customWidth="1"/>
    <col min="8714" max="8714" width="7.7109375" style="211" customWidth="1"/>
    <col min="8715" max="8715" width="7.85546875" style="211" customWidth="1"/>
    <col min="8716" max="8716" width="5.85546875" style="211" customWidth="1"/>
    <col min="8717" max="8717" width="6.85546875" style="211" customWidth="1"/>
    <col min="8718" max="8718" width="6.7109375" style="211" customWidth="1"/>
    <col min="8719" max="8719" width="8.85546875" style="211" customWidth="1"/>
    <col min="8720" max="8720" width="7.28515625" style="211" customWidth="1"/>
    <col min="8721" max="8721" width="8.28515625" style="211" customWidth="1"/>
    <col min="8722" max="8722" width="5" style="211" customWidth="1"/>
    <col min="8723" max="8723" width="4.28515625" style="211" customWidth="1"/>
    <col min="8724" max="8960" width="8.85546875" style="211"/>
    <col min="8961" max="8961" width="11.28515625" style="211" customWidth="1"/>
    <col min="8962" max="8962" width="8.85546875" style="211" customWidth="1"/>
    <col min="8963" max="8963" width="7.28515625" style="211" customWidth="1"/>
    <col min="8964" max="8965" width="7.42578125" style="211" customWidth="1"/>
    <col min="8966" max="8966" width="9.28515625" style="211" customWidth="1"/>
    <col min="8967" max="8967" width="8.140625" style="211" customWidth="1"/>
    <col min="8968" max="8968" width="7.42578125" style="211" customWidth="1"/>
    <col min="8969" max="8969" width="7.5703125" style="211" customWidth="1"/>
    <col min="8970" max="8970" width="7.7109375" style="211" customWidth="1"/>
    <col min="8971" max="8971" width="7.85546875" style="211" customWidth="1"/>
    <col min="8972" max="8972" width="5.85546875" style="211" customWidth="1"/>
    <col min="8973" max="8973" width="6.85546875" style="211" customWidth="1"/>
    <col min="8974" max="8974" width="6.7109375" style="211" customWidth="1"/>
    <col min="8975" max="8975" width="8.85546875" style="211" customWidth="1"/>
    <col min="8976" max="8976" width="7.28515625" style="211" customWidth="1"/>
    <col min="8977" max="8977" width="8.28515625" style="211" customWidth="1"/>
    <col min="8978" max="8978" width="5" style="211" customWidth="1"/>
    <col min="8979" max="8979" width="4.28515625" style="211" customWidth="1"/>
    <col min="8980" max="9216" width="8.85546875" style="211"/>
    <col min="9217" max="9217" width="11.28515625" style="211" customWidth="1"/>
    <col min="9218" max="9218" width="8.85546875" style="211" customWidth="1"/>
    <col min="9219" max="9219" width="7.28515625" style="211" customWidth="1"/>
    <col min="9220" max="9221" width="7.42578125" style="211" customWidth="1"/>
    <col min="9222" max="9222" width="9.28515625" style="211" customWidth="1"/>
    <col min="9223" max="9223" width="8.140625" style="211" customWidth="1"/>
    <col min="9224" max="9224" width="7.42578125" style="211" customWidth="1"/>
    <col min="9225" max="9225" width="7.5703125" style="211" customWidth="1"/>
    <col min="9226" max="9226" width="7.7109375" style="211" customWidth="1"/>
    <col min="9227" max="9227" width="7.85546875" style="211" customWidth="1"/>
    <col min="9228" max="9228" width="5.85546875" style="211" customWidth="1"/>
    <col min="9229" max="9229" width="6.85546875" style="211" customWidth="1"/>
    <col min="9230" max="9230" width="6.7109375" style="211" customWidth="1"/>
    <col min="9231" max="9231" width="8.85546875" style="211" customWidth="1"/>
    <col min="9232" max="9232" width="7.28515625" style="211" customWidth="1"/>
    <col min="9233" max="9233" width="8.28515625" style="211" customWidth="1"/>
    <col min="9234" max="9234" width="5" style="211" customWidth="1"/>
    <col min="9235" max="9235" width="4.28515625" style="211" customWidth="1"/>
    <col min="9236" max="9472" width="8.85546875" style="211"/>
    <col min="9473" max="9473" width="11.28515625" style="211" customWidth="1"/>
    <col min="9474" max="9474" width="8.85546875" style="211" customWidth="1"/>
    <col min="9475" max="9475" width="7.28515625" style="211" customWidth="1"/>
    <col min="9476" max="9477" width="7.42578125" style="211" customWidth="1"/>
    <col min="9478" max="9478" width="9.28515625" style="211" customWidth="1"/>
    <col min="9479" max="9479" width="8.140625" style="211" customWidth="1"/>
    <col min="9480" max="9480" width="7.42578125" style="211" customWidth="1"/>
    <col min="9481" max="9481" width="7.5703125" style="211" customWidth="1"/>
    <col min="9482" max="9482" width="7.7109375" style="211" customWidth="1"/>
    <col min="9483" max="9483" width="7.85546875" style="211" customWidth="1"/>
    <col min="9484" max="9484" width="5.85546875" style="211" customWidth="1"/>
    <col min="9485" max="9485" width="6.85546875" style="211" customWidth="1"/>
    <col min="9486" max="9486" width="6.7109375" style="211" customWidth="1"/>
    <col min="9487" max="9487" width="8.85546875" style="211" customWidth="1"/>
    <col min="9488" max="9488" width="7.28515625" style="211" customWidth="1"/>
    <col min="9489" max="9489" width="8.28515625" style="211" customWidth="1"/>
    <col min="9490" max="9490" width="5" style="211" customWidth="1"/>
    <col min="9491" max="9491" width="4.28515625" style="211" customWidth="1"/>
    <col min="9492" max="9728" width="8.85546875" style="211"/>
    <col min="9729" max="9729" width="11.28515625" style="211" customWidth="1"/>
    <col min="9730" max="9730" width="8.85546875" style="211" customWidth="1"/>
    <col min="9731" max="9731" width="7.28515625" style="211" customWidth="1"/>
    <col min="9732" max="9733" width="7.42578125" style="211" customWidth="1"/>
    <col min="9734" max="9734" width="9.28515625" style="211" customWidth="1"/>
    <col min="9735" max="9735" width="8.140625" style="211" customWidth="1"/>
    <col min="9736" max="9736" width="7.42578125" style="211" customWidth="1"/>
    <col min="9737" max="9737" width="7.5703125" style="211" customWidth="1"/>
    <col min="9738" max="9738" width="7.7109375" style="211" customWidth="1"/>
    <col min="9739" max="9739" width="7.85546875" style="211" customWidth="1"/>
    <col min="9740" max="9740" width="5.85546875" style="211" customWidth="1"/>
    <col min="9741" max="9741" width="6.85546875" style="211" customWidth="1"/>
    <col min="9742" max="9742" width="6.7109375" style="211" customWidth="1"/>
    <col min="9743" max="9743" width="8.85546875" style="211" customWidth="1"/>
    <col min="9744" max="9744" width="7.28515625" style="211" customWidth="1"/>
    <col min="9745" max="9745" width="8.28515625" style="211" customWidth="1"/>
    <col min="9746" max="9746" width="5" style="211" customWidth="1"/>
    <col min="9747" max="9747" width="4.28515625" style="211" customWidth="1"/>
    <col min="9748" max="9984" width="8.85546875" style="211"/>
    <col min="9985" max="9985" width="11.28515625" style="211" customWidth="1"/>
    <col min="9986" max="9986" width="8.85546875" style="211" customWidth="1"/>
    <col min="9987" max="9987" width="7.28515625" style="211" customWidth="1"/>
    <col min="9988" max="9989" width="7.42578125" style="211" customWidth="1"/>
    <col min="9990" max="9990" width="9.28515625" style="211" customWidth="1"/>
    <col min="9991" max="9991" width="8.140625" style="211" customWidth="1"/>
    <col min="9992" max="9992" width="7.42578125" style="211" customWidth="1"/>
    <col min="9993" max="9993" width="7.5703125" style="211" customWidth="1"/>
    <col min="9994" max="9994" width="7.7109375" style="211" customWidth="1"/>
    <col min="9995" max="9995" width="7.85546875" style="211" customWidth="1"/>
    <col min="9996" max="9996" width="5.85546875" style="211" customWidth="1"/>
    <col min="9997" max="9997" width="6.85546875" style="211" customWidth="1"/>
    <col min="9998" max="9998" width="6.7109375" style="211" customWidth="1"/>
    <col min="9999" max="9999" width="8.85546875" style="211" customWidth="1"/>
    <col min="10000" max="10000" width="7.28515625" style="211" customWidth="1"/>
    <col min="10001" max="10001" width="8.28515625" style="211" customWidth="1"/>
    <col min="10002" max="10002" width="5" style="211" customWidth="1"/>
    <col min="10003" max="10003" width="4.28515625" style="211" customWidth="1"/>
    <col min="10004" max="10240" width="8.85546875" style="211"/>
    <col min="10241" max="10241" width="11.28515625" style="211" customWidth="1"/>
    <col min="10242" max="10242" width="8.85546875" style="211" customWidth="1"/>
    <col min="10243" max="10243" width="7.28515625" style="211" customWidth="1"/>
    <col min="10244" max="10245" width="7.42578125" style="211" customWidth="1"/>
    <col min="10246" max="10246" width="9.28515625" style="211" customWidth="1"/>
    <col min="10247" max="10247" width="8.140625" style="211" customWidth="1"/>
    <col min="10248" max="10248" width="7.42578125" style="211" customWidth="1"/>
    <col min="10249" max="10249" width="7.5703125" style="211" customWidth="1"/>
    <col min="10250" max="10250" width="7.7109375" style="211" customWidth="1"/>
    <col min="10251" max="10251" width="7.85546875" style="211" customWidth="1"/>
    <col min="10252" max="10252" width="5.85546875" style="211" customWidth="1"/>
    <col min="10253" max="10253" width="6.85546875" style="211" customWidth="1"/>
    <col min="10254" max="10254" width="6.7109375" style="211" customWidth="1"/>
    <col min="10255" max="10255" width="8.85546875" style="211" customWidth="1"/>
    <col min="10256" max="10256" width="7.28515625" style="211" customWidth="1"/>
    <col min="10257" max="10257" width="8.28515625" style="211" customWidth="1"/>
    <col min="10258" max="10258" width="5" style="211" customWidth="1"/>
    <col min="10259" max="10259" width="4.28515625" style="211" customWidth="1"/>
    <col min="10260" max="10496" width="8.85546875" style="211"/>
    <col min="10497" max="10497" width="11.28515625" style="211" customWidth="1"/>
    <col min="10498" max="10498" width="8.85546875" style="211" customWidth="1"/>
    <col min="10499" max="10499" width="7.28515625" style="211" customWidth="1"/>
    <col min="10500" max="10501" width="7.42578125" style="211" customWidth="1"/>
    <col min="10502" max="10502" width="9.28515625" style="211" customWidth="1"/>
    <col min="10503" max="10503" width="8.140625" style="211" customWidth="1"/>
    <col min="10504" max="10504" width="7.42578125" style="211" customWidth="1"/>
    <col min="10505" max="10505" width="7.5703125" style="211" customWidth="1"/>
    <col min="10506" max="10506" width="7.7109375" style="211" customWidth="1"/>
    <col min="10507" max="10507" width="7.85546875" style="211" customWidth="1"/>
    <col min="10508" max="10508" width="5.85546875" style="211" customWidth="1"/>
    <col min="10509" max="10509" width="6.85546875" style="211" customWidth="1"/>
    <col min="10510" max="10510" width="6.7109375" style="211" customWidth="1"/>
    <col min="10511" max="10511" width="8.85546875" style="211" customWidth="1"/>
    <col min="10512" max="10512" width="7.28515625" style="211" customWidth="1"/>
    <col min="10513" max="10513" width="8.28515625" style="211" customWidth="1"/>
    <col min="10514" max="10514" width="5" style="211" customWidth="1"/>
    <col min="10515" max="10515" width="4.28515625" style="211" customWidth="1"/>
    <col min="10516" max="10752" width="8.85546875" style="211"/>
    <col min="10753" max="10753" width="11.28515625" style="211" customWidth="1"/>
    <col min="10754" max="10754" width="8.85546875" style="211" customWidth="1"/>
    <col min="10755" max="10755" width="7.28515625" style="211" customWidth="1"/>
    <col min="10756" max="10757" width="7.42578125" style="211" customWidth="1"/>
    <col min="10758" max="10758" width="9.28515625" style="211" customWidth="1"/>
    <col min="10759" max="10759" width="8.140625" style="211" customWidth="1"/>
    <col min="10760" max="10760" width="7.42578125" style="211" customWidth="1"/>
    <col min="10761" max="10761" width="7.5703125" style="211" customWidth="1"/>
    <col min="10762" max="10762" width="7.7109375" style="211" customWidth="1"/>
    <col min="10763" max="10763" width="7.85546875" style="211" customWidth="1"/>
    <col min="10764" max="10764" width="5.85546875" style="211" customWidth="1"/>
    <col min="10765" max="10765" width="6.85546875" style="211" customWidth="1"/>
    <col min="10766" max="10766" width="6.7109375" style="211" customWidth="1"/>
    <col min="10767" max="10767" width="8.85546875" style="211" customWidth="1"/>
    <col min="10768" max="10768" width="7.28515625" style="211" customWidth="1"/>
    <col min="10769" max="10769" width="8.28515625" style="211" customWidth="1"/>
    <col min="10770" max="10770" width="5" style="211" customWidth="1"/>
    <col min="10771" max="10771" width="4.28515625" style="211" customWidth="1"/>
    <col min="10772" max="11008" width="8.85546875" style="211"/>
    <col min="11009" max="11009" width="11.28515625" style="211" customWidth="1"/>
    <col min="11010" max="11010" width="8.85546875" style="211" customWidth="1"/>
    <col min="11011" max="11011" width="7.28515625" style="211" customWidth="1"/>
    <col min="11012" max="11013" width="7.42578125" style="211" customWidth="1"/>
    <col min="11014" max="11014" width="9.28515625" style="211" customWidth="1"/>
    <col min="11015" max="11015" width="8.140625" style="211" customWidth="1"/>
    <col min="11016" max="11016" width="7.42578125" style="211" customWidth="1"/>
    <col min="11017" max="11017" width="7.5703125" style="211" customWidth="1"/>
    <col min="11018" max="11018" width="7.7109375" style="211" customWidth="1"/>
    <col min="11019" max="11019" width="7.85546875" style="211" customWidth="1"/>
    <col min="11020" max="11020" width="5.85546875" style="211" customWidth="1"/>
    <col min="11021" max="11021" width="6.85546875" style="211" customWidth="1"/>
    <col min="11022" max="11022" width="6.7109375" style="211" customWidth="1"/>
    <col min="11023" max="11023" width="8.85546875" style="211" customWidth="1"/>
    <col min="11024" max="11024" width="7.28515625" style="211" customWidth="1"/>
    <col min="11025" max="11025" width="8.28515625" style="211" customWidth="1"/>
    <col min="11026" max="11026" width="5" style="211" customWidth="1"/>
    <col min="11027" max="11027" width="4.28515625" style="211" customWidth="1"/>
    <col min="11028" max="11264" width="8.85546875" style="211"/>
    <col min="11265" max="11265" width="11.28515625" style="211" customWidth="1"/>
    <col min="11266" max="11266" width="8.85546875" style="211" customWidth="1"/>
    <col min="11267" max="11267" width="7.28515625" style="211" customWidth="1"/>
    <col min="11268" max="11269" width="7.42578125" style="211" customWidth="1"/>
    <col min="11270" max="11270" width="9.28515625" style="211" customWidth="1"/>
    <col min="11271" max="11271" width="8.140625" style="211" customWidth="1"/>
    <col min="11272" max="11272" width="7.42578125" style="211" customWidth="1"/>
    <col min="11273" max="11273" width="7.5703125" style="211" customWidth="1"/>
    <col min="11274" max="11274" width="7.7109375" style="211" customWidth="1"/>
    <col min="11275" max="11275" width="7.85546875" style="211" customWidth="1"/>
    <col min="11276" max="11276" width="5.85546875" style="211" customWidth="1"/>
    <col min="11277" max="11277" width="6.85546875" style="211" customWidth="1"/>
    <col min="11278" max="11278" width="6.7109375" style="211" customWidth="1"/>
    <col min="11279" max="11279" width="8.85546875" style="211" customWidth="1"/>
    <col min="11280" max="11280" width="7.28515625" style="211" customWidth="1"/>
    <col min="11281" max="11281" width="8.28515625" style="211" customWidth="1"/>
    <col min="11282" max="11282" width="5" style="211" customWidth="1"/>
    <col min="11283" max="11283" width="4.28515625" style="211" customWidth="1"/>
    <col min="11284" max="11520" width="8.85546875" style="211"/>
    <col min="11521" max="11521" width="11.28515625" style="211" customWidth="1"/>
    <col min="11522" max="11522" width="8.85546875" style="211" customWidth="1"/>
    <col min="11523" max="11523" width="7.28515625" style="211" customWidth="1"/>
    <col min="11524" max="11525" width="7.42578125" style="211" customWidth="1"/>
    <col min="11526" max="11526" width="9.28515625" style="211" customWidth="1"/>
    <col min="11527" max="11527" width="8.140625" style="211" customWidth="1"/>
    <col min="11528" max="11528" width="7.42578125" style="211" customWidth="1"/>
    <col min="11529" max="11529" width="7.5703125" style="211" customWidth="1"/>
    <col min="11530" max="11530" width="7.7109375" style="211" customWidth="1"/>
    <col min="11531" max="11531" width="7.85546875" style="211" customWidth="1"/>
    <col min="11532" max="11532" width="5.85546875" style="211" customWidth="1"/>
    <col min="11533" max="11533" width="6.85546875" style="211" customWidth="1"/>
    <col min="11534" max="11534" width="6.7109375" style="211" customWidth="1"/>
    <col min="11535" max="11535" width="8.85546875" style="211" customWidth="1"/>
    <col min="11536" max="11536" width="7.28515625" style="211" customWidth="1"/>
    <col min="11537" max="11537" width="8.28515625" style="211" customWidth="1"/>
    <col min="11538" max="11538" width="5" style="211" customWidth="1"/>
    <col min="11539" max="11539" width="4.28515625" style="211" customWidth="1"/>
    <col min="11540" max="11776" width="8.85546875" style="211"/>
    <col min="11777" max="11777" width="11.28515625" style="211" customWidth="1"/>
    <col min="11778" max="11778" width="8.85546875" style="211" customWidth="1"/>
    <col min="11779" max="11779" width="7.28515625" style="211" customWidth="1"/>
    <col min="11780" max="11781" width="7.42578125" style="211" customWidth="1"/>
    <col min="11782" max="11782" width="9.28515625" style="211" customWidth="1"/>
    <col min="11783" max="11783" width="8.140625" style="211" customWidth="1"/>
    <col min="11784" max="11784" width="7.42578125" style="211" customWidth="1"/>
    <col min="11785" max="11785" width="7.5703125" style="211" customWidth="1"/>
    <col min="11786" max="11786" width="7.7109375" style="211" customWidth="1"/>
    <col min="11787" max="11787" width="7.85546875" style="211" customWidth="1"/>
    <col min="11788" max="11788" width="5.85546875" style="211" customWidth="1"/>
    <col min="11789" max="11789" width="6.85546875" style="211" customWidth="1"/>
    <col min="11790" max="11790" width="6.7109375" style="211" customWidth="1"/>
    <col min="11791" max="11791" width="8.85546875" style="211" customWidth="1"/>
    <col min="11792" max="11792" width="7.28515625" style="211" customWidth="1"/>
    <col min="11793" max="11793" width="8.28515625" style="211" customWidth="1"/>
    <col min="11794" max="11794" width="5" style="211" customWidth="1"/>
    <col min="11795" max="11795" width="4.28515625" style="211" customWidth="1"/>
    <col min="11796" max="12032" width="8.85546875" style="211"/>
    <col min="12033" max="12033" width="11.28515625" style="211" customWidth="1"/>
    <col min="12034" max="12034" width="8.85546875" style="211" customWidth="1"/>
    <col min="12035" max="12035" width="7.28515625" style="211" customWidth="1"/>
    <col min="12036" max="12037" width="7.42578125" style="211" customWidth="1"/>
    <col min="12038" max="12038" width="9.28515625" style="211" customWidth="1"/>
    <col min="12039" max="12039" width="8.140625" style="211" customWidth="1"/>
    <col min="12040" max="12040" width="7.42578125" style="211" customWidth="1"/>
    <col min="12041" max="12041" width="7.5703125" style="211" customWidth="1"/>
    <col min="12042" max="12042" width="7.7109375" style="211" customWidth="1"/>
    <col min="12043" max="12043" width="7.85546875" style="211" customWidth="1"/>
    <col min="12044" max="12044" width="5.85546875" style="211" customWidth="1"/>
    <col min="12045" max="12045" width="6.85546875" style="211" customWidth="1"/>
    <col min="12046" max="12046" width="6.7109375" style="211" customWidth="1"/>
    <col min="12047" max="12047" width="8.85546875" style="211" customWidth="1"/>
    <col min="12048" max="12048" width="7.28515625" style="211" customWidth="1"/>
    <col min="12049" max="12049" width="8.28515625" style="211" customWidth="1"/>
    <col min="12050" max="12050" width="5" style="211" customWidth="1"/>
    <col min="12051" max="12051" width="4.28515625" style="211" customWidth="1"/>
    <col min="12052" max="12288" width="8.85546875" style="211"/>
    <col min="12289" max="12289" width="11.28515625" style="211" customWidth="1"/>
    <col min="12290" max="12290" width="8.85546875" style="211" customWidth="1"/>
    <col min="12291" max="12291" width="7.28515625" style="211" customWidth="1"/>
    <col min="12292" max="12293" width="7.42578125" style="211" customWidth="1"/>
    <col min="12294" max="12294" width="9.28515625" style="211" customWidth="1"/>
    <col min="12295" max="12295" width="8.140625" style="211" customWidth="1"/>
    <col min="12296" max="12296" width="7.42578125" style="211" customWidth="1"/>
    <col min="12297" max="12297" width="7.5703125" style="211" customWidth="1"/>
    <col min="12298" max="12298" width="7.7109375" style="211" customWidth="1"/>
    <col min="12299" max="12299" width="7.85546875" style="211" customWidth="1"/>
    <col min="12300" max="12300" width="5.85546875" style="211" customWidth="1"/>
    <col min="12301" max="12301" width="6.85546875" style="211" customWidth="1"/>
    <col min="12302" max="12302" width="6.7109375" style="211" customWidth="1"/>
    <col min="12303" max="12303" width="8.85546875" style="211" customWidth="1"/>
    <col min="12304" max="12304" width="7.28515625" style="211" customWidth="1"/>
    <col min="12305" max="12305" width="8.28515625" style="211" customWidth="1"/>
    <col min="12306" max="12306" width="5" style="211" customWidth="1"/>
    <col min="12307" max="12307" width="4.28515625" style="211" customWidth="1"/>
    <col min="12308" max="12544" width="8.85546875" style="211"/>
    <col min="12545" max="12545" width="11.28515625" style="211" customWidth="1"/>
    <col min="12546" max="12546" width="8.85546875" style="211" customWidth="1"/>
    <col min="12547" max="12547" width="7.28515625" style="211" customWidth="1"/>
    <col min="12548" max="12549" width="7.42578125" style="211" customWidth="1"/>
    <col min="12550" max="12550" width="9.28515625" style="211" customWidth="1"/>
    <col min="12551" max="12551" width="8.140625" style="211" customWidth="1"/>
    <col min="12552" max="12552" width="7.42578125" style="211" customWidth="1"/>
    <col min="12553" max="12553" width="7.5703125" style="211" customWidth="1"/>
    <col min="12554" max="12554" width="7.7109375" style="211" customWidth="1"/>
    <col min="12555" max="12555" width="7.85546875" style="211" customWidth="1"/>
    <col min="12556" max="12556" width="5.85546875" style="211" customWidth="1"/>
    <col min="12557" max="12557" width="6.85546875" style="211" customWidth="1"/>
    <col min="12558" max="12558" width="6.7109375" style="211" customWidth="1"/>
    <col min="12559" max="12559" width="8.85546875" style="211" customWidth="1"/>
    <col min="12560" max="12560" width="7.28515625" style="211" customWidth="1"/>
    <col min="12561" max="12561" width="8.28515625" style="211" customWidth="1"/>
    <col min="12562" max="12562" width="5" style="211" customWidth="1"/>
    <col min="12563" max="12563" width="4.28515625" style="211" customWidth="1"/>
    <col min="12564" max="12800" width="8.85546875" style="211"/>
    <col min="12801" max="12801" width="11.28515625" style="211" customWidth="1"/>
    <col min="12802" max="12802" width="8.85546875" style="211" customWidth="1"/>
    <col min="12803" max="12803" width="7.28515625" style="211" customWidth="1"/>
    <col min="12804" max="12805" width="7.42578125" style="211" customWidth="1"/>
    <col min="12806" max="12806" width="9.28515625" style="211" customWidth="1"/>
    <col min="12807" max="12807" width="8.140625" style="211" customWidth="1"/>
    <col min="12808" max="12808" width="7.42578125" style="211" customWidth="1"/>
    <col min="12809" max="12809" width="7.5703125" style="211" customWidth="1"/>
    <col min="12810" max="12810" width="7.7109375" style="211" customWidth="1"/>
    <col min="12811" max="12811" width="7.85546875" style="211" customWidth="1"/>
    <col min="12812" max="12812" width="5.85546875" style="211" customWidth="1"/>
    <col min="12813" max="12813" width="6.85546875" style="211" customWidth="1"/>
    <col min="12814" max="12814" width="6.7109375" style="211" customWidth="1"/>
    <col min="12815" max="12815" width="8.85546875" style="211" customWidth="1"/>
    <col min="12816" max="12816" width="7.28515625" style="211" customWidth="1"/>
    <col min="12817" max="12817" width="8.28515625" style="211" customWidth="1"/>
    <col min="12818" max="12818" width="5" style="211" customWidth="1"/>
    <col min="12819" max="12819" width="4.28515625" style="211" customWidth="1"/>
    <col min="12820" max="13056" width="8.85546875" style="211"/>
    <col min="13057" max="13057" width="11.28515625" style="211" customWidth="1"/>
    <col min="13058" max="13058" width="8.85546875" style="211" customWidth="1"/>
    <col min="13059" max="13059" width="7.28515625" style="211" customWidth="1"/>
    <col min="13060" max="13061" width="7.42578125" style="211" customWidth="1"/>
    <col min="13062" max="13062" width="9.28515625" style="211" customWidth="1"/>
    <col min="13063" max="13063" width="8.140625" style="211" customWidth="1"/>
    <col min="13064" max="13064" width="7.42578125" style="211" customWidth="1"/>
    <col min="13065" max="13065" width="7.5703125" style="211" customWidth="1"/>
    <col min="13066" max="13066" width="7.7109375" style="211" customWidth="1"/>
    <col min="13067" max="13067" width="7.85546875" style="211" customWidth="1"/>
    <col min="13068" max="13068" width="5.85546875" style="211" customWidth="1"/>
    <col min="13069" max="13069" width="6.85546875" style="211" customWidth="1"/>
    <col min="13070" max="13070" width="6.7109375" style="211" customWidth="1"/>
    <col min="13071" max="13071" width="8.85546875" style="211" customWidth="1"/>
    <col min="13072" max="13072" width="7.28515625" style="211" customWidth="1"/>
    <col min="13073" max="13073" width="8.28515625" style="211" customWidth="1"/>
    <col min="13074" max="13074" width="5" style="211" customWidth="1"/>
    <col min="13075" max="13075" width="4.28515625" style="211" customWidth="1"/>
    <col min="13076" max="13312" width="8.85546875" style="211"/>
    <col min="13313" max="13313" width="11.28515625" style="211" customWidth="1"/>
    <col min="13314" max="13314" width="8.85546875" style="211" customWidth="1"/>
    <col min="13315" max="13315" width="7.28515625" style="211" customWidth="1"/>
    <col min="13316" max="13317" width="7.42578125" style="211" customWidth="1"/>
    <col min="13318" max="13318" width="9.28515625" style="211" customWidth="1"/>
    <col min="13319" max="13319" width="8.140625" style="211" customWidth="1"/>
    <col min="13320" max="13320" width="7.42578125" style="211" customWidth="1"/>
    <col min="13321" max="13321" width="7.5703125" style="211" customWidth="1"/>
    <col min="13322" max="13322" width="7.7109375" style="211" customWidth="1"/>
    <col min="13323" max="13323" width="7.85546875" style="211" customWidth="1"/>
    <col min="13324" max="13324" width="5.85546875" style="211" customWidth="1"/>
    <col min="13325" max="13325" width="6.85546875" style="211" customWidth="1"/>
    <col min="13326" max="13326" width="6.7109375" style="211" customWidth="1"/>
    <col min="13327" max="13327" width="8.85546875" style="211" customWidth="1"/>
    <col min="13328" max="13328" width="7.28515625" style="211" customWidth="1"/>
    <col min="13329" max="13329" width="8.28515625" style="211" customWidth="1"/>
    <col min="13330" max="13330" width="5" style="211" customWidth="1"/>
    <col min="13331" max="13331" width="4.28515625" style="211" customWidth="1"/>
    <col min="13332" max="13568" width="8.85546875" style="211"/>
    <col min="13569" max="13569" width="11.28515625" style="211" customWidth="1"/>
    <col min="13570" max="13570" width="8.85546875" style="211" customWidth="1"/>
    <col min="13571" max="13571" width="7.28515625" style="211" customWidth="1"/>
    <col min="13572" max="13573" width="7.42578125" style="211" customWidth="1"/>
    <col min="13574" max="13574" width="9.28515625" style="211" customWidth="1"/>
    <col min="13575" max="13575" width="8.140625" style="211" customWidth="1"/>
    <col min="13576" max="13576" width="7.42578125" style="211" customWidth="1"/>
    <col min="13577" max="13577" width="7.5703125" style="211" customWidth="1"/>
    <col min="13578" max="13578" width="7.7109375" style="211" customWidth="1"/>
    <col min="13579" max="13579" width="7.85546875" style="211" customWidth="1"/>
    <col min="13580" max="13580" width="5.85546875" style="211" customWidth="1"/>
    <col min="13581" max="13581" width="6.85546875" style="211" customWidth="1"/>
    <col min="13582" max="13582" width="6.7109375" style="211" customWidth="1"/>
    <col min="13583" max="13583" width="8.85546875" style="211" customWidth="1"/>
    <col min="13584" max="13584" width="7.28515625" style="211" customWidth="1"/>
    <col min="13585" max="13585" width="8.28515625" style="211" customWidth="1"/>
    <col min="13586" max="13586" width="5" style="211" customWidth="1"/>
    <col min="13587" max="13587" width="4.28515625" style="211" customWidth="1"/>
    <col min="13588" max="13824" width="8.85546875" style="211"/>
    <col min="13825" max="13825" width="11.28515625" style="211" customWidth="1"/>
    <col min="13826" max="13826" width="8.85546875" style="211" customWidth="1"/>
    <col min="13827" max="13827" width="7.28515625" style="211" customWidth="1"/>
    <col min="13828" max="13829" width="7.42578125" style="211" customWidth="1"/>
    <col min="13830" max="13830" width="9.28515625" style="211" customWidth="1"/>
    <col min="13831" max="13831" width="8.140625" style="211" customWidth="1"/>
    <col min="13832" max="13832" width="7.42578125" style="211" customWidth="1"/>
    <col min="13833" max="13833" width="7.5703125" style="211" customWidth="1"/>
    <col min="13834" max="13834" width="7.7109375" style="211" customWidth="1"/>
    <col min="13835" max="13835" width="7.85546875" style="211" customWidth="1"/>
    <col min="13836" max="13836" width="5.85546875" style="211" customWidth="1"/>
    <col min="13837" max="13837" width="6.85546875" style="211" customWidth="1"/>
    <col min="13838" max="13838" width="6.7109375" style="211" customWidth="1"/>
    <col min="13839" max="13839" width="8.85546875" style="211" customWidth="1"/>
    <col min="13840" max="13840" width="7.28515625" style="211" customWidth="1"/>
    <col min="13841" max="13841" width="8.28515625" style="211" customWidth="1"/>
    <col min="13842" max="13842" width="5" style="211" customWidth="1"/>
    <col min="13843" max="13843" width="4.28515625" style="211" customWidth="1"/>
    <col min="13844" max="14080" width="8.85546875" style="211"/>
    <col min="14081" max="14081" width="11.28515625" style="211" customWidth="1"/>
    <col min="14082" max="14082" width="8.85546875" style="211" customWidth="1"/>
    <col min="14083" max="14083" width="7.28515625" style="211" customWidth="1"/>
    <col min="14084" max="14085" width="7.42578125" style="211" customWidth="1"/>
    <col min="14086" max="14086" width="9.28515625" style="211" customWidth="1"/>
    <col min="14087" max="14087" width="8.140625" style="211" customWidth="1"/>
    <col min="14088" max="14088" width="7.42578125" style="211" customWidth="1"/>
    <col min="14089" max="14089" width="7.5703125" style="211" customWidth="1"/>
    <col min="14090" max="14090" width="7.7109375" style="211" customWidth="1"/>
    <col min="14091" max="14091" width="7.85546875" style="211" customWidth="1"/>
    <col min="14092" max="14092" width="5.85546875" style="211" customWidth="1"/>
    <col min="14093" max="14093" width="6.85546875" style="211" customWidth="1"/>
    <col min="14094" max="14094" width="6.7109375" style="211" customWidth="1"/>
    <col min="14095" max="14095" width="8.85546875" style="211" customWidth="1"/>
    <col min="14096" max="14096" width="7.28515625" style="211" customWidth="1"/>
    <col min="14097" max="14097" width="8.28515625" style="211" customWidth="1"/>
    <col min="14098" max="14098" width="5" style="211" customWidth="1"/>
    <col min="14099" max="14099" width="4.28515625" style="211" customWidth="1"/>
    <col min="14100" max="14336" width="8.85546875" style="211"/>
    <col min="14337" max="14337" width="11.28515625" style="211" customWidth="1"/>
    <col min="14338" max="14338" width="8.85546875" style="211" customWidth="1"/>
    <col min="14339" max="14339" width="7.28515625" style="211" customWidth="1"/>
    <col min="14340" max="14341" width="7.42578125" style="211" customWidth="1"/>
    <col min="14342" max="14342" width="9.28515625" style="211" customWidth="1"/>
    <col min="14343" max="14343" width="8.140625" style="211" customWidth="1"/>
    <col min="14344" max="14344" width="7.42578125" style="211" customWidth="1"/>
    <col min="14345" max="14345" width="7.5703125" style="211" customWidth="1"/>
    <col min="14346" max="14346" width="7.7109375" style="211" customWidth="1"/>
    <col min="14347" max="14347" width="7.85546875" style="211" customWidth="1"/>
    <col min="14348" max="14348" width="5.85546875" style="211" customWidth="1"/>
    <col min="14349" max="14349" width="6.85546875" style="211" customWidth="1"/>
    <col min="14350" max="14350" width="6.7109375" style="211" customWidth="1"/>
    <col min="14351" max="14351" width="8.85546875" style="211" customWidth="1"/>
    <col min="14352" max="14352" width="7.28515625" style="211" customWidth="1"/>
    <col min="14353" max="14353" width="8.28515625" style="211" customWidth="1"/>
    <col min="14354" max="14354" width="5" style="211" customWidth="1"/>
    <col min="14355" max="14355" width="4.28515625" style="211" customWidth="1"/>
    <col min="14356" max="14592" width="8.85546875" style="211"/>
    <col min="14593" max="14593" width="11.28515625" style="211" customWidth="1"/>
    <col min="14594" max="14594" width="8.85546875" style="211" customWidth="1"/>
    <col min="14595" max="14595" width="7.28515625" style="211" customWidth="1"/>
    <col min="14596" max="14597" width="7.42578125" style="211" customWidth="1"/>
    <col min="14598" max="14598" width="9.28515625" style="211" customWidth="1"/>
    <col min="14599" max="14599" width="8.140625" style="211" customWidth="1"/>
    <col min="14600" max="14600" width="7.42578125" style="211" customWidth="1"/>
    <col min="14601" max="14601" width="7.5703125" style="211" customWidth="1"/>
    <col min="14602" max="14602" width="7.7109375" style="211" customWidth="1"/>
    <col min="14603" max="14603" width="7.85546875" style="211" customWidth="1"/>
    <col min="14604" max="14604" width="5.85546875" style="211" customWidth="1"/>
    <col min="14605" max="14605" width="6.85546875" style="211" customWidth="1"/>
    <col min="14606" max="14606" width="6.7109375" style="211" customWidth="1"/>
    <col min="14607" max="14607" width="8.85546875" style="211" customWidth="1"/>
    <col min="14608" max="14608" width="7.28515625" style="211" customWidth="1"/>
    <col min="14609" max="14609" width="8.28515625" style="211" customWidth="1"/>
    <col min="14610" max="14610" width="5" style="211" customWidth="1"/>
    <col min="14611" max="14611" width="4.28515625" style="211" customWidth="1"/>
    <col min="14612" max="14848" width="8.85546875" style="211"/>
    <col min="14849" max="14849" width="11.28515625" style="211" customWidth="1"/>
    <col min="14850" max="14850" width="8.85546875" style="211" customWidth="1"/>
    <col min="14851" max="14851" width="7.28515625" style="211" customWidth="1"/>
    <col min="14852" max="14853" width="7.42578125" style="211" customWidth="1"/>
    <col min="14854" max="14854" width="9.28515625" style="211" customWidth="1"/>
    <col min="14855" max="14855" width="8.140625" style="211" customWidth="1"/>
    <col min="14856" max="14856" width="7.42578125" style="211" customWidth="1"/>
    <col min="14857" max="14857" width="7.5703125" style="211" customWidth="1"/>
    <col min="14858" max="14858" width="7.7109375" style="211" customWidth="1"/>
    <col min="14859" max="14859" width="7.85546875" style="211" customWidth="1"/>
    <col min="14860" max="14860" width="5.85546875" style="211" customWidth="1"/>
    <col min="14861" max="14861" width="6.85546875" style="211" customWidth="1"/>
    <col min="14862" max="14862" width="6.7109375" style="211" customWidth="1"/>
    <col min="14863" max="14863" width="8.85546875" style="211" customWidth="1"/>
    <col min="14864" max="14864" width="7.28515625" style="211" customWidth="1"/>
    <col min="14865" max="14865" width="8.28515625" style="211" customWidth="1"/>
    <col min="14866" max="14866" width="5" style="211" customWidth="1"/>
    <col min="14867" max="14867" width="4.28515625" style="211" customWidth="1"/>
    <col min="14868" max="15104" width="8.85546875" style="211"/>
    <col min="15105" max="15105" width="11.28515625" style="211" customWidth="1"/>
    <col min="15106" max="15106" width="8.85546875" style="211" customWidth="1"/>
    <col min="15107" max="15107" width="7.28515625" style="211" customWidth="1"/>
    <col min="15108" max="15109" width="7.42578125" style="211" customWidth="1"/>
    <col min="15110" max="15110" width="9.28515625" style="211" customWidth="1"/>
    <col min="15111" max="15111" width="8.140625" style="211" customWidth="1"/>
    <col min="15112" max="15112" width="7.42578125" style="211" customWidth="1"/>
    <col min="15113" max="15113" width="7.5703125" style="211" customWidth="1"/>
    <col min="15114" max="15114" width="7.7109375" style="211" customWidth="1"/>
    <col min="15115" max="15115" width="7.85546875" style="211" customWidth="1"/>
    <col min="15116" max="15116" width="5.85546875" style="211" customWidth="1"/>
    <col min="15117" max="15117" width="6.85546875" style="211" customWidth="1"/>
    <col min="15118" max="15118" width="6.7109375" style="211" customWidth="1"/>
    <col min="15119" max="15119" width="8.85546875" style="211" customWidth="1"/>
    <col min="15120" max="15120" width="7.28515625" style="211" customWidth="1"/>
    <col min="15121" max="15121" width="8.28515625" style="211" customWidth="1"/>
    <col min="15122" max="15122" width="5" style="211" customWidth="1"/>
    <col min="15123" max="15123" width="4.28515625" style="211" customWidth="1"/>
    <col min="15124" max="15360" width="8.85546875" style="211"/>
    <col min="15361" max="15361" width="11.28515625" style="211" customWidth="1"/>
    <col min="15362" max="15362" width="8.85546875" style="211" customWidth="1"/>
    <col min="15363" max="15363" width="7.28515625" style="211" customWidth="1"/>
    <col min="15364" max="15365" width="7.42578125" style="211" customWidth="1"/>
    <col min="15366" max="15366" width="9.28515625" style="211" customWidth="1"/>
    <col min="15367" max="15367" width="8.140625" style="211" customWidth="1"/>
    <col min="15368" max="15368" width="7.42578125" style="211" customWidth="1"/>
    <col min="15369" max="15369" width="7.5703125" style="211" customWidth="1"/>
    <col min="15370" max="15370" width="7.7109375" style="211" customWidth="1"/>
    <col min="15371" max="15371" width="7.85546875" style="211" customWidth="1"/>
    <col min="15372" max="15372" width="5.85546875" style="211" customWidth="1"/>
    <col min="15373" max="15373" width="6.85546875" style="211" customWidth="1"/>
    <col min="15374" max="15374" width="6.7109375" style="211" customWidth="1"/>
    <col min="15375" max="15375" width="8.85546875" style="211" customWidth="1"/>
    <col min="15376" max="15376" width="7.28515625" style="211" customWidth="1"/>
    <col min="15377" max="15377" width="8.28515625" style="211" customWidth="1"/>
    <col min="15378" max="15378" width="5" style="211" customWidth="1"/>
    <col min="15379" max="15379" width="4.28515625" style="211" customWidth="1"/>
    <col min="15380" max="15616" width="8.85546875" style="211"/>
    <col min="15617" max="15617" width="11.28515625" style="211" customWidth="1"/>
    <col min="15618" max="15618" width="8.85546875" style="211" customWidth="1"/>
    <col min="15619" max="15619" width="7.28515625" style="211" customWidth="1"/>
    <col min="15620" max="15621" width="7.42578125" style="211" customWidth="1"/>
    <col min="15622" max="15622" width="9.28515625" style="211" customWidth="1"/>
    <col min="15623" max="15623" width="8.140625" style="211" customWidth="1"/>
    <col min="15624" max="15624" width="7.42578125" style="211" customWidth="1"/>
    <col min="15625" max="15625" width="7.5703125" style="211" customWidth="1"/>
    <col min="15626" max="15626" width="7.7109375" style="211" customWidth="1"/>
    <col min="15627" max="15627" width="7.85546875" style="211" customWidth="1"/>
    <col min="15628" max="15628" width="5.85546875" style="211" customWidth="1"/>
    <col min="15629" max="15629" width="6.85546875" style="211" customWidth="1"/>
    <col min="15630" max="15630" width="6.7109375" style="211" customWidth="1"/>
    <col min="15631" max="15631" width="8.85546875" style="211" customWidth="1"/>
    <col min="15632" max="15632" width="7.28515625" style="211" customWidth="1"/>
    <col min="15633" max="15633" width="8.28515625" style="211" customWidth="1"/>
    <col min="15634" max="15634" width="5" style="211" customWidth="1"/>
    <col min="15635" max="15635" width="4.28515625" style="211" customWidth="1"/>
    <col min="15636" max="15872" width="8.85546875" style="211"/>
    <col min="15873" max="15873" width="11.28515625" style="211" customWidth="1"/>
    <col min="15874" max="15874" width="8.85546875" style="211" customWidth="1"/>
    <col min="15875" max="15875" width="7.28515625" style="211" customWidth="1"/>
    <col min="15876" max="15877" width="7.42578125" style="211" customWidth="1"/>
    <col min="15878" max="15878" width="9.28515625" style="211" customWidth="1"/>
    <col min="15879" max="15879" width="8.140625" style="211" customWidth="1"/>
    <col min="15880" max="15880" width="7.42578125" style="211" customWidth="1"/>
    <col min="15881" max="15881" width="7.5703125" style="211" customWidth="1"/>
    <col min="15882" max="15882" width="7.7109375" style="211" customWidth="1"/>
    <col min="15883" max="15883" width="7.85546875" style="211" customWidth="1"/>
    <col min="15884" max="15884" width="5.85546875" style="211" customWidth="1"/>
    <col min="15885" max="15885" width="6.85546875" style="211" customWidth="1"/>
    <col min="15886" max="15886" width="6.7109375" style="211" customWidth="1"/>
    <col min="15887" max="15887" width="8.85546875" style="211" customWidth="1"/>
    <col min="15888" max="15888" width="7.28515625" style="211" customWidth="1"/>
    <col min="15889" max="15889" width="8.28515625" style="211" customWidth="1"/>
    <col min="15890" max="15890" width="5" style="211" customWidth="1"/>
    <col min="15891" max="15891" width="4.28515625" style="211" customWidth="1"/>
    <col min="15892" max="16128" width="8.85546875" style="211"/>
    <col min="16129" max="16129" width="11.28515625" style="211" customWidth="1"/>
    <col min="16130" max="16130" width="8.85546875" style="211" customWidth="1"/>
    <col min="16131" max="16131" width="7.28515625" style="211" customWidth="1"/>
    <col min="16132" max="16133" width="7.42578125" style="211" customWidth="1"/>
    <col min="16134" max="16134" width="9.28515625" style="211" customWidth="1"/>
    <col min="16135" max="16135" width="8.140625" style="211" customWidth="1"/>
    <col min="16136" max="16136" width="7.42578125" style="211" customWidth="1"/>
    <col min="16137" max="16137" width="7.5703125" style="211" customWidth="1"/>
    <col min="16138" max="16138" width="7.7109375" style="211" customWidth="1"/>
    <col min="16139" max="16139" width="7.85546875" style="211" customWidth="1"/>
    <col min="16140" max="16140" width="5.85546875" style="211" customWidth="1"/>
    <col min="16141" max="16141" width="6.85546875" style="211" customWidth="1"/>
    <col min="16142" max="16142" width="6.7109375" style="211" customWidth="1"/>
    <col min="16143" max="16143" width="8.85546875" style="211" customWidth="1"/>
    <col min="16144" max="16144" width="7.28515625" style="211" customWidth="1"/>
    <col min="16145" max="16145" width="8.28515625" style="211" customWidth="1"/>
    <col min="16146" max="16146" width="5" style="211" customWidth="1"/>
    <col min="16147" max="16147" width="4.28515625" style="211" customWidth="1"/>
    <col min="16148" max="16384" width="8.85546875" style="211"/>
  </cols>
  <sheetData>
    <row r="1" spans="1:19" ht="15" customHeight="1"/>
    <row r="2" spans="1:19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19" ht="12" customHeight="1">
      <c r="E3" s="1285" t="s">
        <v>168</v>
      </c>
      <c r="F3" s="1285"/>
      <c r="G3" s="1285"/>
      <c r="H3" s="1285"/>
      <c r="I3" s="1285"/>
      <c r="J3" s="1285"/>
    </row>
    <row r="4" spans="1:19" ht="12" customHeight="1">
      <c r="A4" s="1296" t="s">
        <v>1900</v>
      </c>
      <c r="B4" s="1296"/>
      <c r="C4" s="1297"/>
      <c r="D4" s="1286" t="s">
        <v>1991</v>
      </c>
      <c r="E4" s="1287"/>
      <c r="F4" s="1288"/>
      <c r="H4" s="211" t="s">
        <v>1902</v>
      </c>
      <c r="K4" s="1344" t="s">
        <v>1992</v>
      </c>
      <c r="L4" s="1345"/>
      <c r="M4" s="1346"/>
      <c r="N4" s="211" t="s">
        <v>5</v>
      </c>
      <c r="P4" s="242">
        <v>761.03399999999999</v>
      </c>
      <c r="Q4" s="226" t="s">
        <v>436</v>
      </c>
      <c r="R4" s="226"/>
      <c r="S4" s="215">
        <v>80</v>
      </c>
    </row>
    <row r="5" spans="1:19" ht="12" customHeight="1">
      <c r="A5" s="808" t="s">
        <v>4176</v>
      </c>
      <c r="B5" s="808"/>
      <c r="C5" s="808"/>
      <c r="D5" s="227"/>
      <c r="E5" s="227"/>
      <c r="F5" s="227"/>
      <c r="K5" s="227"/>
      <c r="L5" s="227"/>
      <c r="M5" s="227"/>
      <c r="Q5" s="226"/>
    </row>
    <row r="6" spans="1:19" ht="12" customHeight="1">
      <c r="A6" s="211" t="s">
        <v>832</v>
      </c>
      <c r="D6" s="1303" t="s">
        <v>1993</v>
      </c>
      <c r="E6" s="1304"/>
      <c r="F6" s="1305"/>
      <c r="H6" s="212" t="s">
        <v>1208</v>
      </c>
      <c r="I6" s="212"/>
      <c r="J6" s="212"/>
      <c r="K6" s="1303" t="s">
        <v>1994</v>
      </c>
      <c r="L6" s="1304"/>
      <c r="M6" s="1305"/>
    </row>
    <row r="7" spans="1:19" ht="12" customHeight="1">
      <c r="H7" s="212"/>
      <c r="I7" s="212"/>
      <c r="J7" s="212"/>
    </row>
    <row r="8" spans="1:19" ht="12" customHeight="1">
      <c r="A8" s="211" t="s">
        <v>1906</v>
      </c>
      <c r="D8" s="1303" t="s">
        <v>5660</v>
      </c>
      <c r="E8" s="1304"/>
      <c r="F8" s="1305"/>
      <c r="H8" s="1264" t="s">
        <v>1908</v>
      </c>
      <c r="I8" s="1264"/>
      <c r="J8" s="1264"/>
      <c r="K8" s="1347" t="s">
        <v>5661</v>
      </c>
      <c r="L8" s="1348"/>
      <c r="M8" s="1348"/>
      <c r="N8" s="1348"/>
      <c r="O8" s="1349"/>
    </row>
    <row r="9" spans="1:19" ht="27" customHeight="1">
      <c r="H9" s="1264"/>
      <c r="I9" s="1264"/>
      <c r="J9" s="1264"/>
      <c r="K9" s="1350"/>
      <c r="L9" s="1351"/>
      <c r="M9" s="1351"/>
      <c r="N9" s="1351"/>
      <c r="O9" s="1352"/>
    </row>
    <row r="10" spans="1:19" ht="12" customHeight="1"/>
    <row r="11" spans="1:19" ht="12" customHeight="1">
      <c r="A11" s="1266" t="s">
        <v>1909</v>
      </c>
      <c r="B11" s="1267"/>
      <c r="C11" s="1268"/>
      <c r="D11" s="1306" t="s">
        <v>1995</v>
      </c>
      <c r="E11" s="1306"/>
      <c r="F11" s="1306"/>
      <c r="G11" s="1306"/>
      <c r="H11" s="1306"/>
      <c r="I11" s="1306"/>
      <c r="J11" s="1306"/>
      <c r="K11" s="1306"/>
      <c r="L11" s="1306"/>
      <c r="M11" s="1307" t="s">
        <v>1996</v>
      </c>
      <c r="N11" s="1307"/>
      <c r="O11" s="1307"/>
      <c r="P11" s="1307"/>
      <c r="Q11" s="1307"/>
      <c r="R11" s="1307"/>
    </row>
    <row r="12" spans="1:19" ht="12" customHeight="1">
      <c r="A12" s="1266" t="s">
        <v>1346</v>
      </c>
      <c r="B12" s="1267"/>
      <c r="C12" s="1268"/>
      <c r="D12" s="1306" t="s">
        <v>1997</v>
      </c>
      <c r="E12" s="1306"/>
      <c r="F12" s="1306"/>
      <c r="G12" s="1306"/>
      <c r="H12" s="1306"/>
      <c r="I12" s="1306"/>
      <c r="J12" s="1306"/>
      <c r="K12" s="1306"/>
      <c r="L12" s="1306"/>
      <c r="M12" s="1306" t="s">
        <v>1998</v>
      </c>
      <c r="N12" s="1306"/>
      <c r="O12" s="1306"/>
      <c r="P12" s="1306"/>
      <c r="Q12" s="1306"/>
      <c r="R12" s="1306"/>
    </row>
    <row r="13" spans="1:19" ht="12.6" customHeight="1">
      <c r="A13" s="1266" t="s">
        <v>844</v>
      </c>
      <c r="B13" s="1267"/>
      <c r="C13" s="1268"/>
      <c r="D13" s="1306" t="s">
        <v>1999</v>
      </c>
      <c r="E13" s="1306"/>
      <c r="F13" s="1306"/>
      <c r="G13" s="1306"/>
      <c r="H13" s="1306"/>
      <c r="I13" s="1306"/>
      <c r="J13" s="1306"/>
      <c r="K13" s="1306"/>
      <c r="L13" s="1306"/>
      <c r="M13" s="1306" t="s">
        <v>2000</v>
      </c>
      <c r="N13" s="1306"/>
      <c r="O13" s="1306"/>
      <c r="P13" s="1306"/>
      <c r="Q13" s="1306"/>
      <c r="R13" s="1306"/>
    </row>
    <row r="14" spans="1:19" ht="12" customHeight="1">
      <c r="A14" s="1266" t="s">
        <v>1196</v>
      </c>
      <c r="B14" s="1267"/>
      <c r="C14" s="1268"/>
      <c r="D14" s="1306" t="s">
        <v>1907</v>
      </c>
      <c r="E14" s="1306"/>
      <c r="F14" s="1306"/>
      <c r="G14" s="1306"/>
      <c r="H14" s="1306"/>
      <c r="I14" s="1306"/>
      <c r="J14" s="1306"/>
      <c r="K14" s="1306"/>
      <c r="L14" s="1306"/>
      <c r="M14" s="1306" t="s">
        <v>1907</v>
      </c>
      <c r="N14" s="1306"/>
      <c r="O14" s="1306"/>
      <c r="P14" s="1306"/>
      <c r="Q14" s="1306"/>
      <c r="R14" s="1306"/>
    </row>
    <row r="15" spans="1:19" ht="12" customHeight="1">
      <c r="A15" s="212"/>
      <c r="B15" s="212"/>
      <c r="C15" s="212"/>
    </row>
    <row r="16" spans="1:19" ht="12" customHeight="1">
      <c r="A16" s="212" t="s">
        <v>1916</v>
      </c>
      <c r="B16" s="212"/>
      <c r="C16" s="212"/>
      <c r="D16" s="228">
        <v>2</v>
      </c>
      <c r="E16" s="211" t="s">
        <v>1917</v>
      </c>
      <c r="H16" s="228">
        <v>2</v>
      </c>
      <c r="I16" s="211" t="s">
        <v>1918</v>
      </c>
      <c r="J16" s="228">
        <v>10</v>
      </c>
      <c r="K16" s="212" t="s">
        <v>1492</v>
      </c>
      <c r="L16" s="228">
        <v>1</v>
      </c>
      <c r="M16" s="212" t="s">
        <v>1493</v>
      </c>
      <c r="N16" s="1307">
        <v>9</v>
      </c>
      <c r="O16" s="1307"/>
    </row>
    <row r="17" spans="1:18" ht="12" customHeight="1"/>
    <row r="18" spans="1:18" ht="12" customHeight="1">
      <c r="A18" s="1271" t="s">
        <v>203</v>
      </c>
      <c r="B18" s="1271"/>
      <c r="D18" s="212" t="s">
        <v>204</v>
      </c>
      <c r="E18" s="215">
        <v>57</v>
      </c>
      <c r="F18" s="212" t="s">
        <v>205</v>
      </c>
      <c r="G18" s="215">
        <v>34</v>
      </c>
      <c r="H18" s="1272" t="s">
        <v>206</v>
      </c>
      <c r="I18" s="1257"/>
      <c r="J18" s="228">
        <v>0</v>
      </c>
      <c r="K18" s="1272" t="s">
        <v>245</v>
      </c>
      <c r="L18" s="1257"/>
      <c r="M18" s="215">
        <v>91</v>
      </c>
      <c r="N18" s="212" t="s">
        <v>207</v>
      </c>
      <c r="O18" s="228">
        <v>1</v>
      </c>
      <c r="P18" s="514" t="s">
        <v>855</v>
      </c>
      <c r="Q18" s="515"/>
      <c r="R18" s="228">
        <v>6</v>
      </c>
    </row>
    <row r="19" spans="1:18" ht="12" customHeight="1">
      <c r="A19" s="1271" t="s">
        <v>1029</v>
      </c>
      <c r="B19" s="1271"/>
      <c r="D19" s="212" t="s">
        <v>210</v>
      </c>
      <c r="E19" s="215">
        <v>168</v>
      </c>
      <c r="F19" s="212" t="s">
        <v>1919</v>
      </c>
      <c r="G19" s="215">
        <v>100</v>
      </c>
      <c r="H19" s="514" t="s">
        <v>212</v>
      </c>
      <c r="I19" s="514"/>
      <c r="J19" s="228">
        <v>0</v>
      </c>
      <c r="K19" s="1272" t="s">
        <v>1920</v>
      </c>
      <c r="L19" s="1257"/>
      <c r="M19" s="215">
        <v>279</v>
      </c>
      <c r="R19" s="226"/>
    </row>
    <row r="20" spans="1:18" ht="12" customHeight="1">
      <c r="D20" s="212" t="s">
        <v>213</v>
      </c>
      <c r="E20" s="215">
        <v>174</v>
      </c>
      <c r="F20" s="212" t="s">
        <v>214</v>
      </c>
      <c r="G20" s="215">
        <v>104</v>
      </c>
      <c r="H20" s="1272" t="s">
        <v>215</v>
      </c>
      <c r="I20" s="1257"/>
      <c r="J20" s="228">
        <v>0</v>
      </c>
      <c r="K20" s="1272" t="s">
        <v>1921</v>
      </c>
      <c r="L20" s="1257"/>
      <c r="M20" s="215">
        <v>291</v>
      </c>
    </row>
    <row r="21" spans="1:18" ht="12" customHeight="1"/>
    <row r="22" spans="1:18" ht="12" customHeight="1">
      <c r="A22" s="1273" t="s">
        <v>409</v>
      </c>
      <c r="B22" s="1273"/>
    </row>
    <row r="23" spans="1:18" s="217" customFormat="1" ht="12" customHeight="1">
      <c r="A23" s="1274" t="s">
        <v>217</v>
      </c>
      <c r="B23" s="1275"/>
      <c r="C23" s="1276"/>
      <c r="D23" s="1280" t="s">
        <v>1922</v>
      </c>
      <c r="E23" s="1280" t="s">
        <v>219</v>
      </c>
      <c r="F23" s="1280" t="s">
        <v>1923</v>
      </c>
      <c r="G23" s="1280" t="s">
        <v>1924</v>
      </c>
      <c r="H23" s="1282" t="s">
        <v>1925</v>
      </c>
      <c r="I23" s="1283"/>
      <c r="J23" s="1283"/>
      <c r="K23" s="1283"/>
      <c r="L23" s="1283"/>
      <c r="M23" s="1283"/>
      <c r="N23" s="1283"/>
      <c r="O23" s="1283"/>
      <c r="P23" s="1284"/>
    </row>
    <row r="24" spans="1:18" s="217" customFormat="1" ht="31.15" customHeight="1">
      <c r="A24" s="1277"/>
      <c r="B24" s="1278"/>
      <c r="C24" s="1279"/>
      <c r="D24" s="1281"/>
      <c r="E24" s="1281"/>
      <c r="F24" s="1281"/>
      <c r="G24" s="1281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517" t="s">
        <v>230</v>
      </c>
      <c r="P24" s="517" t="s">
        <v>662</v>
      </c>
    </row>
    <row r="25" spans="1:18" ht="16.899999999999999" customHeight="1">
      <c r="A25" s="1266" t="s">
        <v>232</v>
      </c>
      <c r="B25" s="1267"/>
      <c r="C25" s="1268"/>
      <c r="D25" s="218">
        <v>8000</v>
      </c>
      <c r="E25" s="513" t="s">
        <v>233</v>
      </c>
      <c r="F25" s="219">
        <v>60.882719999999999</v>
      </c>
      <c r="G25" s="219">
        <v>24.34</v>
      </c>
      <c r="H25" s="220">
        <v>0</v>
      </c>
      <c r="I25" s="220">
        <v>0</v>
      </c>
      <c r="J25" s="220">
        <v>7.3291000000000004</v>
      </c>
      <c r="K25" s="220">
        <v>5.2690000000000001</v>
      </c>
      <c r="L25" s="220">
        <v>0</v>
      </c>
      <c r="M25" s="220">
        <v>0</v>
      </c>
      <c r="N25" s="220">
        <v>0</v>
      </c>
      <c r="O25" s="220">
        <v>12.598100000000001</v>
      </c>
      <c r="P25" s="220">
        <v>51.758833196384558</v>
      </c>
    </row>
    <row r="26" spans="1:18" ht="12" customHeight="1">
      <c r="A26" s="1266" t="s">
        <v>234</v>
      </c>
      <c r="B26" s="1267"/>
      <c r="C26" s="1268"/>
      <c r="D26" s="218">
        <v>7000</v>
      </c>
      <c r="E26" s="513" t="s">
        <v>233</v>
      </c>
      <c r="F26" s="219">
        <v>4.4139971999999998</v>
      </c>
      <c r="G26" s="219">
        <v>0</v>
      </c>
      <c r="H26" s="220">
        <v>0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</row>
    <row r="27" spans="1:18" ht="12" customHeight="1">
      <c r="A27" s="1266" t="s">
        <v>235</v>
      </c>
      <c r="B27" s="1267"/>
      <c r="C27" s="1268"/>
      <c r="D27" s="218">
        <v>43000</v>
      </c>
      <c r="E27" s="513" t="s">
        <v>236</v>
      </c>
      <c r="F27" s="219">
        <v>0.43</v>
      </c>
      <c r="G27" s="219">
        <v>0.18</v>
      </c>
      <c r="H27" s="220">
        <v>0</v>
      </c>
      <c r="I27" s="220">
        <v>0</v>
      </c>
      <c r="J27" s="220">
        <v>0</v>
      </c>
      <c r="K27" s="220">
        <v>0.18</v>
      </c>
      <c r="L27" s="220">
        <v>0</v>
      </c>
      <c r="M27" s="220">
        <v>0</v>
      </c>
      <c r="N27" s="220">
        <v>0</v>
      </c>
      <c r="O27" s="220">
        <v>0.18</v>
      </c>
      <c r="P27" s="220">
        <v>100</v>
      </c>
    </row>
    <row r="28" spans="1:18" ht="12" customHeight="1">
      <c r="A28" s="1266" t="s">
        <v>237</v>
      </c>
      <c r="B28" s="1267"/>
      <c r="C28" s="1268"/>
      <c r="D28" s="218">
        <v>34000</v>
      </c>
      <c r="E28" s="513" t="s">
        <v>236</v>
      </c>
      <c r="F28" s="219">
        <v>0.34</v>
      </c>
      <c r="G28" s="219">
        <v>0.16</v>
      </c>
      <c r="H28" s="220">
        <v>0</v>
      </c>
      <c r="I28" s="220">
        <v>0</v>
      </c>
      <c r="J28" s="220"/>
      <c r="K28" s="220">
        <v>0.16</v>
      </c>
      <c r="L28" s="220">
        <v>0</v>
      </c>
      <c r="M28" s="220">
        <v>0</v>
      </c>
      <c r="N28" s="220">
        <v>0</v>
      </c>
      <c r="O28" s="220">
        <v>0.16</v>
      </c>
      <c r="P28" s="220">
        <v>100</v>
      </c>
    </row>
    <row r="29" spans="1:18" ht="12" customHeight="1">
      <c r="A29" s="1266" t="s">
        <v>238</v>
      </c>
      <c r="B29" s="1267"/>
      <c r="C29" s="1268"/>
      <c r="D29" s="218">
        <v>1200</v>
      </c>
      <c r="E29" s="513" t="s">
        <v>233</v>
      </c>
      <c r="F29" s="219">
        <v>9.1324079999999999</v>
      </c>
      <c r="G29" s="219">
        <v>2</v>
      </c>
      <c r="H29" s="220">
        <v>0</v>
      </c>
      <c r="I29" s="220">
        <v>0</v>
      </c>
      <c r="J29" s="220">
        <v>0</v>
      </c>
      <c r="K29" s="220">
        <v>0.5</v>
      </c>
      <c r="L29" s="220">
        <v>0</v>
      </c>
      <c r="M29" s="220">
        <v>0</v>
      </c>
      <c r="N29" s="220">
        <v>0</v>
      </c>
      <c r="O29" s="220">
        <v>0.5</v>
      </c>
      <c r="P29" s="220">
        <v>25</v>
      </c>
    </row>
    <row r="30" spans="1:18" ht="12" customHeight="1">
      <c r="A30" s="1266" t="s">
        <v>667</v>
      </c>
      <c r="B30" s="1267"/>
      <c r="C30" s="1268"/>
      <c r="D30" s="218">
        <v>565</v>
      </c>
      <c r="E30" s="513" t="s">
        <v>233</v>
      </c>
      <c r="F30" s="219">
        <v>4.2998420999999993</v>
      </c>
      <c r="G30" s="219">
        <v>4.1856799999999996</v>
      </c>
      <c r="H30" s="220">
        <v>0</v>
      </c>
      <c r="I30" s="220">
        <v>0</v>
      </c>
      <c r="J30" s="220">
        <v>0</v>
      </c>
      <c r="K30" s="220">
        <v>4.1856799999999996</v>
      </c>
      <c r="L30" s="220">
        <v>0</v>
      </c>
      <c r="M30" s="220">
        <v>0</v>
      </c>
      <c r="N30" s="220">
        <v>0</v>
      </c>
      <c r="O30" s="220">
        <v>4.1856799999999996</v>
      </c>
      <c r="P30" s="220">
        <v>100</v>
      </c>
    </row>
    <row r="31" spans="1:18" ht="12" customHeight="1">
      <c r="A31" s="1266" t="s">
        <v>1503</v>
      </c>
      <c r="B31" s="1267"/>
      <c r="C31" s="1268"/>
      <c r="D31" s="218">
        <v>1000</v>
      </c>
      <c r="E31" s="513" t="s">
        <v>233</v>
      </c>
      <c r="F31" s="219">
        <v>7.6103399999999999</v>
      </c>
      <c r="G31" s="219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</row>
    <row r="32" spans="1:18" ht="12" customHeight="1">
      <c r="A32" s="1266" t="s">
        <v>394</v>
      </c>
      <c r="B32" s="1267"/>
      <c r="C32" s="1268"/>
      <c r="D32" s="218">
        <v>2750</v>
      </c>
      <c r="E32" s="513" t="s">
        <v>242</v>
      </c>
      <c r="F32" s="219">
        <v>2.1</v>
      </c>
      <c r="G32" s="219">
        <v>0.41249999999999998</v>
      </c>
      <c r="H32" s="220">
        <v>0</v>
      </c>
      <c r="I32" s="220">
        <v>0</v>
      </c>
      <c r="J32" s="220">
        <v>6.5000000000000002E-2</v>
      </c>
      <c r="K32" s="220">
        <v>0.34749999999999998</v>
      </c>
      <c r="L32" s="220">
        <v>0</v>
      </c>
      <c r="M32" s="220">
        <v>0</v>
      </c>
      <c r="N32" s="220">
        <v>0</v>
      </c>
      <c r="O32" s="220">
        <v>0.41249999999999998</v>
      </c>
      <c r="P32" s="220">
        <v>100</v>
      </c>
    </row>
    <row r="33" spans="1:16" ht="12" customHeight="1">
      <c r="A33" s="1266" t="s">
        <v>670</v>
      </c>
      <c r="B33" s="1267"/>
      <c r="C33" s="1268"/>
      <c r="D33" s="218">
        <v>10000</v>
      </c>
      <c r="E33" s="513" t="s">
        <v>244</v>
      </c>
      <c r="F33" s="219">
        <v>0.1</v>
      </c>
      <c r="G33" s="219">
        <v>0.1</v>
      </c>
      <c r="H33" s="220">
        <v>0</v>
      </c>
      <c r="I33" s="220">
        <v>0</v>
      </c>
      <c r="J33" s="220">
        <v>0.1</v>
      </c>
      <c r="K33" s="220"/>
      <c r="L33" s="220">
        <v>0</v>
      </c>
      <c r="M33" s="220">
        <v>0</v>
      </c>
      <c r="N33" s="220">
        <v>0</v>
      </c>
      <c r="O33" s="220">
        <v>0.1</v>
      </c>
      <c r="P33" s="220">
        <v>100</v>
      </c>
    </row>
    <row r="34" spans="1:16" s="224" customFormat="1" ht="12" customHeight="1">
      <c r="A34" s="1286" t="s">
        <v>230</v>
      </c>
      <c r="B34" s="1287"/>
      <c r="C34" s="1288"/>
      <c r="D34" s="221"/>
      <c r="E34" s="221"/>
      <c r="F34" s="222">
        <v>89.309307299999986</v>
      </c>
      <c r="G34" s="222">
        <v>31.37818</v>
      </c>
      <c r="H34" s="222">
        <v>0</v>
      </c>
      <c r="I34" s="222">
        <v>0</v>
      </c>
      <c r="J34" s="222">
        <v>7.4941000000000004</v>
      </c>
      <c r="K34" s="222">
        <v>10.64218</v>
      </c>
      <c r="L34" s="222">
        <v>0</v>
      </c>
      <c r="M34" s="222">
        <v>0</v>
      </c>
      <c r="N34" s="222">
        <v>0</v>
      </c>
      <c r="O34" s="222">
        <v>18.136280000000003</v>
      </c>
      <c r="P34" s="222"/>
    </row>
    <row r="35" spans="1:16" ht="19.899999999999999" customHeight="1"/>
    <row r="36" spans="1:16" ht="19.899999999999999" customHeight="1">
      <c r="F36" s="243"/>
    </row>
    <row r="37" spans="1:16" ht="19.899999999999999" customHeight="1">
      <c r="A37" s="235"/>
    </row>
    <row r="38" spans="1:16" ht="19.899999999999999" customHeight="1"/>
    <row r="39" spans="1:16" ht="19.899999999999999" customHeight="1"/>
    <row r="40" spans="1:16" ht="19.899999999999999" customHeight="1"/>
    <row r="41" spans="1:16" ht="19.899999999999999" customHeight="1"/>
    <row r="42" spans="1:16" ht="19.899999999999999" customHeight="1"/>
    <row r="43" spans="1:16" ht="19.899999999999999" customHeight="1"/>
    <row r="44" spans="1:16" ht="19.899999999999999" customHeight="1"/>
    <row r="45" spans="1:16" ht="19.899999999999999" customHeight="1"/>
    <row r="46" spans="1:16" ht="19.899999999999999" customHeight="1"/>
    <row r="47" spans="1:16" ht="19.899999999999999" customHeight="1"/>
    <row r="48" spans="1:16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</sheetData>
  <mergeCells count="48">
    <mergeCell ref="A30:C30"/>
    <mergeCell ref="A31:C31"/>
    <mergeCell ref="A32:C32"/>
    <mergeCell ref="A33:C33"/>
    <mergeCell ref="A34:C34"/>
    <mergeCell ref="A29:C29"/>
    <mergeCell ref="A19:B19"/>
    <mergeCell ref="K19:L19"/>
    <mergeCell ref="H20:I20"/>
    <mergeCell ref="K20:L20"/>
    <mergeCell ref="A22:B22"/>
    <mergeCell ref="A23:C24"/>
    <mergeCell ref="D23:D24"/>
    <mergeCell ref="E23:E24"/>
    <mergeCell ref="F23:F24"/>
    <mergeCell ref="G23:G24"/>
    <mergeCell ref="H23:P23"/>
    <mergeCell ref="A25:C25"/>
    <mergeCell ref="A26:C26"/>
    <mergeCell ref="A27:C27"/>
    <mergeCell ref="A28:C28"/>
    <mergeCell ref="A14:C14"/>
    <mergeCell ref="D14:L14"/>
    <mergeCell ref="M14:R14"/>
    <mergeCell ref="N16:O16"/>
    <mergeCell ref="A18:B18"/>
    <mergeCell ref="H18:I18"/>
    <mergeCell ref="K18:L18"/>
    <mergeCell ref="A12:C12"/>
    <mergeCell ref="D12:L12"/>
    <mergeCell ref="M12:R12"/>
    <mergeCell ref="A13:C13"/>
    <mergeCell ref="D13:L13"/>
    <mergeCell ref="M13:R13"/>
    <mergeCell ref="D8:F8"/>
    <mergeCell ref="H8:J9"/>
    <mergeCell ref="K8:O9"/>
    <mergeCell ref="A11:C11"/>
    <mergeCell ref="D11:L11"/>
    <mergeCell ref="M11:R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15748031496062992" right="0.23622047244094491" top="0.59055118110236227" bottom="0.27559055118110237" header="0.15748031496062992" footer="0.15748031496062992"/>
  <pageSetup scale="94" orientation="landscape" r:id="rId1"/>
</worksheet>
</file>

<file path=xl/worksheets/sheet228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S102"/>
  <sheetViews>
    <sheetView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9.5703125" style="211" customWidth="1"/>
    <col min="3" max="3" width="7.28515625" style="211" customWidth="1"/>
    <col min="4" max="4" width="8.5703125" style="211" customWidth="1"/>
    <col min="5" max="5" width="6.7109375" style="211" customWidth="1"/>
    <col min="6" max="6" width="8.28515625" style="211" customWidth="1"/>
    <col min="7" max="7" width="8.5703125" style="211" customWidth="1"/>
    <col min="8" max="8" width="7.5703125" style="211" customWidth="1"/>
    <col min="9" max="9" width="7.85546875" style="211" customWidth="1"/>
    <col min="10" max="10" width="7.28515625" style="211" customWidth="1"/>
    <col min="11" max="11" width="8.5703125" style="211" customWidth="1"/>
    <col min="12" max="12" width="6.7109375" style="211" customWidth="1"/>
    <col min="13" max="13" width="7.7109375" style="211" customWidth="1"/>
    <col min="14" max="14" width="6.7109375" style="211" customWidth="1"/>
    <col min="15" max="15" width="10" style="211" customWidth="1"/>
    <col min="16" max="16" width="7.140625" style="211" customWidth="1"/>
    <col min="17" max="17" width="8.28515625" style="211" customWidth="1"/>
    <col min="18" max="18" width="7.7109375" style="211" customWidth="1"/>
    <col min="19" max="256" width="8.85546875" style="211"/>
    <col min="257" max="257" width="11.28515625" style="211" customWidth="1"/>
    <col min="258" max="258" width="9.5703125" style="211" customWidth="1"/>
    <col min="259" max="259" width="7.28515625" style="211" customWidth="1"/>
    <col min="260" max="260" width="8.5703125" style="211" customWidth="1"/>
    <col min="261" max="261" width="6.7109375" style="211" customWidth="1"/>
    <col min="262" max="262" width="8.28515625" style="211" customWidth="1"/>
    <col min="263" max="263" width="8.5703125" style="211" customWidth="1"/>
    <col min="264" max="264" width="7.5703125" style="211" customWidth="1"/>
    <col min="265" max="265" width="7.85546875" style="211" customWidth="1"/>
    <col min="266" max="266" width="7.28515625" style="211" customWidth="1"/>
    <col min="267" max="267" width="8.5703125" style="211" customWidth="1"/>
    <col min="268" max="268" width="6.7109375" style="211" customWidth="1"/>
    <col min="269" max="269" width="7.7109375" style="211" customWidth="1"/>
    <col min="270" max="270" width="6.7109375" style="211" customWidth="1"/>
    <col min="271" max="271" width="10" style="211" customWidth="1"/>
    <col min="272" max="272" width="7.140625" style="211" customWidth="1"/>
    <col min="273" max="273" width="8.28515625" style="211" customWidth="1"/>
    <col min="274" max="274" width="7.7109375" style="211" customWidth="1"/>
    <col min="275" max="512" width="8.85546875" style="211"/>
    <col min="513" max="513" width="11.28515625" style="211" customWidth="1"/>
    <col min="514" max="514" width="9.5703125" style="211" customWidth="1"/>
    <col min="515" max="515" width="7.28515625" style="211" customWidth="1"/>
    <col min="516" max="516" width="8.5703125" style="211" customWidth="1"/>
    <col min="517" max="517" width="6.7109375" style="211" customWidth="1"/>
    <col min="518" max="518" width="8.28515625" style="211" customWidth="1"/>
    <col min="519" max="519" width="8.5703125" style="211" customWidth="1"/>
    <col min="520" max="520" width="7.5703125" style="211" customWidth="1"/>
    <col min="521" max="521" width="7.85546875" style="211" customWidth="1"/>
    <col min="522" max="522" width="7.28515625" style="211" customWidth="1"/>
    <col min="523" max="523" width="8.5703125" style="211" customWidth="1"/>
    <col min="524" max="524" width="6.7109375" style="211" customWidth="1"/>
    <col min="525" max="525" width="7.7109375" style="211" customWidth="1"/>
    <col min="526" max="526" width="6.7109375" style="211" customWidth="1"/>
    <col min="527" max="527" width="10" style="211" customWidth="1"/>
    <col min="528" max="528" width="7.140625" style="211" customWidth="1"/>
    <col min="529" max="529" width="8.28515625" style="211" customWidth="1"/>
    <col min="530" max="530" width="7.7109375" style="211" customWidth="1"/>
    <col min="531" max="768" width="8.85546875" style="211"/>
    <col min="769" max="769" width="11.28515625" style="211" customWidth="1"/>
    <col min="770" max="770" width="9.5703125" style="211" customWidth="1"/>
    <col min="771" max="771" width="7.28515625" style="211" customWidth="1"/>
    <col min="772" max="772" width="8.5703125" style="211" customWidth="1"/>
    <col min="773" max="773" width="6.7109375" style="211" customWidth="1"/>
    <col min="774" max="774" width="8.28515625" style="211" customWidth="1"/>
    <col min="775" max="775" width="8.5703125" style="211" customWidth="1"/>
    <col min="776" max="776" width="7.5703125" style="211" customWidth="1"/>
    <col min="777" max="777" width="7.85546875" style="211" customWidth="1"/>
    <col min="778" max="778" width="7.28515625" style="211" customWidth="1"/>
    <col min="779" max="779" width="8.5703125" style="211" customWidth="1"/>
    <col min="780" max="780" width="6.7109375" style="211" customWidth="1"/>
    <col min="781" max="781" width="7.7109375" style="211" customWidth="1"/>
    <col min="782" max="782" width="6.7109375" style="211" customWidth="1"/>
    <col min="783" max="783" width="10" style="211" customWidth="1"/>
    <col min="784" max="784" width="7.140625" style="211" customWidth="1"/>
    <col min="785" max="785" width="8.28515625" style="211" customWidth="1"/>
    <col min="786" max="786" width="7.7109375" style="211" customWidth="1"/>
    <col min="787" max="1024" width="8.85546875" style="211"/>
    <col min="1025" max="1025" width="11.28515625" style="211" customWidth="1"/>
    <col min="1026" max="1026" width="9.5703125" style="211" customWidth="1"/>
    <col min="1027" max="1027" width="7.28515625" style="211" customWidth="1"/>
    <col min="1028" max="1028" width="8.5703125" style="211" customWidth="1"/>
    <col min="1029" max="1029" width="6.7109375" style="211" customWidth="1"/>
    <col min="1030" max="1030" width="8.28515625" style="211" customWidth="1"/>
    <col min="1031" max="1031" width="8.5703125" style="211" customWidth="1"/>
    <col min="1032" max="1032" width="7.5703125" style="211" customWidth="1"/>
    <col min="1033" max="1033" width="7.85546875" style="211" customWidth="1"/>
    <col min="1034" max="1034" width="7.28515625" style="211" customWidth="1"/>
    <col min="1035" max="1035" width="8.5703125" style="211" customWidth="1"/>
    <col min="1036" max="1036" width="6.7109375" style="211" customWidth="1"/>
    <col min="1037" max="1037" width="7.7109375" style="211" customWidth="1"/>
    <col min="1038" max="1038" width="6.7109375" style="211" customWidth="1"/>
    <col min="1039" max="1039" width="10" style="211" customWidth="1"/>
    <col min="1040" max="1040" width="7.140625" style="211" customWidth="1"/>
    <col min="1041" max="1041" width="8.28515625" style="211" customWidth="1"/>
    <col min="1042" max="1042" width="7.7109375" style="211" customWidth="1"/>
    <col min="1043" max="1280" width="8.85546875" style="211"/>
    <col min="1281" max="1281" width="11.28515625" style="211" customWidth="1"/>
    <col min="1282" max="1282" width="9.5703125" style="211" customWidth="1"/>
    <col min="1283" max="1283" width="7.28515625" style="211" customWidth="1"/>
    <col min="1284" max="1284" width="8.5703125" style="211" customWidth="1"/>
    <col min="1285" max="1285" width="6.7109375" style="211" customWidth="1"/>
    <col min="1286" max="1286" width="8.28515625" style="211" customWidth="1"/>
    <col min="1287" max="1287" width="8.5703125" style="211" customWidth="1"/>
    <col min="1288" max="1288" width="7.5703125" style="211" customWidth="1"/>
    <col min="1289" max="1289" width="7.85546875" style="211" customWidth="1"/>
    <col min="1290" max="1290" width="7.28515625" style="211" customWidth="1"/>
    <col min="1291" max="1291" width="8.5703125" style="211" customWidth="1"/>
    <col min="1292" max="1292" width="6.7109375" style="211" customWidth="1"/>
    <col min="1293" max="1293" width="7.7109375" style="211" customWidth="1"/>
    <col min="1294" max="1294" width="6.7109375" style="211" customWidth="1"/>
    <col min="1295" max="1295" width="10" style="211" customWidth="1"/>
    <col min="1296" max="1296" width="7.140625" style="211" customWidth="1"/>
    <col min="1297" max="1297" width="8.28515625" style="211" customWidth="1"/>
    <col min="1298" max="1298" width="7.7109375" style="211" customWidth="1"/>
    <col min="1299" max="1536" width="8.85546875" style="211"/>
    <col min="1537" max="1537" width="11.28515625" style="211" customWidth="1"/>
    <col min="1538" max="1538" width="9.5703125" style="211" customWidth="1"/>
    <col min="1539" max="1539" width="7.28515625" style="211" customWidth="1"/>
    <col min="1540" max="1540" width="8.5703125" style="211" customWidth="1"/>
    <col min="1541" max="1541" width="6.7109375" style="211" customWidth="1"/>
    <col min="1542" max="1542" width="8.28515625" style="211" customWidth="1"/>
    <col min="1543" max="1543" width="8.5703125" style="211" customWidth="1"/>
    <col min="1544" max="1544" width="7.5703125" style="211" customWidth="1"/>
    <col min="1545" max="1545" width="7.85546875" style="211" customWidth="1"/>
    <col min="1546" max="1546" width="7.28515625" style="211" customWidth="1"/>
    <col min="1547" max="1547" width="8.5703125" style="211" customWidth="1"/>
    <col min="1548" max="1548" width="6.7109375" style="211" customWidth="1"/>
    <col min="1549" max="1549" width="7.7109375" style="211" customWidth="1"/>
    <col min="1550" max="1550" width="6.7109375" style="211" customWidth="1"/>
    <col min="1551" max="1551" width="10" style="211" customWidth="1"/>
    <col min="1552" max="1552" width="7.140625" style="211" customWidth="1"/>
    <col min="1553" max="1553" width="8.28515625" style="211" customWidth="1"/>
    <col min="1554" max="1554" width="7.7109375" style="211" customWidth="1"/>
    <col min="1555" max="1792" width="8.85546875" style="211"/>
    <col min="1793" max="1793" width="11.28515625" style="211" customWidth="1"/>
    <col min="1794" max="1794" width="9.5703125" style="211" customWidth="1"/>
    <col min="1795" max="1795" width="7.28515625" style="211" customWidth="1"/>
    <col min="1796" max="1796" width="8.5703125" style="211" customWidth="1"/>
    <col min="1797" max="1797" width="6.7109375" style="211" customWidth="1"/>
    <col min="1798" max="1798" width="8.28515625" style="211" customWidth="1"/>
    <col min="1799" max="1799" width="8.5703125" style="211" customWidth="1"/>
    <col min="1800" max="1800" width="7.5703125" style="211" customWidth="1"/>
    <col min="1801" max="1801" width="7.85546875" style="211" customWidth="1"/>
    <col min="1802" max="1802" width="7.28515625" style="211" customWidth="1"/>
    <col min="1803" max="1803" width="8.5703125" style="211" customWidth="1"/>
    <col min="1804" max="1804" width="6.7109375" style="211" customWidth="1"/>
    <col min="1805" max="1805" width="7.7109375" style="211" customWidth="1"/>
    <col min="1806" max="1806" width="6.7109375" style="211" customWidth="1"/>
    <col min="1807" max="1807" width="10" style="211" customWidth="1"/>
    <col min="1808" max="1808" width="7.140625" style="211" customWidth="1"/>
    <col min="1809" max="1809" width="8.28515625" style="211" customWidth="1"/>
    <col min="1810" max="1810" width="7.7109375" style="211" customWidth="1"/>
    <col min="1811" max="2048" width="8.85546875" style="211"/>
    <col min="2049" max="2049" width="11.28515625" style="211" customWidth="1"/>
    <col min="2050" max="2050" width="9.5703125" style="211" customWidth="1"/>
    <col min="2051" max="2051" width="7.28515625" style="211" customWidth="1"/>
    <col min="2052" max="2052" width="8.5703125" style="211" customWidth="1"/>
    <col min="2053" max="2053" width="6.7109375" style="211" customWidth="1"/>
    <col min="2054" max="2054" width="8.28515625" style="211" customWidth="1"/>
    <col min="2055" max="2055" width="8.5703125" style="211" customWidth="1"/>
    <col min="2056" max="2056" width="7.5703125" style="211" customWidth="1"/>
    <col min="2057" max="2057" width="7.85546875" style="211" customWidth="1"/>
    <col min="2058" max="2058" width="7.28515625" style="211" customWidth="1"/>
    <col min="2059" max="2059" width="8.5703125" style="211" customWidth="1"/>
    <col min="2060" max="2060" width="6.7109375" style="211" customWidth="1"/>
    <col min="2061" max="2061" width="7.7109375" style="211" customWidth="1"/>
    <col min="2062" max="2062" width="6.7109375" style="211" customWidth="1"/>
    <col min="2063" max="2063" width="10" style="211" customWidth="1"/>
    <col min="2064" max="2064" width="7.140625" style="211" customWidth="1"/>
    <col min="2065" max="2065" width="8.28515625" style="211" customWidth="1"/>
    <col min="2066" max="2066" width="7.7109375" style="211" customWidth="1"/>
    <col min="2067" max="2304" width="8.85546875" style="211"/>
    <col min="2305" max="2305" width="11.28515625" style="211" customWidth="1"/>
    <col min="2306" max="2306" width="9.5703125" style="211" customWidth="1"/>
    <col min="2307" max="2307" width="7.28515625" style="211" customWidth="1"/>
    <col min="2308" max="2308" width="8.5703125" style="211" customWidth="1"/>
    <col min="2309" max="2309" width="6.7109375" style="211" customWidth="1"/>
    <col min="2310" max="2310" width="8.28515625" style="211" customWidth="1"/>
    <col min="2311" max="2311" width="8.5703125" style="211" customWidth="1"/>
    <col min="2312" max="2312" width="7.5703125" style="211" customWidth="1"/>
    <col min="2313" max="2313" width="7.85546875" style="211" customWidth="1"/>
    <col min="2314" max="2314" width="7.28515625" style="211" customWidth="1"/>
    <col min="2315" max="2315" width="8.5703125" style="211" customWidth="1"/>
    <col min="2316" max="2316" width="6.7109375" style="211" customWidth="1"/>
    <col min="2317" max="2317" width="7.7109375" style="211" customWidth="1"/>
    <col min="2318" max="2318" width="6.7109375" style="211" customWidth="1"/>
    <col min="2319" max="2319" width="10" style="211" customWidth="1"/>
    <col min="2320" max="2320" width="7.140625" style="211" customWidth="1"/>
    <col min="2321" max="2321" width="8.28515625" style="211" customWidth="1"/>
    <col min="2322" max="2322" width="7.7109375" style="211" customWidth="1"/>
    <col min="2323" max="2560" width="8.85546875" style="211"/>
    <col min="2561" max="2561" width="11.28515625" style="211" customWidth="1"/>
    <col min="2562" max="2562" width="9.5703125" style="211" customWidth="1"/>
    <col min="2563" max="2563" width="7.28515625" style="211" customWidth="1"/>
    <col min="2564" max="2564" width="8.5703125" style="211" customWidth="1"/>
    <col min="2565" max="2565" width="6.7109375" style="211" customWidth="1"/>
    <col min="2566" max="2566" width="8.28515625" style="211" customWidth="1"/>
    <col min="2567" max="2567" width="8.5703125" style="211" customWidth="1"/>
    <col min="2568" max="2568" width="7.5703125" style="211" customWidth="1"/>
    <col min="2569" max="2569" width="7.85546875" style="211" customWidth="1"/>
    <col min="2570" max="2570" width="7.28515625" style="211" customWidth="1"/>
    <col min="2571" max="2571" width="8.5703125" style="211" customWidth="1"/>
    <col min="2572" max="2572" width="6.7109375" style="211" customWidth="1"/>
    <col min="2573" max="2573" width="7.7109375" style="211" customWidth="1"/>
    <col min="2574" max="2574" width="6.7109375" style="211" customWidth="1"/>
    <col min="2575" max="2575" width="10" style="211" customWidth="1"/>
    <col min="2576" max="2576" width="7.140625" style="211" customWidth="1"/>
    <col min="2577" max="2577" width="8.28515625" style="211" customWidth="1"/>
    <col min="2578" max="2578" width="7.7109375" style="211" customWidth="1"/>
    <col min="2579" max="2816" width="8.85546875" style="211"/>
    <col min="2817" max="2817" width="11.28515625" style="211" customWidth="1"/>
    <col min="2818" max="2818" width="9.5703125" style="211" customWidth="1"/>
    <col min="2819" max="2819" width="7.28515625" style="211" customWidth="1"/>
    <col min="2820" max="2820" width="8.5703125" style="211" customWidth="1"/>
    <col min="2821" max="2821" width="6.7109375" style="211" customWidth="1"/>
    <col min="2822" max="2822" width="8.28515625" style="211" customWidth="1"/>
    <col min="2823" max="2823" width="8.5703125" style="211" customWidth="1"/>
    <col min="2824" max="2824" width="7.5703125" style="211" customWidth="1"/>
    <col min="2825" max="2825" width="7.85546875" style="211" customWidth="1"/>
    <col min="2826" max="2826" width="7.28515625" style="211" customWidth="1"/>
    <col min="2827" max="2827" width="8.5703125" style="211" customWidth="1"/>
    <col min="2828" max="2828" width="6.7109375" style="211" customWidth="1"/>
    <col min="2829" max="2829" width="7.7109375" style="211" customWidth="1"/>
    <col min="2830" max="2830" width="6.7109375" style="211" customWidth="1"/>
    <col min="2831" max="2831" width="10" style="211" customWidth="1"/>
    <col min="2832" max="2832" width="7.140625" style="211" customWidth="1"/>
    <col min="2833" max="2833" width="8.28515625" style="211" customWidth="1"/>
    <col min="2834" max="2834" width="7.7109375" style="211" customWidth="1"/>
    <col min="2835" max="3072" width="8.85546875" style="211"/>
    <col min="3073" max="3073" width="11.28515625" style="211" customWidth="1"/>
    <col min="3074" max="3074" width="9.5703125" style="211" customWidth="1"/>
    <col min="3075" max="3075" width="7.28515625" style="211" customWidth="1"/>
    <col min="3076" max="3076" width="8.5703125" style="211" customWidth="1"/>
    <col min="3077" max="3077" width="6.7109375" style="211" customWidth="1"/>
    <col min="3078" max="3078" width="8.28515625" style="211" customWidth="1"/>
    <col min="3079" max="3079" width="8.5703125" style="211" customWidth="1"/>
    <col min="3080" max="3080" width="7.5703125" style="211" customWidth="1"/>
    <col min="3081" max="3081" width="7.85546875" style="211" customWidth="1"/>
    <col min="3082" max="3082" width="7.28515625" style="211" customWidth="1"/>
    <col min="3083" max="3083" width="8.5703125" style="211" customWidth="1"/>
    <col min="3084" max="3084" width="6.7109375" style="211" customWidth="1"/>
    <col min="3085" max="3085" width="7.7109375" style="211" customWidth="1"/>
    <col min="3086" max="3086" width="6.7109375" style="211" customWidth="1"/>
    <col min="3087" max="3087" width="10" style="211" customWidth="1"/>
    <col min="3088" max="3088" width="7.140625" style="211" customWidth="1"/>
    <col min="3089" max="3089" width="8.28515625" style="211" customWidth="1"/>
    <col min="3090" max="3090" width="7.7109375" style="211" customWidth="1"/>
    <col min="3091" max="3328" width="8.85546875" style="211"/>
    <col min="3329" max="3329" width="11.28515625" style="211" customWidth="1"/>
    <col min="3330" max="3330" width="9.5703125" style="211" customWidth="1"/>
    <col min="3331" max="3331" width="7.28515625" style="211" customWidth="1"/>
    <col min="3332" max="3332" width="8.5703125" style="211" customWidth="1"/>
    <col min="3333" max="3333" width="6.7109375" style="211" customWidth="1"/>
    <col min="3334" max="3334" width="8.28515625" style="211" customWidth="1"/>
    <col min="3335" max="3335" width="8.5703125" style="211" customWidth="1"/>
    <col min="3336" max="3336" width="7.5703125" style="211" customWidth="1"/>
    <col min="3337" max="3337" width="7.85546875" style="211" customWidth="1"/>
    <col min="3338" max="3338" width="7.28515625" style="211" customWidth="1"/>
    <col min="3339" max="3339" width="8.5703125" style="211" customWidth="1"/>
    <col min="3340" max="3340" width="6.7109375" style="211" customWidth="1"/>
    <col min="3341" max="3341" width="7.7109375" style="211" customWidth="1"/>
    <col min="3342" max="3342" width="6.7109375" style="211" customWidth="1"/>
    <col min="3343" max="3343" width="10" style="211" customWidth="1"/>
    <col min="3344" max="3344" width="7.140625" style="211" customWidth="1"/>
    <col min="3345" max="3345" width="8.28515625" style="211" customWidth="1"/>
    <col min="3346" max="3346" width="7.7109375" style="211" customWidth="1"/>
    <col min="3347" max="3584" width="8.85546875" style="211"/>
    <col min="3585" max="3585" width="11.28515625" style="211" customWidth="1"/>
    <col min="3586" max="3586" width="9.5703125" style="211" customWidth="1"/>
    <col min="3587" max="3587" width="7.28515625" style="211" customWidth="1"/>
    <col min="3588" max="3588" width="8.5703125" style="211" customWidth="1"/>
    <col min="3589" max="3589" width="6.7109375" style="211" customWidth="1"/>
    <col min="3590" max="3590" width="8.28515625" style="211" customWidth="1"/>
    <col min="3591" max="3591" width="8.5703125" style="211" customWidth="1"/>
    <col min="3592" max="3592" width="7.5703125" style="211" customWidth="1"/>
    <col min="3593" max="3593" width="7.85546875" style="211" customWidth="1"/>
    <col min="3594" max="3594" width="7.28515625" style="211" customWidth="1"/>
    <col min="3595" max="3595" width="8.5703125" style="211" customWidth="1"/>
    <col min="3596" max="3596" width="6.7109375" style="211" customWidth="1"/>
    <col min="3597" max="3597" width="7.7109375" style="211" customWidth="1"/>
    <col min="3598" max="3598" width="6.7109375" style="211" customWidth="1"/>
    <col min="3599" max="3599" width="10" style="211" customWidth="1"/>
    <col min="3600" max="3600" width="7.140625" style="211" customWidth="1"/>
    <col min="3601" max="3601" width="8.28515625" style="211" customWidth="1"/>
    <col min="3602" max="3602" width="7.7109375" style="211" customWidth="1"/>
    <col min="3603" max="3840" width="8.85546875" style="211"/>
    <col min="3841" max="3841" width="11.28515625" style="211" customWidth="1"/>
    <col min="3842" max="3842" width="9.5703125" style="211" customWidth="1"/>
    <col min="3843" max="3843" width="7.28515625" style="211" customWidth="1"/>
    <col min="3844" max="3844" width="8.5703125" style="211" customWidth="1"/>
    <col min="3845" max="3845" width="6.7109375" style="211" customWidth="1"/>
    <col min="3846" max="3846" width="8.28515625" style="211" customWidth="1"/>
    <col min="3847" max="3847" width="8.5703125" style="211" customWidth="1"/>
    <col min="3848" max="3848" width="7.5703125" style="211" customWidth="1"/>
    <col min="3849" max="3849" width="7.85546875" style="211" customWidth="1"/>
    <col min="3850" max="3850" width="7.28515625" style="211" customWidth="1"/>
    <col min="3851" max="3851" width="8.5703125" style="211" customWidth="1"/>
    <col min="3852" max="3852" width="6.7109375" style="211" customWidth="1"/>
    <col min="3853" max="3853" width="7.7109375" style="211" customWidth="1"/>
    <col min="3854" max="3854" width="6.7109375" style="211" customWidth="1"/>
    <col min="3855" max="3855" width="10" style="211" customWidth="1"/>
    <col min="3856" max="3856" width="7.140625" style="211" customWidth="1"/>
    <col min="3857" max="3857" width="8.28515625" style="211" customWidth="1"/>
    <col min="3858" max="3858" width="7.7109375" style="211" customWidth="1"/>
    <col min="3859" max="4096" width="8.85546875" style="211"/>
    <col min="4097" max="4097" width="11.28515625" style="211" customWidth="1"/>
    <col min="4098" max="4098" width="9.5703125" style="211" customWidth="1"/>
    <col min="4099" max="4099" width="7.28515625" style="211" customWidth="1"/>
    <col min="4100" max="4100" width="8.5703125" style="211" customWidth="1"/>
    <col min="4101" max="4101" width="6.7109375" style="211" customWidth="1"/>
    <col min="4102" max="4102" width="8.28515625" style="211" customWidth="1"/>
    <col min="4103" max="4103" width="8.5703125" style="211" customWidth="1"/>
    <col min="4104" max="4104" width="7.5703125" style="211" customWidth="1"/>
    <col min="4105" max="4105" width="7.85546875" style="211" customWidth="1"/>
    <col min="4106" max="4106" width="7.28515625" style="211" customWidth="1"/>
    <col min="4107" max="4107" width="8.5703125" style="211" customWidth="1"/>
    <col min="4108" max="4108" width="6.7109375" style="211" customWidth="1"/>
    <col min="4109" max="4109" width="7.7109375" style="211" customWidth="1"/>
    <col min="4110" max="4110" width="6.7109375" style="211" customWidth="1"/>
    <col min="4111" max="4111" width="10" style="211" customWidth="1"/>
    <col min="4112" max="4112" width="7.140625" style="211" customWidth="1"/>
    <col min="4113" max="4113" width="8.28515625" style="211" customWidth="1"/>
    <col min="4114" max="4114" width="7.7109375" style="211" customWidth="1"/>
    <col min="4115" max="4352" width="8.85546875" style="211"/>
    <col min="4353" max="4353" width="11.28515625" style="211" customWidth="1"/>
    <col min="4354" max="4354" width="9.5703125" style="211" customWidth="1"/>
    <col min="4355" max="4355" width="7.28515625" style="211" customWidth="1"/>
    <col min="4356" max="4356" width="8.5703125" style="211" customWidth="1"/>
    <col min="4357" max="4357" width="6.7109375" style="211" customWidth="1"/>
    <col min="4358" max="4358" width="8.28515625" style="211" customWidth="1"/>
    <col min="4359" max="4359" width="8.5703125" style="211" customWidth="1"/>
    <col min="4360" max="4360" width="7.5703125" style="211" customWidth="1"/>
    <col min="4361" max="4361" width="7.85546875" style="211" customWidth="1"/>
    <col min="4362" max="4362" width="7.28515625" style="211" customWidth="1"/>
    <col min="4363" max="4363" width="8.5703125" style="211" customWidth="1"/>
    <col min="4364" max="4364" width="6.7109375" style="211" customWidth="1"/>
    <col min="4365" max="4365" width="7.7109375" style="211" customWidth="1"/>
    <col min="4366" max="4366" width="6.7109375" style="211" customWidth="1"/>
    <col min="4367" max="4367" width="10" style="211" customWidth="1"/>
    <col min="4368" max="4368" width="7.140625" style="211" customWidth="1"/>
    <col min="4369" max="4369" width="8.28515625" style="211" customWidth="1"/>
    <col min="4370" max="4370" width="7.7109375" style="211" customWidth="1"/>
    <col min="4371" max="4608" width="8.85546875" style="211"/>
    <col min="4609" max="4609" width="11.28515625" style="211" customWidth="1"/>
    <col min="4610" max="4610" width="9.5703125" style="211" customWidth="1"/>
    <col min="4611" max="4611" width="7.28515625" style="211" customWidth="1"/>
    <col min="4612" max="4612" width="8.5703125" style="211" customWidth="1"/>
    <col min="4613" max="4613" width="6.7109375" style="211" customWidth="1"/>
    <col min="4614" max="4614" width="8.28515625" style="211" customWidth="1"/>
    <col min="4615" max="4615" width="8.5703125" style="211" customWidth="1"/>
    <col min="4616" max="4616" width="7.5703125" style="211" customWidth="1"/>
    <col min="4617" max="4617" width="7.85546875" style="211" customWidth="1"/>
    <col min="4618" max="4618" width="7.28515625" style="211" customWidth="1"/>
    <col min="4619" max="4619" width="8.5703125" style="211" customWidth="1"/>
    <col min="4620" max="4620" width="6.7109375" style="211" customWidth="1"/>
    <col min="4621" max="4621" width="7.7109375" style="211" customWidth="1"/>
    <col min="4622" max="4622" width="6.7109375" style="211" customWidth="1"/>
    <col min="4623" max="4623" width="10" style="211" customWidth="1"/>
    <col min="4624" max="4624" width="7.140625" style="211" customWidth="1"/>
    <col min="4625" max="4625" width="8.28515625" style="211" customWidth="1"/>
    <col min="4626" max="4626" width="7.7109375" style="211" customWidth="1"/>
    <col min="4627" max="4864" width="8.85546875" style="211"/>
    <col min="4865" max="4865" width="11.28515625" style="211" customWidth="1"/>
    <col min="4866" max="4866" width="9.5703125" style="211" customWidth="1"/>
    <col min="4867" max="4867" width="7.28515625" style="211" customWidth="1"/>
    <col min="4868" max="4868" width="8.5703125" style="211" customWidth="1"/>
    <col min="4869" max="4869" width="6.7109375" style="211" customWidth="1"/>
    <col min="4870" max="4870" width="8.28515625" style="211" customWidth="1"/>
    <col min="4871" max="4871" width="8.5703125" style="211" customWidth="1"/>
    <col min="4872" max="4872" width="7.5703125" style="211" customWidth="1"/>
    <col min="4873" max="4873" width="7.85546875" style="211" customWidth="1"/>
    <col min="4874" max="4874" width="7.28515625" style="211" customWidth="1"/>
    <col min="4875" max="4875" width="8.5703125" style="211" customWidth="1"/>
    <col min="4876" max="4876" width="6.7109375" style="211" customWidth="1"/>
    <col min="4877" max="4877" width="7.7109375" style="211" customWidth="1"/>
    <col min="4878" max="4878" width="6.7109375" style="211" customWidth="1"/>
    <col min="4879" max="4879" width="10" style="211" customWidth="1"/>
    <col min="4880" max="4880" width="7.140625" style="211" customWidth="1"/>
    <col min="4881" max="4881" width="8.28515625" style="211" customWidth="1"/>
    <col min="4882" max="4882" width="7.7109375" style="211" customWidth="1"/>
    <col min="4883" max="5120" width="8.85546875" style="211"/>
    <col min="5121" max="5121" width="11.28515625" style="211" customWidth="1"/>
    <col min="5122" max="5122" width="9.5703125" style="211" customWidth="1"/>
    <col min="5123" max="5123" width="7.28515625" style="211" customWidth="1"/>
    <col min="5124" max="5124" width="8.5703125" style="211" customWidth="1"/>
    <col min="5125" max="5125" width="6.7109375" style="211" customWidth="1"/>
    <col min="5126" max="5126" width="8.28515625" style="211" customWidth="1"/>
    <col min="5127" max="5127" width="8.5703125" style="211" customWidth="1"/>
    <col min="5128" max="5128" width="7.5703125" style="211" customWidth="1"/>
    <col min="5129" max="5129" width="7.85546875" style="211" customWidth="1"/>
    <col min="5130" max="5130" width="7.28515625" style="211" customWidth="1"/>
    <col min="5131" max="5131" width="8.5703125" style="211" customWidth="1"/>
    <col min="5132" max="5132" width="6.7109375" style="211" customWidth="1"/>
    <col min="5133" max="5133" width="7.7109375" style="211" customWidth="1"/>
    <col min="5134" max="5134" width="6.7109375" style="211" customWidth="1"/>
    <col min="5135" max="5135" width="10" style="211" customWidth="1"/>
    <col min="5136" max="5136" width="7.140625" style="211" customWidth="1"/>
    <col min="5137" max="5137" width="8.28515625" style="211" customWidth="1"/>
    <col min="5138" max="5138" width="7.7109375" style="211" customWidth="1"/>
    <col min="5139" max="5376" width="8.85546875" style="211"/>
    <col min="5377" max="5377" width="11.28515625" style="211" customWidth="1"/>
    <col min="5378" max="5378" width="9.5703125" style="211" customWidth="1"/>
    <col min="5379" max="5379" width="7.28515625" style="211" customWidth="1"/>
    <col min="5380" max="5380" width="8.5703125" style="211" customWidth="1"/>
    <col min="5381" max="5381" width="6.7109375" style="211" customWidth="1"/>
    <col min="5382" max="5382" width="8.28515625" style="211" customWidth="1"/>
    <col min="5383" max="5383" width="8.5703125" style="211" customWidth="1"/>
    <col min="5384" max="5384" width="7.5703125" style="211" customWidth="1"/>
    <col min="5385" max="5385" width="7.85546875" style="211" customWidth="1"/>
    <col min="5386" max="5386" width="7.28515625" style="211" customWidth="1"/>
    <col min="5387" max="5387" width="8.5703125" style="211" customWidth="1"/>
    <col min="5388" max="5388" width="6.7109375" style="211" customWidth="1"/>
    <col min="5389" max="5389" width="7.7109375" style="211" customWidth="1"/>
    <col min="5390" max="5390" width="6.7109375" style="211" customWidth="1"/>
    <col min="5391" max="5391" width="10" style="211" customWidth="1"/>
    <col min="5392" max="5392" width="7.140625" style="211" customWidth="1"/>
    <col min="5393" max="5393" width="8.28515625" style="211" customWidth="1"/>
    <col min="5394" max="5394" width="7.7109375" style="211" customWidth="1"/>
    <col min="5395" max="5632" width="8.85546875" style="211"/>
    <col min="5633" max="5633" width="11.28515625" style="211" customWidth="1"/>
    <col min="5634" max="5634" width="9.5703125" style="211" customWidth="1"/>
    <col min="5635" max="5635" width="7.28515625" style="211" customWidth="1"/>
    <col min="5636" max="5636" width="8.5703125" style="211" customWidth="1"/>
    <col min="5637" max="5637" width="6.7109375" style="211" customWidth="1"/>
    <col min="5638" max="5638" width="8.28515625" style="211" customWidth="1"/>
    <col min="5639" max="5639" width="8.5703125" style="211" customWidth="1"/>
    <col min="5640" max="5640" width="7.5703125" style="211" customWidth="1"/>
    <col min="5641" max="5641" width="7.85546875" style="211" customWidth="1"/>
    <col min="5642" max="5642" width="7.28515625" style="211" customWidth="1"/>
    <col min="5643" max="5643" width="8.5703125" style="211" customWidth="1"/>
    <col min="5644" max="5644" width="6.7109375" style="211" customWidth="1"/>
    <col min="5645" max="5645" width="7.7109375" style="211" customWidth="1"/>
    <col min="5646" max="5646" width="6.7109375" style="211" customWidth="1"/>
    <col min="5647" max="5647" width="10" style="211" customWidth="1"/>
    <col min="5648" max="5648" width="7.140625" style="211" customWidth="1"/>
    <col min="5649" max="5649" width="8.28515625" style="211" customWidth="1"/>
    <col min="5650" max="5650" width="7.7109375" style="211" customWidth="1"/>
    <col min="5651" max="5888" width="8.85546875" style="211"/>
    <col min="5889" max="5889" width="11.28515625" style="211" customWidth="1"/>
    <col min="5890" max="5890" width="9.5703125" style="211" customWidth="1"/>
    <col min="5891" max="5891" width="7.28515625" style="211" customWidth="1"/>
    <col min="5892" max="5892" width="8.5703125" style="211" customWidth="1"/>
    <col min="5893" max="5893" width="6.7109375" style="211" customWidth="1"/>
    <col min="5894" max="5894" width="8.28515625" style="211" customWidth="1"/>
    <col min="5895" max="5895" width="8.5703125" style="211" customWidth="1"/>
    <col min="5896" max="5896" width="7.5703125" style="211" customWidth="1"/>
    <col min="5897" max="5897" width="7.85546875" style="211" customWidth="1"/>
    <col min="5898" max="5898" width="7.28515625" style="211" customWidth="1"/>
    <col min="5899" max="5899" width="8.5703125" style="211" customWidth="1"/>
    <col min="5900" max="5900" width="6.7109375" style="211" customWidth="1"/>
    <col min="5901" max="5901" width="7.7109375" style="211" customWidth="1"/>
    <col min="5902" max="5902" width="6.7109375" style="211" customWidth="1"/>
    <col min="5903" max="5903" width="10" style="211" customWidth="1"/>
    <col min="5904" max="5904" width="7.140625" style="211" customWidth="1"/>
    <col min="5905" max="5905" width="8.28515625" style="211" customWidth="1"/>
    <col min="5906" max="5906" width="7.7109375" style="211" customWidth="1"/>
    <col min="5907" max="6144" width="8.85546875" style="211"/>
    <col min="6145" max="6145" width="11.28515625" style="211" customWidth="1"/>
    <col min="6146" max="6146" width="9.5703125" style="211" customWidth="1"/>
    <col min="6147" max="6147" width="7.28515625" style="211" customWidth="1"/>
    <col min="6148" max="6148" width="8.5703125" style="211" customWidth="1"/>
    <col min="6149" max="6149" width="6.7109375" style="211" customWidth="1"/>
    <col min="6150" max="6150" width="8.28515625" style="211" customWidth="1"/>
    <col min="6151" max="6151" width="8.5703125" style="211" customWidth="1"/>
    <col min="6152" max="6152" width="7.5703125" style="211" customWidth="1"/>
    <col min="6153" max="6153" width="7.85546875" style="211" customWidth="1"/>
    <col min="6154" max="6154" width="7.28515625" style="211" customWidth="1"/>
    <col min="6155" max="6155" width="8.5703125" style="211" customWidth="1"/>
    <col min="6156" max="6156" width="6.7109375" style="211" customWidth="1"/>
    <col min="6157" max="6157" width="7.7109375" style="211" customWidth="1"/>
    <col min="6158" max="6158" width="6.7109375" style="211" customWidth="1"/>
    <col min="6159" max="6159" width="10" style="211" customWidth="1"/>
    <col min="6160" max="6160" width="7.140625" style="211" customWidth="1"/>
    <col min="6161" max="6161" width="8.28515625" style="211" customWidth="1"/>
    <col min="6162" max="6162" width="7.7109375" style="211" customWidth="1"/>
    <col min="6163" max="6400" width="8.85546875" style="211"/>
    <col min="6401" max="6401" width="11.28515625" style="211" customWidth="1"/>
    <col min="6402" max="6402" width="9.5703125" style="211" customWidth="1"/>
    <col min="6403" max="6403" width="7.28515625" style="211" customWidth="1"/>
    <col min="6404" max="6404" width="8.5703125" style="211" customWidth="1"/>
    <col min="6405" max="6405" width="6.7109375" style="211" customWidth="1"/>
    <col min="6406" max="6406" width="8.28515625" style="211" customWidth="1"/>
    <col min="6407" max="6407" width="8.5703125" style="211" customWidth="1"/>
    <col min="6408" max="6408" width="7.5703125" style="211" customWidth="1"/>
    <col min="6409" max="6409" width="7.85546875" style="211" customWidth="1"/>
    <col min="6410" max="6410" width="7.28515625" style="211" customWidth="1"/>
    <col min="6411" max="6411" width="8.5703125" style="211" customWidth="1"/>
    <col min="6412" max="6412" width="6.7109375" style="211" customWidth="1"/>
    <col min="6413" max="6413" width="7.7109375" style="211" customWidth="1"/>
    <col min="6414" max="6414" width="6.7109375" style="211" customWidth="1"/>
    <col min="6415" max="6415" width="10" style="211" customWidth="1"/>
    <col min="6416" max="6416" width="7.140625" style="211" customWidth="1"/>
    <col min="6417" max="6417" width="8.28515625" style="211" customWidth="1"/>
    <col min="6418" max="6418" width="7.7109375" style="211" customWidth="1"/>
    <col min="6419" max="6656" width="8.85546875" style="211"/>
    <col min="6657" max="6657" width="11.28515625" style="211" customWidth="1"/>
    <col min="6658" max="6658" width="9.5703125" style="211" customWidth="1"/>
    <col min="6659" max="6659" width="7.28515625" style="211" customWidth="1"/>
    <col min="6660" max="6660" width="8.5703125" style="211" customWidth="1"/>
    <col min="6661" max="6661" width="6.7109375" style="211" customWidth="1"/>
    <col min="6662" max="6662" width="8.28515625" style="211" customWidth="1"/>
    <col min="6663" max="6663" width="8.5703125" style="211" customWidth="1"/>
    <col min="6664" max="6664" width="7.5703125" style="211" customWidth="1"/>
    <col min="6665" max="6665" width="7.85546875" style="211" customWidth="1"/>
    <col min="6666" max="6666" width="7.28515625" style="211" customWidth="1"/>
    <col min="6667" max="6667" width="8.5703125" style="211" customWidth="1"/>
    <col min="6668" max="6668" width="6.7109375" style="211" customWidth="1"/>
    <col min="6669" max="6669" width="7.7109375" style="211" customWidth="1"/>
    <col min="6670" max="6670" width="6.7109375" style="211" customWidth="1"/>
    <col min="6671" max="6671" width="10" style="211" customWidth="1"/>
    <col min="6672" max="6672" width="7.140625" style="211" customWidth="1"/>
    <col min="6673" max="6673" width="8.28515625" style="211" customWidth="1"/>
    <col min="6674" max="6674" width="7.7109375" style="211" customWidth="1"/>
    <col min="6675" max="6912" width="8.85546875" style="211"/>
    <col min="6913" max="6913" width="11.28515625" style="211" customWidth="1"/>
    <col min="6914" max="6914" width="9.5703125" style="211" customWidth="1"/>
    <col min="6915" max="6915" width="7.28515625" style="211" customWidth="1"/>
    <col min="6916" max="6916" width="8.5703125" style="211" customWidth="1"/>
    <col min="6917" max="6917" width="6.7109375" style="211" customWidth="1"/>
    <col min="6918" max="6918" width="8.28515625" style="211" customWidth="1"/>
    <col min="6919" max="6919" width="8.5703125" style="211" customWidth="1"/>
    <col min="6920" max="6920" width="7.5703125" style="211" customWidth="1"/>
    <col min="6921" max="6921" width="7.85546875" style="211" customWidth="1"/>
    <col min="6922" max="6922" width="7.28515625" style="211" customWidth="1"/>
    <col min="6923" max="6923" width="8.5703125" style="211" customWidth="1"/>
    <col min="6924" max="6924" width="6.7109375" style="211" customWidth="1"/>
    <col min="6925" max="6925" width="7.7109375" style="211" customWidth="1"/>
    <col min="6926" max="6926" width="6.7109375" style="211" customWidth="1"/>
    <col min="6927" max="6927" width="10" style="211" customWidth="1"/>
    <col min="6928" max="6928" width="7.140625" style="211" customWidth="1"/>
    <col min="6929" max="6929" width="8.28515625" style="211" customWidth="1"/>
    <col min="6930" max="6930" width="7.7109375" style="211" customWidth="1"/>
    <col min="6931" max="7168" width="8.85546875" style="211"/>
    <col min="7169" max="7169" width="11.28515625" style="211" customWidth="1"/>
    <col min="7170" max="7170" width="9.5703125" style="211" customWidth="1"/>
    <col min="7171" max="7171" width="7.28515625" style="211" customWidth="1"/>
    <col min="7172" max="7172" width="8.5703125" style="211" customWidth="1"/>
    <col min="7173" max="7173" width="6.7109375" style="211" customWidth="1"/>
    <col min="7174" max="7174" width="8.28515625" style="211" customWidth="1"/>
    <col min="7175" max="7175" width="8.5703125" style="211" customWidth="1"/>
    <col min="7176" max="7176" width="7.5703125" style="211" customWidth="1"/>
    <col min="7177" max="7177" width="7.85546875" style="211" customWidth="1"/>
    <col min="7178" max="7178" width="7.28515625" style="211" customWidth="1"/>
    <col min="7179" max="7179" width="8.5703125" style="211" customWidth="1"/>
    <col min="7180" max="7180" width="6.7109375" style="211" customWidth="1"/>
    <col min="7181" max="7181" width="7.7109375" style="211" customWidth="1"/>
    <col min="7182" max="7182" width="6.7109375" style="211" customWidth="1"/>
    <col min="7183" max="7183" width="10" style="211" customWidth="1"/>
    <col min="7184" max="7184" width="7.140625" style="211" customWidth="1"/>
    <col min="7185" max="7185" width="8.28515625" style="211" customWidth="1"/>
    <col min="7186" max="7186" width="7.7109375" style="211" customWidth="1"/>
    <col min="7187" max="7424" width="8.85546875" style="211"/>
    <col min="7425" max="7425" width="11.28515625" style="211" customWidth="1"/>
    <col min="7426" max="7426" width="9.5703125" style="211" customWidth="1"/>
    <col min="7427" max="7427" width="7.28515625" style="211" customWidth="1"/>
    <col min="7428" max="7428" width="8.5703125" style="211" customWidth="1"/>
    <col min="7429" max="7429" width="6.7109375" style="211" customWidth="1"/>
    <col min="7430" max="7430" width="8.28515625" style="211" customWidth="1"/>
    <col min="7431" max="7431" width="8.5703125" style="211" customWidth="1"/>
    <col min="7432" max="7432" width="7.5703125" style="211" customWidth="1"/>
    <col min="7433" max="7433" width="7.85546875" style="211" customWidth="1"/>
    <col min="7434" max="7434" width="7.28515625" style="211" customWidth="1"/>
    <col min="7435" max="7435" width="8.5703125" style="211" customWidth="1"/>
    <col min="7436" max="7436" width="6.7109375" style="211" customWidth="1"/>
    <col min="7437" max="7437" width="7.7109375" style="211" customWidth="1"/>
    <col min="7438" max="7438" width="6.7109375" style="211" customWidth="1"/>
    <col min="7439" max="7439" width="10" style="211" customWidth="1"/>
    <col min="7440" max="7440" width="7.140625" style="211" customWidth="1"/>
    <col min="7441" max="7441" width="8.28515625" style="211" customWidth="1"/>
    <col min="7442" max="7442" width="7.7109375" style="211" customWidth="1"/>
    <col min="7443" max="7680" width="8.85546875" style="211"/>
    <col min="7681" max="7681" width="11.28515625" style="211" customWidth="1"/>
    <col min="7682" max="7682" width="9.5703125" style="211" customWidth="1"/>
    <col min="7683" max="7683" width="7.28515625" style="211" customWidth="1"/>
    <col min="7684" max="7684" width="8.5703125" style="211" customWidth="1"/>
    <col min="7685" max="7685" width="6.7109375" style="211" customWidth="1"/>
    <col min="7686" max="7686" width="8.28515625" style="211" customWidth="1"/>
    <col min="7687" max="7687" width="8.5703125" style="211" customWidth="1"/>
    <col min="7688" max="7688" width="7.5703125" style="211" customWidth="1"/>
    <col min="7689" max="7689" width="7.85546875" style="211" customWidth="1"/>
    <col min="7690" max="7690" width="7.28515625" style="211" customWidth="1"/>
    <col min="7691" max="7691" width="8.5703125" style="211" customWidth="1"/>
    <col min="7692" max="7692" width="6.7109375" style="211" customWidth="1"/>
    <col min="7693" max="7693" width="7.7109375" style="211" customWidth="1"/>
    <col min="7694" max="7694" width="6.7109375" style="211" customWidth="1"/>
    <col min="7695" max="7695" width="10" style="211" customWidth="1"/>
    <col min="7696" max="7696" width="7.140625" style="211" customWidth="1"/>
    <col min="7697" max="7697" width="8.28515625" style="211" customWidth="1"/>
    <col min="7698" max="7698" width="7.7109375" style="211" customWidth="1"/>
    <col min="7699" max="7936" width="8.85546875" style="211"/>
    <col min="7937" max="7937" width="11.28515625" style="211" customWidth="1"/>
    <col min="7938" max="7938" width="9.5703125" style="211" customWidth="1"/>
    <col min="7939" max="7939" width="7.28515625" style="211" customWidth="1"/>
    <col min="7940" max="7940" width="8.5703125" style="211" customWidth="1"/>
    <col min="7941" max="7941" width="6.7109375" style="211" customWidth="1"/>
    <col min="7942" max="7942" width="8.28515625" style="211" customWidth="1"/>
    <col min="7943" max="7943" width="8.5703125" style="211" customWidth="1"/>
    <col min="7944" max="7944" width="7.5703125" style="211" customWidth="1"/>
    <col min="7945" max="7945" width="7.85546875" style="211" customWidth="1"/>
    <col min="7946" max="7946" width="7.28515625" style="211" customWidth="1"/>
    <col min="7947" max="7947" width="8.5703125" style="211" customWidth="1"/>
    <col min="7948" max="7948" width="6.7109375" style="211" customWidth="1"/>
    <col min="7949" max="7949" width="7.7109375" style="211" customWidth="1"/>
    <col min="7950" max="7950" width="6.7109375" style="211" customWidth="1"/>
    <col min="7951" max="7951" width="10" style="211" customWidth="1"/>
    <col min="7952" max="7952" width="7.140625" style="211" customWidth="1"/>
    <col min="7953" max="7953" width="8.28515625" style="211" customWidth="1"/>
    <col min="7954" max="7954" width="7.7109375" style="211" customWidth="1"/>
    <col min="7955" max="8192" width="8.85546875" style="211"/>
    <col min="8193" max="8193" width="11.28515625" style="211" customWidth="1"/>
    <col min="8194" max="8194" width="9.5703125" style="211" customWidth="1"/>
    <col min="8195" max="8195" width="7.28515625" style="211" customWidth="1"/>
    <col min="8196" max="8196" width="8.5703125" style="211" customWidth="1"/>
    <col min="8197" max="8197" width="6.7109375" style="211" customWidth="1"/>
    <col min="8198" max="8198" width="8.28515625" style="211" customWidth="1"/>
    <col min="8199" max="8199" width="8.5703125" style="211" customWidth="1"/>
    <col min="8200" max="8200" width="7.5703125" style="211" customWidth="1"/>
    <col min="8201" max="8201" width="7.85546875" style="211" customWidth="1"/>
    <col min="8202" max="8202" width="7.28515625" style="211" customWidth="1"/>
    <col min="8203" max="8203" width="8.5703125" style="211" customWidth="1"/>
    <col min="8204" max="8204" width="6.7109375" style="211" customWidth="1"/>
    <col min="8205" max="8205" width="7.7109375" style="211" customWidth="1"/>
    <col min="8206" max="8206" width="6.7109375" style="211" customWidth="1"/>
    <col min="8207" max="8207" width="10" style="211" customWidth="1"/>
    <col min="8208" max="8208" width="7.140625" style="211" customWidth="1"/>
    <col min="8209" max="8209" width="8.28515625" style="211" customWidth="1"/>
    <col min="8210" max="8210" width="7.7109375" style="211" customWidth="1"/>
    <col min="8211" max="8448" width="8.85546875" style="211"/>
    <col min="8449" max="8449" width="11.28515625" style="211" customWidth="1"/>
    <col min="8450" max="8450" width="9.5703125" style="211" customWidth="1"/>
    <col min="8451" max="8451" width="7.28515625" style="211" customWidth="1"/>
    <col min="8452" max="8452" width="8.5703125" style="211" customWidth="1"/>
    <col min="8453" max="8453" width="6.7109375" style="211" customWidth="1"/>
    <col min="8454" max="8454" width="8.28515625" style="211" customWidth="1"/>
    <col min="8455" max="8455" width="8.5703125" style="211" customWidth="1"/>
    <col min="8456" max="8456" width="7.5703125" style="211" customWidth="1"/>
    <col min="8457" max="8457" width="7.85546875" style="211" customWidth="1"/>
    <col min="8458" max="8458" width="7.28515625" style="211" customWidth="1"/>
    <col min="8459" max="8459" width="8.5703125" style="211" customWidth="1"/>
    <col min="8460" max="8460" width="6.7109375" style="211" customWidth="1"/>
    <col min="8461" max="8461" width="7.7109375" style="211" customWidth="1"/>
    <col min="8462" max="8462" width="6.7109375" style="211" customWidth="1"/>
    <col min="8463" max="8463" width="10" style="211" customWidth="1"/>
    <col min="8464" max="8464" width="7.140625" style="211" customWidth="1"/>
    <col min="8465" max="8465" width="8.28515625" style="211" customWidth="1"/>
    <col min="8466" max="8466" width="7.7109375" style="211" customWidth="1"/>
    <col min="8467" max="8704" width="8.85546875" style="211"/>
    <col min="8705" max="8705" width="11.28515625" style="211" customWidth="1"/>
    <col min="8706" max="8706" width="9.5703125" style="211" customWidth="1"/>
    <col min="8707" max="8707" width="7.28515625" style="211" customWidth="1"/>
    <col min="8708" max="8708" width="8.5703125" style="211" customWidth="1"/>
    <col min="8709" max="8709" width="6.7109375" style="211" customWidth="1"/>
    <col min="8710" max="8710" width="8.28515625" style="211" customWidth="1"/>
    <col min="8711" max="8711" width="8.5703125" style="211" customWidth="1"/>
    <col min="8712" max="8712" width="7.5703125" style="211" customWidth="1"/>
    <col min="8713" max="8713" width="7.85546875" style="211" customWidth="1"/>
    <col min="8714" max="8714" width="7.28515625" style="211" customWidth="1"/>
    <col min="8715" max="8715" width="8.5703125" style="211" customWidth="1"/>
    <col min="8716" max="8716" width="6.7109375" style="211" customWidth="1"/>
    <col min="8717" max="8717" width="7.7109375" style="211" customWidth="1"/>
    <col min="8718" max="8718" width="6.7109375" style="211" customWidth="1"/>
    <col min="8719" max="8719" width="10" style="211" customWidth="1"/>
    <col min="8720" max="8720" width="7.140625" style="211" customWidth="1"/>
    <col min="8721" max="8721" width="8.28515625" style="211" customWidth="1"/>
    <col min="8722" max="8722" width="7.7109375" style="211" customWidth="1"/>
    <col min="8723" max="8960" width="8.85546875" style="211"/>
    <col min="8961" max="8961" width="11.28515625" style="211" customWidth="1"/>
    <col min="8962" max="8962" width="9.5703125" style="211" customWidth="1"/>
    <col min="8963" max="8963" width="7.28515625" style="211" customWidth="1"/>
    <col min="8964" max="8964" width="8.5703125" style="211" customWidth="1"/>
    <col min="8965" max="8965" width="6.7109375" style="211" customWidth="1"/>
    <col min="8966" max="8966" width="8.28515625" style="211" customWidth="1"/>
    <col min="8967" max="8967" width="8.5703125" style="211" customWidth="1"/>
    <col min="8968" max="8968" width="7.5703125" style="211" customWidth="1"/>
    <col min="8969" max="8969" width="7.85546875" style="211" customWidth="1"/>
    <col min="8970" max="8970" width="7.28515625" style="211" customWidth="1"/>
    <col min="8971" max="8971" width="8.5703125" style="211" customWidth="1"/>
    <col min="8972" max="8972" width="6.7109375" style="211" customWidth="1"/>
    <col min="8973" max="8973" width="7.7109375" style="211" customWidth="1"/>
    <col min="8974" max="8974" width="6.7109375" style="211" customWidth="1"/>
    <col min="8975" max="8975" width="10" style="211" customWidth="1"/>
    <col min="8976" max="8976" width="7.140625" style="211" customWidth="1"/>
    <col min="8977" max="8977" width="8.28515625" style="211" customWidth="1"/>
    <col min="8978" max="8978" width="7.7109375" style="211" customWidth="1"/>
    <col min="8979" max="9216" width="8.85546875" style="211"/>
    <col min="9217" max="9217" width="11.28515625" style="211" customWidth="1"/>
    <col min="9218" max="9218" width="9.5703125" style="211" customWidth="1"/>
    <col min="9219" max="9219" width="7.28515625" style="211" customWidth="1"/>
    <col min="9220" max="9220" width="8.5703125" style="211" customWidth="1"/>
    <col min="9221" max="9221" width="6.7109375" style="211" customWidth="1"/>
    <col min="9222" max="9222" width="8.28515625" style="211" customWidth="1"/>
    <col min="9223" max="9223" width="8.5703125" style="211" customWidth="1"/>
    <col min="9224" max="9224" width="7.5703125" style="211" customWidth="1"/>
    <col min="9225" max="9225" width="7.85546875" style="211" customWidth="1"/>
    <col min="9226" max="9226" width="7.28515625" style="211" customWidth="1"/>
    <col min="9227" max="9227" width="8.5703125" style="211" customWidth="1"/>
    <col min="9228" max="9228" width="6.7109375" style="211" customWidth="1"/>
    <col min="9229" max="9229" width="7.7109375" style="211" customWidth="1"/>
    <col min="9230" max="9230" width="6.7109375" style="211" customWidth="1"/>
    <col min="9231" max="9231" width="10" style="211" customWidth="1"/>
    <col min="9232" max="9232" width="7.140625" style="211" customWidth="1"/>
    <col min="9233" max="9233" width="8.28515625" style="211" customWidth="1"/>
    <col min="9234" max="9234" width="7.7109375" style="211" customWidth="1"/>
    <col min="9235" max="9472" width="8.85546875" style="211"/>
    <col min="9473" max="9473" width="11.28515625" style="211" customWidth="1"/>
    <col min="9474" max="9474" width="9.5703125" style="211" customWidth="1"/>
    <col min="9475" max="9475" width="7.28515625" style="211" customWidth="1"/>
    <col min="9476" max="9476" width="8.5703125" style="211" customWidth="1"/>
    <col min="9477" max="9477" width="6.7109375" style="211" customWidth="1"/>
    <col min="9478" max="9478" width="8.28515625" style="211" customWidth="1"/>
    <col min="9479" max="9479" width="8.5703125" style="211" customWidth="1"/>
    <col min="9480" max="9480" width="7.5703125" style="211" customWidth="1"/>
    <col min="9481" max="9481" width="7.85546875" style="211" customWidth="1"/>
    <col min="9482" max="9482" width="7.28515625" style="211" customWidth="1"/>
    <col min="9483" max="9483" width="8.5703125" style="211" customWidth="1"/>
    <col min="9484" max="9484" width="6.7109375" style="211" customWidth="1"/>
    <col min="9485" max="9485" width="7.7109375" style="211" customWidth="1"/>
    <col min="9486" max="9486" width="6.7109375" style="211" customWidth="1"/>
    <col min="9487" max="9487" width="10" style="211" customWidth="1"/>
    <col min="9488" max="9488" width="7.140625" style="211" customWidth="1"/>
    <col min="9489" max="9489" width="8.28515625" style="211" customWidth="1"/>
    <col min="9490" max="9490" width="7.7109375" style="211" customWidth="1"/>
    <col min="9491" max="9728" width="8.85546875" style="211"/>
    <col min="9729" max="9729" width="11.28515625" style="211" customWidth="1"/>
    <col min="9730" max="9730" width="9.5703125" style="211" customWidth="1"/>
    <col min="9731" max="9731" width="7.28515625" style="211" customWidth="1"/>
    <col min="9732" max="9732" width="8.5703125" style="211" customWidth="1"/>
    <col min="9733" max="9733" width="6.7109375" style="211" customWidth="1"/>
    <col min="9734" max="9734" width="8.28515625" style="211" customWidth="1"/>
    <col min="9735" max="9735" width="8.5703125" style="211" customWidth="1"/>
    <col min="9736" max="9736" width="7.5703125" style="211" customWidth="1"/>
    <col min="9737" max="9737" width="7.85546875" style="211" customWidth="1"/>
    <col min="9738" max="9738" width="7.28515625" style="211" customWidth="1"/>
    <col min="9739" max="9739" width="8.5703125" style="211" customWidth="1"/>
    <col min="9740" max="9740" width="6.7109375" style="211" customWidth="1"/>
    <col min="9741" max="9741" width="7.7109375" style="211" customWidth="1"/>
    <col min="9742" max="9742" width="6.7109375" style="211" customWidth="1"/>
    <col min="9743" max="9743" width="10" style="211" customWidth="1"/>
    <col min="9744" max="9744" width="7.140625" style="211" customWidth="1"/>
    <col min="9745" max="9745" width="8.28515625" style="211" customWidth="1"/>
    <col min="9746" max="9746" width="7.7109375" style="211" customWidth="1"/>
    <col min="9747" max="9984" width="8.85546875" style="211"/>
    <col min="9985" max="9985" width="11.28515625" style="211" customWidth="1"/>
    <col min="9986" max="9986" width="9.5703125" style="211" customWidth="1"/>
    <col min="9987" max="9987" width="7.28515625" style="211" customWidth="1"/>
    <col min="9988" max="9988" width="8.5703125" style="211" customWidth="1"/>
    <col min="9989" max="9989" width="6.7109375" style="211" customWidth="1"/>
    <col min="9990" max="9990" width="8.28515625" style="211" customWidth="1"/>
    <col min="9991" max="9991" width="8.5703125" style="211" customWidth="1"/>
    <col min="9992" max="9992" width="7.5703125" style="211" customWidth="1"/>
    <col min="9993" max="9993" width="7.85546875" style="211" customWidth="1"/>
    <col min="9994" max="9994" width="7.28515625" style="211" customWidth="1"/>
    <col min="9995" max="9995" width="8.5703125" style="211" customWidth="1"/>
    <col min="9996" max="9996" width="6.7109375" style="211" customWidth="1"/>
    <col min="9997" max="9997" width="7.7109375" style="211" customWidth="1"/>
    <col min="9998" max="9998" width="6.7109375" style="211" customWidth="1"/>
    <col min="9999" max="9999" width="10" style="211" customWidth="1"/>
    <col min="10000" max="10000" width="7.140625" style="211" customWidth="1"/>
    <col min="10001" max="10001" width="8.28515625" style="211" customWidth="1"/>
    <col min="10002" max="10002" width="7.7109375" style="211" customWidth="1"/>
    <col min="10003" max="10240" width="8.85546875" style="211"/>
    <col min="10241" max="10241" width="11.28515625" style="211" customWidth="1"/>
    <col min="10242" max="10242" width="9.5703125" style="211" customWidth="1"/>
    <col min="10243" max="10243" width="7.28515625" style="211" customWidth="1"/>
    <col min="10244" max="10244" width="8.5703125" style="211" customWidth="1"/>
    <col min="10245" max="10245" width="6.7109375" style="211" customWidth="1"/>
    <col min="10246" max="10246" width="8.28515625" style="211" customWidth="1"/>
    <col min="10247" max="10247" width="8.5703125" style="211" customWidth="1"/>
    <col min="10248" max="10248" width="7.5703125" style="211" customWidth="1"/>
    <col min="10249" max="10249" width="7.85546875" style="211" customWidth="1"/>
    <col min="10250" max="10250" width="7.28515625" style="211" customWidth="1"/>
    <col min="10251" max="10251" width="8.5703125" style="211" customWidth="1"/>
    <col min="10252" max="10252" width="6.7109375" style="211" customWidth="1"/>
    <col min="10253" max="10253" width="7.7109375" style="211" customWidth="1"/>
    <col min="10254" max="10254" width="6.7109375" style="211" customWidth="1"/>
    <col min="10255" max="10255" width="10" style="211" customWidth="1"/>
    <col min="10256" max="10256" width="7.140625" style="211" customWidth="1"/>
    <col min="10257" max="10257" width="8.28515625" style="211" customWidth="1"/>
    <col min="10258" max="10258" width="7.7109375" style="211" customWidth="1"/>
    <col min="10259" max="10496" width="8.85546875" style="211"/>
    <col min="10497" max="10497" width="11.28515625" style="211" customWidth="1"/>
    <col min="10498" max="10498" width="9.5703125" style="211" customWidth="1"/>
    <col min="10499" max="10499" width="7.28515625" style="211" customWidth="1"/>
    <col min="10500" max="10500" width="8.5703125" style="211" customWidth="1"/>
    <col min="10501" max="10501" width="6.7109375" style="211" customWidth="1"/>
    <col min="10502" max="10502" width="8.28515625" style="211" customWidth="1"/>
    <col min="10503" max="10503" width="8.5703125" style="211" customWidth="1"/>
    <col min="10504" max="10504" width="7.5703125" style="211" customWidth="1"/>
    <col min="10505" max="10505" width="7.85546875" style="211" customWidth="1"/>
    <col min="10506" max="10506" width="7.28515625" style="211" customWidth="1"/>
    <col min="10507" max="10507" width="8.5703125" style="211" customWidth="1"/>
    <col min="10508" max="10508" width="6.7109375" style="211" customWidth="1"/>
    <col min="10509" max="10509" width="7.7109375" style="211" customWidth="1"/>
    <col min="10510" max="10510" width="6.7109375" style="211" customWidth="1"/>
    <col min="10511" max="10511" width="10" style="211" customWidth="1"/>
    <col min="10512" max="10512" width="7.140625" style="211" customWidth="1"/>
    <col min="10513" max="10513" width="8.28515625" style="211" customWidth="1"/>
    <col min="10514" max="10514" width="7.7109375" style="211" customWidth="1"/>
    <col min="10515" max="10752" width="8.85546875" style="211"/>
    <col min="10753" max="10753" width="11.28515625" style="211" customWidth="1"/>
    <col min="10754" max="10754" width="9.5703125" style="211" customWidth="1"/>
    <col min="10755" max="10755" width="7.28515625" style="211" customWidth="1"/>
    <col min="10756" max="10756" width="8.5703125" style="211" customWidth="1"/>
    <col min="10757" max="10757" width="6.7109375" style="211" customWidth="1"/>
    <col min="10758" max="10758" width="8.28515625" style="211" customWidth="1"/>
    <col min="10759" max="10759" width="8.5703125" style="211" customWidth="1"/>
    <col min="10760" max="10760" width="7.5703125" style="211" customWidth="1"/>
    <col min="10761" max="10761" width="7.85546875" style="211" customWidth="1"/>
    <col min="10762" max="10762" width="7.28515625" style="211" customWidth="1"/>
    <col min="10763" max="10763" width="8.5703125" style="211" customWidth="1"/>
    <col min="10764" max="10764" width="6.7109375" style="211" customWidth="1"/>
    <col min="10765" max="10765" width="7.7109375" style="211" customWidth="1"/>
    <col min="10766" max="10766" width="6.7109375" style="211" customWidth="1"/>
    <col min="10767" max="10767" width="10" style="211" customWidth="1"/>
    <col min="10768" max="10768" width="7.140625" style="211" customWidth="1"/>
    <col min="10769" max="10769" width="8.28515625" style="211" customWidth="1"/>
    <col min="10770" max="10770" width="7.7109375" style="211" customWidth="1"/>
    <col min="10771" max="11008" width="8.85546875" style="211"/>
    <col min="11009" max="11009" width="11.28515625" style="211" customWidth="1"/>
    <col min="11010" max="11010" width="9.5703125" style="211" customWidth="1"/>
    <col min="11011" max="11011" width="7.28515625" style="211" customWidth="1"/>
    <col min="11012" max="11012" width="8.5703125" style="211" customWidth="1"/>
    <col min="11013" max="11013" width="6.7109375" style="211" customWidth="1"/>
    <col min="11014" max="11014" width="8.28515625" style="211" customWidth="1"/>
    <col min="11015" max="11015" width="8.5703125" style="211" customWidth="1"/>
    <col min="11016" max="11016" width="7.5703125" style="211" customWidth="1"/>
    <col min="11017" max="11017" width="7.85546875" style="211" customWidth="1"/>
    <col min="11018" max="11018" width="7.28515625" style="211" customWidth="1"/>
    <col min="11019" max="11019" width="8.5703125" style="211" customWidth="1"/>
    <col min="11020" max="11020" width="6.7109375" style="211" customWidth="1"/>
    <col min="11021" max="11021" width="7.7109375" style="211" customWidth="1"/>
    <col min="11022" max="11022" width="6.7109375" style="211" customWidth="1"/>
    <col min="11023" max="11023" width="10" style="211" customWidth="1"/>
    <col min="11024" max="11024" width="7.140625" style="211" customWidth="1"/>
    <col min="11025" max="11025" width="8.28515625" style="211" customWidth="1"/>
    <col min="11026" max="11026" width="7.7109375" style="211" customWidth="1"/>
    <col min="11027" max="11264" width="8.85546875" style="211"/>
    <col min="11265" max="11265" width="11.28515625" style="211" customWidth="1"/>
    <col min="11266" max="11266" width="9.5703125" style="211" customWidth="1"/>
    <col min="11267" max="11267" width="7.28515625" style="211" customWidth="1"/>
    <col min="11268" max="11268" width="8.5703125" style="211" customWidth="1"/>
    <col min="11269" max="11269" width="6.7109375" style="211" customWidth="1"/>
    <col min="11270" max="11270" width="8.28515625" style="211" customWidth="1"/>
    <col min="11271" max="11271" width="8.5703125" style="211" customWidth="1"/>
    <col min="11272" max="11272" width="7.5703125" style="211" customWidth="1"/>
    <col min="11273" max="11273" width="7.85546875" style="211" customWidth="1"/>
    <col min="11274" max="11274" width="7.28515625" style="211" customWidth="1"/>
    <col min="11275" max="11275" width="8.5703125" style="211" customWidth="1"/>
    <col min="11276" max="11276" width="6.7109375" style="211" customWidth="1"/>
    <col min="11277" max="11277" width="7.7109375" style="211" customWidth="1"/>
    <col min="11278" max="11278" width="6.7109375" style="211" customWidth="1"/>
    <col min="11279" max="11279" width="10" style="211" customWidth="1"/>
    <col min="11280" max="11280" width="7.140625" style="211" customWidth="1"/>
    <col min="11281" max="11281" width="8.28515625" style="211" customWidth="1"/>
    <col min="11282" max="11282" width="7.7109375" style="211" customWidth="1"/>
    <col min="11283" max="11520" width="8.85546875" style="211"/>
    <col min="11521" max="11521" width="11.28515625" style="211" customWidth="1"/>
    <col min="11522" max="11522" width="9.5703125" style="211" customWidth="1"/>
    <col min="11523" max="11523" width="7.28515625" style="211" customWidth="1"/>
    <col min="11524" max="11524" width="8.5703125" style="211" customWidth="1"/>
    <col min="11525" max="11525" width="6.7109375" style="211" customWidth="1"/>
    <col min="11526" max="11526" width="8.28515625" style="211" customWidth="1"/>
    <col min="11527" max="11527" width="8.5703125" style="211" customWidth="1"/>
    <col min="11528" max="11528" width="7.5703125" style="211" customWidth="1"/>
    <col min="11529" max="11529" width="7.85546875" style="211" customWidth="1"/>
    <col min="11530" max="11530" width="7.28515625" style="211" customWidth="1"/>
    <col min="11531" max="11531" width="8.5703125" style="211" customWidth="1"/>
    <col min="11532" max="11532" width="6.7109375" style="211" customWidth="1"/>
    <col min="11533" max="11533" width="7.7109375" style="211" customWidth="1"/>
    <col min="11534" max="11534" width="6.7109375" style="211" customWidth="1"/>
    <col min="11535" max="11535" width="10" style="211" customWidth="1"/>
    <col min="11536" max="11536" width="7.140625" style="211" customWidth="1"/>
    <col min="11537" max="11537" width="8.28515625" style="211" customWidth="1"/>
    <col min="11538" max="11538" width="7.7109375" style="211" customWidth="1"/>
    <col min="11539" max="11776" width="8.85546875" style="211"/>
    <col min="11777" max="11777" width="11.28515625" style="211" customWidth="1"/>
    <col min="11778" max="11778" width="9.5703125" style="211" customWidth="1"/>
    <col min="11779" max="11779" width="7.28515625" style="211" customWidth="1"/>
    <col min="11780" max="11780" width="8.5703125" style="211" customWidth="1"/>
    <col min="11781" max="11781" width="6.7109375" style="211" customWidth="1"/>
    <col min="11782" max="11782" width="8.28515625" style="211" customWidth="1"/>
    <col min="11783" max="11783" width="8.5703125" style="211" customWidth="1"/>
    <col min="11784" max="11784" width="7.5703125" style="211" customWidth="1"/>
    <col min="11785" max="11785" width="7.85546875" style="211" customWidth="1"/>
    <col min="11786" max="11786" width="7.28515625" style="211" customWidth="1"/>
    <col min="11787" max="11787" width="8.5703125" style="211" customWidth="1"/>
    <col min="11788" max="11788" width="6.7109375" style="211" customWidth="1"/>
    <col min="11789" max="11789" width="7.7109375" style="211" customWidth="1"/>
    <col min="11790" max="11790" width="6.7109375" style="211" customWidth="1"/>
    <col min="11791" max="11791" width="10" style="211" customWidth="1"/>
    <col min="11792" max="11792" width="7.140625" style="211" customWidth="1"/>
    <col min="11793" max="11793" width="8.28515625" style="211" customWidth="1"/>
    <col min="11794" max="11794" width="7.7109375" style="211" customWidth="1"/>
    <col min="11795" max="12032" width="8.85546875" style="211"/>
    <col min="12033" max="12033" width="11.28515625" style="211" customWidth="1"/>
    <col min="12034" max="12034" width="9.5703125" style="211" customWidth="1"/>
    <col min="12035" max="12035" width="7.28515625" style="211" customWidth="1"/>
    <col min="12036" max="12036" width="8.5703125" style="211" customWidth="1"/>
    <col min="12037" max="12037" width="6.7109375" style="211" customWidth="1"/>
    <col min="12038" max="12038" width="8.28515625" style="211" customWidth="1"/>
    <col min="12039" max="12039" width="8.5703125" style="211" customWidth="1"/>
    <col min="12040" max="12040" width="7.5703125" style="211" customWidth="1"/>
    <col min="12041" max="12041" width="7.85546875" style="211" customWidth="1"/>
    <col min="12042" max="12042" width="7.28515625" style="211" customWidth="1"/>
    <col min="12043" max="12043" width="8.5703125" style="211" customWidth="1"/>
    <col min="12044" max="12044" width="6.7109375" style="211" customWidth="1"/>
    <col min="12045" max="12045" width="7.7109375" style="211" customWidth="1"/>
    <col min="12046" max="12046" width="6.7109375" style="211" customWidth="1"/>
    <col min="12047" max="12047" width="10" style="211" customWidth="1"/>
    <col min="12048" max="12048" width="7.140625" style="211" customWidth="1"/>
    <col min="12049" max="12049" width="8.28515625" style="211" customWidth="1"/>
    <col min="12050" max="12050" width="7.7109375" style="211" customWidth="1"/>
    <col min="12051" max="12288" width="8.85546875" style="211"/>
    <col min="12289" max="12289" width="11.28515625" style="211" customWidth="1"/>
    <col min="12290" max="12290" width="9.5703125" style="211" customWidth="1"/>
    <col min="12291" max="12291" width="7.28515625" style="211" customWidth="1"/>
    <col min="12292" max="12292" width="8.5703125" style="211" customWidth="1"/>
    <col min="12293" max="12293" width="6.7109375" style="211" customWidth="1"/>
    <col min="12294" max="12294" width="8.28515625" style="211" customWidth="1"/>
    <col min="12295" max="12295" width="8.5703125" style="211" customWidth="1"/>
    <col min="12296" max="12296" width="7.5703125" style="211" customWidth="1"/>
    <col min="12297" max="12297" width="7.85546875" style="211" customWidth="1"/>
    <col min="12298" max="12298" width="7.28515625" style="211" customWidth="1"/>
    <col min="12299" max="12299" width="8.5703125" style="211" customWidth="1"/>
    <col min="12300" max="12300" width="6.7109375" style="211" customWidth="1"/>
    <col min="12301" max="12301" width="7.7109375" style="211" customWidth="1"/>
    <col min="12302" max="12302" width="6.7109375" style="211" customWidth="1"/>
    <col min="12303" max="12303" width="10" style="211" customWidth="1"/>
    <col min="12304" max="12304" width="7.140625" style="211" customWidth="1"/>
    <col min="12305" max="12305" width="8.28515625" style="211" customWidth="1"/>
    <col min="12306" max="12306" width="7.7109375" style="211" customWidth="1"/>
    <col min="12307" max="12544" width="8.85546875" style="211"/>
    <col min="12545" max="12545" width="11.28515625" style="211" customWidth="1"/>
    <col min="12546" max="12546" width="9.5703125" style="211" customWidth="1"/>
    <col min="12547" max="12547" width="7.28515625" style="211" customWidth="1"/>
    <col min="12548" max="12548" width="8.5703125" style="211" customWidth="1"/>
    <col min="12549" max="12549" width="6.7109375" style="211" customWidth="1"/>
    <col min="12550" max="12550" width="8.28515625" style="211" customWidth="1"/>
    <col min="12551" max="12551" width="8.5703125" style="211" customWidth="1"/>
    <col min="12552" max="12552" width="7.5703125" style="211" customWidth="1"/>
    <col min="12553" max="12553" width="7.85546875" style="211" customWidth="1"/>
    <col min="12554" max="12554" width="7.28515625" style="211" customWidth="1"/>
    <col min="12555" max="12555" width="8.5703125" style="211" customWidth="1"/>
    <col min="12556" max="12556" width="6.7109375" style="211" customWidth="1"/>
    <col min="12557" max="12557" width="7.7109375" style="211" customWidth="1"/>
    <col min="12558" max="12558" width="6.7109375" style="211" customWidth="1"/>
    <col min="12559" max="12559" width="10" style="211" customWidth="1"/>
    <col min="12560" max="12560" width="7.140625" style="211" customWidth="1"/>
    <col min="12561" max="12561" width="8.28515625" style="211" customWidth="1"/>
    <col min="12562" max="12562" width="7.7109375" style="211" customWidth="1"/>
    <col min="12563" max="12800" width="8.85546875" style="211"/>
    <col min="12801" max="12801" width="11.28515625" style="211" customWidth="1"/>
    <col min="12802" max="12802" width="9.5703125" style="211" customWidth="1"/>
    <col min="12803" max="12803" width="7.28515625" style="211" customWidth="1"/>
    <col min="12804" max="12804" width="8.5703125" style="211" customWidth="1"/>
    <col min="12805" max="12805" width="6.7109375" style="211" customWidth="1"/>
    <col min="12806" max="12806" width="8.28515625" style="211" customWidth="1"/>
    <col min="12807" max="12807" width="8.5703125" style="211" customWidth="1"/>
    <col min="12808" max="12808" width="7.5703125" style="211" customWidth="1"/>
    <col min="12809" max="12809" width="7.85546875" style="211" customWidth="1"/>
    <col min="12810" max="12810" width="7.28515625" style="211" customWidth="1"/>
    <col min="12811" max="12811" width="8.5703125" style="211" customWidth="1"/>
    <col min="12812" max="12812" width="6.7109375" style="211" customWidth="1"/>
    <col min="12813" max="12813" width="7.7109375" style="211" customWidth="1"/>
    <col min="12814" max="12814" width="6.7109375" style="211" customWidth="1"/>
    <col min="12815" max="12815" width="10" style="211" customWidth="1"/>
    <col min="12816" max="12816" width="7.140625" style="211" customWidth="1"/>
    <col min="12817" max="12817" width="8.28515625" style="211" customWidth="1"/>
    <col min="12818" max="12818" width="7.7109375" style="211" customWidth="1"/>
    <col min="12819" max="13056" width="8.85546875" style="211"/>
    <col min="13057" max="13057" width="11.28515625" style="211" customWidth="1"/>
    <col min="13058" max="13058" width="9.5703125" style="211" customWidth="1"/>
    <col min="13059" max="13059" width="7.28515625" style="211" customWidth="1"/>
    <col min="13060" max="13060" width="8.5703125" style="211" customWidth="1"/>
    <col min="13061" max="13061" width="6.7109375" style="211" customWidth="1"/>
    <col min="13062" max="13062" width="8.28515625" style="211" customWidth="1"/>
    <col min="13063" max="13063" width="8.5703125" style="211" customWidth="1"/>
    <col min="13064" max="13064" width="7.5703125" style="211" customWidth="1"/>
    <col min="13065" max="13065" width="7.85546875" style="211" customWidth="1"/>
    <col min="13066" max="13066" width="7.28515625" style="211" customWidth="1"/>
    <col min="13067" max="13067" width="8.5703125" style="211" customWidth="1"/>
    <col min="13068" max="13068" width="6.7109375" style="211" customWidth="1"/>
    <col min="13069" max="13069" width="7.7109375" style="211" customWidth="1"/>
    <col min="13070" max="13070" width="6.7109375" style="211" customWidth="1"/>
    <col min="13071" max="13071" width="10" style="211" customWidth="1"/>
    <col min="13072" max="13072" width="7.140625" style="211" customWidth="1"/>
    <col min="13073" max="13073" width="8.28515625" style="211" customWidth="1"/>
    <col min="13074" max="13074" width="7.7109375" style="211" customWidth="1"/>
    <col min="13075" max="13312" width="8.85546875" style="211"/>
    <col min="13313" max="13313" width="11.28515625" style="211" customWidth="1"/>
    <col min="13314" max="13314" width="9.5703125" style="211" customWidth="1"/>
    <col min="13315" max="13315" width="7.28515625" style="211" customWidth="1"/>
    <col min="13316" max="13316" width="8.5703125" style="211" customWidth="1"/>
    <col min="13317" max="13317" width="6.7109375" style="211" customWidth="1"/>
    <col min="13318" max="13318" width="8.28515625" style="211" customWidth="1"/>
    <col min="13319" max="13319" width="8.5703125" style="211" customWidth="1"/>
    <col min="13320" max="13320" width="7.5703125" style="211" customWidth="1"/>
    <col min="13321" max="13321" width="7.85546875" style="211" customWidth="1"/>
    <col min="13322" max="13322" width="7.28515625" style="211" customWidth="1"/>
    <col min="13323" max="13323" width="8.5703125" style="211" customWidth="1"/>
    <col min="13324" max="13324" width="6.7109375" style="211" customWidth="1"/>
    <col min="13325" max="13325" width="7.7109375" style="211" customWidth="1"/>
    <col min="13326" max="13326" width="6.7109375" style="211" customWidth="1"/>
    <col min="13327" max="13327" width="10" style="211" customWidth="1"/>
    <col min="13328" max="13328" width="7.140625" style="211" customWidth="1"/>
    <col min="13329" max="13329" width="8.28515625" style="211" customWidth="1"/>
    <col min="13330" max="13330" width="7.7109375" style="211" customWidth="1"/>
    <col min="13331" max="13568" width="8.85546875" style="211"/>
    <col min="13569" max="13569" width="11.28515625" style="211" customWidth="1"/>
    <col min="13570" max="13570" width="9.5703125" style="211" customWidth="1"/>
    <col min="13571" max="13571" width="7.28515625" style="211" customWidth="1"/>
    <col min="13572" max="13572" width="8.5703125" style="211" customWidth="1"/>
    <col min="13573" max="13573" width="6.7109375" style="211" customWidth="1"/>
    <col min="13574" max="13574" width="8.28515625" style="211" customWidth="1"/>
    <col min="13575" max="13575" width="8.5703125" style="211" customWidth="1"/>
    <col min="13576" max="13576" width="7.5703125" style="211" customWidth="1"/>
    <col min="13577" max="13577" width="7.85546875" style="211" customWidth="1"/>
    <col min="13578" max="13578" width="7.28515625" style="211" customWidth="1"/>
    <col min="13579" max="13579" width="8.5703125" style="211" customWidth="1"/>
    <col min="13580" max="13580" width="6.7109375" style="211" customWidth="1"/>
    <col min="13581" max="13581" width="7.7109375" style="211" customWidth="1"/>
    <col min="13582" max="13582" width="6.7109375" style="211" customWidth="1"/>
    <col min="13583" max="13583" width="10" style="211" customWidth="1"/>
    <col min="13584" max="13584" width="7.140625" style="211" customWidth="1"/>
    <col min="13585" max="13585" width="8.28515625" style="211" customWidth="1"/>
    <col min="13586" max="13586" width="7.7109375" style="211" customWidth="1"/>
    <col min="13587" max="13824" width="8.85546875" style="211"/>
    <col min="13825" max="13825" width="11.28515625" style="211" customWidth="1"/>
    <col min="13826" max="13826" width="9.5703125" style="211" customWidth="1"/>
    <col min="13827" max="13827" width="7.28515625" style="211" customWidth="1"/>
    <col min="13828" max="13828" width="8.5703125" style="211" customWidth="1"/>
    <col min="13829" max="13829" width="6.7109375" style="211" customWidth="1"/>
    <col min="13830" max="13830" width="8.28515625" style="211" customWidth="1"/>
    <col min="13831" max="13831" width="8.5703125" style="211" customWidth="1"/>
    <col min="13832" max="13832" width="7.5703125" style="211" customWidth="1"/>
    <col min="13833" max="13833" width="7.85546875" style="211" customWidth="1"/>
    <col min="13834" max="13834" width="7.28515625" style="211" customWidth="1"/>
    <col min="13835" max="13835" width="8.5703125" style="211" customWidth="1"/>
    <col min="13836" max="13836" width="6.7109375" style="211" customWidth="1"/>
    <col min="13837" max="13837" width="7.7109375" style="211" customWidth="1"/>
    <col min="13838" max="13838" width="6.7109375" style="211" customWidth="1"/>
    <col min="13839" max="13839" width="10" style="211" customWidth="1"/>
    <col min="13840" max="13840" width="7.140625" style="211" customWidth="1"/>
    <col min="13841" max="13841" width="8.28515625" style="211" customWidth="1"/>
    <col min="13842" max="13842" width="7.7109375" style="211" customWidth="1"/>
    <col min="13843" max="14080" width="8.85546875" style="211"/>
    <col min="14081" max="14081" width="11.28515625" style="211" customWidth="1"/>
    <col min="14082" max="14082" width="9.5703125" style="211" customWidth="1"/>
    <col min="14083" max="14083" width="7.28515625" style="211" customWidth="1"/>
    <col min="14084" max="14084" width="8.5703125" style="211" customWidth="1"/>
    <col min="14085" max="14085" width="6.7109375" style="211" customWidth="1"/>
    <col min="14086" max="14086" width="8.28515625" style="211" customWidth="1"/>
    <col min="14087" max="14087" width="8.5703125" style="211" customWidth="1"/>
    <col min="14088" max="14088" width="7.5703125" style="211" customWidth="1"/>
    <col min="14089" max="14089" width="7.85546875" style="211" customWidth="1"/>
    <col min="14090" max="14090" width="7.28515625" style="211" customWidth="1"/>
    <col min="14091" max="14091" width="8.5703125" style="211" customWidth="1"/>
    <col min="14092" max="14092" width="6.7109375" style="211" customWidth="1"/>
    <col min="14093" max="14093" width="7.7109375" style="211" customWidth="1"/>
    <col min="14094" max="14094" width="6.7109375" style="211" customWidth="1"/>
    <col min="14095" max="14095" width="10" style="211" customWidth="1"/>
    <col min="14096" max="14096" width="7.140625" style="211" customWidth="1"/>
    <col min="14097" max="14097" width="8.28515625" style="211" customWidth="1"/>
    <col min="14098" max="14098" width="7.7109375" style="211" customWidth="1"/>
    <col min="14099" max="14336" width="8.85546875" style="211"/>
    <col min="14337" max="14337" width="11.28515625" style="211" customWidth="1"/>
    <col min="14338" max="14338" width="9.5703125" style="211" customWidth="1"/>
    <col min="14339" max="14339" width="7.28515625" style="211" customWidth="1"/>
    <col min="14340" max="14340" width="8.5703125" style="211" customWidth="1"/>
    <col min="14341" max="14341" width="6.7109375" style="211" customWidth="1"/>
    <col min="14342" max="14342" width="8.28515625" style="211" customWidth="1"/>
    <col min="14343" max="14343" width="8.5703125" style="211" customWidth="1"/>
    <col min="14344" max="14344" width="7.5703125" style="211" customWidth="1"/>
    <col min="14345" max="14345" width="7.85546875" style="211" customWidth="1"/>
    <col min="14346" max="14346" width="7.28515625" style="211" customWidth="1"/>
    <col min="14347" max="14347" width="8.5703125" style="211" customWidth="1"/>
    <col min="14348" max="14348" width="6.7109375" style="211" customWidth="1"/>
    <col min="14349" max="14349" width="7.7109375" style="211" customWidth="1"/>
    <col min="14350" max="14350" width="6.7109375" style="211" customWidth="1"/>
    <col min="14351" max="14351" width="10" style="211" customWidth="1"/>
    <col min="14352" max="14352" width="7.140625" style="211" customWidth="1"/>
    <col min="14353" max="14353" width="8.28515625" style="211" customWidth="1"/>
    <col min="14354" max="14354" width="7.7109375" style="211" customWidth="1"/>
    <col min="14355" max="14592" width="8.85546875" style="211"/>
    <col min="14593" max="14593" width="11.28515625" style="211" customWidth="1"/>
    <col min="14594" max="14594" width="9.5703125" style="211" customWidth="1"/>
    <col min="14595" max="14595" width="7.28515625" style="211" customWidth="1"/>
    <col min="14596" max="14596" width="8.5703125" style="211" customWidth="1"/>
    <col min="14597" max="14597" width="6.7109375" style="211" customWidth="1"/>
    <col min="14598" max="14598" width="8.28515625" style="211" customWidth="1"/>
    <col min="14599" max="14599" width="8.5703125" style="211" customWidth="1"/>
    <col min="14600" max="14600" width="7.5703125" style="211" customWidth="1"/>
    <col min="14601" max="14601" width="7.85546875" style="211" customWidth="1"/>
    <col min="14602" max="14602" width="7.28515625" style="211" customWidth="1"/>
    <col min="14603" max="14603" width="8.5703125" style="211" customWidth="1"/>
    <col min="14604" max="14604" width="6.7109375" style="211" customWidth="1"/>
    <col min="14605" max="14605" width="7.7109375" style="211" customWidth="1"/>
    <col min="14606" max="14606" width="6.7109375" style="211" customWidth="1"/>
    <col min="14607" max="14607" width="10" style="211" customWidth="1"/>
    <col min="14608" max="14608" width="7.140625" style="211" customWidth="1"/>
    <col min="14609" max="14609" width="8.28515625" style="211" customWidth="1"/>
    <col min="14610" max="14610" width="7.7109375" style="211" customWidth="1"/>
    <col min="14611" max="14848" width="8.85546875" style="211"/>
    <col min="14849" max="14849" width="11.28515625" style="211" customWidth="1"/>
    <col min="14850" max="14850" width="9.5703125" style="211" customWidth="1"/>
    <col min="14851" max="14851" width="7.28515625" style="211" customWidth="1"/>
    <col min="14852" max="14852" width="8.5703125" style="211" customWidth="1"/>
    <col min="14853" max="14853" width="6.7109375" style="211" customWidth="1"/>
    <col min="14854" max="14854" width="8.28515625" style="211" customWidth="1"/>
    <col min="14855" max="14855" width="8.5703125" style="211" customWidth="1"/>
    <col min="14856" max="14856" width="7.5703125" style="211" customWidth="1"/>
    <col min="14857" max="14857" width="7.85546875" style="211" customWidth="1"/>
    <col min="14858" max="14858" width="7.28515625" style="211" customWidth="1"/>
    <col min="14859" max="14859" width="8.5703125" style="211" customWidth="1"/>
    <col min="14860" max="14860" width="6.7109375" style="211" customWidth="1"/>
    <col min="14861" max="14861" width="7.7109375" style="211" customWidth="1"/>
    <col min="14862" max="14862" width="6.7109375" style="211" customWidth="1"/>
    <col min="14863" max="14863" width="10" style="211" customWidth="1"/>
    <col min="14864" max="14864" width="7.140625" style="211" customWidth="1"/>
    <col min="14865" max="14865" width="8.28515625" style="211" customWidth="1"/>
    <col min="14866" max="14866" width="7.7109375" style="211" customWidth="1"/>
    <col min="14867" max="15104" width="8.85546875" style="211"/>
    <col min="15105" max="15105" width="11.28515625" style="211" customWidth="1"/>
    <col min="15106" max="15106" width="9.5703125" style="211" customWidth="1"/>
    <col min="15107" max="15107" width="7.28515625" style="211" customWidth="1"/>
    <col min="15108" max="15108" width="8.5703125" style="211" customWidth="1"/>
    <col min="15109" max="15109" width="6.7109375" style="211" customWidth="1"/>
    <col min="15110" max="15110" width="8.28515625" style="211" customWidth="1"/>
    <col min="15111" max="15111" width="8.5703125" style="211" customWidth="1"/>
    <col min="15112" max="15112" width="7.5703125" style="211" customWidth="1"/>
    <col min="15113" max="15113" width="7.85546875" style="211" customWidth="1"/>
    <col min="15114" max="15114" width="7.28515625" style="211" customWidth="1"/>
    <col min="15115" max="15115" width="8.5703125" style="211" customWidth="1"/>
    <col min="15116" max="15116" width="6.7109375" style="211" customWidth="1"/>
    <col min="15117" max="15117" width="7.7109375" style="211" customWidth="1"/>
    <col min="15118" max="15118" width="6.7109375" style="211" customWidth="1"/>
    <col min="15119" max="15119" width="10" style="211" customWidth="1"/>
    <col min="15120" max="15120" width="7.140625" style="211" customWidth="1"/>
    <col min="15121" max="15121" width="8.28515625" style="211" customWidth="1"/>
    <col min="15122" max="15122" width="7.7109375" style="211" customWidth="1"/>
    <col min="15123" max="15360" width="8.85546875" style="211"/>
    <col min="15361" max="15361" width="11.28515625" style="211" customWidth="1"/>
    <col min="15362" max="15362" width="9.5703125" style="211" customWidth="1"/>
    <col min="15363" max="15363" width="7.28515625" style="211" customWidth="1"/>
    <col min="15364" max="15364" width="8.5703125" style="211" customWidth="1"/>
    <col min="15365" max="15365" width="6.7109375" style="211" customWidth="1"/>
    <col min="15366" max="15366" width="8.28515625" style="211" customWidth="1"/>
    <col min="15367" max="15367" width="8.5703125" style="211" customWidth="1"/>
    <col min="15368" max="15368" width="7.5703125" style="211" customWidth="1"/>
    <col min="15369" max="15369" width="7.85546875" style="211" customWidth="1"/>
    <col min="15370" max="15370" width="7.28515625" style="211" customWidth="1"/>
    <col min="15371" max="15371" width="8.5703125" style="211" customWidth="1"/>
    <col min="15372" max="15372" width="6.7109375" style="211" customWidth="1"/>
    <col min="15373" max="15373" width="7.7109375" style="211" customWidth="1"/>
    <col min="15374" max="15374" width="6.7109375" style="211" customWidth="1"/>
    <col min="15375" max="15375" width="10" style="211" customWidth="1"/>
    <col min="15376" max="15376" width="7.140625" style="211" customWidth="1"/>
    <col min="15377" max="15377" width="8.28515625" style="211" customWidth="1"/>
    <col min="15378" max="15378" width="7.7109375" style="211" customWidth="1"/>
    <col min="15379" max="15616" width="8.85546875" style="211"/>
    <col min="15617" max="15617" width="11.28515625" style="211" customWidth="1"/>
    <col min="15618" max="15618" width="9.5703125" style="211" customWidth="1"/>
    <col min="15619" max="15619" width="7.28515625" style="211" customWidth="1"/>
    <col min="15620" max="15620" width="8.5703125" style="211" customWidth="1"/>
    <col min="15621" max="15621" width="6.7109375" style="211" customWidth="1"/>
    <col min="15622" max="15622" width="8.28515625" style="211" customWidth="1"/>
    <col min="15623" max="15623" width="8.5703125" style="211" customWidth="1"/>
    <col min="15624" max="15624" width="7.5703125" style="211" customWidth="1"/>
    <col min="15625" max="15625" width="7.85546875" style="211" customWidth="1"/>
    <col min="15626" max="15626" width="7.28515625" style="211" customWidth="1"/>
    <col min="15627" max="15627" width="8.5703125" style="211" customWidth="1"/>
    <col min="15628" max="15628" width="6.7109375" style="211" customWidth="1"/>
    <col min="15629" max="15629" width="7.7109375" style="211" customWidth="1"/>
    <col min="15630" max="15630" width="6.7109375" style="211" customWidth="1"/>
    <col min="15631" max="15631" width="10" style="211" customWidth="1"/>
    <col min="15632" max="15632" width="7.140625" style="211" customWidth="1"/>
    <col min="15633" max="15633" width="8.28515625" style="211" customWidth="1"/>
    <col min="15634" max="15634" width="7.7109375" style="211" customWidth="1"/>
    <col min="15635" max="15872" width="8.85546875" style="211"/>
    <col min="15873" max="15873" width="11.28515625" style="211" customWidth="1"/>
    <col min="15874" max="15874" width="9.5703125" style="211" customWidth="1"/>
    <col min="15875" max="15875" width="7.28515625" style="211" customWidth="1"/>
    <col min="15876" max="15876" width="8.5703125" style="211" customWidth="1"/>
    <col min="15877" max="15877" width="6.7109375" style="211" customWidth="1"/>
    <col min="15878" max="15878" width="8.28515625" style="211" customWidth="1"/>
    <col min="15879" max="15879" width="8.5703125" style="211" customWidth="1"/>
    <col min="15880" max="15880" width="7.5703125" style="211" customWidth="1"/>
    <col min="15881" max="15881" width="7.85546875" style="211" customWidth="1"/>
    <col min="15882" max="15882" width="7.28515625" style="211" customWidth="1"/>
    <col min="15883" max="15883" width="8.5703125" style="211" customWidth="1"/>
    <col min="15884" max="15884" width="6.7109375" style="211" customWidth="1"/>
    <col min="15885" max="15885" width="7.7109375" style="211" customWidth="1"/>
    <col min="15886" max="15886" width="6.7109375" style="211" customWidth="1"/>
    <col min="15887" max="15887" width="10" style="211" customWidth="1"/>
    <col min="15888" max="15888" width="7.140625" style="211" customWidth="1"/>
    <col min="15889" max="15889" width="8.28515625" style="211" customWidth="1"/>
    <col min="15890" max="15890" width="7.7109375" style="211" customWidth="1"/>
    <col min="15891" max="16128" width="8.85546875" style="211"/>
    <col min="16129" max="16129" width="11.28515625" style="211" customWidth="1"/>
    <col min="16130" max="16130" width="9.5703125" style="211" customWidth="1"/>
    <col min="16131" max="16131" width="7.28515625" style="211" customWidth="1"/>
    <col min="16132" max="16132" width="8.5703125" style="211" customWidth="1"/>
    <col min="16133" max="16133" width="6.7109375" style="211" customWidth="1"/>
    <col min="16134" max="16134" width="8.28515625" style="211" customWidth="1"/>
    <col min="16135" max="16135" width="8.5703125" style="211" customWidth="1"/>
    <col min="16136" max="16136" width="7.5703125" style="211" customWidth="1"/>
    <col min="16137" max="16137" width="7.85546875" style="211" customWidth="1"/>
    <col min="16138" max="16138" width="7.28515625" style="211" customWidth="1"/>
    <col min="16139" max="16139" width="8.5703125" style="211" customWidth="1"/>
    <col min="16140" max="16140" width="6.7109375" style="211" customWidth="1"/>
    <col min="16141" max="16141" width="7.7109375" style="211" customWidth="1"/>
    <col min="16142" max="16142" width="6.7109375" style="211" customWidth="1"/>
    <col min="16143" max="16143" width="10" style="211" customWidth="1"/>
    <col min="16144" max="16144" width="7.140625" style="211" customWidth="1"/>
    <col min="16145" max="16145" width="8.28515625" style="211" customWidth="1"/>
    <col min="16146" max="16146" width="7.7109375" style="211" customWidth="1"/>
    <col min="16147" max="16384" width="8.85546875" style="211"/>
  </cols>
  <sheetData>
    <row r="1" spans="1:19" ht="15" customHeight="1"/>
    <row r="2" spans="1:19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19" ht="12" customHeight="1">
      <c r="E3" s="1285" t="s">
        <v>168</v>
      </c>
      <c r="F3" s="1285"/>
      <c r="G3" s="1285"/>
      <c r="H3" s="1285"/>
      <c r="I3" s="1285"/>
      <c r="J3" s="1285"/>
    </row>
    <row r="4" spans="1:19" ht="12" customHeight="1">
      <c r="A4" s="1256" t="s">
        <v>1900</v>
      </c>
      <c r="B4" s="1256"/>
      <c r="C4" s="1257"/>
      <c r="D4" s="1286" t="s">
        <v>1872</v>
      </c>
      <c r="E4" s="1287"/>
      <c r="F4" s="1288"/>
      <c r="G4" s="212"/>
      <c r="H4" s="212" t="s">
        <v>1902</v>
      </c>
      <c r="I4" s="212"/>
      <c r="J4" s="212"/>
      <c r="K4" s="1289" t="s">
        <v>2001</v>
      </c>
      <c r="L4" s="1290"/>
      <c r="M4" s="1291"/>
      <c r="N4" s="212" t="s">
        <v>5</v>
      </c>
      <c r="O4" s="212"/>
      <c r="P4" s="215">
        <v>385.43200000000002</v>
      </c>
      <c r="Q4" s="214" t="s">
        <v>436</v>
      </c>
      <c r="R4" s="214"/>
      <c r="S4" s="212"/>
    </row>
    <row r="5" spans="1:19" ht="12" customHeight="1">
      <c r="A5" s="808" t="s">
        <v>4176</v>
      </c>
      <c r="B5" s="808"/>
      <c r="C5" s="808"/>
      <c r="D5" s="516"/>
      <c r="E5" s="516"/>
      <c r="F5" s="516"/>
      <c r="G5" s="212"/>
      <c r="H5" s="212"/>
      <c r="I5" s="212"/>
      <c r="J5" s="212"/>
      <c r="K5" s="516"/>
      <c r="L5" s="516"/>
      <c r="M5" s="516"/>
      <c r="N5" s="212"/>
      <c r="O5" s="212"/>
      <c r="P5" s="212"/>
      <c r="Q5" s="214"/>
      <c r="R5" s="215">
        <v>80</v>
      </c>
      <c r="S5" s="212"/>
    </row>
    <row r="6" spans="1:19" ht="12" customHeight="1">
      <c r="A6" s="212" t="s">
        <v>832</v>
      </c>
      <c r="B6" s="212"/>
      <c r="C6" s="212"/>
      <c r="D6" s="1266" t="s">
        <v>2002</v>
      </c>
      <c r="E6" s="1267"/>
      <c r="F6" s="1268"/>
      <c r="G6" s="212"/>
      <c r="H6" s="212" t="s">
        <v>1208</v>
      </c>
      <c r="I6" s="212"/>
      <c r="J6" s="212"/>
      <c r="K6" s="1266" t="s">
        <v>2003</v>
      </c>
      <c r="L6" s="1267"/>
      <c r="M6" s="1268"/>
      <c r="N6" s="212"/>
      <c r="O6" s="212"/>
      <c r="P6" s="212"/>
      <c r="Q6" s="212"/>
      <c r="R6" s="212"/>
      <c r="S6" s="212"/>
    </row>
    <row r="7" spans="1:19" ht="12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</row>
    <row r="8" spans="1:19" ht="12" customHeight="1">
      <c r="A8" s="212" t="s">
        <v>1906</v>
      </c>
      <c r="B8" s="212"/>
      <c r="C8" s="212"/>
      <c r="D8" s="1251" t="s">
        <v>5664</v>
      </c>
      <c r="E8" s="1252"/>
      <c r="F8" s="1253"/>
      <c r="G8" s="212"/>
      <c r="H8" s="1264" t="s">
        <v>1908</v>
      </c>
      <c r="I8" s="1264"/>
      <c r="J8" s="1264"/>
      <c r="K8" s="1325" t="s">
        <v>5665</v>
      </c>
      <c r="L8" s="1326"/>
      <c r="M8" s="1326"/>
      <c r="N8" s="1326"/>
      <c r="O8" s="1327"/>
      <c r="P8" s="212"/>
      <c r="Q8" s="212"/>
      <c r="R8" s="212"/>
      <c r="S8" s="212"/>
    </row>
    <row r="9" spans="1:19" ht="12" customHeight="1">
      <c r="A9" s="212"/>
      <c r="B9" s="212"/>
      <c r="C9" s="212"/>
      <c r="D9" s="212"/>
      <c r="E9" s="212"/>
      <c r="F9" s="212"/>
      <c r="G9" s="212"/>
      <c r="H9" s="1264"/>
      <c r="I9" s="1264"/>
      <c r="J9" s="1264"/>
      <c r="K9" s="1328"/>
      <c r="L9" s="1329"/>
      <c r="M9" s="1329"/>
      <c r="N9" s="1329"/>
      <c r="O9" s="1330"/>
      <c r="P9" s="212"/>
      <c r="Q9" s="212"/>
      <c r="R9" s="212"/>
      <c r="S9" s="212"/>
    </row>
    <row r="10" spans="1:19" ht="12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</row>
    <row r="11" spans="1:19" ht="12" customHeight="1">
      <c r="A11" s="1266" t="s">
        <v>1909</v>
      </c>
      <c r="B11" s="1267"/>
      <c r="C11" s="1267"/>
      <c r="D11" s="1269" t="s">
        <v>2004</v>
      </c>
      <c r="E11" s="1269"/>
      <c r="F11" s="1269"/>
      <c r="G11" s="1269"/>
      <c r="H11" s="1269"/>
      <c r="I11" s="1269"/>
      <c r="J11" s="1269" t="s">
        <v>2005</v>
      </c>
      <c r="K11" s="1269"/>
      <c r="L11" s="1269"/>
      <c r="M11" s="1269"/>
      <c r="N11" s="1269"/>
      <c r="O11" s="1269"/>
      <c r="P11" s="212"/>
      <c r="Q11" s="212"/>
      <c r="R11" s="212"/>
      <c r="S11" s="212"/>
    </row>
    <row r="12" spans="1:19" ht="12" customHeight="1">
      <c r="A12" s="1266" t="s">
        <v>1346</v>
      </c>
      <c r="B12" s="1267"/>
      <c r="C12" s="1267"/>
      <c r="D12" s="1269" t="s">
        <v>2006</v>
      </c>
      <c r="E12" s="1269"/>
      <c r="F12" s="1269"/>
      <c r="G12" s="1269"/>
      <c r="H12" s="1269"/>
      <c r="I12" s="1269"/>
      <c r="J12" s="1269" t="s">
        <v>2007</v>
      </c>
      <c r="K12" s="1269"/>
      <c r="L12" s="1269"/>
      <c r="M12" s="1269"/>
      <c r="N12" s="1269"/>
      <c r="O12" s="1269"/>
      <c r="P12" s="212"/>
      <c r="Q12" s="212"/>
      <c r="R12" s="212"/>
      <c r="S12" s="212"/>
    </row>
    <row r="13" spans="1:19" ht="12" customHeight="1">
      <c r="A13" s="1266" t="s">
        <v>844</v>
      </c>
      <c r="B13" s="1267"/>
      <c r="C13" s="1267"/>
      <c r="D13" s="1269" t="s">
        <v>2008</v>
      </c>
      <c r="E13" s="1269"/>
      <c r="F13" s="1269"/>
      <c r="G13" s="1269"/>
      <c r="H13" s="1269"/>
      <c r="I13" s="1269"/>
      <c r="J13" s="1269" t="s">
        <v>2009</v>
      </c>
      <c r="K13" s="1269"/>
      <c r="L13" s="1269"/>
      <c r="M13" s="1269"/>
      <c r="N13" s="1269"/>
      <c r="O13" s="1269"/>
      <c r="P13" s="212"/>
      <c r="Q13" s="212"/>
      <c r="R13" s="212"/>
      <c r="S13" s="212"/>
    </row>
    <row r="14" spans="1:19" ht="12" customHeight="1">
      <c r="A14" s="1269" t="s">
        <v>1196</v>
      </c>
      <c r="B14" s="1269"/>
      <c r="C14" s="1269"/>
      <c r="D14" s="1269" t="s">
        <v>1907</v>
      </c>
      <c r="E14" s="1269"/>
      <c r="F14" s="1269"/>
      <c r="G14" s="1269"/>
      <c r="H14" s="1269"/>
      <c r="I14" s="1269"/>
      <c r="J14" s="1269" t="s">
        <v>1907</v>
      </c>
      <c r="K14" s="1269"/>
      <c r="L14" s="1269"/>
      <c r="M14" s="1269"/>
      <c r="N14" s="1269"/>
      <c r="O14" s="1269"/>
      <c r="P14" s="212"/>
      <c r="Q14" s="212"/>
      <c r="R14" s="212"/>
      <c r="S14" s="212"/>
    </row>
    <row r="15" spans="1:19" ht="12" customHeight="1">
      <c r="A15" s="212"/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2"/>
      <c r="R15" s="212"/>
      <c r="S15" s="212"/>
    </row>
    <row r="16" spans="1:19" ht="12" customHeight="1">
      <c r="A16" s="212" t="s">
        <v>1916</v>
      </c>
      <c r="B16" s="212"/>
      <c r="C16" s="212"/>
      <c r="D16" s="215">
        <v>2</v>
      </c>
      <c r="E16" s="212" t="s">
        <v>1917</v>
      </c>
      <c r="F16" s="212"/>
      <c r="G16" s="212"/>
      <c r="H16" s="215">
        <v>2</v>
      </c>
      <c r="I16" s="212" t="s">
        <v>1918</v>
      </c>
      <c r="J16" s="215">
        <v>9</v>
      </c>
      <c r="K16" s="212" t="s">
        <v>1492</v>
      </c>
      <c r="L16" s="215">
        <v>2</v>
      </c>
      <c r="M16" s="212" t="s">
        <v>1493</v>
      </c>
      <c r="N16" s="1270">
        <v>8</v>
      </c>
      <c r="O16" s="1270"/>
      <c r="P16" s="212"/>
      <c r="Q16" s="212"/>
      <c r="R16" s="212"/>
      <c r="S16" s="212"/>
    </row>
    <row r="17" spans="1:19" ht="12" customHeight="1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</row>
    <row r="18" spans="1:19" ht="12" customHeight="1">
      <c r="A18" s="1271" t="s">
        <v>203</v>
      </c>
      <c r="B18" s="1271"/>
      <c r="C18" s="212"/>
      <c r="D18" s="212" t="s">
        <v>204</v>
      </c>
      <c r="E18" s="215">
        <v>104</v>
      </c>
      <c r="F18" s="212" t="s">
        <v>205</v>
      </c>
      <c r="G18" s="215">
        <v>16</v>
      </c>
      <c r="H18" s="1272" t="s">
        <v>206</v>
      </c>
      <c r="I18" s="1271"/>
      <c r="J18" s="215">
        <v>0</v>
      </c>
      <c r="K18" s="1272" t="s">
        <v>245</v>
      </c>
      <c r="L18" s="1271"/>
      <c r="M18" s="215">
        <v>120</v>
      </c>
      <c r="N18" s="212" t="s">
        <v>207</v>
      </c>
      <c r="O18" s="215">
        <v>0</v>
      </c>
      <c r="P18" s="514" t="s">
        <v>855</v>
      </c>
      <c r="Q18" s="514"/>
      <c r="R18" s="215">
        <v>6</v>
      </c>
      <c r="S18" s="212"/>
    </row>
    <row r="19" spans="1:19" ht="12" customHeight="1">
      <c r="A19" s="1271" t="s">
        <v>1029</v>
      </c>
      <c r="B19" s="1271"/>
      <c r="C19" s="212"/>
      <c r="D19" s="212" t="s">
        <v>210</v>
      </c>
      <c r="E19" s="215">
        <v>305</v>
      </c>
      <c r="F19" s="212" t="s">
        <v>1919</v>
      </c>
      <c r="G19" s="215">
        <v>47</v>
      </c>
      <c r="H19" s="514" t="s">
        <v>212</v>
      </c>
      <c r="I19" s="514"/>
      <c r="J19" s="215">
        <v>0</v>
      </c>
      <c r="K19" s="1272" t="s">
        <v>1920</v>
      </c>
      <c r="L19" s="1271"/>
      <c r="M19" s="215">
        <v>352</v>
      </c>
      <c r="N19" s="212"/>
      <c r="O19" s="212"/>
      <c r="P19" s="212"/>
      <c r="Q19" s="212"/>
      <c r="R19" s="214"/>
      <c r="S19" s="212"/>
    </row>
    <row r="20" spans="1:19" ht="12" customHeight="1">
      <c r="A20" s="212"/>
      <c r="B20" s="212"/>
      <c r="C20" s="212"/>
      <c r="D20" s="212" t="s">
        <v>213</v>
      </c>
      <c r="E20" s="215">
        <v>319</v>
      </c>
      <c r="F20" s="212" t="s">
        <v>214</v>
      </c>
      <c r="G20" s="215">
        <v>49</v>
      </c>
      <c r="H20" s="1272" t="s">
        <v>215</v>
      </c>
      <c r="I20" s="1271"/>
      <c r="J20" s="215">
        <v>0</v>
      </c>
      <c r="K20" s="1272" t="s">
        <v>1921</v>
      </c>
      <c r="L20" s="1271"/>
      <c r="M20" s="215">
        <v>368</v>
      </c>
      <c r="N20" s="212"/>
      <c r="O20" s="212"/>
      <c r="P20" s="212"/>
      <c r="Q20" s="212"/>
      <c r="R20" s="212"/>
      <c r="S20" s="212"/>
    </row>
    <row r="21" spans="1:19" ht="12" customHeigh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</row>
    <row r="22" spans="1:19" ht="12" customHeight="1">
      <c r="A22" s="1332" t="s">
        <v>409</v>
      </c>
      <c r="B22" s="133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</row>
    <row r="23" spans="1:19" s="217" customFormat="1" ht="12" customHeight="1">
      <c r="A23" s="1274" t="s">
        <v>217</v>
      </c>
      <c r="B23" s="1275"/>
      <c r="C23" s="1276"/>
      <c r="D23" s="1333" t="s">
        <v>1922</v>
      </c>
      <c r="E23" s="1333" t="s">
        <v>219</v>
      </c>
      <c r="F23" s="1333" t="s">
        <v>1923</v>
      </c>
      <c r="G23" s="1333" t="s">
        <v>1924</v>
      </c>
      <c r="H23" s="1334" t="s">
        <v>1925</v>
      </c>
      <c r="I23" s="1334"/>
      <c r="J23" s="1334"/>
      <c r="K23" s="1334"/>
      <c r="L23" s="1334"/>
      <c r="M23" s="1334"/>
      <c r="N23" s="1334"/>
      <c r="O23" s="1334"/>
      <c r="P23" s="1334"/>
      <c r="Q23" s="216"/>
      <c r="R23" s="216"/>
      <c r="S23" s="216"/>
    </row>
    <row r="24" spans="1:19" s="217" customFormat="1" ht="31.15" customHeight="1">
      <c r="A24" s="1277"/>
      <c r="B24" s="1278"/>
      <c r="C24" s="1279"/>
      <c r="D24" s="1333"/>
      <c r="E24" s="1333"/>
      <c r="F24" s="1333"/>
      <c r="G24" s="1333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517" t="s">
        <v>230</v>
      </c>
      <c r="P24" s="517" t="s">
        <v>662</v>
      </c>
      <c r="Q24" s="216"/>
      <c r="R24" s="216"/>
      <c r="S24" s="216"/>
    </row>
    <row r="25" spans="1:19" ht="12" customHeight="1">
      <c r="A25" s="1269" t="s">
        <v>232</v>
      </c>
      <c r="B25" s="1269"/>
      <c r="C25" s="1269"/>
      <c r="D25" s="218">
        <v>8000</v>
      </c>
      <c r="E25" s="513" t="s">
        <v>233</v>
      </c>
      <c r="F25" s="219">
        <v>30.83456</v>
      </c>
      <c r="G25" s="219">
        <v>12.33</v>
      </c>
      <c r="H25" s="220">
        <v>0</v>
      </c>
      <c r="I25" s="220">
        <v>0</v>
      </c>
      <c r="J25" s="220">
        <v>4.0810000000000004</v>
      </c>
      <c r="K25" s="220">
        <v>6.2880000000000003</v>
      </c>
      <c r="L25" s="220">
        <v>0</v>
      </c>
      <c r="M25" s="220">
        <v>0</v>
      </c>
      <c r="N25" s="220">
        <v>0</v>
      </c>
      <c r="O25" s="220">
        <v>10.369</v>
      </c>
      <c r="P25" s="220">
        <v>84.095701540957009</v>
      </c>
      <c r="Q25" s="212"/>
      <c r="R25" s="212"/>
      <c r="S25" s="212"/>
    </row>
    <row r="26" spans="1:19" ht="12" customHeight="1">
      <c r="A26" s="1269" t="s">
        <v>234</v>
      </c>
      <c r="B26" s="1269"/>
      <c r="C26" s="1269"/>
      <c r="D26" s="218">
        <v>7000</v>
      </c>
      <c r="E26" s="513" t="s">
        <v>233</v>
      </c>
      <c r="F26" s="219">
        <v>40.6</v>
      </c>
      <c r="G26" s="219">
        <v>0</v>
      </c>
      <c r="H26" s="220">
        <v>0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  <c r="Q26" s="212"/>
      <c r="R26" s="212"/>
      <c r="S26" s="212"/>
    </row>
    <row r="27" spans="1:19" ht="12" customHeight="1">
      <c r="A27" s="1269" t="s">
        <v>235</v>
      </c>
      <c r="B27" s="1269"/>
      <c r="C27" s="1269"/>
      <c r="D27" s="218">
        <v>43000</v>
      </c>
      <c r="E27" s="513" t="s">
        <v>236</v>
      </c>
      <c r="F27" s="219">
        <v>0.43</v>
      </c>
      <c r="G27" s="219">
        <v>0.18</v>
      </c>
      <c r="H27" s="220">
        <v>0</v>
      </c>
      <c r="I27" s="220">
        <v>0</v>
      </c>
      <c r="J27" s="220">
        <v>0</v>
      </c>
      <c r="K27" s="220">
        <v>0.18</v>
      </c>
      <c r="L27" s="220">
        <v>0</v>
      </c>
      <c r="M27" s="220">
        <v>0</v>
      </c>
      <c r="N27" s="220">
        <v>0</v>
      </c>
      <c r="O27" s="220">
        <v>0.18</v>
      </c>
      <c r="P27" s="220">
        <v>100</v>
      </c>
      <c r="Q27" s="212"/>
      <c r="R27" s="212"/>
      <c r="S27" s="212"/>
    </row>
    <row r="28" spans="1:19" ht="12" customHeight="1">
      <c r="A28" s="1269" t="s">
        <v>237</v>
      </c>
      <c r="B28" s="1269"/>
      <c r="C28" s="1269"/>
      <c r="D28" s="218">
        <v>34000</v>
      </c>
      <c r="E28" s="513" t="s">
        <v>236</v>
      </c>
      <c r="F28" s="219">
        <v>0.34</v>
      </c>
      <c r="G28" s="219">
        <v>0.16</v>
      </c>
      <c r="H28" s="220">
        <v>0</v>
      </c>
      <c r="I28" s="220">
        <v>0</v>
      </c>
      <c r="J28" s="220">
        <v>0</v>
      </c>
      <c r="K28" s="220">
        <v>0.16</v>
      </c>
      <c r="L28" s="220">
        <v>0</v>
      </c>
      <c r="M28" s="220">
        <v>0</v>
      </c>
      <c r="N28" s="220">
        <v>0</v>
      </c>
      <c r="O28" s="220">
        <v>0.16</v>
      </c>
      <c r="P28" s="220">
        <v>100</v>
      </c>
      <c r="Q28" s="212"/>
      <c r="R28" s="212"/>
      <c r="S28" s="212"/>
    </row>
    <row r="29" spans="1:19" ht="12" customHeight="1">
      <c r="A29" s="1269" t="s">
        <v>238</v>
      </c>
      <c r="B29" s="1269"/>
      <c r="C29" s="1269"/>
      <c r="D29" s="218">
        <v>1200</v>
      </c>
      <c r="E29" s="513" t="s">
        <v>233</v>
      </c>
      <c r="F29" s="219">
        <v>4.625184</v>
      </c>
      <c r="G29" s="219">
        <v>2</v>
      </c>
      <c r="H29" s="220">
        <v>0</v>
      </c>
      <c r="I29" s="220">
        <v>0</v>
      </c>
      <c r="J29" s="220">
        <v>0</v>
      </c>
      <c r="K29" s="220">
        <v>0.6</v>
      </c>
      <c r="L29" s="220">
        <v>0</v>
      </c>
      <c r="M29" s="220">
        <v>0</v>
      </c>
      <c r="N29" s="220">
        <v>0</v>
      </c>
      <c r="O29" s="220">
        <v>0.6</v>
      </c>
      <c r="P29" s="220">
        <v>30</v>
      </c>
      <c r="Q29" s="212"/>
      <c r="R29" s="212"/>
      <c r="S29" s="212"/>
    </row>
    <row r="30" spans="1:19" ht="12" customHeight="1">
      <c r="A30" s="1269" t="s">
        <v>667</v>
      </c>
      <c r="B30" s="1269"/>
      <c r="C30" s="1269"/>
      <c r="D30" s="218">
        <v>565</v>
      </c>
      <c r="E30" s="513" t="s">
        <v>233</v>
      </c>
      <c r="F30" s="219">
        <v>2.1776908000000001</v>
      </c>
      <c r="G30" s="219">
        <v>2.1198700000000001</v>
      </c>
      <c r="H30" s="220">
        <v>0</v>
      </c>
      <c r="I30" s="220">
        <v>0</v>
      </c>
      <c r="J30" s="220">
        <v>0</v>
      </c>
      <c r="K30" s="220">
        <v>2.1198700000000001</v>
      </c>
      <c r="L30" s="220">
        <v>0</v>
      </c>
      <c r="M30" s="220">
        <v>0</v>
      </c>
      <c r="N30" s="220">
        <v>0</v>
      </c>
      <c r="O30" s="220">
        <v>2.1198700000000001</v>
      </c>
      <c r="P30" s="220">
        <v>100</v>
      </c>
      <c r="Q30" s="212"/>
      <c r="R30" s="212"/>
      <c r="S30" s="212"/>
    </row>
    <row r="31" spans="1:19" ht="12" customHeight="1">
      <c r="A31" s="1269" t="s">
        <v>1503</v>
      </c>
      <c r="B31" s="1269"/>
      <c r="C31" s="1269"/>
      <c r="D31" s="218">
        <v>1000</v>
      </c>
      <c r="E31" s="513" t="s">
        <v>233</v>
      </c>
      <c r="F31" s="219">
        <v>3.85432</v>
      </c>
      <c r="G31" s="219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  <c r="Q31" s="212"/>
      <c r="R31" s="212"/>
      <c r="S31" s="212"/>
    </row>
    <row r="32" spans="1:19" ht="12" customHeight="1">
      <c r="A32" s="1269" t="s">
        <v>394</v>
      </c>
      <c r="B32" s="1269"/>
      <c r="C32" s="1269"/>
      <c r="D32" s="218">
        <v>2750</v>
      </c>
      <c r="E32" s="513" t="s">
        <v>242</v>
      </c>
      <c r="F32" s="219">
        <v>2.1</v>
      </c>
      <c r="G32" s="219">
        <v>0.41249999999999998</v>
      </c>
      <c r="H32" s="220">
        <v>0</v>
      </c>
      <c r="I32" s="220">
        <v>0</v>
      </c>
      <c r="J32" s="220">
        <v>9.999999999999995E-3</v>
      </c>
      <c r="K32" s="220">
        <v>0.40250000000000002</v>
      </c>
      <c r="L32" s="220">
        <v>0</v>
      </c>
      <c r="M32" s="220">
        <v>0</v>
      </c>
      <c r="N32" s="220">
        <v>0</v>
      </c>
      <c r="O32" s="220">
        <v>0.41250000000000003</v>
      </c>
      <c r="P32" s="220">
        <v>100.00000000000003</v>
      </c>
      <c r="Q32" s="212"/>
      <c r="R32" s="212"/>
      <c r="S32" s="212"/>
    </row>
    <row r="33" spans="1:19" ht="12" customHeight="1">
      <c r="A33" s="1269" t="s">
        <v>670</v>
      </c>
      <c r="B33" s="1269"/>
      <c r="C33" s="1269"/>
      <c r="D33" s="218">
        <v>10000</v>
      </c>
      <c r="E33" s="513" t="s">
        <v>244</v>
      </c>
      <c r="F33" s="219">
        <v>0.1</v>
      </c>
      <c r="G33" s="219">
        <v>0.1</v>
      </c>
      <c r="H33" s="220">
        <v>0</v>
      </c>
      <c r="I33" s="220">
        <v>0</v>
      </c>
      <c r="J33" s="220">
        <v>0.1</v>
      </c>
      <c r="K33" s="220">
        <v>0</v>
      </c>
      <c r="L33" s="220">
        <v>0</v>
      </c>
      <c r="M33" s="220">
        <v>0</v>
      </c>
      <c r="N33" s="220">
        <v>0</v>
      </c>
      <c r="O33" s="220">
        <v>0.1</v>
      </c>
      <c r="P33" s="220">
        <v>100</v>
      </c>
      <c r="Q33" s="212"/>
      <c r="R33" s="212"/>
      <c r="S33" s="212"/>
    </row>
    <row r="34" spans="1:19" ht="12" customHeight="1">
      <c r="A34" s="1258" t="s">
        <v>230</v>
      </c>
      <c r="B34" s="1259"/>
      <c r="C34" s="1260"/>
      <c r="D34" s="215"/>
      <c r="E34" s="215"/>
      <c r="F34" s="222">
        <v>85.061754800000003</v>
      </c>
      <c r="G34" s="222">
        <v>17.302370000000003</v>
      </c>
      <c r="H34" s="222">
        <v>0</v>
      </c>
      <c r="I34" s="222">
        <v>0</v>
      </c>
      <c r="J34" s="222">
        <v>4.1909999999999998</v>
      </c>
      <c r="K34" s="222">
        <v>9.7503700000000002</v>
      </c>
      <c r="L34" s="222">
        <v>0</v>
      </c>
      <c r="M34" s="222">
        <v>0</v>
      </c>
      <c r="N34" s="222">
        <v>0</v>
      </c>
      <c r="O34" s="222">
        <v>13.941369999999999</v>
      </c>
      <c r="P34" s="222"/>
      <c r="Q34" s="212"/>
      <c r="R34" s="212"/>
      <c r="S34" s="212"/>
    </row>
    <row r="35" spans="1:19" ht="19.899999999999999" customHeight="1">
      <c r="A35" s="212"/>
      <c r="B35" s="212"/>
      <c r="C35" s="212"/>
      <c r="D35" s="212"/>
      <c r="E35" s="21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12"/>
      <c r="R35" s="212"/>
      <c r="S35" s="212"/>
    </row>
    <row r="36" spans="1:19" ht="19.899999999999999" customHeight="1"/>
    <row r="37" spans="1:19" ht="19.899999999999999" customHeight="1"/>
    <row r="38" spans="1:19" ht="19.899999999999999" customHeight="1"/>
    <row r="39" spans="1:19" ht="19.899999999999999" customHeight="1"/>
    <row r="40" spans="1:19" ht="19.899999999999999" customHeight="1"/>
    <row r="41" spans="1:19" ht="19.899999999999999" customHeight="1"/>
    <row r="42" spans="1:19" ht="19.899999999999999" customHeight="1"/>
    <row r="43" spans="1:19" ht="19.899999999999999" customHeight="1"/>
    <row r="44" spans="1:19" ht="19.899999999999999" customHeight="1"/>
    <row r="45" spans="1:19" ht="19.899999999999999" customHeight="1"/>
    <row r="46" spans="1:19" ht="19.899999999999999" customHeight="1"/>
    <row r="47" spans="1:19" ht="19.899999999999999" customHeight="1"/>
    <row r="48" spans="1:19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</sheetData>
  <mergeCells count="48">
    <mergeCell ref="A30:C30"/>
    <mergeCell ref="A31:C31"/>
    <mergeCell ref="A32:C32"/>
    <mergeCell ref="A33:C33"/>
    <mergeCell ref="A34:C34"/>
    <mergeCell ref="A29:C29"/>
    <mergeCell ref="A19:B19"/>
    <mergeCell ref="K19:L19"/>
    <mergeCell ref="H20:I20"/>
    <mergeCell ref="K20:L20"/>
    <mergeCell ref="A22:B22"/>
    <mergeCell ref="A23:C24"/>
    <mergeCell ref="D23:D24"/>
    <mergeCell ref="E23:E24"/>
    <mergeCell ref="F23:F24"/>
    <mergeCell ref="G23:G24"/>
    <mergeCell ref="H23:P23"/>
    <mergeCell ref="A25:C25"/>
    <mergeCell ref="A26:C26"/>
    <mergeCell ref="A27:C27"/>
    <mergeCell ref="A28:C28"/>
    <mergeCell ref="A14:C14"/>
    <mergeCell ref="D14:I14"/>
    <mergeCell ref="J14:O14"/>
    <mergeCell ref="N16:O16"/>
    <mergeCell ref="A18:B18"/>
    <mergeCell ref="H18:I18"/>
    <mergeCell ref="K18:L18"/>
    <mergeCell ref="A12:C12"/>
    <mergeCell ref="D12:I12"/>
    <mergeCell ref="J12:O12"/>
    <mergeCell ref="A13:C13"/>
    <mergeCell ref="D13:I13"/>
    <mergeCell ref="J13:O13"/>
    <mergeCell ref="D8:F8"/>
    <mergeCell ref="H8:J9"/>
    <mergeCell ref="K8:O9"/>
    <mergeCell ref="A11:C11"/>
    <mergeCell ref="D11:I11"/>
    <mergeCell ref="J11:O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9" orientation="landscape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R103"/>
  <sheetViews>
    <sheetView workbookViewId="0">
      <selection activeCell="A5" sqref="A5:C5"/>
    </sheetView>
  </sheetViews>
  <sheetFormatPr defaultColWidth="8.85546875" defaultRowHeight="12"/>
  <cols>
    <col min="1" max="1" width="11.28515625" style="211" customWidth="1"/>
    <col min="2" max="2" width="8.42578125" style="211" customWidth="1"/>
    <col min="3" max="3" width="8.5703125" style="211" customWidth="1"/>
    <col min="4" max="5" width="7.42578125" style="211" customWidth="1"/>
    <col min="6" max="6" width="9.7109375" style="211" customWidth="1"/>
    <col min="7" max="7" width="8.140625" style="211" customWidth="1"/>
    <col min="8" max="8" width="8.28515625" style="211" customWidth="1"/>
    <col min="9" max="9" width="8.85546875" style="211" customWidth="1"/>
    <col min="10" max="10" width="7.7109375" style="211" customWidth="1"/>
    <col min="11" max="11" width="9.28515625" style="211" customWidth="1"/>
    <col min="12" max="12" width="6.28515625" style="211" customWidth="1"/>
    <col min="13" max="13" width="7.42578125" style="211" customWidth="1"/>
    <col min="14" max="14" width="6.7109375" style="211" customWidth="1"/>
    <col min="15" max="15" width="8.28515625" style="211" customWidth="1"/>
    <col min="16" max="16" width="7.42578125" style="211" customWidth="1"/>
    <col min="17" max="17" width="8.28515625" style="211" customWidth="1"/>
    <col min="18" max="18" width="7.7109375" style="211" customWidth="1"/>
    <col min="19" max="256" width="8.85546875" style="211"/>
    <col min="257" max="257" width="11.28515625" style="211" customWidth="1"/>
    <col min="258" max="258" width="8.42578125" style="211" customWidth="1"/>
    <col min="259" max="259" width="8.5703125" style="211" customWidth="1"/>
    <col min="260" max="261" width="7.42578125" style="211" customWidth="1"/>
    <col min="262" max="262" width="9.7109375" style="211" customWidth="1"/>
    <col min="263" max="263" width="8.140625" style="211" customWidth="1"/>
    <col min="264" max="264" width="8.28515625" style="211" customWidth="1"/>
    <col min="265" max="265" width="8.85546875" style="211" customWidth="1"/>
    <col min="266" max="266" width="7.7109375" style="211" customWidth="1"/>
    <col min="267" max="267" width="9.28515625" style="211" customWidth="1"/>
    <col min="268" max="268" width="6.28515625" style="211" customWidth="1"/>
    <col min="269" max="269" width="7.42578125" style="211" customWidth="1"/>
    <col min="270" max="270" width="6.7109375" style="211" customWidth="1"/>
    <col min="271" max="271" width="8.28515625" style="211" customWidth="1"/>
    <col min="272" max="272" width="7.42578125" style="211" customWidth="1"/>
    <col min="273" max="273" width="8.28515625" style="211" customWidth="1"/>
    <col min="274" max="274" width="7.7109375" style="211" customWidth="1"/>
    <col min="275" max="512" width="8.85546875" style="211"/>
    <col min="513" max="513" width="11.28515625" style="211" customWidth="1"/>
    <col min="514" max="514" width="8.42578125" style="211" customWidth="1"/>
    <col min="515" max="515" width="8.5703125" style="211" customWidth="1"/>
    <col min="516" max="517" width="7.42578125" style="211" customWidth="1"/>
    <col min="518" max="518" width="9.7109375" style="211" customWidth="1"/>
    <col min="519" max="519" width="8.140625" style="211" customWidth="1"/>
    <col min="520" max="520" width="8.28515625" style="211" customWidth="1"/>
    <col min="521" max="521" width="8.85546875" style="211" customWidth="1"/>
    <col min="522" max="522" width="7.7109375" style="211" customWidth="1"/>
    <col min="523" max="523" width="9.28515625" style="211" customWidth="1"/>
    <col min="524" max="524" width="6.28515625" style="211" customWidth="1"/>
    <col min="525" max="525" width="7.42578125" style="211" customWidth="1"/>
    <col min="526" max="526" width="6.7109375" style="211" customWidth="1"/>
    <col min="527" max="527" width="8.28515625" style="211" customWidth="1"/>
    <col min="528" max="528" width="7.42578125" style="211" customWidth="1"/>
    <col min="529" max="529" width="8.28515625" style="211" customWidth="1"/>
    <col min="530" max="530" width="7.7109375" style="211" customWidth="1"/>
    <col min="531" max="768" width="8.85546875" style="211"/>
    <col min="769" max="769" width="11.28515625" style="211" customWidth="1"/>
    <col min="770" max="770" width="8.42578125" style="211" customWidth="1"/>
    <col min="771" max="771" width="8.5703125" style="211" customWidth="1"/>
    <col min="772" max="773" width="7.42578125" style="211" customWidth="1"/>
    <col min="774" max="774" width="9.7109375" style="211" customWidth="1"/>
    <col min="775" max="775" width="8.140625" style="211" customWidth="1"/>
    <col min="776" max="776" width="8.28515625" style="211" customWidth="1"/>
    <col min="777" max="777" width="8.85546875" style="211" customWidth="1"/>
    <col min="778" max="778" width="7.7109375" style="211" customWidth="1"/>
    <col min="779" max="779" width="9.28515625" style="211" customWidth="1"/>
    <col min="780" max="780" width="6.28515625" style="211" customWidth="1"/>
    <col min="781" max="781" width="7.42578125" style="211" customWidth="1"/>
    <col min="782" max="782" width="6.7109375" style="211" customWidth="1"/>
    <col min="783" max="783" width="8.28515625" style="211" customWidth="1"/>
    <col min="784" max="784" width="7.42578125" style="211" customWidth="1"/>
    <col min="785" max="785" width="8.28515625" style="211" customWidth="1"/>
    <col min="786" max="786" width="7.7109375" style="211" customWidth="1"/>
    <col min="787" max="1024" width="8.85546875" style="211"/>
    <col min="1025" max="1025" width="11.28515625" style="211" customWidth="1"/>
    <col min="1026" max="1026" width="8.42578125" style="211" customWidth="1"/>
    <col min="1027" max="1027" width="8.5703125" style="211" customWidth="1"/>
    <col min="1028" max="1029" width="7.42578125" style="211" customWidth="1"/>
    <col min="1030" max="1030" width="9.7109375" style="211" customWidth="1"/>
    <col min="1031" max="1031" width="8.140625" style="211" customWidth="1"/>
    <col min="1032" max="1032" width="8.28515625" style="211" customWidth="1"/>
    <col min="1033" max="1033" width="8.85546875" style="211" customWidth="1"/>
    <col min="1034" max="1034" width="7.7109375" style="211" customWidth="1"/>
    <col min="1035" max="1035" width="9.28515625" style="211" customWidth="1"/>
    <col min="1036" max="1036" width="6.28515625" style="211" customWidth="1"/>
    <col min="1037" max="1037" width="7.42578125" style="211" customWidth="1"/>
    <col min="1038" max="1038" width="6.7109375" style="211" customWidth="1"/>
    <col min="1039" max="1039" width="8.28515625" style="211" customWidth="1"/>
    <col min="1040" max="1040" width="7.42578125" style="211" customWidth="1"/>
    <col min="1041" max="1041" width="8.28515625" style="211" customWidth="1"/>
    <col min="1042" max="1042" width="7.7109375" style="211" customWidth="1"/>
    <col min="1043" max="1280" width="8.85546875" style="211"/>
    <col min="1281" max="1281" width="11.28515625" style="211" customWidth="1"/>
    <col min="1282" max="1282" width="8.42578125" style="211" customWidth="1"/>
    <col min="1283" max="1283" width="8.5703125" style="211" customWidth="1"/>
    <col min="1284" max="1285" width="7.42578125" style="211" customWidth="1"/>
    <col min="1286" max="1286" width="9.7109375" style="211" customWidth="1"/>
    <col min="1287" max="1287" width="8.140625" style="211" customWidth="1"/>
    <col min="1288" max="1288" width="8.28515625" style="211" customWidth="1"/>
    <col min="1289" max="1289" width="8.85546875" style="211" customWidth="1"/>
    <col min="1290" max="1290" width="7.7109375" style="211" customWidth="1"/>
    <col min="1291" max="1291" width="9.28515625" style="211" customWidth="1"/>
    <col min="1292" max="1292" width="6.28515625" style="211" customWidth="1"/>
    <col min="1293" max="1293" width="7.42578125" style="211" customWidth="1"/>
    <col min="1294" max="1294" width="6.7109375" style="211" customWidth="1"/>
    <col min="1295" max="1295" width="8.28515625" style="211" customWidth="1"/>
    <col min="1296" max="1296" width="7.42578125" style="211" customWidth="1"/>
    <col min="1297" max="1297" width="8.28515625" style="211" customWidth="1"/>
    <col min="1298" max="1298" width="7.7109375" style="211" customWidth="1"/>
    <col min="1299" max="1536" width="8.85546875" style="211"/>
    <col min="1537" max="1537" width="11.28515625" style="211" customWidth="1"/>
    <col min="1538" max="1538" width="8.42578125" style="211" customWidth="1"/>
    <col min="1539" max="1539" width="8.5703125" style="211" customWidth="1"/>
    <col min="1540" max="1541" width="7.42578125" style="211" customWidth="1"/>
    <col min="1542" max="1542" width="9.7109375" style="211" customWidth="1"/>
    <col min="1543" max="1543" width="8.140625" style="211" customWidth="1"/>
    <col min="1544" max="1544" width="8.28515625" style="211" customWidth="1"/>
    <col min="1545" max="1545" width="8.85546875" style="211" customWidth="1"/>
    <col min="1546" max="1546" width="7.7109375" style="211" customWidth="1"/>
    <col min="1547" max="1547" width="9.28515625" style="211" customWidth="1"/>
    <col min="1548" max="1548" width="6.28515625" style="211" customWidth="1"/>
    <col min="1549" max="1549" width="7.42578125" style="211" customWidth="1"/>
    <col min="1550" max="1550" width="6.7109375" style="211" customWidth="1"/>
    <col min="1551" max="1551" width="8.28515625" style="211" customWidth="1"/>
    <col min="1552" max="1552" width="7.42578125" style="211" customWidth="1"/>
    <col min="1553" max="1553" width="8.28515625" style="211" customWidth="1"/>
    <col min="1554" max="1554" width="7.7109375" style="211" customWidth="1"/>
    <col min="1555" max="1792" width="8.85546875" style="211"/>
    <col min="1793" max="1793" width="11.28515625" style="211" customWidth="1"/>
    <col min="1794" max="1794" width="8.42578125" style="211" customWidth="1"/>
    <col min="1795" max="1795" width="8.5703125" style="211" customWidth="1"/>
    <col min="1796" max="1797" width="7.42578125" style="211" customWidth="1"/>
    <col min="1798" max="1798" width="9.7109375" style="211" customWidth="1"/>
    <col min="1799" max="1799" width="8.140625" style="211" customWidth="1"/>
    <col min="1800" max="1800" width="8.28515625" style="211" customWidth="1"/>
    <col min="1801" max="1801" width="8.85546875" style="211" customWidth="1"/>
    <col min="1802" max="1802" width="7.7109375" style="211" customWidth="1"/>
    <col min="1803" max="1803" width="9.28515625" style="211" customWidth="1"/>
    <col min="1804" max="1804" width="6.28515625" style="211" customWidth="1"/>
    <col min="1805" max="1805" width="7.42578125" style="211" customWidth="1"/>
    <col min="1806" max="1806" width="6.7109375" style="211" customWidth="1"/>
    <col min="1807" max="1807" width="8.28515625" style="211" customWidth="1"/>
    <col min="1808" max="1808" width="7.42578125" style="211" customWidth="1"/>
    <col min="1809" max="1809" width="8.28515625" style="211" customWidth="1"/>
    <col min="1810" max="1810" width="7.7109375" style="211" customWidth="1"/>
    <col min="1811" max="2048" width="8.85546875" style="211"/>
    <col min="2049" max="2049" width="11.28515625" style="211" customWidth="1"/>
    <col min="2050" max="2050" width="8.42578125" style="211" customWidth="1"/>
    <col min="2051" max="2051" width="8.5703125" style="211" customWidth="1"/>
    <col min="2052" max="2053" width="7.42578125" style="211" customWidth="1"/>
    <col min="2054" max="2054" width="9.7109375" style="211" customWidth="1"/>
    <col min="2055" max="2055" width="8.140625" style="211" customWidth="1"/>
    <col min="2056" max="2056" width="8.28515625" style="211" customWidth="1"/>
    <col min="2057" max="2057" width="8.85546875" style="211" customWidth="1"/>
    <col min="2058" max="2058" width="7.7109375" style="211" customWidth="1"/>
    <col min="2059" max="2059" width="9.28515625" style="211" customWidth="1"/>
    <col min="2060" max="2060" width="6.28515625" style="211" customWidth="1"/>
    <col min="2061" max="2061" width="7.42578125" style="211" customWidth="1"/>
    <col min="2062" max="2062" width="6.7109375" style="211" customWidth="1"/>
    <col min="2063" max="2063" width="8.28515625" style="211" customWidth="1"/>
    <col min="2064" max="2064" width="7.42578125" style="211" customWidth="1"/>
    <col min="2065" max="2065" width="8.28515625" style="211" customWidth="1"/>
    <col min="2066" max="2066" width="7.7109375" style="211" customWidth="1"/>
    <col min="2067" max="2304" width="8.85546875" style="211"/>
    <col min="2305" max="2305" width="11.28515625" style="211" customWidth="1"/>
    <col min="2306" max="2306" width="8.42578125" style="211" customWidth="1"/>
    <col min="2307" max="2307" width="8.5703125" style="211" customWidth="1"/>
    <col min="2308" max="2309" width="7.42578125" style="211" customWidth="1"/>
    <col min="2310" max="2310" width="9.7109375" style="211" customWidth="1"/>
    <col min="2311" max="2311" width="8.140625" style="211" customWidth="1"/>
    <col min="2312" max="2312" width="8.28515625" style="211" customWidth="1"/>
    <col min="2313" max="2313" width="8.85546875" style="211" customWidth="1"/>
    <col min="2314" max="2314" width="7.7109375" style="211" customWidth="1"/>
    <col min="2315" max="2315" width="9.28515625" style="211" customWidth="1"/>
    <col min="2316" max="2316" width="6.28515625" style="211" customWidth="1"/>
    <col min="2317" max="2317" width="7.42578125" style="211" customWidth="1"/>
    <col min="2318" max="2318" width="6.7109375" style="211" customWidth="1"/>
    <col min="2319" max="2319" width="8.28515625" style="211" customWidth="1"/>
    <col min="2320" max="2320" width="7.42578125" style="211" customWidth="1"/>
    <col min="2321" max="2321" width="8.28515625" style="211" customWidth="1"/>
    <col min="2322" max="2322" width="7.7109375" style="211" customWidth="1"/>
    <col min="2323" max="2560" width="8.85546875" style="211"/>
    <col min="2561" max="2561" width="11.28515625" style="211" customWidth="1"/>
    <col min="2562" max="2562" width="8.42578125" style="211" customWidth="1"/>
    <col min="2563" max="2563" width="8.5703125" style="211" customWidth="1"/>
    <col min="2564" max="2565" width="7.42578125" style="211" customWidth="1"/>
    <col min="2566" max="2566" width="9.7109375" style="211" customWidth="1"/>
    <col min="2567" max="2567" width="8.140625" style="211" customWidth="1"/>
    <col min="2568" max="2568" width="8.28515625" style="211" customWidth="1"/>
    <col min="2569" max="2569" width="8.85546875" style="211" customWidth="1"/>
    <col min="2570" max="2570" width="7.7109375" style="211" customWidth="1"/>
    <col min="2571" max="2571" width="9.28515625" style="211" customWidth="1"/>
    <col min="2572" max="2572" width="6.28515625" style="211" customWidth="1"/>
    <col min="2573" max="2573" width="7.42578125" style="211" customWidth="1"/>
    <col min="2574" max="2574" width="6.7109375" style="211" customWidth="1"/>
    <col min="2575" max="2575" width="8.28515625" style="211" customWidth="1"/>
    <col min="2576" max="2576" width="7.42578125" style="211" customWidth="1"/>
    <col min="2577" max="2577" width="8.28515625" style="211" customWidth="1"/>
    <col min="2578" max="2578" width="7.7109375" style="211" customWidth="1"/>
    <col min="2579" max="2816" width="8.85546875" style="211"/>
    <col min="2817" max="2817" width="11.28515625" style="211" customWidth="1"/>
    <col min="2818" max="2818" width="8.42578125" style="211" customWidth="1"/>
    <col min="2819" max="2819" width="8.5703125" style="211" customWidth="1"/>
    <col min="2820" max="2821" width="7.42578125" style="211" customWidth="1"/>
    <col min="2822" max="2822" width="9.7109375" style="211" customWidth="1"/>
    <col min="2823" max="2823" width="8.140625" style="211" customWidth="1"/>
    <col min="2824" max="2824" width="8.28515625" style="211" customWidth="1"/>
    <col min="2825" max="2825" width="8.85546875" style="211" customWidth="1"/>
    <col min="2826" max="2826" width="7.7109375" style="211" customWidth="1"/>
    <col min="2827" max="2827" width="9.28515625" style="211" customWidth="1"/>
    <col min="2828" max="2828" width="6.28515625" style="211" customWidth="1"/>
    <col min="2829" max="2829" width="7.42578125" style="211" customWidth="1"/>
    <col min="2830" max="2830" width="6.7109375" style="211" customWidth="1"/>
    <col min="2831" max="2831" width="8.28515625" style="211" customWidth="1"/>
    <col min="2832" max="2832" width="7.42578125" style="211" customWidth="1"/>
    <col min="2833" max="2833" width="8.28515625" style="211" customWidth="1"/>
    <col min="2834" max="2834" width="7.7109375" style="211" customWidth="1"/>
    <col min="2835" max="3072" width="8.85546875" style="211"/>
    <col min="3073" max="3073" width="11.28515625" style="211" customWidth="1"/>
    <col min="3074" max="3074" width="8.42578125" style="211" customWidth="1"/>
    <col min="3075" max="3075" width="8.5703125" style="211" customWidth="1"/>
    <col min="3076" max="3077" width="7.42578125" style="211" customWidth="1"/>
    <col min="3078" max="3078" width="9.7109375" style="211" customWidth="1"/>
    <col min="3079" max="3079" width="8.140625" style="211" customWidth="1"/>
    <col min="3080" max="3080" width="8.28515625" style="211" customWidth="1"/>
    <col min="3081" max="3081" width="8.85546875" style="211" customWidth="1"/>
    <col min="3082" max="3082" width="7.7109375" style="211" customWidth="1"/>
    <col min="3083" max="3083" width="9.28515625" style="211" customWidth="1"/>
    <col min="3084" max="3084" width="6.28515625" style="211" customWidth="1"/>
    <col min="3085" max="3085" width="7.42578125" style="211" customWidth="1"/>
    <col min="3086" max="3086" width="6.7109375" style="211" customWidth="1"/>
    <col min="3087" max="3087" width="8.28515625" style="211" customWidth="1"/>
    <col min="3088" max="3088" width="7.42578125" style="211" customWidth="1"/>
    <col min="3089" max="3089" width="8.28515625" style="211" customWidth="1"/>
    <col min="3090" max="3090" width="7.7109375" style="211" customWidth="1"/>
    <col min="3091" max="3328" width="8.85546875" style="211"/>
    <col min="3329" max="3329" width="11.28515625" style="211" customWidth="1"/>
    <col min="3330" max="3330" width="8.42578125" style="211" customWidth="1"/>
    <col min="3331" max="3331" width="8.5703125" style="211" customWidth="1"/>
    <col min="3332" max="3333" width="7.42578125" style="211" customWidth="1"/>
    <col min="3334" max="3334" width="9.7109375" style="211" customWidth="1"/>
    <col min="3335" max="3335" width="8.140625" style="211" customWidth="1"/>
    <col min="3336" max="3336" width="8.28515625" style="211" customWidth="1"/>
    <col min="3337" max="3337" width="8.85546875" style="211" customWidth="1"/>
    <col min="3338" max="3338" width="7.7109375" style="211" customWidth="1"/>
    <col min="3339" max="3339" width="9.28515625" style="211" customWidth="1"/>
    <col min="3340" max="3340" width="6.28515625" style="211" customWidth="1"/>
    <col min="3341" max="3341" width="7.42578125" style="211" customWidth="1"/>
    <col min="3342" max="3342" width="6.7109375" style="211" customWidth="1"/>
    <col min="3343" max="3343" width="8.28515625" style="211" customWidth="1"/>
    <col min="3344" max="3344" width="7.42578125" style="211" customWidth="1"/>
    <col min="3345" max="3345" width="8.28515625" style="211" customWidth="1"/>
    <col min="3346" max="3346" width="7.7109375" style="211" customWidth="1"/>
    <col min="3347" max="3584" width="8.85546875" style="211"/>
    <col min="3585" max="3585" width="11.28515625" style="211" customWidth="1"/>
    <col min="3586" max="3586" width="8.42578125" style="211" customWidth="1"/>
    <col min="3587" max="3587" width="8.5703125" style="211" customWidth="1"/>
    <col min="3588" max="3589" width="7.42578125" style="211" customWidth="1"/>
    <col min="3590" max="3590" width="9.7109375" style="211" customWidth="1"/>
    <col min="3591" max="3591" width="8.140625" style="211" customWidth="1"/>
    <col min="3592" max="3592" width="8.28515625" style="211" customWidth="1"/>
    <col min="3593" max="3593" width="8.85546875" style="211" customWidth="1"/>
    <col min="3594" max="3594" width="7.7109375" style="211" customWidth="1"/>
    <col min="3595" max="3595" width="9.28515625" style="211" customWidth="1"/>
    <col min="3596" max="3596" width="6.28515625" style="211" customWidth="1"/>
    <col min="3597" max="3597" width="7.42578125" style="211" customWidth="1"/>
    <col min="3598" max="3598" width="6.7109375" style="211" customWidth="1"/>
    <col min="3599" max="3599" width="8.28515625" style="211" customWidth="1"/>
    <col min="3600" max="3600" width="7.42578125" style="211" customWidth="1"/>
    <col min="3601" max="3601" width="8.28515625" style="211" customWidth="1"/>
    <col min="3602" max="3602" width="7.7109375" style="211" customWidth="1"/>
    <col min="3603" max="3840" width="8.85546875" style="211"/>
    <col min="3841" max="3841" width="11.28515625" style="211" customWidth="1"/>
    <col min="3842" max="3842" width="8.42578125" style="211" customWidth="1"/>
    <col min="3843" max="3843" width="8.5703125" style="211" customWidth="1"/>
    <col min="3844" max="3845" width="7.42578125" style="211" customWidth="1"/>
    <col min="3846" max="3846" width="9.7109375" style="211" customWidth="1"/>
    <col min="3847" max="3847" width="8.140625" style="211" customWidth="1"/>
    <col min="3848" max="3848" width="8.28515625" style="211" customWidth="1"/>
    <col min="3849" max="3849" width="8.85546875" style="211" customWidth="1"/>
    <col min="3850" max="3850" width="7.7109375" style="211" customWidth="1"/>
    <col min="3851" max="3851" width="9.28515625" style="211" customWidth="1"/>
    <col min="3852" max="3852" width="6.28515625" style="211" customWidth="1"/>
    <col min="3853" max="3853" width="7.42578125" style="211" customWidth="1"/>
    <col min="3854" max="3854" width="6.7109375" style="211" customWidth="1"/>
    <col min="3855" max="3855" width="8.28515625" style="211" customWidth="1"/>
    <col min="3856" max="3856" width="7.42578125" style="211" customWidth="1"/>
    <col min="3857" max="3857" width="8.28515625" style="211" customWidth="1"/>
    <col min="3858" max="3858" width="7.7109375" style="211" customWidth="1"/>
    <col min="3859" max="4096" width="8.85546875" style="211"/>
    <col min="4097" max="4097" width="11.28515625" style="211" customWidth="1"/>
    <col min="4098" max="4098" width="8.42578125" style="211" customWidth="1"/>
    <col min="4099" max="4099" width="8.5703125" style="211" customWidth="1"/>
    <col min="4100" max="4101" width="7.42578125" style="211" customWidth="1"/>
    <col min="4102" max="4102" width="9.7109375" style="211" customWidth="1"/>
    <col min="4103" max="4103" width="8.140625" style="211" customWidth="1"/>
    <col min="4104" max="4104" width="8.28515625" style="211" customWidth="1"/>
    <col min="4105" max="4105" width="8.85546875" style="211" customWidth="1"/>
    <col min="4106" max="4106" width="7.7109375" style="211" customWidth="1"/>
    <col min="4107" max="4107" width="9.28515625" style="211" customWidth="1"/>
    <col min="4108" max="4108" width="6.28515625" style="211" customWidth="1"/>
    <col min="4109" max="4109" width="7.42578125" style="211" customWidth="1"/>
    <col min="4110" max="4110" width="6.7109375" style="211" customWidth="1"/>
    <col min="4111" max="4111" width="8.28515625" style="211" customWidth="1"/>
    <col min="4112" max="4112" width="7.42578125" style="211" customWidth="1"/>
    <col min="4113" max="4113" width="8.28515625" style="211" customWidth="1"/>
    <col min="4114" max="4114" width="7.7109375" style="211" customWidth="1"/>
    <col min="4115" max="4352" width="8.85546875" style="211"/>
    <col min="4353" max="4353" width="11.28515625" style="211" customWidth="1"/>
    <col min="4354" max="4354" width="8.42578125" style="211" customWidth="1"/>
    <col min="4355" max="4355" width="8.5703125" style="211" customWidth="1"/>
    <col min="4356" max="4357" width="7.42578125" style="211" customWidth="1"/>
    <col min="4358" max="4358" width="9.7109375" style="211" customWidth="1"/>
    <col min="4359" max="4359" width="8.140625" style="211" customWidth="1"/>
    <col min="4360" max="4360" width="8.28515625" style="211" customWidth="1"/>
    <col min="4361" max="4361" width="8.85546875" style="211" customWidth="1"/>
    <col min="4362" max="4362" width="7.7109375" style="211" customWidth="1"/>
    <col min="4363" max="4363" width="9.28515625" style="211" customWidth="1"/>
    <col min="4364" max="4364" width="6.28515625" style="211" customWidth="1"/>
    <col min="4365" max="4365" width="7.42578125" style="211" customWidth="1"/>
    <col min="4366" max="4366" width="6.7109375" style="211" customWidth="1"/>
    <col min="4367" max="4367" width="8.28515625" style="211" customWidth="1"/>
    <col min="4368" max="4368" width="7.42578125" style="211" customWidth="1"/>
    <col min="4369" max="4369" width="8.28515625" style="211" customWidth="1"/>
    <col min="4370" max="4370" width="7.7109375" style="211" customWidth="1"/>
    <col min="4371" max="4608" width="8.85546875" style="211"/>
    <col min="4609" max="4609" width="11.28515625" style="211" customWidth="1"/>
    <col min="4610" max="4610" width="8.42578125" style="211" customWidth="1"/>
    <col min="4611" max="4611" width="8.5703125" style="211" customWidth="1"/>
    <col min="4612" max="4613" width="7.42578125" style="211" customWidth="1"/>
    <col min="4614" max="4614" width="9.7109375" style="211" customWidth="1"/>
    <col min="4615" max="4615" width="8.140625" style="211" customWidth="1"/>
    <col min="4616" max="4616" width="8.28515625" style="211" customWidth="1"/>
    <col min="4617" max="4617" width="8.85546875" style="211" customWidth="1"/>
    <col min="4618" max="4618" width="7.7109375" style="211" customWidth="1"/>
    <col min="4619" max="4619" width="9.28515625" style="211" customWidth="1"/>
    <col min="4620" max="4620" width="6.28515625" style="211" customWidth="1"/>
    <col min="4621" max="4621" width="7.42578125" style="211" customWidth="1"/>
    <col min="4622" max="4622" width="6.7109375" style="211" customWidth="1"/>
    <col min="4623" max="4623" width="8.28515625" style="211" customWidth="1"/>
    <col min="4624" max="4624" width="7.42578125" style="211" customWidth="1"/>
    <col min="4625" max="4625" width="8.28515625" style="211" customWidth="1"/>
    <col min="4626" max="4626" width="7.7109375" style="211" customWidth="1"/>
    <col min="4627" max="4864" width="8.85546875" style="211"/>
    <col min="4865" max="4865" width="11.28515625" style="211" customWidth="1"/>
    <col min="4866" max="4866" width="8.42578125" style="211" customWidth="1"/>
    <col min="4867" max="4867" width="8.5703125" style="211" customWidth="1"/>
    <col min="4868" max="4869" width="7.42578125" style="211" customWidth="1"/>
    <col min="4870" max="4870" width="9.7109375" style="211" customWidth="1"/>
    <col min="4871" max="4871" width="8.140625" style="211" customWidth="1"/>
    <col min="4872" max="4872" width="8.28515625" style="211" customWidth="1"/>
    <col min="4873" max="4873" width="8.85546875" style="211" customWidth="1"/>
    <col min="4874" max="4874" width="7.7109375" style="211" customWidth="1"/>
    <col min="4875" max="4875" width="9.28515625" style="211" customWidth="1"/>
    <col min="4876" max="4876" width="6.28515625" style="211" customWidth="1"/>
    <col min="4877" max="4877" width="7.42578125" style="211" customWidth="1"/>
    <col min="4878" max="4878" width="6.7109375" style="211" customWidth="1"/>
    <col min="4879" max="4879" width="8.28515625" style="211" customWidth="1"/>
    <col min="4880" max="4880" width="7.42578125" style="211" customWidth="1"/>
    <col min="4881" max="4881" width="8.28515625" style="211" customWidth="1"/>
    <col min="4882" max="4882" width="7.7109375" style="211" customWidth="1"/>
    <col min="4883" max="5120" width="8.85546875" style="211"/>
    <col min="5121" max="5121" width="11.28515625" style="211" customWidth="1"/>
    <col min="5122" max="5122" width="8.42578125" style="211" customWidth="1"/>
    <col min="5123" max="5123" width="8.5703125" style="211" customWidth="1"/>
    <col min="5124" max="5125" width="7.42578125" style="211" customWidth="1"/>
    <col min="5126" max="5126" width="9.7109375" style="211" customWidth="1"/>
    <col min="5127" max="5127" width="8.140625" style="211" customWidth="1"/>
    <col min="5128" max="5128" width="8.28515625" style="211" customWidth="1"/>
    <col min="5129" max="5129" width="8.85546875" style="211" customWidth="1"/>
    <col min="5130" max="5130" width="7.7109375" style="211" customWidth="1"/>
    <col min="5131" max="5131" width="9.28515625" style="211" customWidth="1"/>
    <col min="5132" max="5132" width="6.28515625" style="211" customWidth="1"/>
    <col min="5133" max="5133" width="7.42578125" style="211" customWidth="1"/>
    <col min="5134" max="5134" width="6.7109375" style="211" customWidth="1"/>
    <col min="5135" max="5135" width="8.28515625" style="211" customWidth="1"/>
    <col min="5136" max="5136" width="7.42578125" style="211" customWidth="1"/>
    <col min="5137" max="5137" width="8.28515625" style="211" customWidth="1"/>
    <col min="5138" max="5138" width="7.7109375" style="211" customWidth="1"/>
    <col min="5139" max="5376" width="8.85546875" style="211"/>
    <col min="5377" max="5377" width="11.28515625" style="211" customWidth="1"/>
    <col min="5378" max="5378" width="8.42578125" style="211" customWidth="1"/>
    <col min="5379" max="5379" width="8.5703125" style="211" customWidth="1"/>
    <col min="5380" max="5381" width="7.42578125" style="211" customWidth="1"/>
    <col min="5382" max="5382" width="9.7109375" style="211" customWidth="1"/>
    <col min="5383" max="5383" width="8.140625" style="211" customWidth="1"/>
    <col min="5384" max="5384" width="8.28515625" style="211" customWidth="1"/>
    <col min="5385" max="5385" width="8.85546875" style="211" customWidth="1"/>
    <col min="5386" max="5386" width="7.7109375" style="211" customWidth="1"/>
    <col min="5387" max="5387" width="9.28515625" style="211" customWidth="1"/>
    <col min="5388" max="5388" width="6.28515625" style="211" customWidth="1"/>
    <col min="5389" max="5389" width="7.42578125" style="211" customWidth="1"/>
    <col min="5390" max="5390" width="6.7109375" style="211" customWidth="1"/>
    <col min="5391" max="5391" width="8.28515625" style="211" customWidth="1"/>
    <col min="5392" max="5392" width="7.42578125" style="211" customWidth="1"/>
    <col min="5393" max="5393" width="8.28515625" style="211" customWidth="1"/>
    <col min="5394" max="5394" width="7.7109375" style="211" customWidth="1"/>
    <col min="5395" max="5632" width="8.85546875" style="211"/>
    <col min="5633" max="5633" width="11.28515625" style="211" customWidth="1"/>
    <col min="5634" max="5634" width="8.42578125" style="211" customWidth="1"/>
    <col min="5635" max="5635" width="8.5703125" style="211" customWidth="1"/>
    <col min="5636" max="5637" width="7.42578125" style="211" customWidth="1"/>
    <col min="5638" max="5638" width="9.7109375" style="211" customWidth="1"/>
    <col min="5639" max="5639" width="8.140625" style="211" customWidth="1"/>
    <col min="5640" max="5640" width="8.28515625" style="211" customWidth="1"/>
    <col min="5641" max="5641" width="8.85546875" style="211" customWidth="1"/>
    <col min="5642" max="5642" width="7.7109375" style="211" customWidth="1"/>
    <col min="5643" max="5643" width="9.28515625" style="211" customWidth="1"/>
    <col min="5644" max="5644" width="6.28515625" style="211" customWidth="1"/>
    <col min="5645" max="5645" width="7.42578125" style="211" customWidth="1"/>
    <col min="5646" max="5646" width="6.7109375" style="211" customWidth="1"/>
    <col min="5647" max="5647" width="8.28515625" style="211" customWidth="1"/>
    <col min="5648" max="5648" width="7.42578125" style="211" customWidth="1"/>
    <col min="5649" max="5649" width="8.28515625" style="211" customWidth="1"/>
    <col min="5650" max="5650" width="7.7109375" style="211" customWidth="1"/>
    <col min="5651" max="5888" width="8.85546875" style="211"/>
    <col min="5889" max="5889" width="11.28515625" style="211" customWidth="1"/>
    <col min="5890" max="5890" width="8.42578125" style="211" customWidth="1"/>
    <col min="5891" max="5891" width="8.5703125" style="211" customWidth="1"/>
    <col min="5892" max="5893" width="7.42578125" style="211" customWidth="1"/>
    <col min="5894" max="5894" width="9.7109375" style="211" customWidth="1"/>
    <col min="5895" max="5895" width="8.140625" style="211" customWidth="1"/>
    <col min="5896" max="5896" width="8.28515625" style="211" customWidth="1"/>
    <col min="5897" max="5897" width="8.85546875" style="211" customWidth="1"/>
    <col min="5898" max="5898" width="7.7109375" style="211" customWidth="1"/>
    <col min="5899" max="5899" width="9.28515625" style="211" customWidth="1"/>
    <col min="5900" max="5900" width="6.28515625" style="211" customWidth="1"/>
    <col min="5901" max="5901" width="7.42578125" style="211" customWidth="1"/>
    <col min="5902" max="5902" width="6.7109375" style="211" customWidth="1"/>
    <col min="5903" max="5903" width="8.28515625" style="211" customWidth="1"/>
    <col min="5904" max="5904" width="7.42578125" style="211" customWidth="1"/>
    <col min="5905" max="5905" width="8.28515625" style="211" customWidth="1"/>
    <col min="5906" max="5906" width="7.7109375" style="211" customWidth="1"/>
    <col min="5907" max="6144" width="8.85546875" style="211"/>
    <col min="6145" max="6145" width="11.28515625" style="211" customWidth="1"/>
    <col min="6146" max="6146" width="8.42578125" style="211" customWidth="1"/>
    <col min="6147" max="6147" width="8.5703125" style="211" customWidth="1"/>
    <col min="6148" max="6149" width="7.42578125" style="211" customWidth="1"/>
    <col min="6150" max="6150" width="9.7109375" style="211" customWidth="1"/>
    <col min="6151" max="6151" width="8.140625" style="211" customWidth="1"/>
    <col min="6152" max="6152" width="8.28515625" style="211" customWidth="1"/>
    <col min="6153" max="6153" width="8.85546875" style="211" customWidth="1"/>
    <col min="6154" max="6154" width="7.7109375" style="211" customWidth="1"/>
    <col min="6155" max="6155" width="9.28515625" style="211" customWidth="1"/>
    <col min="6156" max="6156" width="6.28515625" style="211" customWidth="1"/>
    <col min="6157" max="6157" width="7.42578125" style="211" customWidth="1"/>
    <col min="6158" max="6158" width="6.7109375" style="211" customWidth="1"/>
    <col min="6159" max="6159" width="8.28515625" style="211" customWidth="1"/>
    <col min="6160" max="6160" width="7.42578125" style="211" customWidth="1"/>
    <col min="6161" max="6161" width="8.28515625" style="211" customWidth="1"/>
    <col min="6162" max="6162" width="7.7109375" style="211" customWidth="1"/>
    <col min="6163" max="6400" width="8.85546875" style="211"/>
    <col min="6401" max="6401" width="11.28515625" style="211" customWidth="1"/>
    <col min="6402" max="6402" width="8.42578125" style="211" customWidth="1"/>
    <col min="6403" max="6403" width="8.5703125" style="211" customWidth="1"/>
    <col min="6404" max="6405" width="7.42578125" style="211" customWidth="1"/>
    <col min="6406" max="6406" width="9.7109375" style="211" customWidth="1"/>
    <col min="6407" max="6407" width="8.140625" style="211" customWidth="1"/>
    <col min="6408" max="6408" width="8.28515625" style="211" customWidth="1"/>
    <col min="6409" max="6409" width="8.85546875" style="211" customWidth="1"/>
    <col min="6410" max="6410" width="7.7109375" style="211" customWidth="1"/>
    <col min="6411" max="6411" width="9.28515625" style="211" customWidth="1"/>
    <col min="6412" max="6412" width="6.28515625" style="211" customWidth="1"/>
    <col min="6413" max="6413" width="7.42578125" style="211" customWidth="1"/>
    <col min="6414" max="6414" width="6.7109375" style="211" customWidth="1"/>
    <col min="6415" max="6415" width="8.28515625" style="211" customWidth="1"/>
    <col min="6416" max="6416" width="7.42578125" style="211" customWidth="1"/>
    <col min="6417" max="6417" width="8.28515625" style="211" customWidth="1"/>
    <col min="6418" max="6418" width="7.7109375" style="211" customWidth="1"/>
    <col min="6419" max="6656" width="8.85546875" style="211"/>
    <col min="6657" max="6657" width="11.28515625" style="211" customWidth="1"/>
    <col min="6658" max="6658" width="8.42578125" style="211" customWidth="1"/>
    <col min="6659" max="6659" width="8.5703125" style="211" customWidth="1"/>
    <col min="6660" max="6661" width="7.42578125" style="211" customWidth="1"/>
    <col min="6662" max="6662" width="9.7109375" style="211" customWidth="1"/>
    <col min="6663" max="6663" width="8.140625" style="211" customWidth="1"/>
    <col min="6664" max="6664" width="8.28515625" style="211" customWidth="1"/>
    <col min="6665" max="6665" width="8.85546875" style="211" customWidth="1"/>
    <col min="6666" max="6666" width="7.7109375" style="211" customWidth="1"/>
    <col min="6667" max="6667" width="9.28515625" style="211" customWidth="1"/>
    <col min="6668" max="6668" width="6.28515625" style="211" customWidth="1"/>
    <col min="6669" max="6669" width="7.42578125" style="211" customWidth="1"/>
    <col min="6670" max="6670" width="6.7109375" style="211" customWidth="1"/>
    <col min="6671" max="6671" width="8.28515625" style="211" customWidth="1"/>
    <col min="6672" max="6672" width="7.42578125" style="211" customWidth="1"/>
    <col min="6673" max="6673" width="8.28515625" style="211" customWidth="1"/>
    <col min="6674" max="6674" width="7.7109375" style="211" customWidth="1"/>
    <col min="6675" max="6912" width="8.85546875" style="211"/>
    <col min="6913" max="6913" width="11.28515625" style="211" customWidth="1"/>
    <col min="6914" max="6914" width="8.42578125" style="211" customWidth="1"/>
    <col min="6915" max="6915" width="8.5703125" style="211" customWidth="1"/>
    <col min="6916" max="6917" width="7.42578125" style="211" customWidth="1"/>
    <col min="6918" max="6918" width="9.7109375" style="211" customWidth="1"/>
    <col min="6919" max="6919" width="8.140625" style="211" customWidth="1"/>
    <col min="6920" max="6920" width="8.28515625" style="211" customWidth="1"/>
    <col min="6921" max="6921" width="8.85546875" style="211" customWidth="1"/>
    <col min="6922" max="6922" width="7.7109375" style="211" customWidth="1"/>
    <col min="6923" max="6923" width="9.28515625" style="211" customWidth="1"/>
    <col min="6924" max="6924" width="6.28515625" style="211" customWidth="1"/>
    <col min="6925" max="6925" width="7.42578125" style="211" customWidth="1"/>
    <col min="6926" max="6926" width="6.7109375" style="211" customWidth="1"/>
    <col min="6927" max="6927" width="8.28515625" style="211" customWidth="1"/>
    <col min="6928" max="6928" width="7.42578125" style="211" customWidth="1"/>
    <col min="6929" max="6929" width="8.28515625" style="211" customWidth="1"/>
    <col min="6930" max="6930" width="7.7109375" style="211" customWidth="1"/>
    <col min="6931" max="7168" width="8.85546875" style="211"/>
    <col min="7169" max="7169" width="11.28515625" style="211" customWidth="1"/>
    <col min="7170" max="7170" width="8.42578125" style="211" customWidth="1"/>
    <col min="7171" max="7171" width="8.5703125" style="211" customWidth="1"/>
    <col min="7172" max="7173" width="7.42578125" style="211" customWidth="1"/>
    <col min="7174" max="7174" width="9.7109375" style="211" customWidth="1"/>
    <col min="7175" max="7175" width="8.140625" style="211" customWidth="1"/>
    <col min="7176" max="7176" width="8.28515625" style="211" customWidth="1"/>
    <col min="7177" max="7177" width="8.85546875" style="211" customWidth="1"/>
    <col min="7178" max="7178" width="7.7109375" style="211" customWidth="1"/>
    <col min="7179" max="7179" width="9.28515625" style="211" customWidth="1"/>
    <col min="7180" max="7180" width="6.28515625" style="211" customWidth="1"/>
    <col min="7181" max="7181" width="7.42578125" style="211" customWidth="1"/>
    <col min="7182" max="7182" width="6.7109375" style="211" customWidth="1"/>
    <col min="7183" max="7183" width="8.28515625" style="211" customWidth="1"/>
    <col min="7184" max="7184" width="7.42578125" style="211" customWidth="1"/>
    <col min="7185" max="7185" width="8.28515625" style="211" customWidth="1"/>
    <col min="7186" max="7186" width="7.7109375" style="211" customWidth="1"/>
    <col min="7187" max="7424" width="8.85546875" style="211"/>
    <col min="7425" max="7425" width="11.28515625" style="211" customWidth="1"/>
    <col min="7426" max="7426" width="8.42578125" style="211" customWidth="1"/>
    <col min="7427" max="7427" width="8.5703125" style="211" customWidth="1"/>
    <col min="7428" max="7429" width="7.42578125" style="211" customWidth="1"/>
    <col min="7430" max="7430" width="9.7109375" style="211" customWidth="1"/>
    <col min="7431" max="7431" width="8.140625" style="211" customWidth="1"/>
    <col min="7432" max="7432" width="8.28515625" style="211" customWidth="1"/>
    <col min="7433" max="7433" width="8.85546875" style="211" customWidth="1"/>
    <col min="7434" max="7434" width="7.7109375" style="211" customWidth="1"/>
    <col min="7435" max="7435" width="9.28515625" style="211" customWidth="1"/>
    <col min="7436" max="7436" width="6.28515625" style="211" customWidth="1"/>
    <col min="7437" max="7437" width="7.42578125" style="211" customWidth="1"/>
    <col min="7438" max="7438" width="6.7109375" style="211" customWidth="1"/>
    <col min="7439" max="7439" width="8.28515625" style="211" customWidth="1"/>
    <col min="7440" max="7440" width="7.42578125" style="211" customWidth="1"/>
    <col min="7441" max="7441" width="8.28515625" style="211" customWidth="1"/>
    <col min="7442" max="7442" width="7.7109375" style="211" customWidth="1"/>
    <col min="7443" max="7680" width="8.85546875" style="211"/>
    <col min="7681" max="7681" width="11.28515625" style="211" customWidth="1"/>
    <col min="7682" max="7682" width="8.42578125" style="211" customWidth="1"/>
    <col min="7683" max="7683" width="8.5703125" style="211" customWidth="1"/>
    <col min="7684" max="7685" width="7.42578125" style="211" customWidth="1"/>
    <col min="7686" max="7686" width="9.7109375" style="211" customWidth="1"/>
    <col min="7687" max="7687" width="8.140625" style="211" customWidth="1"/>
    <col min="7688" max="7688" width="8.28515625" style="211" customWidth="1"/>
    <col min="7689" max="7689" width="8.85546875" style="211" customWidth="1"/>
    <col min="7690" max="7690" width="7.7109375" style="211" customWidth="1"/>
    <col min="7691" max="7691" width="9.28515625" style="211" customWidth="1"/>
    <col min="7692" max="7692" width="6.28515625" style="211" customWidth="1"/>
    <col min="7693" max="7693" width="7.42578125" style="211" customWidth="1"/>
    <col min="7694" max="7694" width="6.7109375" style="211" customWidth="1"/>
    <col min="7695" max="7695" width="8.28515625" style="211" customWidth="1"/>
    <col min="7696" max="7696" width="7.42578125" style="211" customWidth="1"/>
    <col min="7697" max="7697" width="8.28515625" style="211" customWidth="1"/>
    <col min="7698" max="7698" width="7.7109375" style="211" customWidth="1"/>
    <col min="7699" max="7936" width="8.85546875" style="211"/>
    <col min="7937" max="7937" width="11.28515625" style="211" customWidth="1"/>
    <col min="7938" max="7938" width="8.42578125" style="211" customWidth="1"/>
    <col min="7939" max="7939" width="8.5703125" style="211" customWidth="1"/>
    <col min="7940" max="7941" width="7.42578125" style="211" customWidth="1"/>
    <col min="7942" max="7942" width="9.7109375" style="211" customWidth="1"/>
    <col min="7943" max="7943" width="8.140625" style="211" customWidth="1"/>
    <col min="7944" max="7944" width="8.28515625" style="211" customWidth="1"/>
    <col min="7945" max="7945" width="8.85546875" style="211" customWidth="1"/>
    <col min="7946" max="7946" width="7.7109375" style="211" customWidth="1"/>
    <col min="7947" max="7947" width="9.28515625" style="211" customWidth="1"/>
    <col min="7948" max="7948" width="6.28515625" style="211" customWidth="1"/>
    <col min="7949" max="7949" width="7.42578125" style="211" customWidth="1"/>
    <col min="7950" max="7950" width="6.7109375" style="211" customWidth="1"/>
    <col min="7951" max="7951" width="8.28515625" style="211" customWidth="1"/>
    <col min="7952" max="7952" width="7.42578125" style="211" customWidth="1"/>
    <col min="7953" max="7953" width="8.28515625" style="211" customWidth="1"/>
    <col min="7954" max="7954" width="7.7109375" style="211" customWidth="1"/>
    <col min="7955" max="8192" width="8.85546875" style="211"/>
    <col min="8193" max="8193" width="11.28515625" style="211" customWidth="1"/>
    <col min="8194" max="8194" width="8.42578125" style="211" customWidth="1"/>
    <col min="8195" max="8195" width="8.5703125" style="211" customWidth="1"/>
    <col min="8196" max="8197" width="7.42578125" style="211" customWidth="1"/>
    <col min="8198" max="8198" width="9.7109375" style="211" customWidth="1"/>
    <col min="8199" max="8199" width="8.140625" style="211" customWidth="1"/>
    <col min="8200" max="8200" width="8.28515625" style="211" customWidth="1"/>
    <col min="8201" max="8201" width="8.85546875" style="211" customWidth="1"/>
    <col min="8202" max="8202" width="7.7109375" style="211" customWidth="1"/>
    <col min="8203" max="8203" width="9.28515625" style="211" customWidth="1"/>
    <col min="8204" max="8204" width="6.28515625" style="211" customWidth="1"/>
    <col min="8205" max="8205" width="7.42578125" style="211" customWidth="1"/>
    <col min="8206" max="8206" width="6.7109375" style="211" customWidth="1"/>
    <col min="8207" max="8207" width="8.28515625" style="211" customWidth="1"/>
    <col min="8208" max="8208" width="7.42578125" style="211" customWidth="1"/>
    <col min="8209" max="8209" width="8.28515625" style="211" customWidth="1"/>
    <col min="8210" max="8210" width="7.7109375" style="211" customWidth="1"/>
    <col min="8211" max="8448" width="8.85546875" style="211"/>
    <col min="8449" max="8449" width="11.28515625" style="211" customWidth="1"/>
    <col min="8450" max="8450" width="8.42578125" style="211" customWidth="1"/>
    <col min="8451" max="8451" width="8.5703125" style="211" customWidth="1"/>
    <col min="8452" max="8453" width="7.42578125" style="211" customWidth="1"/>
    <col min="8454" max="8454" width="9.7109375" style="211" customWidth="1"/>
    <col min="8455" max="8455" width="8.140625" style="211" customWidth="1"/>
    <col min="8456" max="8456" width="8.28515625" style="211" customWidth="1"/>
    <col min="8457" max="8457" width="8.85546875" style="211" customWidth="1"/>
    <col min="8458" max="8458" width="7.7109375" style="211" customWidth="1"/>
    <col min="8459" max="8459" width="9.28515625" style="211" customWidth="1"/>
    <col min="8460" max="8460" width="6.28515625" style="211" customWidth="1"/>
    <col min="8461" max="8461" width="7.42578125" style="211" customWidth="1"/>
    <col min="8462" max="8462" width="6.7109375" style="211" customWidth="1"/>
    <col min="8463" max="8463" width="8.28515625" style="211" customWidth="1"/>
    <col min="8464" max="8464" width="7.42578125" style="211" customWidth="1"/>
    <col min="8465" max="8465" width="8.28515625" style="211" customWidth="1"/>
    <col min="8466" max="8466" width="7.7109375" style="211" customWidth="1"/>
    <col min="8467" max="8704" width="8.85546875" style="211"/>
    <col min="8705" max="8705" width="11.28515625" style="211" customWidth="1"/>
    <col min="8706" max="8706" width="8.42578125" style="211" customWidth="1"/>
    <col min="8707" max="8707" width="8.5703125" style="211" customWidth="1"/>
    <col min="8708" max="8709" width="7.42578125" style="211" customWidth="1"/>
    <col min="8710" max="8710" width="9.7109375" style="211" customWidth="1"/>
    <col min="8711" max="8711" width="8.140625" style="211" customWidth="1"/>
    <col min="8712" max="8712" width="8.28515625" style="211" customWidth="1"/>
    <col min="8713" max="8713" width="8.85546875" style="211" customWidth="1"/>
    <col min="8714" max="8714" width="7.7109375" style="211" customWidth="1"/>
    <col min="8715" max="8715" width="9.28515625" style="211" customWidth="1"/>
    <col min="8716" max="8716" width="6.28515625" style="211" customWidth="1"/>
    <col min="8717" max="8717" width="7.42578125" style="211" customWidth="1"/>
    <col min="8718" max="8718" width="6.7109375" style="211" customWidth="1"/>
    <col min="8719" max="8719" width="8.28515625" style="211" customWidth="1"/>
    <col min="8720" max="8720" width="7.42578125" style="211" customWidth="1"/>
    <col min="8721" max="8721" width="8.28515625" style="211" customWidth="1"/>
    <col min="8722" max="8722" width="7.7109375" style="211" customWidth="1"/>
    <col min="8723" max="8960" width="8.85546875" style="211"/>
    <col min="8961" max="8961" width="11.28515625" style="211" customWidth="1"/>
    <col min="8962" max="8962" width="8.42578125" style="211" customWidth="1"/>
    <col min="8963" max="8963" width="8.5703125" style="211" customWidth="1"/>
    <col min="8964" max="8965" width="7.42578125" style="211" customWidth="1"/>
    <col min="8966" max="8966" width="9.7109375" style="211" customWidth="1"/>
    <col min="8967" max="8967" width="8.140625" style="211" customWidth="1"/>
    <col min="8968" max="8968" width="8.28515625" style="211" customWidth="1"/>
    <col min="8969" max="8969" width="8.85546875" style="211" customWidth="1"/>
    <col min="8970" max="8970" width="7.7109375" style="211" customWidth="1"/>
    <col min="8971" max="8971" width="9.28515625" style="211" customWidth="1"/>
    <col min="8972" max="8972" width="6.28515625" style="211" customWidth="1"/>
    <col min="8973" max="8973" width="7.42578125" style="211" customWidth="1"/>
    <col min="8974" max="8974" width="6.7109375" style="211" customWidth="1"/>
    <col min="8975" max="8975" width="8.28515625" style="211" customWidth="1"/>
    <col min="8976" max="8976" width="7.42578125" style="211" customWidth="1"/>
    <col min="8977" max="8977" width="8.28515625" style="211" customWidth="1"/>
    <col min="8978" max="8978" width="7.7109375" style="211" customWidth="1"/>
    <col min="8979" max="9216" width="8.85546875" style="211"/>
    <col min="9217" max="9217" width="11.28515625" style="211" customWidth="1"/>
    <col min="9218" max="9218" width="8.42578125" style="211" customWidth="1"/>
    <col min="9219" max="9219" width="8.5703125" style="211" customWidth="1"/>
    <col min="9220" max="9221" width="7.42578125" style="211" customWidth="1"/>
    <col min="9222" max="9222" width="9.7109375" style="211" customWidth="1"/>
    <col min="9223" max="9223" width="8.140625" style="211" customWidth="1"/>
    <col min="9224" max="9224" width="8.28515625" style="211" customWidth="1"/>
    <col min="9225" max="9225" width="8.85546875" style="211" customWidth="1"/>
    <col min="9226" max="9226" width="7.7109375" style="211" customWidth="1"/>
    <col min="9227" max="9227" width="9.28515625" style="211" customWidth="1"/>
    <col min="9228" max="9228" width="6.28515625" style="211" customWidth="1"/>
    <col min="9229" max="9229" width="7.42578125" style="211" customWidth="1"/>
    <col min="9230" max="9230" width="6.7109375" style="211" customWidth="1"/>
    <col min="9231" max="9231" width="8.28515625" style="211" customWidth="1"/>
    <col min="9232" max="9232" width="7.42578125" style="211" customWidth="1"/>
    <col min="9233" max="9233" width="8.28515625" style="211" customWidth="1"/>
    <col min="9234" max="9234" width="7.7109375" style="211" customWidth="1"/>
    <col min="9235" max="9472" width="8.85546875" style="211"/>
    <col min="9473" max="9473" width="11.28515625" style="211" customWidth="1"/>
    <col min="9474" max="9474" width="8.42578125" style="211" customWidth="1"/>
    <col min="9475" max="9475" width="8.5703125" style="211" customWidth="1"/>
    <col min="9476" max="9477" width="7.42578125" style="211" customWidth="1"/>
    <col min="9478" max="9478" width="9.7109375" style="211" customWidth="1"/>
    <col min="9479" max="9479" width="8.140625" style="211" customWidth="1"/>
    <col min="9480" max="9480" width="8.28515625" style="211" customWidth="1"/>
    <col min="9481" max="9481" width="8.85546875" style="211" customWidth="1"/>
    <col min="9482" max="9482" width="7.7109375" style="211" customWidth="1"/>
    <col min="9483" max="9483" width="9.28515625" style="211" customWidth="1"/>
    <col min="9484" max="9484" width="6.28515625" style="211" customWidth="1"/>
    <col min="9485" max="9485" width="7.42578125" style="211" customWidth="1"/>
    <col min="9486" max="9486" width="6.7109375" style="211" customWidth="1"/>
    <col min="9487" max="9487" width="8.28515625" style="211" customWidth="1"/>
    <col min="9488" max="9488" width="7.42578125" style="211" customWidth="1"/>
    <col min="9489" max="9489" width="8.28515625" style="211" customWidth="1"/>
    <col min="9490" max="9490" width="7.7109375" style="211" customWidth="1"/>
    <col min="9491" max="9728" width="8.85546875" style="211"/>
    <col min="9729" max="9729" width="11.28515625" style="211" customWidth="1"/>
    <col min="9730" max="9730" width="8.42578125" style="211" customWidth="1"/>
    <col min="9731" max="9731" width="8.5703125" style="211" customWidth="1"/>
    <col min="9732" max="9733" width="7.42578125" style="211" customWidth="1"/>
    <col min="9734" max="9734" width="9.7109375" style="211" customWidth="1"/>
    <col min="9735" max="9735" width="8.140625" style="211" customWidth="1"/>
    <col min="9736" max="9736" width="8.28515625" style="211" customWidth="1"/>
    <col min="9737" max="9737" width="8.85546875" style="211" customWidth="1"/>
    <col min="9738" max="9738" width="7.7109375" style="211" customWidth="1"/>
    <col min="9739" max="9739" width="9.28515625" style="211" customWidth="1"/>
    <col min="9740" max="9740" width="6.28515625" style="211" customWidth="1"/>
    <col min="9741" max="9741" width="7.42578125" style="211" customWidth="1"/>
    <col min="9742" max="9742" width="6.7109375" style="211" customWidth="1"/>
    <col min="9743" max="9743" width="8.28515625" style="211" customWidth="1"/>
    <col min="9744" max="9744" width="7.42578125" style="211" customWidth="1"/>
    <col min="9745" max="9745" width="8.28515625" style="211" customWidth="1"/>
    <col min="9746" max="9746" width="7.7109375" style="211" customWidth="1"/>
    <col min="9747" max="9984" width="8.85546875" style="211"/>
    <col min="9985" max="9985" width="11.28515625" style="211" customWidth="1"/>
    <col min="9986" max="9986" width="8.42578125" style="211" customWidth="1"/>
    <col min="9987" max="9987" width="8.5703125" style="211" customWidth="1"/>
    <col min="9988" max="9989" width="7.42578125" style="211" customWidth="1"/>
    <col min="9990" max="9990" width="9.7109375" style="211" customWidth="1"/>
    <col min="9991" max="9991" width="8.140625" style="211" customWidth="1"/>
    <col min="9992" max="9992" width="8.28515625" style="211" customWidth="1"/>
    <col min="9993" max="9993" width="8.85546875" style="211" customWidth="1"/>
    <col min="9994" max="9994" width="7.7109375" style="211" customWidth="1"/>
    <col min="9995" max="9995" width="9.28515625" style="211" customWidth="1"/>
    <col min="9996" max="9996" width="6.28515625" style="211" customWidth="1"/>
    <col min="9997" max="9997" width="7.42578125" style="211" customWidth="1"/>
    <col min="9998" max="9998" width="6.7109375" style="211" customWidth="1"/>
    <col min="9999" max="9999" width="8.28515625" style="211" customWidth="1"/>
    <col min="10000" max="10000" width="7.42578125" style="211" customWidth="1"/>
    <col min="10001" max="10001" width="8.28515625" style="211" customWidth="1"/>
    <col min="10002" max="10002" width="7.7109375" style="211" customWidth="1"/>
    <col min="10003" max="10240" width="8.85546875" style="211"/>
    <col min="10241" max="10241" width="11.28515625" style="211" customWidth="1"/>
    <col min="10242" max="10242" width="8.42578125" style="211" customWidth="1"/>
    <col min="10243" max="10243" width="8.5703125" style="211" customWidth="1"/>
    <col min="10244" max="10245" width="7.42578125" style="211" customWidth="1"/>
    <col min="10246" max="10246" width="9.7109375" style="211" customWidth="1"/>
    <col min="10247" max="10247" width="8.140625" style="211" customWidth="1"/>
    <col min="10248" max="10248" width="8.28515625" style="211" customWidth="1"/>
    <col min="10249" max="10249" width="8.85546875" style="211" customWidth="1"/>
    <col min="10250" max="10250" width="7.7109375" style="211" customWidth="1"/>
    <col min="10251" max="10251" width="9.28515625" style="211" customWidth="1"/>
    <col min="10252" max="10252" width="6.28515625" style="211" customWidth="1"/>
    <col min="10253" max="10253" width="7.42578125" style="211" customWidth="1"/>
    <col min="10254" max="10254" width="6.7109375" style="211" customWidth="1"/>
    <col min="10255" max="10255" width="8.28515625" style="211" customWidth="1"/>
    <col min="10256" max="10256" width="7.42578125" style="211" customWidth="1"/>
    <col min="10257" max="10257" width="8.28515625" style="211" customWidth="1"/>
    <col min="10258" max="10258" width="7.7109375" style="211" customWidth="1"/>
    <col min="10259" max="10496" width="8.85546875" style="211"/>
    <col min="10497" max="10497" width="11.28515625" style="211" customWidth="1"/>
    <col min="10498" max="10498" width="8.42578125" style="211" customWidth="1"/>
    <col min="10499" max="10499" width="8.5703125" style="211" customWidth="1"/>
    <col min="10500" max="10501" width="7.42578125" style="211" customWidth="1"/>
    <col min="10502" max="10502" width="9.7109375" style="211" customWidth="1"/>
    <col min="10503" max="10503" width="8.140625" style="211" customWidth="1"/>
    <col min="10504" max="10504" width="8.28515625" style="211" customWidth="1"/>
    <col min="10505" max="10505" width="8.85546875" style="211" customWidth="1"/>
    <col min="10506" max="10506" width="7.7109375" style="211" customWidth="1"/>
    <col min="10507" max="10507" width="9.28515625" style="211" customWidth="1"/>
    <col min="10508" max="10508" width="6.28515625" style="211" customWidth="1"/>
    <col min="10509" max="10509" width="7.42578125" style="211" customWidth="1"/>
    <col min="10510" max="10510" width="6.7109375" style="211" customWidth="1"/>
    <col min="10511" max="10511" width="8.28515625" style="211" customWidth="1"/>
    <col min="10512" max="10512" width="7.42578125" style="211" customWidth="1"/>
    <col min="10513" max="10513" width="8.28515625" style="211" customWidth="1"/>
    <col min="10514" max="10514" width="7.7109375" style="211" customWidth="1"/>
    <col min="10515" max="10752" width="8.85546875" style="211"/>
    <col min="10753" max="10753" width="11.28515625" style="211" customWidth="1"/>
    <col min="10754" max="10754" width="8.42578125" style="211" customWidth="1"/>
    <col min="10755" max="10755" width="8.5703125" style="211" customWidth="1"/>
    <col min="10756" max="10757" width="7.42578125" style="211" customWidth="1"/>
    <col min="10758" max="10758" width="9.7109375" style="211" customWidth="1"/>
    <col min="10759" max="10759" width="8.140625" style="211" customWidth="1"/>
    <col min="10760" max="10760" width="8.28515625" style="211" customWidth="1"/>
    <col min="10761" max="10761" width="8.85546875" style="211" customWidth="1"/>
    <col min="10762" max="10762" width="7.7109375" style="211" customWidth="1"/>
    <col min="10763" max="10763" width="9.28515625" style="211" customWidth="1"/>
    <col min="10764" max="10764" width="6.28515625" style="211" customWidth="1"/>
    <col min="10765" max="10765" width="7.42578125" style="211" customWidth="1"/>
    <col min="10766" max="10766" width="6.7109375" style="211" customWidth="1"/>
    <col min="10767" max="10767" width="8.28515625" style="211" customWidth="1"/>
    <col min="10768" max="10768" width="7.42578125" style="211" customWidth="1"/>
    <col min="10769" max="10769" width="8.28515625" style="211" customWidth="1"/>
    <col min="10770" max="10770" width="7.7109375" style="211" customWidth="1"/>
    <col min="10771" max="11008" width="8.85546875" style="211"/>
    <col min="11009" max="11009" width="11.28515625" style="211" customWidth="1"/>
    <col min="11010" max="11010" width="8.42578125" style="211" customWidth="1"/>
    <col min="11011" max="11011" width="8.5703125" style="211" customWidth="1"/>
    <col min="11012" max="11013" width="7.42578125" style="211" customWidth="1"/>
    <col min="11014" max="11014" width="9.7109375" style="211" customWidth="1"/>
    <col min="11015" max="11015" width="8.140625" style="211" customWidth="1"/>
    <col min="11016" max="11016" width="8.28515625" style="211" customWidth="1"/>
    <col min="11017" max="11017" width="8.85546875" style="211" customWidth="1"/>
    <col min="11018" max="11018" width="7.7109375" style="211" customWidth="1"/>
    <col min="11019" max="11019" width="9.28515625" style="211" customWidth="1"/>
    <col min="11020" max="11020" width="6.28515625" style="211" customWidth="1"/>
    <col min="11021" max="11021" width="7.42578125" style="211" customWidth="1"/>
    <col min="11022" max="11022" width="6.7109375" style="211" customWidth="1"/>
    <col min="11023" max="11023" width="8.28515625" style="211" customWidth="1"/>
    <col min="11024" max="11024" width="7.42578125" style="211" customWidth="1"/>
    <col min="11025" max="11025" width="8.28515625" style="211" customWidth="1"/>
    <col min="11026" max="11026" width="7.7109375" style="211" customWidth="1"/>
    <col min="11027" max="11264" width="8.85546875" style="211"/>
    <col min="11265" max="11265" width="11.28515625" style="211" customWidth="1"/>
    <col min="11266" max="11266" width="8.42578125" style="211" customWidth="1"/>
    <col min="11267" max="11267" width="8.5703125" style="211" customWidth="1"/>
    <col min="11268" max="11269" width="7.42578125" style="211" customWidth="1"/>
    <col min="11270" max="11270" width="9.7109375" style="211" customWidth="1"/>
    <col min="11271" max="11271" width="8.140625" style="211" customWidth="1"/>
    <col min="11272" max="11272" width="8.28515625" style="211" customWidth="1"/>
    <col min="11273" max="11273" width="8.85546875" style="211" customWidth="1"/>
    <col min="11274" max="11274" width="7.7109375" style="211" customWidth="1"/>
    <col min="11275" max="11275" width="9.28515625" style="211" customWidth="1"/>
    <col min="11276" max="11276" width="6.28515625" style="211" customWidth="1"/>
    <col min="11277" max="11277" width="7.42578125" style="211" customWidth="1"/>
    <col min="11278" max="11278" width="6.7109375" style="211" customWidth="1"/>
    <col min="11279" max="11279" width="8.28515625" style="211" customWidth="1"/>
    <col min="11280" max="11280" width="7.42578125" style="211" customWidth="1"/>
    <col min="11281" max="11281" width="8.28515625" style="211" customWidth="1"/>
    <col min="11282" max="11282" width="7.7109375" style="211" customWidth="1"/>
    <col min="11283" max="11520" width="8.85546875" style="211"/>
    <col min="11521" max="11521" width="11.28515625" style="211" customWidth="1"/>
    <col min="11522" max="11522" width="8.42578125" style="211" customWidth="1"/>
    <col min="11523" max="11523" width="8.5703125" style="211" customWidth="1"/>
    <col min="11524" max="11525" width="7.42578125" style="211" customWidth="1"/>
    <col min="11526" max="11526" width="9.7109375" style="211" customWidth="1"/>
    <col min="11527" max="11527" width="8.140625" style="211" customWidth="1"/>
    <col min="11528" max="11528" width="8.28515625" style="211" customWidth="1"/>
    <col min="11529" max="11529" width="8.85546875" style="211" customWidth="1"/>
    <col min="11530" max="11530" width="7.7109375" style="211" customWidth="1"/>
    <col min="11531" max="11531" width="9.28515625" style="211" customWidth="1"/>
    <col min="11532" max="11532" width="6.28515625" style="211" customWidth="1"/>
    <col min="11533" max="11533" width="7.42578125" style="211" customWidth="1"/>
    <col min="11534" max="11534" width="6.7109375" style="211" customWidth="1"/>
    <col min="11535" max="11535" width="8.28515625" style="211" customWidth="1"/>
    <col min="11536" max="11536" width="7.42578125" style="211" customWidth="1"/>
    <col min="11537" max="11537" width="8.28515625" style="211" customWidth="1"/>
    <col min="11538" max="11538" width="7.7109375" style="211" customWidth="1"/>
    <col min="11539" max="11776" width="8.85546875" style="211"/>
    <col min="11777" max="11777" width="11.28515625" style="211" customWidth="1"/>
    <col min="11778" max="11778" width="8.42578125" style="211" customWidth="1"/>
    <col min="11779" max="11779" width="8.5703125" style="211" customWidth="1"/>
    <col min="11780" max="11781" width="7.42578125" style="211" customWidth="1"/>
    <col min="11782" max="11782" width="9.7109375" style="211" customWidth="1"/>
    <col min="11783" max="11783" width="8.140625" style="211" customWidth="1"/>
    <col min="11784" max="11784" width="8.28515625" style="211" customWidth="1"/>
    <col min="11785" max="11785" width="8.85546875" style="211" customWidth="1"/>
    <col min="11786" max="11786" width="7.7109375" style="211" customWidth="1"/>
    <col min="11787" max="11787" width="9.28515625" style="211" customWidth="1"/>
    <col min="11788" max="11788" width="6.28515625" style="211" customWidth="1"/>
    <col min="11789" max="11789" width="7.42578125" style="211" customWidth="1"/>
    <col min="11790" max="11790" width="6.7109375" style="211" customWidth="1"/>
    <col min="11791" max="11791" width="8.28515625" style="211" customWidth="1"/>
    <col min="11792" max="11792" width="7.42578125" style="211" customWidth="1"/>
    <col min="11793" max="11793" width="8.28515625" style="211" customWidth="1"/>
    <col min="11794" max="11794" width="7.7109375" style="211" customWidth="1"/>
    <col min="11795" max="12032" width="8.85546875" style="211"/>
    <col min="12033" max="12033" width="11.28515625" style="211" customWidth="1"/>
    <col min="12034" max="12034" width="8.42578125" style="211" customWidth="1"/>
    <col min="12035" max="12035" width="8.5703125" style="211" customWidth="1"/>
    <col min="12036" max="12037" width="7.42578125" style="211" customWidth="1"/>
    <col min="12038" max="12038" width="9.7109375" style="211" customWidth="1"/>
    <col min="12039" max="12039" width="8.140625" style="211" customWidth="1"/>
    <col min="12040" max="12040" width="8.28515625" style="211" customWidth="1"/>
    <col min="12041" max="12041" width="8.85546875" style="211" customWidth="1"/>
    <col min="12042" max="12042" width="7.7109375" style="211" customWidth="1"/>
    <col min="12043" max="12043" width="9.28515625" style="211" customWidth="1"/>
    <col min="12044" max="12044" width="6.28515625" style="211" customWidth="1"/>
    <col min="12045" max="12045" width="7.42578125" style="211" customWidth="1"/>
    <col min="12046" max="12046" width="6.7109375" style="211" customWidth="1"/>
    <col min="12047" max="12047" width="8.28515625" style="211" customWidth="1"/>
    <col min="12048" max="12048" width="7.42578125" style="211" customWidth="1"/>
    <col min="12049" max="12049" width="8.28515625" style="211" customWidth="1"/>
    <col min="12050" max="12050" width="7.7109375" style="211" customWidth="1"/>
    <col min="12051" max="12288" width="8.85546875" style="211"/>
    <col min="12289" max="12289" width="11.28515625" style="211" customWidth="1"/>
    <col min="12290" max="12290" width="8.42578125" style="211" customWidth="1"/>
    <col min="12291" max="12291" width="8.5703125" style="211" customWidth="1"/>
    <col min="12292" max="12293" width="7.42578125" style="211" customWidth="1"/>
    <col min="12294" max="12294" width="9.7109375" style="211" customWidth="1"/>
    <col min="12295" max="12295" width="8.140625" style="211" customWidth="1"/>
    <col min="12296" max="12296" width="8.28515625" style="211" customWidth="1"/>
    <col min="12297" max="12297" width="8.85546875" style="211" customWidth="1"/>
    <col min="12298" max="12298" width="7.7109375" style="211" customWidth="1"/>
    <col min="12299" max="12299" width="9.28515625" style="211" customWidth="1"/>
    <col min="12300" max="12300" width="6.28515625" style="211" customWidth="1"/>
    <col min="12301" max="12301" width="7.42578125" style="211" customWidth="1"/>
    <col min="12302" max="12302" width="6.7109375" style="211" customWidth="1"/>
    <col min="12303" max="12303" width="8.28515625" style="211" customWidth="1"/>
    <col min="12304" max="12304" width="7.42578125" style="211" customWidth="1"/>
    <col min="12305" max="12305" width="8.28515625" style="211" customWidth="1"/>
    <col min="12306" max="12306" width="7.7109375" style="211" customWidth="1"/>
    <col min="12307" max="12544" width="8.85546875" style="211"/>
    <col min="12545" max="12545" width="11.28515625" style="211" customWidth="1"/>
    <col min="12546" max="12546" width="8.42578125" style="211" customWidth="1"/>
    <col min="12547" max="12547" width="8.5703125" style="211" customWidth="1"/>
    <col min="12548" max="12549" width="7.42578125" style="211" customWidth="1"/>
    <col min="12550" max="12550" width="9.7109375" style="211" customWidth="1"/>
    <col min="12551" max="12551" width="8.140625" style="211" customWidth="1"/>
    <col min="12552" max="12552" width="8.28515625" style="211" customWidth="1"/>
    <col min="12553" max="12553" width="8.85546875" style="211" customWidth="1"/>
    <col min="12554" max="12554" width="7.7109375" style="211" customWidth="1"/>
    <col min="12555" max="12555" width="9.28515625" style="211" customWidth="1"/>
    <col min="12556" max="12556" width="6.28515625" style="211" customWidth="1"/>
    <col min="12557" max="12557" width="7.42578125" style="211" customWidth="1"/>
    <col min="12558" max="12558" width="6.7109375" style="211" customWidth="1"/>
    <col min="12559" max="12559" width="8.28515625" style="211" customWidth="1"/>
    <col min="12560" max="12560" width="7.42578125" style="211" customWidth="1"/>
    <col min="12561" max="12561" width="8.28515625" style="211" customWidth="1"/>
    <col min="12562" max="12562" width="7.7109375" style="211" customWidth="1"/>
    <col min="12563" max="12800" width="8.85546875" style="211"/>
    <col min="12801" max="12801" width="11.28515625" style="211" customWidth="1"/>
    <col min="12802" max="12802" width="8.42578125" style="211" customWidth="1"/>
    <col min="12803" max="12803" width="8.5703125" style="211" customWidth="1"/>
    <col min="12804" max="12805" width="7.42578125" style="211" customWidth="1"/>
    <col min="12806" max="12806" width="9.7109375" style="211" customWidth="1"/>
    <col min="12807" max="12807" width="8.140625" style="211" customWidth="1"/>
    <col min="12808" max="12808" width="8.28515625" style="211" customWidth="1"/>
    <col min="12809" max="12809" width="8.85546875" style="211" customWidth="1"/>
    <col min="12810" max="12810" width="7.7109375" style="211" customWidth="1"/>
    <col min="12811" max="12811" width="9.28515625" style="211" customWidth="1"/>
    <col min="12812" max="12812" width="6.28515625" style="211" customWidth="1"/>
    <col min="12813" max="12813" width="7.42578125" style="211" customWidth="1"/>
    <col min="12814" max="12814" width="6.7109375" style="211" customWidth="1"/>
    <col min="12815" max="12815" width="8.28515625" style="211" customWidth="1"/>
    <col min="12816" max="12816" width="7.42578125" style="211" customWidth="1"/>
    <col min="12817" max="12817" width="8.28515625" style="211" customWidth="1"/>
    <col min="12818" max="12818" width="7.7109375" style="211" customWidth="1"/>
    <col min="12819" max="13056" width="8.85546875" style="211"/>
    <col min="13057" max="13057" width="11.28515625" style="211" customWidth="1"/>
    <col min="13058" max="13058" width="8.42578125" style="211" customWidth="1"/>
    <col min="13059" max="13059" width="8.5703125" style="211" customWidth="1"/>
    <col min="13060" max="13061" width="7.42578125" style="211" customWidth="1"/>
    <col min="13062" max="13062" width="9.7109375" style="211" customWidth="1"/>
    <col min="13063" max="13063" width="8.140625" style="211" customWidth="1"/>
    <col min="13064" max="13064" width="8.28515625" style="211" customWidth="1"/>
    <col min="13065" max="13065" width="8.85546875" style="211" customWidth="1"/>
    <col min="13066" max="13066" width="7.7109375" style="211" customWidth="1"/>
    <col min="13067" max="13067" width="9.28515625" style="211" customWidth="1"/>
    <col min="13068" max="13068" width="6.28515625" style="211" customWidth="1"/>
    <col min="13069" max="13069" width="7.42578125" style="211" customWidth="1"/>
    <col min="13070" max="13070" width="6.7109375" style="211" customWidth="1"/>
    <col min="13071" max="13071" width="8.28515625" style="211" customWidth="1"/>
    <col min="13072" max="13072" width="7.42578125" style="211" customWidth="1"/>
    <col min="13073" max="13073" width="8.28515625" style="211" customWidth="1"/>
    <col min="13074" max="13074" width="7.7109375" style="211" customWidth="1"/>
    <col min="13075" max="13312" width="8.85546875" style="211"/>
    <col min="13313" max="13313" width="11.28515625" style="211" customWidth="1"/>
    <col min="13314" max="13314" width="8.42578125" style="211" customWidth="1"/>
    <col min="13315" max="13315" width="8.5703125" style="211" customWidth="1"/>
    <col min="13316" max="13317" width="7.42578125" style="211" customWidth="1"/>
    <col min="13318" max="13318" width="9.7109375" style="211" customWidth="1"/>
    <col min="13319" max="13319" width="8.140625" style="211" customWidth="1"/>
    <col min="13320" max="13320" width="8.28515625" style="211" customWidth="1"/>
    <col min="13321" max="13321" width="8.85546875" style="211" customWidth="1"/>
    <col min="13322" max="13322" width="7.7109375" style="211" customWidth="1"/>
    <col min="13323" max="13323" width="9.28515625" style="211" customWidth="1"/>
    <col min="13324" max="13324" width="6.28515625" style="211" customWidth="1"/>
    <col min="13325" max="13325" width="7.42578125" style="211" customWidth="1"/>
    <col min="13326" max="13326" width="6.7109375" style="211" customWidth="1"/>
    <col min="13327" max="13327" width="8.28515625" style="211" customWidth="1"/>
    <col min="13328" max="13328" width="7.42578125" style="211" customWidth="1"/>
    <col min="13329" max="13329" width="8.28515625" style="211" customWidth="1"/>
    <col min="13330" max="13330" width="7.7109375" style="211" customWidth="1"/>
    <col min="13331" max="13568" width="8.85546875" style="211"/>
    <col min="13569" max="13569" width="11.28515625" style="211" customWidth="1"/>
    <col min="13570" max="13570" width="8.42578125" style="211" customWidth="1"/>
    <col min="13571" max="13571" width="8.5703125" style="211" customWidth="1"/>
    <col min="13572" max="13573" width="7.42578125" style="211" customWidth="1"/>
    <col min="13574" max="13574" width="9.7109375" style="211" customWidth="1"/>
    <col min="13575" max="13575" width="8.140625" style="211" customWidth="1"/>
    <col min="13576" max="13576" width="8.28515625" style="211" customWidth="1"/>
    <col min="13577" max="13577" width="8.85546875" style="211" customWidth="1"/>
    <col min="13578" max="13578" width="7.7109375" style="211" customWidth="1"/>
    <col min="13579" max="13579" width="9.28515625" style="211" customWidth="1"/>
    <col min="13580" max="13580" width="6.28515625" style="211" customWidth="1"/>
    <col min="13581" max="13581" width="7.42578125" style="211" customWidth="1"/>
    <col min="13582" max="13582" width="6.7109375" style="211" customWidth="1"/>
    <col min="13583" max="13583" width="8.28515625" style="211" customWidth="1"/>
    <col min="13584" max="13584" width="7.42578125" style="211" customWidth="1"/>
    <col min="13585" max="13585" width="8.28515625" style="211" customWidth="1"/>
    <col min="13586" max="13586" width="7.7109375" style="211" customWidth="1"/>
    <col min="13587" max="13824" width="8.85546875" style="211"/>
    <col min="13825" max="13825" width="11.28515625" style="211" customWidth="1"/>
    <col min="13826" max="13826" width="8.42578125" style="211" customWidth="1"/>
    <col min="13827" max="13827" width="8.5703125" style="211" customWidth="1"/>
    <col min="13828" max="13829" width="7.42578125" style="211" customWidth="1"/>
    <col min="13830" max="13830" width="9.7109375" style="211" customWidth="1"/>
    <col min="13831" max="13831" width="8.140625" style="211" customWidth="1"/>
    <col min="13832" max="13832" width="8.28515625" style="211" customWidth="1"/>
    <col min="13833" max="13833" width="8.85546875" style="211" customWidth="1"/>
    <col min="13834" max="13834" width="7.7109375" style="211" customWidth="1"/>
    <col min="13835" max="13835" width="9.28515625" style="211" customWidth="1"/>
    <col min="13836" max="13836" width="6.28515625" style="211" customWidth="1"/>
    <col min="13837" max="13837" width="7.42578125" style="211" customWidth="1"/>
    <col min="13838" max="13838" width="6.7109375" style="211" customWidth="1"/>
    <col min="13839" max="13839" width="8.28515625" style="211" customWidth="1"/>
    <col min="13840" max="13840" width="7.42578125" style="211" customWidth="1"/>
    <col min="13841" max="13841" width="8.28515625" style="211" customWidth="1"/>
    <col min="13842" max="13842" width="7.7109375" style="211" customWidth="1"/>
    <col min="13843" max="14080" width="8.85546875" style="211"/>
    <col min="14081" max="14081" width="11.28515625" style="211" customWidth="1"/>
    <col min="14082" max="14082" width="8.42578125" style="211" customWidth="1"/>
    <col min="14083" max="14083" width="8.5703125" style="211" customWidth="1"/>
    <col min="14084" max="14085" width="7.42578125" style="211" customWidth="1"/>
    <col min="14086" max="14086" width="9.7109375" style="211" customWidth="1"/>
    <col min="14087" max="14087" width="8.140625" style="211" customWidth="1"/>
    <col min="14088" max="14088" width="8.28515625" style="211" customWidth="1"/>
    <col min="14089" max="14089" width="8.85546875" style="211" customWidth="1"/>
    <col min="14090" max="14090" width="7.7109375" style="211" customWidth="1"/>
    <col min="14091" max="14091" width="9.28515625" style="211" customWidth="1"/>
    <col min="14092" max="14092" width="6.28515625" style="211" customWidth="1"/>
    <col min="14093" max="14093" width="7.42578125" style="211" customWidth="1"/>
    <col min="14094" max="14094" width="6.7109375" style="211" customWidth="1"/>
    <col min="14095" max="14095" width="8.28515625" style="211" customWidth="1"/>
    <col min="14096" max="14096" width="7.42578125" style="211" customWidth="1"/>
    <col min="14097" max="14097" width="8.28515625" style="211" customWidth="1"/>
    <col min="14098" max="14098" width="7.7109375" style="211" customWidth="1"/>
    <col min="14099" max="14336" width="8.85546875" style="211"/>
    <col min="14337" max="14337" width="11.28515625" style="211" customWidth="1"/>
    <col min="14338" max="14338" width="8.42578125" style="211" customWidth="1"/>
    <col min="14339" max="14339" width="8.5703125" style="211" customWidth="1"/>
    <col min="14340" max="14341" width="7.42578125" style="211" customWidth="1"/>
    <col min="14342" max="14342" width="9.7109375" style="211" customWidth="1"/>
    <col min="14343" max="14343" width="8.140625" style="211" customWidth="1"/>
    <col min="14344" max="14344" width="8.28515625" style="211" customWidth="1"/>
    <col min="14345" max="14345" width="8.85546875" style="211" customWidth="1"/>
    <col min="14346" max="14346" width="7.7109375" style="211" customWidth="1"/>
    <col min="14347" max="14347" width="9.28515625" style="211" customWidth="1"/>
    <col min="14348" max="14348" width="6.28515625" style="211" customWidth="1"/>
    <col min="14349" max="14349" width="7.42578125" style="211" customWidth="1"/>
    <col min="14350" max="14350" width="6.7109375" style="211" customWidth="1"/>
    <col min="14351" max="14351" width="8.28515625" style="211" customWidth="1"/>
    <col min="14352" max="14352" width="7.42578125" style="211" customWidth="1"/>
    <col min="14353" max="14353" width="8.28515625" style="211" customWidth="1"/>
    <col min="14354" max="14354" width="7.7109375" style="211" customWidth="1"/>
    <col min="14355" max="14592" width="8.85546875" style="211"/>
    <col min="14593" max="14593" width="11.28515625" style="211" customWidth="1"/>
    <col min="14594" max="14594" width="8.42578125" style="211" customWidth="1"/>
    <col min="14595" max="14595" width="8.5703125" style="211" customWidth="1"/>
    <col min="14596" max="14597" width="7.42578125" style="211" customWidth="1"/>
    <col min="14598" max="14598" width="9.7109375" style="211" customWidth="1"/>
    <col min="14599" max="14599" width="8.140625" style="211" customWidth="1"/>
    <col min="14600" max="14600" width="8.28515625" style="211" customWidth="1"/>
    <col min="14601" max="14601" width="8.85546875" style="211" customWidth="1"/>
    <col min="14602" max="14602" width="7.7109375" style="211" customWidth="1"/>
    <col min="14603" max="14603" width="9.28515625" style="211" customWidth="1"/>
    <col min="14604" max="14604" width="6.28515625" style="211" customWidth="1"/>
    <col min="14605" max="14605" width="7.42578125" style="211" customWidth="1"/>
    <col min="14606" max="14606" width="6.7109375" style="211" customWidth="1"/>
    <col min="14607" max="14607" width="8.28515625" style="211" customWidth="1"/>
    <col min="14608" max="14608" width="7.42578125" style="211" customWidth="1"/>
    <col min="14609" max="14609" width="8.28515625" style="211" customWidth="1"/>
    <col min="14610" max="14610" width="7.7109375" style="211" customWidth="1"/>
    <col min="14611" max="14848" width="8.85546875" style="211"/>
    <col min="14849" max="14849" width="11.28515625" style="211" customWidth="1"/>
    <col min="14850" max="14850" width="8.42578125" style="211" customWidth="1"/>
    <col min="14851" max="14851" width="8.5703125" style="211" customWidth="1"/>
    <col min="14852" max="14853" width="7.42578125" style="211" customWidth="1"/>
    <col min="14854" max="14854" width="9.7109375" style="211" customWidth="1"/>
    <col min="14855" max="14855" width="8.140625" style="211" customWidth="1"/>
    <col min="14856" max="14856" width="8.28515625" style="211" customWidth="1"/>
    <col min="14857" max="14857" width="8.85546875" style="211" customWidth="1"/>
    <col min="14858" max="14858" width="7.7109375" style="211" customWidth="1"/>
    <col min="14859" max="14859" width="9.28515625" style="211" customWidth="1"/>
    <col min="14860" max="14860" width="6.28515625" style="211" customWidth="1"/>
    <col min="14861" max="14861" width="7.42578125" style="211" customWidth="1"/>
    <col min="14862" max="14862" width="6.7109375" style="211" customWidth="1"/>
    <col min="14863" max="14863" width="8.28515625" style="211" customWidth="1"/>
    <col min="14864" max="14864" width="7.42578125" style="211" customWidth="1"/>
    <col min="14865" max="14865" width="8.28515625" style="211" customWidth="1"/>
    <col min="14866" max="14866" width="7.7109375" style="211" customWidth="1"/>
    <col min="14867" max="15104" width="8.85546875" style="211"/>
    <col min="15105" max="15105" width="11.28515625" style="211" customWidth="1"/>
    <col min="15106" max="15106" width="8.42578125" style="211" customWidth="1"/>
    <col min="15107" max="15107" width="8.5703125" style="211" customWidth="1"/>
    <col min="15108" max="15109" width="7.42578125" style="211" customWidth="1"/>
    <col min="15110" max="15110" width="9.7109375" style="211" customWidth="1"/>
    <col min="15111" max="15111" width="8.140625" style="211" customWidth="1"/>
    <col min="15112" max="15112" width="8.28515625" style="211" customWidth="1"/>
    <col min="15113" max="15113" width="8.85546875" style="211" customWidth="1"/>
    <col min="15114" max="15114" width="7.7109375" style="211" customWidth="1"/>
    <col min="15115" max="15115" width="9.28515625" style="211" customWidth="1"/>
    <col min="15116" max="15116" width="6.28515625" style="211" customWidth="1"/>
    <col min="15117" max="15117" width="7.42578125" style="211" customWidth="1"/>
    <col min="15118" max="15118" width="6.7109375" style="211" customWidth="1"/>
    <col min="15119" max="15119" width="8.28515625" style="211" customWidth="1"/>
    <col min="15120" max="15120" width="7.42578125" style="211" customWidth="1"/>
    <col min="15121" max="15121" width="8.28515625" style="211" customWidth="1"/>
    <col min="15122" max="15122" width="7.7109375" style="211" customWidth="1"/>
    <col min="15123" max="15360" width="8.85546875" style="211"/>
    <col min="15361" max="15361" width="11.28515625" style="211" customWidth="1"/>
    <col min="15362" max="15362" width="8.42578125" style="211" customWidth="1"/>
    <col min="15363" max="15363" width="8.5703125" style="211" customWidth="1"/>
    <col min="15364" max="15365" width="7.42578125" style="211" customWidth="1"/>
    <col min="15366" max="15366" width="9.7109375" style="211" customWidth="1"/>
    <col min="15367" max="15367" width="8.140625" style="211" customWidth="1"/>
    <col min="15368" max="15368" width="8.28515625" style="211" customWidth="1"/>
    <col min="15369" max="15369" width="8.85546875" style="211" customWidth="1"/>
    <col min="15370" max="15370" width="7.7109375" style="211" customWidth="1"/>
    <col min="15371" max="15371" width="9.28515625" style="211" customWidth="1"/>
    <col min="15372" max="15372" width="6.28515625" style="211" customWidth="1"/>
    <col min="15373" max="15373" width="7.42578125" style="211" customWidth="1"/>
    <col min="15374" max="15374" width="6.7109375" style="211" customWidth="1"/>
    <col min="15375" max="15375" width="8.28515625" style="211" customWidth="1"/>
    <col min="15376" max="15376" width="7.42578125" style="211" customWidth="1"/>
    <col min="15377" max="15377" width="8.28515625" style="211" customWidth="1"/>
    <col min="15378" max="15378" width="7.7109375" style="211" customWidth="1"/>
    <col min="15379" max="15616" width="8.85546875" style="211"/>
    <col min="15617" max="15617" width="11.28515625" style="211" customWidth="1"/>
    <col min="15618" max="15618" width="8.42578125" style="211" customWidth="1"/>
    <col min="15619" max="15619" width="8.5703125" style="211" customWidth="1"/>
    <col min="15620" max="15621" width="7.42578125" style="211" customWidth="1"/>
    <col min="15622" max="15622" width="9.7109375" style="211" customWidth="1"/>
    <col min="15623" max="15623" width="8.140625" style="211" customWidth="1"/>
    <col min="15624" max="15624" width="8.28515625" style="211" customWidth="1"/>
    <col min="15625" max="15625" width="8.85546875" style="211" customWidth="1"/>
    <col min="15626" max="15626" width="7.7109375" style="211" customWidth="1"/>
    <col min="15627" max="15627" width="9.28515625" style="211" customWidth="1"/>
    <col min="15628" max="15628" width="6.28515625" style="211" customWidth="1"/>
    <col min="15629" max="15629" width="7.42578125" style="211" customWidth="1"/>
    <col min="15630" max="15630" width="6.7109375" style="211" customWidth="1"/>
    <col min="15631" max="15631" width="8.28515625" style="211" customWidth="1"/>
    <col min="15632" max="15632" width="7.42578125" style="211" customWidth="1"/>
    <col min="15633" max="15633" width="8.28515625" style="211" customWidth="1"/>
    <col min="15634" max="15634" width="7.7109375" style="211" customWidth="1"/>
    <col min="15635" max="15872" width="8.85546875" style="211"/>
    <col min="15873" max="15873" width="11.28515625" style="211" customWidth="1"/>
    <col min="15874" max="15874" width="8.42578125" style="211" customWidth="1"/>
    <col min="15875" max="15875" width="8.5703125" style="211" customWidth="1"/>
    <col min="15876" max="15877" width="7.42578125" style="211" customWidth="1"/>
    <col min="15878" max="15878" width="9.7109375" style="211" customWidth="1"/>
    <col min="15879" max="15879" width="8.140625" style="211" customWidth="1"/>
    <col min="15880" max="15880" width="8.28515625" style="211" customWidth="1"/>
    <col min="15881" max="15881" width="8.85546875" style="211" customWidth="1"/>
    <col min="15882" max="15882" width="7.7109375" style="211" customWidth="1"/>
    <col min="15883" max="15883" width="9.28515625" style="211" customWidth="1"/>
    <col min="15884" max="15884" width="6.28515625" style="211" customWidth="1"/>
    <col min="15885" max="15885" width="7.42578125" style="211" customWidth="1"/>
    <col min="15886" max="15886" width="6.7109375" style="211" customWidth="1"/>
    <col min="15887" max="15887" width="8.28515625" style="211" customWidth="1"/>
    <col min="15888" max="15888" width="7.42578125" style="211" customWidth="1"/>
    <col min="15889" max="15889" width="8.28515625" style="211" customWidth="1"/>
    <col min="15890" max="15890" width="7.7109375" style="211" customWidth="1"/>
    <col min="15891" max="16128" width="8.85546875" style="211"/>
    <col min="16129" max="16129" width="11.28515625" style="211" customWidth="1"/>
    <col min="16130" max="16130" width="8.42578125" style="211" customWidth="1"/>
    <col min="16131" max="16131" width="8.5703125" style="211" customWidth="1"/>
    <col min="16132" max="16133" width="7.42578125" style="211" customWidth="1"/>
    <col min="16134" max="16134" width="9.7109375" style="211" customWidth="1"/>
    <col min="16135" max="16135" width="8.140625" style="211" customWidth="1"/>
    <col min="16136" max="16136" width="8.28515625" style="211" customWidth="1"/>
    <col min="16137" max="16137" width="8.85546875" style="211" customWidth="1"/>
    <col min="16138" max="16138" width="7.7109375" style="211" customWidth="1"/>
    <col min="16139" max="16139" width="9.28515625" style="211" customWidth="1"/>
    <col min="16140" max="16140" width="6.28515625" style="211" customWidth="1"/>
    <col min="16141" max="16141" width="7.42578125" style="211" customWidth="1"/>
    <col min="16142" max="16142" width="6.7109375" style="211" customWidth="1"/>
    <col min="16143" max="16143" width="8.28515625" style="211" customWidth="1"/>
    <col min="16144" max="16144" width="7.42578125" style="211" customWidth="1"/>
    <col min="16145" max="16145" width="8.28515625" style="211" customWidth="1"/>
    <col min="16146" max="16146" width="7.7109375" style="211" customWidth="1"/>
    <col min="16147" max="16384" width="8.85546875" style="211"/>
  </cols>
  <sheetData>
    <row r="1" spans="1:18" ht="15" customHeight="1"/>
    <row r="2" spans="1:18" ht="23.45" customHeight="1">
      <c r="A2" s="1254" t="s">
        <v>167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</row>
    <row r="3" spans="1:18" ht="12" customHeight="1">
      <c r="E3" s="1285" t="s">
        <v>168</v>
      </c>
      <c r="F3" s="1285"/>
      <c r="G3" s="1285"/>
      <c r="H3" s="1285"/>
      <c r="I3" s="1285"/>
      <c r="J3" s="1285"/>
    </row>
    <row r="4" spans="1:18" ht="12" customHeight="1">
      <c r="A4" s="1256" t="s">
        <v>1900</v>
      </c>
      <c r="B4" s="1256"/>
      <c r="C4" s="1257"/>
      <c r="D4" s="1258" t="s">
        <v>2010</v>
      </c>
      <c r="E4" s="1259"/>
      <c r="F4" s="1260"/>
      <c r="G4" s="212"/>
      <c r="H4" s="212" t="s">
        <v>1902</v>
      </c>
      <c r="I4" s="212"/>
      <c r="J4" s="212"/>
      <c r="K4" s="1289" t="s">
        <v>2011</v>
      </c>
      <c r="L4" s="1290"/>
      <c r="M4" s="1291"/>
      <c r="N4" s="212" t="s">
        <v>5</v>
      </c>
      <c r="O4" s="212"/>
      <c r="P4" s="242">
        <v>984.61099999999999</v>
      </c>
      <c r="Q4" s="214" t="s">
        <v>436</v>
      </c>
      <c r="R4" s="214"/>
    </row>
    <row r="5" spans="1:18" ht="12" customHeight="1">
      <c r="A5" s="808" t="s">
        <v>4176</v>
      </c>
      <c r="B5" s="808"/>
      <c r="C5" s="808"/>
      <c r="D5" s="516"/>
      <c r="E5" s="516"/>
      <c r="F5" s="516"/>
      <c r="G5" s="212"/>
      <c r="H5" s="212"/>
      <c r="I5" s="212"/>
      <c r="J5" s="212"/>
      <c r="K5" s="516"/>
      <c r="L5" s="516"/>
      <c r="M5" s="516"/>
      <c r="N5" s="212"/>
      <c r="O5" s="212"/>
      <c r="P5" s="212"/>
      <c r="Q5" s="214"/>
      <c r="R5" s="215">
        <v>80</v>
      </c>
    </row>
    <row r="6" spans="1:18" ht="12" customHeight="1">
      <c r="A6" s="212" t="s">
        <v>832</v>
      </c>
      <c r="B6" s="212"/>
      <c r="C6" s="212"/>
      <c r="D6" s="1266" t="s">
        <v>2012</v>
      </c>
      <c r="E6" s="1267"/>
      <c r="F6" s="1268"/>
      <c r="G6" s="212"/>
      <c r="H6" s="212" t="s">
        <v>1208</v>
      </c>
      <c r="I6" s="212"/>
      <c r="J6" s="212"/>
      <c r="K6" s="1266" t="s">
        <v>2013</v>
      </c>
      <c r="L6" s="1267"/>
      <c r="M6" s="1268"/>
      <c r="N6" s="212"/>
      <c r="O6" s="212"/>
      <c r="P6" s="212"/>
      <c r="Q6" s="212"/>
      <c r="R6" s="212"/>
    </row>
    <row r="7" spans="1:18" ht="12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</row>
    <row r="8" spans="1:18" ht="12" customHeight="1">
      <c r="A8" s="212" t="s">
        <v>1906</v>
      </c>
      <c r="B8" s="212"/>
      <c r="C8" s="212"/>
      <c r="D8" s="1251" t="s">
        <v>1907</v>
      </c>
      <c r="E8" s="1252"/>
      <c r="F8" s="1253"/>
      <c r="G8" s="212"/>
      <c r="H8" s="1264" t="s">
        <v>1908</v>
      </c>
      <c r="I8" s="1264"/>
      <c r="J8" s="1264"/>
      <c r="K8" s="1265" t="s">
        <v>1907</v>
      </c>
      <c r="L8" s="1265"/>
      <c r="M8" s="1265"/>
      <c r="N8" s="1265"/>
      <c r="O8" s="1265"/>
      <c r="P8" s="212"/>
      <c r="Q8" s="212"/>
      <c r="R8" s="212"/>
    </row>
    <row r="9" spans="1:18" ht="12" customHeight="1">
      <c r="A9" s="212"/>
      <c r="B9" s="212"/>
      <c r="C9" s="212"/>
      <c r="D9" s="212"/>
      <c r="E9" s="212"/>
      <c r="F9" s="212"/>
      <c r="G9" s="212"/>
      <c r="H9" s="1264"/>
      <c r="I9" s="1264"/>
      <c r="J9" s="1264"/>
      <c r="K9" s="1265"/>
      <c r="L9" s="1265"/>
      <c r="M9" s="1265"/>
      <c r="N9" s="1265"/>
      <c r="O9" s="1265"/>
      <c r="P9" s="212"/>
      <c r="Q9" s="212"/>
      <c r="R9" s="212"/>
    </row>
    <row r="10" spans="1:18" ht="12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</row>
    <row r="11" spans="1:18" ht="12" customHeight="1">
      <c r="A11" s="1266" t="s">
        <v>1909</v>
      </c>
      <c r="B11" s="1267"/>
      <c r="C11" s="1268"/>
      <c r="D11" s="1269" t="s">
        <v>2014</v>
      </c>
      <c r="E11" s="1269"/>
      <c r="F11" s="1269"/>
      <c r="G11" s="1269"/>
      <c r="H11" s="1269"/>
      <c r="I11" s="1269"/>
      <c r="J11" s="1269"/>
      <c r="K11" s="1269"/>
      <c r="L11" s="1269"/>
      <c r="M11" s="1266" t="s">
        <v>2015</v>
      </c>
      <c r="N11" s="1267"/>
      <c r="O11" s="1267"/>
      <c r="P11" s="1267"/>
      <c r="Q11" s="1267"/>
      <c r="R11" s="1268"/>
    </row>
    <row r="12" spans="1:18" ht="12" customHeight="1">
      <c r="A12" s="1266" t="s">
        <v>1346</v>
      </c>
      <c r="B12" s="1267"/>
      <c r="C12" s="1268"/>
      <c r="D12" s="1269" t="s">
        <v>2016</v>
      </c>
      <c r="E12" s="1269"/>
      <c r="F12" s="1269"/>
      <c r="G12" s="1269"/>
      <c r="H12" s="1269"/>
      <c r="I12" s="1269"/>
      <c r="J12" s="1269"/>
      <c r="K12" s="1269"/>
      <c r="L12" s="1269"/>
      <c r="M12" s="1269" t="s">
        <v>2017</v>
      </c>
      <c r="N12" s="1269"/>
      <c r="O12" s="1269"/>
      <c r="P12" s="1269"/>
      <c r="Q12" s="1269"/>
      <c r="R12" s="1269"/>
    </row>
    <row r="13" spans="1:18" ht="12.6" customHeight="1">
      <c r="A13" s="1266" t="s">
        <v>844</v>
      </c>
      <c r="B13" s="1267"/>
      <c r="C13" s="1268"/>
      <c r="D13" s="1269" t="s">
        <v>2018</v>
      </c>
      <c r="E13" s="1269"/>
      <c r="F13" s="1269"/>
      <c r="G13" s="1269"/>
      <c r="H13" s="1269"/>
      <c r="I13" s="1269"/>
      <c r="J13" s="1269"/>
      <c r="K13" s="1269"/>
      <c r="L13" s="1269"/>
      <c r="M13" s="1269" t="s">
        <v>2019</v>
      </c>
      <c r="N13" s="1269"/>
      <c r="O13" s="1269"/>
      <c r="P13" s="1269"/>
      <c r="Q13" s="1269"/>
      <c r="R13" s="1269"/>
    </row>
    <row r="14" spans="1:18" ht="12" customHeight="1">
      <c r="A14" s="1266" t="s">
        <v>1196</v>
      </c>
      <c r="B14" s="1267"/>
      <c r="C14" s="1268"/>
      <c r="D14" s="1269" t="s">
        <v>1907</v>
      </c>
      <c r="E14" s="1269"/>
      <c r="F14" s="1269"/>
      <c r="G14" s="1269"/>
      <c r="H14" s="1269"/>
      <c r="I14" s="1269"/>
      <c r="J14" s="1269"/>
      <c r="K14" s="1269"/>
      <c r="L14" s="1269"/>
      <c r="M14" s="1269" t="s">
        <v>1907</v>
      </c>
      <c r="N14" s="1269"/>
      <c r="O14" s="1269"/>
      <c r="P14" s="1269"/>
      <c r="Q14" s="1269"/>
      <c r="R14" s="1269"/>
    </row>
    <row r="15" spans="1:18" ht="12" customHeight="1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</row>
    <row r="16" spans="1:18" ht="12" customHeight="1">
      <c r="A16" s="212" t="s">
        <v>1916</v>
      </c>
      <c r="B16" s="212"/>
      <c r="C16" s="212"/>
      <c r="D16" s="215">
        <v>2</v>
      </c>
      <c r="E16" s="212" t="s">
        <v>1917</v>
      </c>
      <c r="F16" s="212"/>
      <c r="G16" s="212"/>
      <c r="H16" s="215">
        <v>2</v>
      </c>
      <c r="I16" s="212" t="s">
        <v>1918</v>
      </c>
      <c r="J16" s="215">
        <v>24</v>
      </c>
      <c r="K16" s="212" t="s">
        <v>1492</v>
      </c>
      <c r="L16" s="215">
        <v>2</v>
      </c>
      <c r="M16" s="212" t="s">
        <v>1493</v>
      </c>
      <c r="N16" s="1270">
        <v>9</v>
      </c>
      <c r="O16" s="1270"/>
      <c r="P16" s="212"/>
      <c r="Q16" s="212"/>
      <c r="R16" s="212"/>
    </row>
    <row r="17" spans="1:18" ht="12" customHeight="1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</row>
    <row r="18" spans="1:18" ht="12" customHeight="1">
      <c r="A18" s="1271" t="s">
        <v>203</v>
      </c>
      <c r="B18" s="1271"/>
      <c r="C18" s="212"/>
      <c r="D18" s="212" t="s">
        <v>204</v>
      </c>
      <c r="E18" s="215">
        <v>157</v>
      </c>
      <c r="F18" s="212" t="s">
        <v>205</v>
      </c>
      <c r="G18" s="215">
        <v>191</v>
      </c>
      <c r="H18" s="1272" t="s">
        <v>206</v>
      </c>
      <c r="I18" s="1257"/>
      <c r="J18" s="215">
        <v>0</v>
      </c>
      <c r="K18" s="1272" t="s">
        <v>245</v>
      </c>
      <c r="L18" s="1257"/>
      <c r="M18" s="215">
        <v>348</v>
      </c>
      <c r="N18" s="212" t="s">
        <v>207</v>
      </c>
      <c r="O18" s="215">
        <v>160</v>
      </c>
      <c r="P18" s="514" t="s">
        <v>855</v>
      </c>
      <c r="Q18" s="514"/>
      <c r="R18" s="215">
        <v>13</v>
      </c>
    </row>
    <row r="19" spans="1:18" ht="12" customHeight="1">
      <c r="A19" s="1271" t="s">
        <v>1029</v>
      </c>
      <c r="B19" s="1271"/>
      <c r="C19" s="212"/>
      <c r="D19" s="212" t="s">
        <v>210</v>
      </c>
      <c r="E19" s="215">
        <v>496</v>
      </c>
      <c r="F19" s="212" t="s">
        <v>1919</v>
      </c>
      <c r="G19" s="215">
        <v>589</v>
      </c>
      <c r="H19" s="514" t="s">
        <v>212</v>
      </c>
      <c r="I19" s="514"/>
      <c r="J19" s="215">
        <v>0</v>
      </c>
      <c r="K19" s="1272" t="s">
        <v>1920</v>
      </c>
      <c r="L19" s="1257"/>
      <c r="M19" s="215">
        <v>1085</v>
      </c>
      <c r="N19" s="212"/>
      <c r="O19" s="212"/>
      <c r="P19" s="212"/>
      <c r="Q19" s="212"/>
      <c r="R19" s="214"/>
    </row>
    <row r="20" spans="1:18" ht="12" customHeight="1">
      <c r="A20" s="212"/>
      <c r="B20" s="212"/>
      <c r="C20" s="212"/>
      <c r="D20" s="212" t="s">
        <v>213</v>
      </c>
      <c r="E20" s="215">
        <v>513</v>
      </c>
      <c r="F20" s="212" t="s">
        <v>214</v>
      </c>
      <c r="G20" s="215">
        <v>618</v>
      </c>
      <c r="H20" s="1272" t="s">
        <v>215</v>
      </c>
      <c r="I20" s="1257"/>
      <c r="J20" s="215">
        <v>0</v>
      </c>
      <c r="K20" s="1272" t="s">
        <v>1921</v>
      </c>
      <c r="L20" s="1257"/>
      <c r="M20" s="215">
        <v>1131</v>
      </c>
      <c r="N20" s="212"/>
      <c r="O20" s="212"/>
      <c r="P20" s="212"/>
      <c r="Q20" s="212"/>
      <c r="R20" s="212"/>
    </row>
    <row r="21" spans="1:18" ht="12" customHeigh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</row>
    <row r="22" spans="1:18" ht="12" customHeight="1">
      <c r="A22" s="1273" t="s">
        <v>409</v>
      </c>
      <c r="B22" s="1273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</row>
    <row r="23" spans="1:18" s="217" customFormat="1" ht="12" customHeight="1">
      <c r="A23" s="1274" t="s">
        <v>217</v>
      </c>
      <c r="B23" s="1275"/>
      <c r="C23" s="1276"/>
      <c r="D23" s="1280" t="s">
        <v>1922</v>
      </c>
      <c r="E23" s="1280" t="s">
        <v>219</v>
      </c>
      <c r="F23" s="1280" t="s">
        <v>1923</v>
      </c>
      <c r="G23" s="1280" t="s">
        <v>1924</v>
      </c>
      <c r="H23" s="1282" t="s">
        <v>1925</v>
      </c>
      <c r="I23" s="1283"/>
      <c r="J23" s="1283"/>
      <c r="K23" s="1283"/>
      <c r="L23" s="1283"/>
      <c r="M23" s="1283"/>
      <c r="N23" s="1283"/>
      <c r="O23" s="1283"/>
      <c r="P23" s="1284"/>
      <c r="Q23" s="216"/>
      <c r="R23" s="216"/>
    </row>
    <row r="24" spans="1:18" s="217" customFormat="1" ht="31.15" customHeight="1">
      <c r="A24" s="1277"/>
      <c r="B24" s="1278"/>
      <c r="C24" s="1279"/>
      <c r="D24" s="1281"/>
      <c r="E24" s="1281"/>
      <c r="F24" s="1281"/>
      <c r="G24" s="1281"/>
      <c r="H24" s="517" t="s">
        <v>226</v>
      </c>
      <c r="I24" s="517" t="s">
        <v>227</v>
      </c>
      <c r="J24" s="517" t="s">
        <v>228</v>
      </c>
      <c r="K24" s="517" t="s">
        <v>229</v>
      </c>
      <c r="L24" s="517"/>
      <c r="M24" s="517"/>
      <c r="N24" s="517"/>
      <c r="O24" s="517" t="s">
        <v>230</v>
      </c>
      <c r="P24" s="517" t="s">
        <v>662</v>
      </c>
      <c r="Q24" s="216"/>
      <c r="R24" s="216"/>
    </row>
    <row r="25" spans="1:18" ht="16.899999999999999" customHeight="1">
      <c r="A25" s="1266" t="s">
        <v>232</v>
      </c>
      <c r="B25" s="1267"/>
      <c r="C25" s="1268"/>
      <c r="D25" s="218">
        <v>8000</v>
      </c>
      <c r="E25" s="513" t="s">
        <v>233</v>
      </c>
      <c r="F25" s="219">
        <v>78.768879999999996</v>
      </c>
      <c r="G25" s="219">
        <v>31.5</v>
      </c>
      <c r="H25" s="220">
        <v>0</v>
      </c>
      <c r="I25" s="220">
        <v>0</v>
      </c>
      <c r="J25" s="220">
        <v>13.899660000000001</v>
      </c>
      <c r="K25" s="220">
        <v>14.40231</v>
      </c>
      <c r="L25" s="220">
        <v>0</v>
      </c>
      <c r="M25" s="220">
        <v>0</v>
      </c>
      <c r="N25" s="220">
        <v>0</v>
      </c>
      <c r="O25" s="220">
        <v>28.301970000000001</v>
      </c>
      <c r="P25" s="219">
        <v>89.847523809523807</v>
      </c>
    </row>
    <row r="26" spans="1:18" ht="12" customHeight="1">
      <c r="A26" s="1266" t="s">
        <v>234</v>
      </c>
      <c r="B26" s="1267"/>
      <c r="C26" s="1268"/>
      <c r="D26" s="218">
        <v>7000</v>
      </c>
      <c r="E26" s="513" t="s">
        <v>233</v>
      </c>
      <c r="F26" s="219">
        <v>40.6</v>
      </c>
      <c r="G26" s="219">
        <v>0</v>
      </c>
      <c r="H26" s="220">
        <v>0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19">
        <v>0</v>
      </c>
    </row>
    <row r="27" spans="1:18" ht="12" customHeight="1">
      <c r="A27" s="1266" t="s">
        <v>235</v>
      </c>
      <c r="B27" s="1267"/>
      <c r="C27" s="1268"/>
      <c r="D27" s="218">
        <v>43000</v>
      </c>
      <c r="E27" s="513" t="s">
        <v>236</v>
      </c>
      <c r="F27" s="219">
        <v>0.43</v>
      </c>
      <c r="G27" s="219">
        <v>0.18</v>
      </c>
      <c r="H27" s="220">
        <v>0</v>
      </c>
      <c r="I27" s="220">
        <v>0</v>
      </c>
      <c r="J27" s="220">
        <v>0</v>
      </c>
      <c r="K27" s="220">
        <v>0.18</v>
      </c>
      <c r="L27" s="220">
        <v>0</v>
      </c>
      <c r="M27" s="220">
        <v>0</v>
      </c>
      <c r="N27" s="220">
        <v>0</v>
      </c>
      <c r="O27" s="220">
        <v>0.18</v>
      </c>
      <c r="P27" s="219">
        <v>100</v>
      </c>
    </row>
    <row r="28" spans="1:18" ht="12" customHeight="1">
      <c r="A28" s="1266" t="s">
        <v>237</v>
      </c>
      <c r="B28" s="1267"/>
      <c r="C28" s="1268"/>
      <c r="D28" s="218">
        <v>34000</v>
      </c>
      <c r="E28" s="513" t="s">
        <v>236</v>
      </c>
      <c r="F28" s="219">
        <v>0.34</v>
      </c>
      <c r="G28" s="219">
        <v>0.16</v>
      </c>
      <c r="H28" s="220">
        <v>0</v>
      </c>
      <c r="I28" s="220">
        <v>0</v>
      </c>
      <c r="J28" s="220">
        <v>0</v>
      </c>
      <c r="K28" s="220">
        <v>0.16</v>
      </c>
      <c r="L28" s="220">
        <v>0</v>
      </c>
      <c r="M28" s="220">
        <v>0</v>
      </c>
      <c r="N28" s="220">
        <v>0</v>
      </c>
      <c r="O28" s="220">
        <v>0.16</v>
      </c>
      <c r="P28" s="219">
        <v>100</v>
      </c>
    </row>
    <row r="29" spans="1:18" ht="12" customHeight="1">
      <c r="A29" s="1266" t="s">
        <v>238</v>
      </c>
      <c r="B29" s="1267"/>
      <c r="C29" s="1268"/>
      <c r="D29" s="218">
        <v>1200</v>
      </c>
      <c r="E29" s="513" t="s">
        <v>233</v>
      </c>
      <c r="F29" s="219">
        <v>11.815332</v>
      </c>
      <c r="G29" s="219">
        <v>2.2999999999999998</v>
      </c>
      <c r="H29" s="220">
        <v>0</v>
      </c>
      <c r="I29" s="220">
        <v>0</v>
      </c>
      <c r="J29" s="220">
        <v>0</v>
      </c>
      <c r="K29" s="220">
        <v>0.68979999999999997</v>
      </c>
      <c r="L29" s="220">
        <v>0</v>
      </c>
      <c r="M29" s="220">
        <v>0</v>
      </c>
      <c r="N29" s="220">
        <v>0</v>
      </c>
      <c r="O29" s="220">
        <v>0.68979999999999997</v>
      </c>
      <c r="P29" s="219">
        <v>29.991304347826087</v>
      </c>
    </row>
    <row r="30" spans="1:18" ht="12" customHeight="1">
      <c r="A30" s="1266" t="s">
        <v>667</v>
      </c>
      <c r="B30" s="1267"/>
      <c r="C30" s="1268"/>
      <c r="D30" s="218">
        <v>565</v>
      </c>
      <c r="E30" s="513" t="s">
        <v>233</v>
      </c>
      <c r="F30" s="219">
        <v>5.5630521499999999</v>
      </c>
      <c r="G30" s="219">
        <v>5.4153599999999997</v>
      </c>
      <c r="H30" s="220">
        <v>0</v>
      </c>
      <c r="I30" s="220">
        <v>0</v>
      </c>
      <c r="J30" s="220">
        <v>0</v>
      </c>
      <c r="K30" s="220">
        <v>5.4153599999999997</v>
      </c>
      <c r="L30" s="220">
        <v>0</v>
      </c>
      <c r="M30" s="220">
        <v>0</v>
      </c>
      <c r="N30" s="220">
        <v>0</v>
      </c>
      <c r="O30" s="220">
        <v>5.4153599999999997</v>
      </c>
      <c r="P30" s="219">
        <v>100</v>
      </c>
    </row>
    <row r="31" spans="1:18" ht="12" customHeight="1">
      <c r="A31" s="1266" t="s">
        <v>1503</v>
      </c>
      <c r="B31" s="1267"/>
      <c r="C31" s="1268"/>
      <c r="D31" s="218">
        <v>1000</v>
      </c>
      <c r="E31" s="513" t="s">
        <v>233</v>
      </c>
      <c r="F31" s="219">
        <v>9.8461099999999995</v>
      </c>
      <c r="G31" s="219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19">
        <v>0</v>
      </c>
    </row>
    <row r="32" spans="1:18" ht="12" customHeight="1">
      <c r="A32" s="1266" t="s">
        <v>394</v>
      </c>
      <c r="B32" s="1267"/>
      <c r="C32" s="1268"/>
      <c r="D32" s="218">
        <v>2750</v>
      </c>
      <c r="E32" s="513" t="s">
        <v>242</v>
      </c>
      <c r="F32" s="219">
        <v>2.1</v>
      </c>
      <c r="G32" s="219">
        <v>0.41249999999999998</v>
      </c>
      <c r="H32" s="220">
        <v>0</v>
      </c>
      <c r="I32" s="220">
        <v>0</v>
      </c>
      <c r="J32" s="220">
        <v>9.999999999999995E-3</v>
      </c>
      <c r="K32" s="220">
        <v>0.28749999999999998</v>
      </c>
      <c r="L32" s="220">
        <v>0</v>
      </c>
      <c r="M32" s="220">
        <v>0</v>
      </c>
      <c r="N32" s="220">
        <v>0</v>
      </c>
      <c r="O32" s="220">
        <v>0.29749999999999999</v>
      </c>
      <c r="P32" s="219">
        <v>72.121212121212125</v>
      </c>
    </row>
    <row r="33" spans="1:16" ht="12" customHeight="1">
      <c r="A33" s="1266" t="s">
        <v>670</v>
      </c>
      <c r="B33" s="1267"/>
      <c r="C33" s="1268"/>
      <c r="D33" s="218">
        <v>10000</v>
      </c>
      <c r="E33" s="513" t="s">
        <v>244</v>
      </c>
      <c r="F33" s="219">
        <v>0.1</v>
      </c>
      <c r="G33" s="219">
        <v>0.1</v>
      </c>
      <c r="H33" s="220">
        <v>0</v>
      </c>
      <c r="I33" s="220">
        <v>0</v>
      </c>
      <c r="J33" s="220">
        <v>0.1</v>
      </c>
      <c r="K33" s="220"/>
      <c r="L33" s="220">
        <v>0</v>
      </c>
      <c r="M33" s="220">
        <v>0</v>
      </c>
      <c r="N33" s="220">
        <v>0</v>
      </c>
      <c r="O33" s="220">
        <v>0.1</v>
      </c>
      <c r="P33" s="219">
        <v>100</v>
      </c>
    </row>
    <row r="34" spans="1:16" ht="18" customHeight="1">
      <c r="A34" s="1258" t="s">
        <v>230</v>
      </c>
      <c r="B34" s="1259"/>
      <c r="C34" s="1260"/>
      <c r="D34" s="215"/>
      <c r="E34" s="215"/>
      <c r="F34" s="222">
        <v>149.56337415000002</v>
      </c>
      <c r="G34" s="222">
        <v>40.067860000000003</v>
      </c>
      <c r="H34" s="222">
        <v>0</v>
      </c>
      <c r="I34" s="222">
        <v>0</v>
      </c>
      <c r="J34" s="222">
        <v>14.00966</v>
      </c>
      <c r="K34" s="222">
        <v>21.134970000000003</v>
      </c>
      <c r="L34" s="222">
        <v>0</v>
      </c>
      <c r="M34" s="222">
        <v>0</v>
      </c>
      <c r="N34" s="222">
        <v>0</v>
      </c>
      <c r="O34" s="222">
        <v>35.144629999999999</v>
      </c>
      <c r="P34" s="222"/>
    </row>
    <row r="35" spans="1:16" ht="19.899999999999999" customHeight="1"/>
    <row r="36" spans="1:16" ht="19.899999999999999" customHeight="1"/>
    <row r="37" spans="1:16" ht="19.899999999999999" customHeight="1"/>
    <row r="38" spans="1:16" ht="19.899999999999999" customHeight="1"/>
    <row r="39" spans="1:16" ht="19.899999999999999" customHeight="1"/>
    <row r="40" spans="1:16" ht="19.899999999999999" customHeight="1"/>
    <row r="41" spans="1:16" ht="19.899999999999999" customHeight="1"/>
    <row r="42" spans="1:16" ht="19.899999999999999" customHeight="1"/>
    <row r="43" spans="1:16" ht="19.899999999999999" customHeight="1"/>
    <row r="44" spans="1:16" ht="19.899999999999999" customHeight="1"/>
    <row r="45" spans="1:16" ht="19.899999999999999" customHeight="1"/>
    <row r="46" spans="1:16" ht="19.899999999999999" customHeight="1"/>
    <row r="47" spans="1:16" ht="19.899999999999999" customHeight="1"/>
    <row r="48" spans="1:16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</sheetData>
  <mergeCells count="48">
    <mergeCell ref="A30:C30"/>
    <mergeCell ref="A31:C31"/>
    <mergeCell ref="A32:C32"/>
    <mergeCell ref="A33:C33"/>
    <mergeCell ref="A34:C34"/>
    <mergeCell ref="A29:C29"/>
    <mergeCell ref="A19:B19"/>
    <mergeCell ref="K19:L19"/>
    <mergeCell ref="H20:I20"/>
    <mergeCell ref="K20:L20"/>
    <mergeCell ref="A22:B22"/>
    <mergeCell ref="A23:C24"/>
    <mergeCell ref="D23:D24"/>
    <mergeCell ref="E23:E24"/>
    <mergeCell ref="F23:F24"/>
    <mergeCell ref="G23:G24"/>
    <mergeCell ref="H23:P23"/>
    <mergeCell ref="A25:C25"/>
    <mergeCell ref="A26:C26"/>
    <mergeCell ref="A27:C27"/>
    <mergeCell ref="A28:C28"/>
    <mergeCell ref="A14:C14"/>
    <mergeCell ref="D14:L14"/>
    <mergeCell ref="M14:R14"/>
    <mergeCell ref="N16:O16"/>
    <mergeCell ref="A18:B18"/>
    <mergeCell ref="H18:I18"/>
    <mergeCell ref="K18:L18"/>
    <mergeCell ref="A12:C12"/>
    <mergeCell ref="D12:L12"/>
    <mergeCell ref="M12:R12"/>
    <mergeCell ref="A13:C13"/>
    <mergeCell ref="D13:L13"/>
    <mergeCell ref="M13:R13"/>
    <mergeCell ref="D8:F8"/>
    <mergeCell ref="H8:J9"/>
    <mergeCell ref="K8:O9"/>
    <mergeCell ref="A11:C11"/>
    <mergeCell ref="D11:L11"/>
    <mergeCell ref="M11:R11"/>
    <mergeCell ref="D6:F6"/>
    <mergeCell ref="K6:M6"/>
    <mergeCell ref="A2:P2"/>
    <mergeCell ref="E3:J3"/>
    <mergeCell ref="A4:C4"/>
    <mergeCell ref="D4:F4"/>
    <mergeCell ref="K4:M4"/>
    <mergeCell ref="A5:C5"/>
  </mergeCells>
  <hyperlinks>
    <hyperlink ref="A5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588</v>
      </c>
      <c r="H6" t="s">
        <v>437</v>
      </c>
      <c r="K6" t="s">
        <v>5720</v>
      </c>
      <c r="R6" t="s">
        <v>172</v>
      </c>
      <c r="T6">
        <v>436</v>
      </c>
      <c r="U6" t="s">
        <v>436</v>
      </c>
      <c r="W6">
        <v>80</v>
      </c>
    </row>
    <row r="9" spans="1:23">
      <c r="A9" t="s">
        <v>435</v>
      </c>
      <c r="D9" t="s">
        <v>587</v>
      </c>
      <c r="H9" t="s">
        <v>176</v>
      </c>
      <c r="K9" t="s">
        <v>532</v>
      </c>
    </row>
    <row r="12" spans="1:23">
      <c r="A12" t="s">
        <v>432</v>
      </c>
      <c r="H12" t="s">
        <v>431</v>
      </c>
      <c r="K12" t="s">
        <v>586</v>
      </c>
    </row>
    <row r="13" spans="1:23">
      <c r="H13" t="s">
        <v>429</v>
      </c>
    </row>
    <row r="17" spans="1:24">
      <c r="A17" t="s">
        <v>428</v>
      </c>
      <c r="D17" t="s">
        <v>585</v>
      </c>
      <c r="G17" t="s">
        <v>584</v>
      </c>
      <c r="K17" t="s">
        <v>583</v>
      </c>
      <c r="O17" t="s">
        <v>582</v>
      </c>
      <c r="R17" t="s">
        <v>581</v>
      </c>
    </row>
    <row r="18" spans="1:24">
      <c r="A18" t="s">
        <v>425</v>
      </c>
      <c r="D18" t="s">
        <v>580</v>
      </c>
      <c r="G18" t="s">
        <v>579</v>
      </c>
      <c r="K18" t="s">
        <v>578</v>
      </c>
      <c r="O18" t="s">
        <v>577</v>
      </c>
      <c r="R18" t="s">
        <v>576</v>
      </c>
    </row>
    <row r="19" spans="1:24">
      <c r="A19" t="s">
        <v>192</v>
      </c>
      <c r="D19" t="s">
        <v>575</v>
      </c>
      <c r="G19" t="s">
        <v>574</v>
      </c>
      <c r="K19" t="s">
        <v>573</v>
      </c>
      <c r="O19" t="s">
        <v>572</v>
      </c>
      <c r="R19" t="s">
        <v>571</v>
      </c>
    </row>
    <row r="20" spans="1:24">
      <c r="A20" t="s">
        <v>420</v>
      </c>
      <c r="G20" t="s">
        <v>419</v>
      </c>
      <c r="O20" t="s">
        <v>419</v>
      </c>
    </row>
    <row r="23" spans="1:24">
      <c r="A23" t="s">
        <v>198</v>
      </c>
      <c r="E23">
        <v>6</v>
      </c>
      <c r="G23" t="s">
        <v>418</v>
      </c>
      <c r="J23">
        <v>5</v>
      </c>
      <c r="L23" t="s">
        <v>200</v>
      </c>
      <c r="N23">
        <v>9</v>
      </c>
      <c r="S23" t="s">
        <v>417</v>
      </c>
      <c r="U23">
        <v>1</v>
      </c>
      <c r="W23" t="s">
        <v>202</v>
      </c>
      <c r="X23">
        <v>35</v>
      </c>
    </row>
    <row r="26" spans="1:24">
      <c r="A26" t="s">
        <v>416</v>
      </c>
      <c r="D26" t="s">
        <v>204</v>
      </c>
      <c r="E26">
        <v>110</v>
      </c>
      <c r="G26" t="s">
        <v>205</v>
      </c>
      <c r="H26">
        <v>3</v>
      </c>
      <c r="J26" t="s">
        <v>415</v>
      </c>
      <c r="K26">
        <v>0</v>
      </c>
      <c r="M26" t="s">
        <v>230</v>
      </c>
      <c r="N26">
        <f>E26+H26+K26</f>
        <v>113</v>
      </c>
      <c r="S26" t="s">
        <v>414</v>
      </c>
      <c r="T26">
        <v>42</v>
      </c>
      <c r="V26" t="s">
        <v>570</v>
      </c>
    </row>
    <row r="27" spans="1:24">
      <c r="A27" t="s">
        <v>412</v>
      </c>
      <c r="D27" t="s">
        <v>210</v>
      </c>
      <c r="E27">
        <v>283</v>
      </c>
      <c r="G27" t="s">
        <v>211</v>
      </c>
      <c r="H27">
        <v>9</v>
      </c>
      <c r="J27" t="s">
        <v>212</v>
      </c>
      <c r="K27">
        <v>0</v>
      </c>
      <c r="M27" t="s">
        <v>411</v>
      </c>
      <c r="N27">
        <f>E27+H27+K27</f>
        <v>292</v>
      </c>
    </row>
    <row r="28" spans="1:24">
      <c r="D28" t="s">
        <v>213</v>
      </c>
      <c r="E28">
        <v>303</v>
      </c>
      <c r="G28" t="s">
        <v>214</v>
      </c>
      <c r="H28">
        <v>7</v>
      </c>
      <c r="J28" t="s">
        <v>215</v>
      </c>
      <c r="K28">
        <v>0</v>
      </c>
      <c r="M28" t="s">
        <v>410</v>
      </c>
      <c r="N28">
        <f>E28+H28+K28</f>
        <v>310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34.880000000000003</v>
      </c>
      <c r="G37">
        <v>3488000</v>
      </c>
      <c r="J37">
        <f>26228+12022</f>
        <v>38250</v>
      </c>
      <c r="L37">
        <v>1044425</v>
      </c>
      <c r="N37">
        <v>1281969</v>
      </c>
      <c r="S37">
        <v>328104</v>
      </c>
      <c r="U37">
        <v>628964</v>
      </c>
      <c r="X37">
        <f t="shared" ref="X37:X45" si="0">J37+L37+N37+S37+U37+W37</f>
        <v>3321712</v>
      </c>
      <c r="Y37">
        <f t="shared" ref="Y37:Y44" si="1">X37*100/G37</f>
        <v>95.232568807339447</v>
      </c>
    </row>
    <row r="38" spans="1:25">
      <c r="A38" t="s">
        <v>234</v>
      </c>
      <c r="D38">
        <v>7000</v>
      </c>
      <c r="E38" t="str">
        <f>+E37</f>
        <v>Hectare</v>
      </c>
      <c r="F38">
        <v>5.6</v>
      </c>
      <c r="G38">
        <v>500000</v>
      </c>
      <c r="J38">
        <v>2625</v>
      </c>
      <c r="L38">
        <v>85132</v>
      </c>
      <c r="N38">
        <v>116704</v>
      </c>
      <c r="S38">
        <v>302985</v>
      </c>
      <c r="U38">
        <v>83577</v>
      </c>
      <c r="X38">
        <f t="shared" si="0"/>
        <v>591023</v>
      </c>
      <c r="Y38">
        <f t="shared" si="1"/>
        <v>118.2046</v>
      </c>
    </row>
    <row r="39" spans="1:25">
      <c r="A39" t="s">
        <v>397</v>
      </c>
      <c r="D39">
        <v>86</v>
      </c>
      <c r="E39" t="str">
        <f>+E38</f>
        <v>Hectare</v>
      </c>
      <c r="F39">
        <v>0.37</v>
      </c>
      <c r="G39">
        <v>43000</v>
      </c>
      <c r="J39">
        <v>5904</v>
      </c>
      <c r="L39">
        <v>0</v>
      </c>
      <c r="N39">
        <v>34800</v>
      </c>
      <c r="S39">
        <v>5108</v>
      </c>
      <c r="U39">
        <v>0</v>
      </c>
      <c r="X39">
        <f t="shared" si="0"/>
        <v>45812</v>
      </c>
      <c r="Y39">
        <f t="shared" si="1"/>
        <v>106.53953488372093</v>
      </c>
    </row>
    <row r="40" spans="1:25">
      <c r="A40" t="s">
        <v>396</v>
      </c>
      <c r="D40">
        <v>68</v>
      </c>
      <c r="E40" t="str">
        <f>+E39</f>
        <v>Hectare</v>
      </c>
      <c r="F40">
        <v>0.3</v>
      </c>
      <c r="G40">
        <v>34000</v>
      </c>
      <c r="J40">
        <v>0</v>
      </c>
      <c r="L40">
        <v>16200</v>
      </c>
      <c r="N40">
        <v>2467</v>
      </c>
      <c r="S40">
        <v>12937</v>
      </c>
      <c r="U40">
        <v>0</v>
      </c>
      <c r="X40">
        <f t="shared" si="0"/>
        <v>31604</v>
      </c>
      <c r="Y40">
        <f t="shared" si="1"/>
        <v>92.952941176470588</v>
      </c>
    </row>
    <row r="41" spans="1:25">
      <c r="A41" t="s">
        <v>238</v>
      </c>
      <c r="D41">
        <v>1200</v>
      </c>
      <c r="E41" t="str">
        <f>+E38</f>
        <v>Hectare</v>
      </c>
      <c r="F41">
        <v>5.23</v>
      </c>
      <c r="G41">
        <v>410000</v>
      </c>
      <c r="J41">
        <v>0</v>
      </c>
      <c r="L41">
        <v>24400</v>
      </c>
      <c r="N41">
        <v>46041</v>
      </c>
      <c r="S41">
        <v>0</v>
      </c>
      <c r="U41">
        <v>331782</v>
      </c>
      <c r="X41">
        <f t="shared" si="0"/>
        <v>402223</v>
      </c>
      <c r="Y41">
        <f t="shared" si="1"/>
        <v>98.103170731707323</v>
      </c>
    </row>
    <row r="42" spans="1:25">
      <c r="A42" t="s">
        <v>395</v>
      </c>
      <c r="D42">
        <v>565</v>
      </c>
      <c r="E42" t="str">
        <f>+E38</f>
        <v>Hectare</v>
      </c>
      <c r="F42">
        <v>2.2599999999999998</v>
      </c>
      <c r="G42">
        <v>180000</v>
      </c>
      <c r="J42">
        <v>0</v>
      </c>
      <c r="L42">
        <v>0</v>
      </c>
      <c r="N42">
        <v>45000</v>
      </c>
      <c r="S42">
        <v>135000</v>
      </c>
      <c r="U42">
        <v>0</v>
      </c>
      <c r="X42">
        <f t="shared" si="0"/>
        <v>180000</v>
      </c>
      <c r="Y42">
        <f t="shared" si="1"/>
        <v>100</v>
      </c>
    </row>
    <row r="43" spans="1:25">
      <c r="A43" t="s">
        <v>240</v>
      </c>
      <c r="D43">
        <v>1000</v>
      </c>
      <c r="E43" t="str">
        <f>+E41</f>
        <v>Hectare</v>
      </c>
      <c r="F43">
        <v>4.3600000000000003</v>
      </c>
      <c r="G43">
        <v>436000</v>
      </c>
      <c r="J43">
        <v>14639</v>
      </c>
      <c r="L43">
        <v>15800</v>
      </c>
      <c r="N43">
        <v>82595</v>
      </c>
      <c r="S43">
        <v>211826</v>
      </c>
      <c r="U43">
        <v>55355</v>
      </c>
      <c r="X43">
        <f t="shared" si="0"/>
        <v>380215</v>
      </c>
      <c r="Y43">
        <f t="shared" si="1"/>
        <v>87.205275229357795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115500</v>
      </c>
      <c r="J44">
        <v>17030</v>
      </c>
      <c r="L44">
        <v>26835</v>
      </c>
      <c r="N44">
        <v>21152</v>
      </c>
      <c r="S44">
        <v>30057</v>
      </c>
      <c r="U44">
        <v>19370</v>
      </c>
      <c r="X44">
        <f t="shared" si="0"/>
        <v>114444</v>
      </c>
      <c r="Y44">
        <f t="shared" si="1"/>
        <v>99.085714285714289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55.41</v>
      </c>
      <c r="G46">
        <f>SUM(G37:G45)</f>
        <v>5206500</v>
      </c>
      <c r="J46">
        <f>SUM(J37:J45)</f>
        <v>78448</v>
      </c>
      <c r="L46">
        <f>SUM(L37:L45)</f>
        <v>1212792</v>
      </c>
      <c r="N46">
        <f>SUM(N37:N45)</f>
        <v>1630728</v>
      </c>
      <c r="S46">
        <f>SUM(S37:S45)</f>
        <v>1026017</v>
      </c>
      <c r="U46">
        <f>SUM(U37:U45)</f>
        <v>1119048</v>
      </c>
      <c r="X46">
        <f>SUM(X37:X45)</f>
        <v>5067033</v>
      </c>
      <c r="Y46">
        <f>SUM(Y37:Y45)</f>
        <v>797.3238051143104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230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O35"/>
  <sheetViews>
    <sheetView workbookViewId="0">
      <selection activeCell="A4" sqref="A4:C4"/>
    </sheetView>
  </sheetViews>
  <sheetFormatPr defaultRowHeight="12.75"/>
  <cols>
    <col min="1" max="1" width="23.85546875" style="557" customWidth="1"/>
    <col min="2" max="2" width="8.140625" style="557" customWidth="1"/>
    <col min="3" max="3" width="7.140625" style="557" customWidth="1"/>
    <col min="4" max="4" width="8.140625" style="557" customWidth="1"/>
    <col min="5" max="5" width="8.5703125" style="557" customWidth="1"/>
    <col min="6" max="6" width="9.7109375" style="557" customWidth="1"/>
    <col min="7" max="7" width="8.5703125" style="557" customWidth="1"/>
    <col min="8" max="9" width="9.140625" style="557"/>
    <col min="10" max="10" width="8.85546875" style="557" customWidth="1"/>
    <col min="11" max="11" width="7.28515625" style="557" customWidth="1"/>
    <col min="12" max="12" width="13.7109375" style="557" customWidth="1"/>
    <col min="13" max="13" width="9.5703125" style="557" customWidth="1"/>
    <col min="14" max="14" width="8.140625" style="557" customWidth="1"/>
    <col min="15" max="15" width="11.28515625" style="557" customWidth="1"/>
    <col min="16" max="256" width="9.140625" style="557"/>
    <col min="257" max="257" width="23.85546875" style="557" customWidth="1"/>
    <col min="258" max="258" width="8.140625" style="557" customWidth="1"/>
    <col min="259" max="259" width="7.140625" style="557" customWidth="1"/>
    <col min="260" max="260" width="8.140625" style="557" customWidth="1"/>
    <col min="261" max="261" width="8.5703125" style="557" customWidth="1"/>
    <col min="262" max="262" width="9.7109375" style="557" customWidth="1"/>
    <col min="263" max="263" width="8.5703125" style="557" customWidth="1"/>
    <col min="264" max="265" width="9.140625" style="557"/>
    <col min="266" max="266" width="8.85546875" style="557" customWidth="1"/>
    <col min="267" max="267" width="7.28515625" style="557" customWidth="1"/>
    <col min="268" max="268" width="13.7109375" style="557" customWidth="1"/>
    <col min="269" max="269" width="9.5703125" style="557" customWidth="1"/>
    <col min="270" max="270" width="8.140625" style="557" customWidth="1"/>
    <col min="271" max="271" width="11.28515625" style="557" customWidth="1"/>
    <col min="272" max="512" width="9.140625" style="557"/>
    <col min="513" max="513" width="23.85546875" style="557" customWidth="1"/>
    <col min="514" max="514" width="8.140625" style="557" customWidth="1"/>
    <col min="515" max="515" width="7.140625" style="557" customWidth="1"/>
    <col min="516" max="516" width="8.140625" style="557" customWidth="1"/>
    <col min="517" max="517" width="8.5703125" style="557" customWidth="1"/>
    <col min="518" max="518" width="9.7109375" style="557" customWidth="1"/>
    <col min="519" max="519" width="8.5703125" style="557" customWidth="1"/>
    <col min="520" max="521" width="9.140625" style="557"/>
    <col min="522" max="522" width="8.85546875" style="557" customWidth="1"/>
    <col min="523" max="523" width="7.28515625" style="557" customWidth="1"/>
    <col min="524" max="524" width="13.7109375" style="557" customWidth="1"/>
    <col min="525" max="525" width="9.5703125" style="557" customWidth="1"/>
    <col min="526" max="526" width="8.140625" style="557" customWidth="1"/>
    <col min="527" max="527" width="11.28515625" style="557" customWidth="1"/>
    <col min="528" max="768" width="9.140625" style="557"/>
    <col min="769" max="769" width="23.85546875" style="557" customWidth="1"/>
    <col min="770" max="770" width="8.140625" style="557" customWidth="1"/>
    <col min="771" max="771" width="7.140625" style="557" customWidth="1"/>
    <col min="772" max="772" width="8.140625" style="557" customWidth="1"/>
    <col min="773" max="773" width="8.5703125" style="557" customWidth="1"/>
    <col min="774" max="774" width="9.7109375" style="557" customWidth="1"/>
    <col min="775" max="775" width="8.5703125" style="557" customWidth="1"/>
    <col min="776" max="777" width="9.140625" style="557"/>
    <col min="778" max="778" width="8.85546875" style="557" customWidth="1"/>
    <col min="779" max="779" width="7.28515625" style="557" customWidth="1"/>
    <col min="780" max="780" width="13.7109375" style="557" customWidth="1"/>
    <col min="781" max="781" width="9.5703125" style="557" customWidth="1"/>
    <col min="782" max="782" width="8.140625" style="557" customWidth="1"/>
    <col min="783" max="783" width="11.28515625" style="557" customWidth="1"/>
    <col min="784" max="1024" width="9.140625" style="557"/>
    <col min="1025" max="1025" width="23.85546875" style="557" customWidth="1"/>
    <col min="1026" max="1026" width="8.140625" style="557" customWidth="1"/>
    <col min="1027" max="1027" width="7.140625" style="557" customWidth="1"/>
    <col min="1028" max="1028" width="8.140625" style="557" customWidth="1"/>
    <col min="1029" max="1029" width="8.5703125" style="557" customWidth="1"/>
    <col min="1030" max="1030" width="9.7109375" style="557" customWidth="1"/>
    <col min="1031" max="1031" width="8.5703125" style="557" customWidth="1"/>
    <col min="1032" max="1033" width="9.140625" style="557"/>
    <col min="1034" max="1034" width="8.85546875" style="557" customWidth="1"/>
    <col min="1035" max="1035" width="7.28515625" style="557" customWidth="1"/>
    <col min="1036" max="1036" width="13.7109375" style="557" customWidth="1"/>
    <col min="1037" max="1037" width="9.5703125" style="557" customWidth="1"/>
    <col min="1038" max="1038" width="8.140625" style="557" customWidth="1"/>
    <col min="1039" max="1039" width="11.28515625" style="557" customWidth="1"/>
    <col min="1040" max="1280" width="9.140625" style="557"/>
    <col min="1281" max="1281" width="23.85546875" style="557" customWidth="1"/>
    <col min="1282" max="1282" width="8.140625" style="557" customWidth="1"/>
    <col min="1283" max="1283" width="7.140625" style="557" customWidth="1"/>
    <col min="1284" max="1284" width="8.140625" style="557" customWidth="1"/>
    <col min="1285" max="1285" width="8.5703125" style="557" customWidth="1"/>
    <col min="1286" max="1286" width="9.7109375" style="557" customWidth="1"/>
    <col min="1287" max="1287" width="8.5703125" style="557" customWidth="1"/>
    <col min="1288" max="1289" width="9.140625" style="557"/>
    <col min="1290" max="1290" width="8.85546875" style="557" customWidth="1"/>
    <col min="1291" max="1291" width="7.28515625" style="557" customWidth="1"/>
    <col min="1292" max="1292" width="13.7109375" style="557" customWidth="1"/>
    <col min="1293" max="1293" width="9.5703125" style="557" customWidth="1"/>
    <col min="1294" max="1294" width="8.140625" style="557" customWidth="1"/>
    <col min="1295" max="1295" width="11.28515625" style="557" customWidth="1"/>
    <col min="1296" max="1536" width="9.140625" style="557"/>
    <col min="1537" max="1537" width="23.85546875" style="557" customWidth="1"/>
    <col min="1538" max="1538" width="8.140625" style="557" customWidth="1"/>
    <col min="1539" max="1539" width="7.140625" style="557" customWidth="1"/>
    <col min="1540" max="1540" width="8.140625" style="557" customWidth="1"/>
    <col min="1541" max="1541" width="8.5703125" style="557" customWidth="1"/>
    <col min="1542" max="1542" width="9.7109375" style="557" customWidth="1"/>
    <col min="1543" max="1543" width="8.5703125" style="557" customWidth="1"/>
    <col min="1544" max="1545" width="9.140625" style="557"/>
    <col min="1546" max="1546" width="8.85546875" style="557" customWidth="1"/>
    <col min="1547" max="1547" width="7.28515625" style="557" customWidth="1"/>
    <col min="1548" max="1548" width="13.7109375" style="557" customWidth="1"/>
    <col min="1549" max="1549" width="9.5703125" style="557" customWidth="1"/>
    <col min="1550" max="1550" width="8.140625" style="557" customWidth="1"/>
    <col min="1551" max="1551" width="11.28515625" style="557" customWidth="1"/>
    <col min="1552" max="1792" width="9.140625" style="557"/>
    <col min="1793" max="1793" width="23.85546875" style="557" customWidth="1"/>
    <col min="1794" max="1794" width="8.140625" style="557" customWidth="1"/>
    <col min="1795" max="1795" width="7.140625" style="557" customWidth="1"/>
    <col min="1796" max="1796" width="8.140625" style="557" customWidth="1"/>
    <col min="1797" max="1797" width="8.5703125" style="557" customWidth="1"/>
    <col min="1798" max="1798" width="9.7109375" style="557" customWidth="1"/>
    <col min="1799" max="1799" width="8.5703125" style="557" customWidth="1"/>
    <col min="1800" max="1801" width="9.140625" style="557"/>
    <col min="1802" max="1802" width="8.85546875" style="557" customWidth="1"/>
    <col min="1803" max="1803" width="7.28515625" style="557" customWidth="1"/>
    <col min="1804" max="1804" width="13.7109375" style="557" customWidth="1"/>
    <col min="1805" max="1805" width="9.5703125" style="557" customWidth="1"/>
    <col min="1806" max="1806" width="8.140625" style="557" customWidth="1"/>
    <col min="1807" max="1807" width="11.28515625" style="557" customWidth="1"/>
    <col min="1808" max="2048" width="9.140625" style="557"/>
    <col min="2049" max="2049" width="23.85546875" style="557" customWidth="1"/>
    <col min="2050" max="2050" width="8.140625" style="557" customWidth="1"/>
    <col min="2051" max="2051" width="7.140625" style="557" customWidth="1"/>
    <col min="2052" max="2052" width="8.140625" style="557" customWidth="1"/>
    <col min="2053" max="2053" width="8.5703125" style="557" customWidth="1"/>
    <col min="2054" max="2054" width="9.7109375" style="557" customWidth="1"/>
    <col min="2055" max="2055" width="8.5703125" style="557" customWidth="1"/>
    <col min="2056" max="2057" width="9.140625" style="557"/>
    <col min="2058" max="2058" width="8.85546875" style="557" customWidth="1"/>
    <col min="2059" max="2059" width="7.28515625" style="557" customWidth="1"/>
    <col min="2060" max="2060" width="13.7109375" style="557" customWidth="1"/>
    <col min="2061" max="2061" width="9.5703125" style="557" customWidth="1"/>
    <col min="2062" max="2062" width="8.140625" style="557" customWidth="1"/>
    <col min="2063" max="2063" width="11.28515625" style="557" customWidth="1"/>
    <col min="2064" max="2304" width="9.140625" style="557"/>
    <col min="2305" max="2305" width="23.85546875" style="557" customWidth="1"/>
    <col min="2306" max="2306" width="8.140625" style="557" customWidth="1"/>
    <col min="2307" max="2307" width="7.140625" style="557" customWidth="1"/>
    <col min="2308" max="2308" width="8.140625" style="557" customWidth="1"/>
    <col min="2309" max="2309" width="8.5703125" style="557" customWidth="1"/>
    <col min="2310" max="2310" width="9.7109375" style="557" customWidth="1"/>
    <col min="2311" max="2311" width="8.5703125" style="557" customWidth="1"/>
    <col min="2312" max="2313" width="9.140625" style="557"/>
    <col min="2314" max="2314" width="8.85546875" style="557" customWidth="1"/>
    <col min="2315" max="2315" width="7.28515625" style="557" customWidth="1"/>
    <col min="2316" max="2316" width="13.7109375" style="557" customWidth="1"/>
    <col min="2317" max="2317" width="9.5703125" style="557" customWidth="1"/>
    <col min="2318" max="2318" width="8.140625" style="557" customWidth="1"/>
    <col min="2319" max="2319" width="11.28515625" style="557" customWidth="1"/>
    <col min="2320" max="2560" width="9.140625" style="557"/>
    <col min="2561" max="2561" width="23.85546875" style="557" customWidth="1"/>
    <col min="2562" max="2562" width="8.140625" style="557" customWidth="1"/>
    <col min="2563" max="2563" width="7.140625" style="557" customWidth="1"/>
    <col min="2564" max="2564" width="8.140625" style="557" customWidth="1"/>
    <col min="2565" max="2565" width="8.5703125" style="557" customWidth="1"/>
    <col min="2566" max="2566" width="9.7109375" style="557" customWidth="1"/>
    <col min="2567" max="2567" width="8.5703125" style="557" customWidth="1"/>
    <col min="2568" max="2569" width="9.140625" style="557"/>
    <col min="2570" max="2570" width="8.85546875" style="557" customWidth="1"/>
    <col min="2571" max="2571" width="7.28515625" style="557" customWidth="1"/>
    <col min="2572" max="2572" width="13.7109375" style="557" customWidth="1"/>
    <col min="2573" max="2573" width="9.5703125" style="557" customWidth="1"/>
    <col min="2574" max="2574" width="8.140625" style="557" customWidth="1"/>
    <col min="2575" max="2575" width="11.28515625" style="557" customWidth="1"/>
    <col min="2576" max="2816" width="9.140625" style="557"/>
    <col min="2817" max="2817" width="23.85546875" style="557" customWidth="1"/>
    <col min="2818" max="2818" width="8.140625" style="557" customWidth="1"/>
    <col min="2819" max="2819" width="7.140625" style="557" customWidth="1"/>
    <col min="2820" max="2820" width="8.140625" style="557" customWidth="1"/>
    <col min="2821" max="2821" width="8.5703125" style="557" customWidth="1"/>
    <col min="2822" max="2822" width="9.7109375" style="557" customWidth="1"/>
    <col min="2823" max="2823" width="8.5703125" style="557" customWidth="1"/>
    <col min="2824" max="2825" width="9.140625" style="557"/>
    <col min="2826" max="2826" width="8.85546875" style="557" customWidth="1"/>
    <col min="2827" max="2827" width="7.28515625" style="557" customWidth="1"/>
    <col min="2828" max="2828" width="13.7109375" style="557" customWidth="1"/>
    <col min="2829" max="2829" width="9.5703125" style="557" customWidth="1"/>
    <col min="2830" max="2830" width="8.140625" style="557" customWidth="1"/>
    <col min="2831" max="2831" width="11.28515625" style="557" customWidth="1"/>
    <col min="2832" max="3072" width="9.140625" style="557"/>
    <col min="3073" max="3073" width="23.85546875" style="557" customWidth="1"/>
    <col min="3074" max="3074" width="8.140625" style="557" customWidth="1"/>
    <col min="3075" max="3075" width="7.140625" style="557" customWidth="1"/>
    <col min="3076" max="3076" width="8.140625" style="557" customWidth="1"/>
    <col min="3077" max="3077" width="8.5703125" style="557" customWidth="1"/>
    <col min="3078" max="3078" width="9.7109375" style="557" customWidth="1"/>
    <col min="3079" max="3079" width="8.5703125" style="557" customWidth="1"/>
    <col min="3080" max="3081" width="9.140625" style="557"/>
    <col min="3082" max="3082" width="8.85546875" style="557" customWidth="1"/>
    <col min="3083" max="3083" width="7.28515625" style="557" customWidth="1"/>
    <col min="3084" max="3084" width="13.7109375" style="557" customWidth="1"/>
    <col min="3085" max="3085" width="9.5703125" style="557" customWidth="1"/>
    <col min="3086" max="3086" width="8.140625" style="557" customWidth="1"/>
    <col min="3087" max="3087" width="11.28515625" style="557" customWidth="1"/>
    <col min="3088" max="3328" width="9.140625" style="557"/>
    <col min="3329" max="3329" width="23.85546875" style="557" customWidth="1"/>
    <col min="3330" max="3330" width="8.140625" style="557" customWidth="1"/>
    <col min="3331" max="3331" width="7.140625" style="557" customWidth="1"/>
    <col min="3332" max="3332" width="8.140625" style="557" customWidth="1"/>
    <col min="3333" max="3333" width="8.5703125" style="557" customWidth="1"/>
    <col min="3334" max="3334" width="9.7109375" style="557" customWidth="1"/>
    <col min="3335" max="3335" width="8.5703125" style="557" customWidth="1"/>
    <col min="3336" max="3337" width="9.140625" style="557"/>
    <col min="3338" max="3338" width="8.85546875" style="557" customWidth="1"/>
    <col min="3339" max="3339" width="7.28515625" style="557" customWidth="1"/>
    <col min="3340" max="3340" width="13.7109375" style="557" customWidth="1"/>
    <col min="3341" max="3341" width="9.5703125" style="557" customWidth="1"/>
    <col min="3342" max="3342" width="8.140625" style="557" customWidth="1"/>
    <col min="3343" max="3343" width="11.28515625" style="557" customWidth="1"/>
    <col min="3344" max="3584" width="9.140625" style="557"/>
    <col min="3585" max="3585" width="23.85546875" style="557" customWidth="1"/>
    <col min="3586" max="3586" width="8.140625" style="557" customWidth="1"/>
    <col min="3587" max="3587" width="7.140625" style="557" customWidth="1"/>
    <col min="3588" max="3588" width="8.140625" style="557" customWidth="1"/>
    <col min="3589" max="3589" width="8.5703125" style="557" customWidth="1"/>
    <col min="3590" max="3590" width="9.7109375" style="557" customWidth="1"/>
    <col min="3591" max="3591" width="8.5703125" style="557" customWidth="1"/>
    <col min="3592" max="3593" width="9.140625" style="557"/>
    <col min="3594" max="3594" width="8.85546875" style="557" customWidth="1"/>
    <col min="3595" max="3595" width="7.28515625" style="557" customWidth="1"/>
    <col min="3596" max="3596" width="13.7109375" style="557" customWidth="1"/>
    <col min="3597" max="3597" width="9.5703125" style="557" customWidth="1"/>
    <col min="3598" max="3598" width="8.140625" style="557" customWidth="1"/>
    <col min="3599" max="3599" width="11.28515625" style="557" customWidth="1"/>
    <col min="3600" max="3840" width="9.140625" style="557"/>
    <col min="3841" max="3841" width="23.85546875" style="557" customWidth="1"/>
    <col min="3842" max="3842" width="8.140625" style="557" customWidth="1"/>
    <col min="3843" max="3843" width="7.140625" style="557" customWidth="1"/>
    <col min="3844" max="3844" width="8.140625" style="557" customWidth="1"/>
    <col min="3845" max="3845" width="8.5703125" style="557" customWidth="1"/>
    <col min="3846" max="3846" width="9.7109375" style="557" customWidth="1"/>
    <col min="3847" max="3847" width="8.5703125" style="557" customWidth="1"/>
    <col min="3848" max="3849" width="9.140625" style="557"/>
    <col min="3850" max="3850" width="8.85546875" style="557" customWidth="1"/>
    <col min="3851" max="3851" width="7.28515625" style="557" customWidth="1"/>
    <col min="3852" max="3852" width="13.7109375" style="557" customWidth="1"/>
    <col min="3853" max="3853" width="9.5703125" style="557" customWidth="1"/>
    <col min="3854" max="3854" width="8.140625" style="557" customWidth="1"/>
    <col min="3855" max="3855" width="11.28515625" style="557" customWidth="1"/>
    <col min="3856" max="4096" width="9.140625" style="557"/>
    <col min="4097" max="4097" width="23.85546875" style="557" customWidth="1"/>
    <col min="4098" max="4098" width="8.140625" style="557" customWidth="1"/>
    <col min="4099" max="4099" width="7.140625" style="557" customWidth="1"/>
    <col min="4100" max="4100" width="8.140625" style="557" customWidth="1"/>
    <col min="4101" max="4101" width="8.5703125" style="557" customWidth="1"/>
    <col min="4102" max="4102" width="9.7109375" style="557" customWidth="1"/>
    <col min="4103" max="4103" width="8.5703125" style="557" customWidth="1"/>
    <col min="4104" max="4105" width="9.140625" style="557"/>
    <col min="4106" max="4106" width="8.85546875" style="557" customWidth="1"/>
    <col min="4107" max="4107" width="7.28515625" style="557" customWidth="1"/>
    <col min="4108" max="4108" width="13.7109375" style="557" customWidth="1"/>
    <col min="4109" max="4109" width="9.5703125" style="557" customWidth="1"/>
    <col min="4110" max="4110" width="8.140625" style="557" customWidth="1"/>
    <col min="4111" max="4111" width="11.28515625" style="557" customWidth="1"/>
    <col min="4112" max="4352" width="9.140625" style="557"/>
    <col min="4353" max="4353" width="23.85546875" style="557" customWidth="1"/>
    <col min="4354" max="4354" width="8.140625" style="557" customWidth="1"/>
    <col min="4355" max="4355" width="7.140625" style="557" customWidth="1"/>
    <col min="4356" max="4356" width="8.140625" style="557" customWidth="1"/>
    <col min="4357" max="4357" width="8.5703125" style="557" customWidth="1"/>
    <col min="4358" max="4358" width="9.7109375" style="557" customWidth="1"/>
    <col min="4359" max="4359" width="8.5703125" style="557" customWidth="1"/>
    <col min="4360" max="4361" width="9.140625" style="557"/>
    <col min="4362" max="4362" width="8.85546875" style="557" customWidth="1"/>
    <col min="4363" max="4363" width="7.28515625" style="557" customWidth="1"/>
    <col min="4364" max="4364" width="13.7109375" style="557" customWidth="1"/>
    <col min="4365" max="4365" width="9.5703125" style="557" customWidth="1"/>
    <col min="4366" max="4366" width="8.140625" style="557" customWidth="1"/>
    <col min="4367" max="4367" width="11.28515625" style="557" customWidth="1"/>
    <col min="4368" max="4608" width="9.140625" style="557"/>
    <col min="4609" max="4609" width="23.85546875" style="557" customWidth="1"/>
    <col min="4610" max="4610" width="8.140625" style="557" customWidth="1"/>
    <col min="4611" max="4611" width="7.140625" style="557" customWidth="1"/>
    <col min="4612" max="4612" width="8.140625" style="557" customWidth="1"/>
    <col min="4613" max="4613" width="8.5703125" style="557" customWidth="1"/>
    <col min="4614" max="4614" width="9.7109375" style="557" customWidth="1"/>
    <col min="4615" max="4615" width="8.5703125" style="557" customWidth="1"/>
    <col min="4616" max="4617" width="9.140625" style="557"/>
    <col min="4618" max="4618" width="8.85546875" style="557" customWidth="1"/>
    <col min="4619" max="4619" width="7.28515625" style="557" customWidth="1"/>
    <col min="4620" max="4620" width="13.7109375" style="557" customWidth="1"/>
    <col min="4621" max="4621" width="9.5703125" style="557" customWidth="1"/>
    <col min="4622" max="4622" width="8.140625" style="557" customWidth="1"/>
    <col min="4623" max="4623" width="11.28515625" style="557" customWidth="1"/>
    <col min="4624" max="4864" width="9.140625" style="557"/>
    <col min="4865" max="4865" width="23.85546875" style="557" customWidth="1"/>
    <col min="4866" max="4866" width="8.140625" style="557" customWidth="1"/>
    <col min="4867" max="4867" width="7.140625" style="557" customWidth="1"/>
    <col min="4868" max="4868" width="8.140625" style="557" customWidth="1"/>
    <col min="4869" max="4869" width="8.5703125" style="557" customWidth="1"/>
    <col min="4870" max="4870" width="9.7109375" style="557" customWidth="1"/>
    <col min="4871" max="4871" width="8.5703125" style="557" customWidth="1"/>
    <col min="4872" max="4873" width="9.140625" style="557"/>
    <col min="4874" max="4874" width="8.85546875" style="557" customWidth="1"/>
    <col min="4875" max="4875" width="7.28515625" style="557" customWidth="1"/>
    <col min="4876" max="4876" width="13.7109375" style="557" customWidth="1"/>
    <col min="4877" max="4877" width="9.5703125" style="557" customWidth="1"/>
    <col min="4878" max="4878" width="8.140625" style="557" customWidth="1"/>
    <col min="4879" max="4879" width="11.28515625" style="557" customWidth="1"/>
    <col min="4880" max="5120" width="9.140625" style="557"/>
    <col min="5121" max="5121" width="23.85546875" style="557" customWidth="1"/>
    <col min="5122" max="5122" width="8.140625" style="557" customWidth="1"/>
    <col min="5123" max="5123" width="7.140625" style="557" customWidth="1"/>
    <col min="5124" max="5124" width="8.140625" style="557" customWidth="1"/>
    <col min="5125" max="5125" width="8.5703125" style="557" customWidth="1"/>
    <col min="5126" max="5126" width="9.7109375" style="557" customWidth="1"/>
    <col min="5127" max="5127" width="8.5703125" style="557" customWidth="1"/>
    <col min="5128" max="5129" width="9.140625" style="557"/>
    <col min="5130" max="5130" width="8.85546875" style="557" customWidth="1"/>
    <col min="5131" max="5131" width="7.28515625" style="557" customWidth="1"/>
    <col min="5132" max="5132" width="13.7109375" style="557" customWidth="1"/>
    <col min="5133" max="5133" width="9.5703125" style="557" customWidth="1"/>
    <col min="5134" max="5134" width="8.140625" style="557" customWidth="1"/>
    <col min="5135" max="5135" width="11.28515625" style="557" customWidth="1"/>
    <col min="5136" max="5376" width="9.140625" style="557"/>
    <col min="5377" max="5377" width="23.85546875" style="557" customWidth="1"/>
    <col min="5378" max="5378" width="8.140625" style="557" customWidth="1"/>
    <col min="5379" max="5379" width="7.140625" style="557" customWidth="1"/>
    <col min="5380" max="5380" width="8.140625" style="557" customWidth="1"/>
    <col min="5381" max="5381" width="8.5703125" style="557" customWidth="1"/>
    <col min="5382" max="5382" width="9.7109375" style="557" customWidth="1"/>
    <col min="5383" max="5383" width="8.5703125" style="557" customWidth="1"/>
    <col min="5384" max="5385" width="9.140625" style="557"/>
    <col min="5386" max="5386" width="8.85546875" style="557" customWidth="1"/>
    <col min="5387" max="5387" width="7.28515625" style="557" customWidth="1"/>
    <col min="5388" max="5388" width="13.7109375" style="557" customWidth="1"/>
    <col min="5389" max="5389" width="9.5703125" style="557" customWidth="1"/>
    <col min="5390" max="5390" width="8.140625" style="557" customWidth="1"/>
    <col min="5391" max="5391" width="11.28515625" style="557" customWidth="1"/>
    <col min="5392" max="5632" width="9.140625" style="557"/>
    <col min="5633" max="5633" width="23.85546875" style="557" customWidth="1"/>
    <col min="5634" max="5634" width="8.140625" style="557" customWidth="1"/>
    <col min="5635" max="5635" width="7.140625" style="557" customWidth="1"/>
    <col min="5636" max="5636" width="8.140625" style="557" customWidth="1"/>
    <col min="5637" max="5637" width="8.5703125" style="557" customWidth="1"/>
    <col min="5638" max="5638" width="9.7109375" style="557" customWidth="1"/>
    <col min="5639" max="5639" width="8.5703125" style="557" customWidth="1"/>
    <col min="5640" max="5641" width="9.140625" style="557"/>
    <col min="5642" max="5642" width="8.85546875" style="557" customWidth="1"/>
    <col min="5643" max="5643" width="7.28515625" style="557" customWidth="1"/>
    <col min="5644" max="5644" width="13.7109375" style="557" customWidth="1"/>
    <col min="5645" max="5645" width="9.5703125" style="557" customWidth="1"/>
    <col min="5646" max="5646" width="8.140625" style="557" customWidth="1"/>
    <col min="5647" max="5647" width="11.28515625" style="557" customWidth="1"/>
    <col min="5648" max="5888" width="9.140625" style="557"/>
    <col min="5889" max="5889" width="23.85546875" style="557" customWidth="1"/>
    <col min="5890" max="5890" width="8.140625" style="557" customWidth="1"/>
    <col min="5891" max="5891" width="7.140625" style="557" customWidth="1"/>
    <col min="5892" max="5892" width="8.140625" style="557" customWidth="1"/>
    <col min="5893" max="5893" width="8.5703125" style="557" customWidth="1"/>
    <col min="5894" max="5894" width="9.7109375" style="557" customWidth="1"/>
    <col min="5895" max="5895" width="8.5703125" style="557" customWidth="1"/>
    <col min="5896" max="5897" width="9.140625" style="557"/>
    <col min="5898" max="5898" width="8.85546875" style="557" customWidth="1"/>
    <col min="5899" max="5899" width="7.28515625" style="557" customWidth="1"/>
    <col min="5900" max="5900" width="13.7109375" style="557" customWidth="1"/>
    <col min="5901" max="5901" width="9.5703125" style="557" customWidth="1"/>
    <col min="5902" max="5902" width="8.140625" style="557" customWidth="1"/>
    <col min="5903" max="5903" width="11.28515625" style="557" customWidth="1"/>
    <col min="5904" max="6144" width="9.140625" style="557"/>
    <col min="6145" max="6145" width="23.85546875" style="557" customWidth="1"/>
    <col min="6146" max="6146" width="8.140625" style="557" customWidth="1"/>
    <col min="6147" max="6147" width="7.140625" style="557" customWidth="1"/>
    <col min="6148" max="6148" width="8.140625" style="557" customWidth="1"/>
    <col min="6149" max="6149" width="8.5703125" style="557" customWidth="1"/>
    <col min="6150" max="6150" width="9.7109375" style="557" customWidth="1"/>
    <col min="6151" max="6151" width="8.5703125" style="557" customWidth="1"/>
    <col min="6152" max="6153" width="9.140625" style="557"/>
    <col min="6154" max="6154" width="8.85546875" style="557" customWidth="1"/>
    <col min="6155" max="6155" width="7.28515625" style="557" customWidth="1"/>
    <col min="6156" max="6156" width="13.7109375" style="557" customWidth="1"/>
    <col min="6157" max="6157" width="9.5703125" style="557" customWidth="1"/>
    <col min="6158" max="6158" width="8.140625" style="557" customWidth="1"/>
    <col min="6159" max="6159" width="11.28515625" style="557" customWidth="1"/>
    <col min="6160" max="6400" width="9.140625" style="557"/>
    <col min="6401" max="6401" width="23.85546875" style="557" customWidth="1"/>
    <col min="6402" max="6402" width="8.140625" style="557" customWidth="1"/>
    <col min="6403" max="6403" width="7.140625" style="557" customWidth="1"/>
    <col min="6404" max="6404" width="8.140625" style="557" customWidth="1"/>
    <col min="6405" max="6405" width="8.5703125" style="557" customWidth="1"/>
    <col min="6406" max="6406" width="9.7109375" style="557" customWidth="1"/>
    <col min="6407" max="6407" width="8.5703125" style="557" customWidth="1"/>
    <col min="6408" max="6409" width="9.140625" style="557"/>
    <col min="6410" max="6410" width="8.85546875" style="557" customWidth="1"/>
    <col min="6411" max="6411" width="7.28515625" style="557" customWidth="1"/>
    <col min="6412" max="6412" width="13.7109375" style="557" customWidth="1"/>
    <col min="6413" max="6413" width="9.5703125" style="557" customWidth="1"/>
    <col min="6414" max="6414" width="8.140625" style="557" customWidth="1"/>
    <col min="6415" max="6415" width="11.28515625" style="557" customWidth="1"/>
    <col min="6416" max="6656" width="9.140625" style="557"/>
    <col min="6657" max="6657" width="23.85546875" style="557" customWidth="1"/>
    <col min="6658" max="6658" width="8.140625" style="557" customWidth="1"/>
    <col min="6659" max="6659" width="7.140625" style="557" customWidth="1"/>
    <col min="6660" max="6660" width="8.140625" style="557" customWidth="1"/>
    <col min="6661" max="6661" width="8.5703125" style="557" customWidth="1"/>
    <col min="6662" max="6662" width="9.7109375" style="557" customWidth="1"/>
    <col min="6663" max="6663" width="8.5703125" style="557" customWidth="1"/>
    <col min="6664" max="6665" width="9.140625" style="557"/>
    <col min="6666" max="6666" width="8.85546875" style="557" customWidth="1"/>
    <col min="6667" max="6667" width="7.28515625" style="557" customWidth="1"/>
    <col min="6668" max="6668" width="13.7109375" style="557" customWidth="1"/>
    <col min="6669" max="6669" width="9.5703125" style="557" customWidth="1"/>
    <col min="6670" max="6670" width="8.140625" style="557" customWidth="1"/>
    <col min="6671" max="6671" width="11.28515625" style="557" customWidth="1"/>
    <col min="6672" max="6912" width="9.140625" style="557"/>
    <col min="6913" max="6913" width="23.85546875" style="557" customWidth="1"/>
    <col min="6914" max="6914" width="8.140625" style="557" customWidth="1"/>
    <col min="6915" max="6915" width="7.140625" style="557" customWidth="1"/>
    <col min="6916" max="6916" width="8.140625" style="557" customWidth="1"/>
    <col min="6917" max="6917" width="8.5703125" style="557" customWidth="1"/>
    <col min="6918" max="6918" width="9.7109375" style="557" customWidth="1"/>
    <col min="6919" max="6919" width="8.5703125" style="557" customWidth="1"/>
    <col min="6920" max="6921" width="9.140625" style="557"/>
    <col min="6922" max="6922" width="8.85546875" style="557" customWidth="1"/>
    <col min="6923" max="6923" width="7.28515625" style="557" customWidth="1"/>
    <col min="6924" max="6924" width="13.7109375" style="557" customWidth="1"/>
    <col min="6925" max="6925" width="9.5703125" style="557" customWidth="1"/>
    <col min="6926" max="6926" width="8.140625" style="557" customWidth="1"/>
    <col min="6927" max="6927" width="11.28515625" style="557" customWidth="1"/>
    <col min="6928" max="7168" width="9.140625" style="557"/>
    <col min="7169" max="7169" width="23.85546875" style="557" customWidth="1"/>
    <col min="7170" max="7170" width="8.140625" style="557" customWidth="1"/>
    <col min="7171" max="7171" width="7.140625" style="557" customWidth="1"/>
    <col min="7172" max="7172" width="8.140625" style="557" customWidth="1"/>
    <col min="7173" max="7173" width="8.5703125" style="557" customWidth="1"/>
    <col min="7174" max="7174" width="9.7109375" style="557" customWidth="1"/>
    <col min="7175" max="7175" width="8.5703125" style="557" customWidth="1"/>
    <col min="7176" max="7177" width="9.140625" style="557"/>
    <col min="7178" max="7178" width="8.85546875" style="557" customWidth="1"/>
    <col min="7179" max="7179" width="7.28515625" style="557" customWidth="1"/>
    <col min="7180" max="7180" width="13.7109375" style="557" customWidth="1"/>
    <col min="7181" max="7181" width="9.5703125" style="557" customWidth="1"/>
    <col min="7182" max="7182" width="8.140625" style="557" customWidth="1"/>
    <col min="7183" max="7183" width="11.28515625" style="557" customWidth="1"/>
    <col min="7184" max="7424" width="9.140625" style="557"/>
    <col min="7425" max="7425" width="23.85546875" style="557" customWidth="1"/>
    <col min="7426" max="7426" width="8.140625" style="557" customWidth="1"/>
    <col min="7427" max="7427" width="7.140625" style="557" customWidth="1"/>
    <col min="7428" max="7428" width="8.140625" style="557" customWidth="1"/>
    <col min="7429" max="7429" width="8.5703125" style="557" customWidth="1"/>
    <col min="7430" max="7430" width="9.7109375" style="557" customWidth="1"/>
    <col min="7431" max="7431" width="8.5703125" style="557" customWidth="1"/>
    <col min="7432" max="7433" width="9.140625" style="557"/>
    <col min="7434" max="7434" width="8.85546875" style="557" customWidth="1"/>
    <col min="7435" max="7435" width="7.28515625" style="557" customWidth="1"/>
    <col min="7436" max="7436" width="13.7109375" style="557" customWidth="1"/>
    <col min="7437" max="7437" width="9.5703125" style="557" customWidth="1"/>
    <col min="7438" max="7438" width="8.140625" style="557" customWidth="1"/>
    <col min="7439" max="7439" width="11.28515625" style="557" customWidth="1"/>
    <col min="7440" max="7680" width="9.140625" style="557"/>
    <col min="7681" max="7681" width="23.85546875" style="557" customWidth="1"/>
    <col min="7682" max="7682" width="8.140625" style="557" customWidth="1"/>
    <col min="7683" max="7683" width="7.140625" style="557" customWidth="1"/>
    <col min="7684" max="7684" width="8.140625" style="557" customWidth="1"/>
    <col min="7685" max="7685" width="8.5703125" style="557" customWidth="1"/>
    <col min="7686" max="7686" width="9.7109375" style="557" customWidth="1"/>
    <col min="7687" max="7687" width="8.5703125" style="557" customWidth="1"/>
    <col min="7688" max="7689" width="9.140625" style="557"/>
    <col min="7690" max="7690" width="8.85546875" style="557" customWidth="1"/>
    <col min="7691" max="7691" width="7.28515625" style="557" customWidth="1"/>
    <col min="7692" max="7692" width="13.7109375" style="557" customWidth="1"/>
    <col min="7693" max="7693" width="9.5703125" style="557" customWidth="1"/>
    <col min="7694" max="7694" width="8.140625" style="557" customWidth="1"/>
    <col min="7695" max="7695" width="11.28515625" style="557" customWidth="1"/>
    <col min="7696" max="7936" width="9.140625" style="557"/>
    <col min="7937" max="7937" width="23.85546875" style="557" customWidth="1"/>
    <col min="7938" max="7938" width="8.140625" style="557" customWidth="1"/>
    <col min="7939" max="7939" width="7.140625" style="557" customWidth="1"/>
    <col min="7940" max="7940" width="8.140625" style="557" customWidth="1"/>
    <col min="7941" max="7941" width="8.5703125" style="557" customWidth="1"/>
    <col min="7942" max="7942" width="9.7109375" style="557" customWidth="1"/>
    <col min="7943" max="7943" width="8.5703125" style="557" customWidth="1"/>
    <col min="7944" max="7945" width="9.140625" style="557"/>
    <col min="7946" max="7946" width="8.85546875" style="557" customWidth="1"/>
    <col min="7947" max="7947" width="7.28515625" style="557" customWidth="1"/>
    <col min="7948" max="7948" width="13.7109375" style="557" customWidth="1"/>
    <col min="7949" max="7949" width="9.5703125" style="557" customWidth="1"/>
    <col min="7950" max="7950" width="8.140625" style="557" customWidth="1"/>
    <col min="7951" max="7951" width="11.28515625" style="557" customWidth="1"/>
    <col min="7952" max="8192" width="9.140625" style="557"/>
    <col min="8193" max="8193" width="23.85546875" style="557" customWidth="1"/>
    <col min="8194" max="8194" width="8.140625" style="557" customWidth="1"/>
    <col min="8195" max="8195" width="7.140625" style="557" customWidth="1"/>
    <col min="8196" max="8196" width="8.140625" style="557" customWidth="1"/>
    <col min="8197" max="8197" width="8.5703125" style="557" customWidth="1"/>
    <col min="8198" max="8198" width="9.7109375" style="557" customWidth="1"/>
    <col min="8199" max="8199" width="8.5703125" style="557" customWidth="1"/>
    <col min="8200" max="8201" width="9.140625" style="557"/>
    <col min="8202" max="8202" width="8.85546875" style="557" customWidth="1"/>
    <col min="8203" max="8203" width="7.28515625" style="557" customWidth="1"/>
    <col min="8204" max="8204" width="13.7109375" style="557" customWidth="1"/>
    <col min="8205" max="8205" width="9.5703125" style="557" customWidth="1"/>
    <col min="8206" max="8206" width="8.140625" style="557" customWidth="1"/>
    <col min="8207" max="8207" width="11.28515625" style="557" customWidth="1"/>
    <col min="8208" max="8448" width="9.140625" style="557"/>
    <col min="8449" max="8449" width="23.85546875" style="557" customWidth="1"/>
    <col min="8450" max="8450" width="8.140625" style="557" customWidth="1"/>
    <col min="8451" max="8451" width="7.140625" style="557" customWidth="1"/>
    <col min="8452" max="8452" width="8.140625" style="557" customWidth="1"/>
    <col min="8453" max="8453" width="8.5703125" style="557" customWidth="1"/>
    <col min="8454" max="8454" width="9.7109375" style="557" customWidth="1"/>
    <col min="8455" max="8455" width="8.5703125" style="557" customWidth="1"/>
    <col min="8456" max="8457" width="9.140625" style="557"/>
    <col min="8458" max="8458" width="8.85546875" style="557" customWidth="1"/>
    <col min="8459" max="8459" width="7.28515625" style="557" customWidth="1"/>
    <col min="8460" max="8460" width="13.7109375" style="557" customWidth="1"/>
    <col min="8461" max="8461" width="9.5703125" style="557" customWidth="1"/>
    <col min="8462" max="8462" width="8.140625" style="557" customWidth="1"/>
    <col min="8463" max="8463" width="11.28515625" style="557" customWidth="1"/>
    <col min="8464" max="8704" width="9.140625" style="557"/>
    <col min="8705" max="8705" width="23.85546875" style="557" customWidth="1"/>
    <col min="8706" max="8706" width="8.140625" style="557" customWidth="1"/>
    <col min="8707" max="8707" width="7.140625" style="557" customWidth="1"/>
    <col min="8708" max="8708" width="8.140625" style="557" customWidth="1"/>
    <col min="8709" max="8709" width="8.5703125" style="557" customWidth="1"/>
    <col min="8710" max="8710" width="9.7109375" style="557" customWidth="1"/>
    <col min="8711" max="8711" width="8.5703125" style="557" customWidth="1"/>
    <col min="8712" max="8713" width="9.140625" style="557"/>
    <col min="8714" max="8714" width="8.85546875" style="557" customWidth="1"/>
    <col min="8715" max="8715" width="7.28515625" style="557" customWidth="1"/>
    <col min="8716" max="8716" width="13.7109375" style="557" customWidth="1"/>
    <col min="8717" max="8717" width="9.5703125" style="557" customWidth="1"/>
    <col min="8718" max="8718" width="8.140625" style="557" customWidth="1"/>
    <col min="8719" max="8719" width="11.28515625" style="557" customWidth="1"/>
    <col min="8720" max="8960" width="9.140625" style="557"/>
    <col min="8961" max="8961" width="23.85546875" style="557" customWidth="1"/>
    <col min="8962" max="8962" width="8.140625" style="557" customWidth="1"/>
    <col min="8963" max="8963" width="7.140625" style="557" customWidth="1"/>
    <col min="8964" max="8964" width="8.140625" style="557" customWidth="1"/>
    <col min="8965" max="8965" width="8.5703125" style="557" customWidth="1"/>
    <col min="8966" max="8966" width="9.7109375" style="557" customWidth="1"/>
    <col min="8967" max="8967" width="8.5703125" style="557" customWidth="1"/>
    <col min="8968" max="8969" width="9.140625" style="557"/>
    <col min="8970" max="8970" width="8.85546875" style="557" customWidth="1"/>
    <col min="8971" max="8971" width="7.28515625" style="557" customWidth="1"/>
    <col min="8972" max="8972" width="13.7109375" style="557" customWidth="1"/>
    <col min="8973" max="8973" width="9.5703125" style="557" customWidth="1"/>
    <col min="8974" max="8974" width="8.140625" style="557" customWidth="1"/>
    <col min="8975" max="8975" width="11.28515625" style="557" customWidth="1"/>
    <col min="8976" max="9216" width="9.140625" style="557"/>
    <col min="9217" max="9217" width="23.85546875" style="557" customWidth="1"/>
    <col min="9218" max="9218" width="8.140625" style="557" customWidth="1"/>
    <col min="9219" max="9219" width="7.140625" style="557" customWidth="1"/>
    <col min="9220" max="9220" width="8.140625" style="557" customWidth="1"/>
    <col min="9221" max="9221" width="8.5703125" style="557" customWidth="1"/>
    <col min="9222" max="9222" width="9.7109375" style="557" customWidth="1"/>
    <col min="9223" max="9223" width="8.5703125" style="557" customWidth="1"/>
    <col min="9224" max="9225" width="9.140625" style="557"/>
    <col min="9226" max="9226" width="8.85546875" style="557" customWidth="1"/>
    <col min="9227" max="9227" width="7.28515625" style="557" customWidth="1"/>
    <col min="9228" max="9228" width="13.7109375" style="557" customWidth="1"/>
    <col min="9229" max="9229" width="9.5703125" style="557" customWidth="1"/>
    <col min="9230" max="9230" width="8.140625" style="557" customWidth="1"/>
    <col min="9231" max="9231" width="11.28515625" style="557" customWidth="1"/>
    <col min="9232" max="9472" width="9.140625" style="557"/>
    <col min="9473" max="9473" width="23.85546875" style="557" customWidth="1"/>
    <col min="9474" max="9474" width="8.140625" style="557" customWidth="1"/>
    <col min="9475" max="9475" width="7.140625" style="557" customWidth="1"/>
    <col min="9476" max="9476" width="8.140625" style="557" customWidth="1"/>
    <col min="9477" max="9477" width="8.5703125" style="557" customWidth="1"/>
    <col min="9478" max="9478" width="9.7109375" style="557" customWidth="1"/>
    <col min="9479" max="9479" width="8.5703125" style="557" customWidth="1"/>
    <col min="9480" max="9481" width="9.140625" style="557"/>
    <col min="9482" max="9482" width="8.85546875" style="557" customWidth="1"/>
    <col min="9483" max="9483" width="7.28515625" style="557" customWidth="1"/>
    <col min="9484" max="9484" width="13.7109375" style="557" customWidth="1"/>
    <col min="9485" max="9485" width="9.5703125" style="557" customWidth="1"/>
    <col min="9486" max="9486" width="8.140625" style="557" customWidth="1"/>
    <col min="9487" max="9487" width="11.28515625" style="557" customWidth="1"/>
    <col min="9488" max="9728" width="9.140625" style="557"/>
    <col min="9729" max="9729" width="23.85546875" style="557" customWidth="1"/>
    <col min="9730" max="9730" width="8.140625" style="557" customWidth="1"/>
    <col min="9731" max="9731" width="7.140625" style="557" customWidth="1"/>
    <col min="9732" max="9732" width="8.140625" style="557" customWidth="1"/>
    <col min="9733" max="9733" width="8.5703125" style="557" customWidth="1"/>
    <col min="9734" max="9734" width="9.7109375" style="557" customWidth="1"/>
    <col min="9735" max="9735" width="8.5703125" style="557" customWidth="1"/>
    <col min="9736" max="9737" width="9.140625" style="557"/>
    <col min="9738" max="9738" width="8.85546875" style="557" customWidth="1"/>
    <col min="9739" max="9739" width="7.28515625" style="557" customWidth="1"/>
    <col min="9740" max="9740" width="13.7109375" style="557" customWidth="1"/>
    <col min="9741" max="9741" width="9.5703125" style="557" customWidth="1"/>
    <col min="9742" max="9742" width="8.140625" style="557" customWidth="1"/>
    <col min="9743" max="9743" width="11.28515625" style="557" customWidth="1"/>
    <col min="9744" max="9984" width="9.140625" style="557"/>
    <col min="9985" max="9985" width="23.85546875" style="557" customWidth="1"/>
    <col min="9986" max="9986" width="8.140625" style="557" customWidth="1"/>
    <col min="9987" max="9987" width="7.140625" style="557" customWidth="1"/>
    <col min="9988" max="9988" width="8.140625" style="557" customWidth="1"/>
    <col min="9989" max="9989" width="8.5703125" style="557" customWidth="1"/>
    <col min="9990" max="9990" width="9.7109375" style="557" customWidth="1"/>
    <col min="9991" max="9991" width="8.5703125" style="557" customWidth="1"/>
    <col min="9992" max="9993" width="9.140625" style="557"/>
    <col min="9994" max="9994" width="8.85546875" style="557" customWidth="1"/>
    <col min="9995" max="9995" width="7.28515625" style="557" customWidth="1"/>
    <col min="9996" max="9996" width="13.7109375" style="557" customWidth="1"/>
    <col min="9997" max="9997" width="9.5703125" style="557" customWidth="1"/>
    <col min="9998" max="9998" width="8.140625" style="557" customWidth="1"/>
    <col min="9999" max="9999" width="11.28515625" style="557" customWidth="1"/>
    <col min="10000" max="10240" width="9.140625" style="557"/>
    <col min="10241" max="10241" width="23.85546875" style="557" customWidth="1"/>
    <col min="10242" max="10242" width="8.140625" style="557" customWidth="1"/>
    <col min="10243" max="10243" width="7.140625" style="557" customWidth="1"/>
    <col min="10244" max="10244" width="8.140625" style="557" customWidth="1"/>
    <col min="10245" max="10245" width="8.5703125" style="557" customWidth="1"/>
    <col min="10246" max="10246" width="9.7109375" style="557" customWidth="1"/>
    <col min="10247" max="10247" width="8.5703125" style="557" customWidth="1"/>
    <col min="10248" max="10249" width="9.140625" style="557"/>
    <col min="10250" max="10250" width="8.85546875" style="557" customWidth="1"/>
    <col min="10251" max="10251" width="7.28515625" style="557" customWidth="1"/>
    <col min="10252" max="10252" width="13.7109375" style="557" customWidth="1"/>
    <col min="10253" max="10253" width="9.5703125" style="557" customWidth="1"/>
    <col min="10254" max="10254" width="8.140625" style="557" customWidth="1"/>
    <col min="10255" max="10255" width="11.28515625" style="557" customWidth="1"/>
    <col min="10256" max="10496" width="9.140625" style="557"/>
    <col min="10497" max="10497" width="23.85546875" style="557" customWidth="1"/>
    <col min="10498" max="10498" width="8.140625" style="557" customWidth="1"/>
    <col min="10499" max="10499" width="7.140625" style="557" customWidth="1"/>
    <col min="10500" max="10500" width="8.140625" style="557" customWidth="1"/>
    <col min="10501" max="10501" width="8.5703125" style="557" customWidth="1"/>
    <col min="10502" max="10502" width="9.7109375" style="557" customWidth="1"/>
    <col min="10503" max="10503" width="8.5703125" style="557" customWidth="1"/>
    <col min="10504" max="10505" width="9.140625" style="557"/>
    <col min="10506" max="10506" width="8.85546875" style="557" customWidth="1"/>
    <col min="10507" max="10507" width="7.28515625" style="557" customWidth="1"/>
    <col min="10508" max="10508" width="13.7109375" style="557" customWidth="1"/>
    <col min="10509" max="10509" width="9.5703125" style="557" customWidth="1"/>
    <col min="10510" max="10510" width="8.140625" style="557" customWidth="1"/>
    <col min="10511" max="10511" width="11.28515625" style="557" customWidth="1"/>
    <col min="10512" max="10752" width="9.140625" style="557"/>
    <col min="10753" max="10753" width="23.85546875" style="557" customWidth="1"/>
    <col min="10754" max="10754" width="8.140625" style="557" customWidth="1"/>
    <col min="10755" max="10755" width="7.140625" style="557" customWidth="1"/>
    <col min="10756" max="10756" width="8.140625" style="557" customWidth="1"/>
    <col min="10757" max="10757" width="8.5703125" style="557" customWidth="1"/>
    <col min="10758" max="10758" width="9.7109375" style="557" customWidth="1"/>
    <col min="10759" max="10759" width="8.5703125" style="557" customWidth="1"/>
    <col min="10760" max="10761" width="9.140625" style="557"/>
    <col min="10762" max="10762" width="8.85546875" style="557" customWidth="1"/>
    <col min="10763" max="10763" width="7.28515625" style="557" customWidth="1"/>
    <col min="10764" max="10764" width="13.7109375" style="557" customWidth="1"/>
    <col min="10765" max="10765" width="9.5703125" style="557" customWidth="1"/>
    <col min="10766" max="10766" width="8.140625" style="557" customWidth="1"/>
    <col min="10767" max="10767" width="11.28515625" style="557" customWidth="1"/>
    <col min="10768" max="11008" width="9.140625" style="557"/>
    <col min="11009" max="11009" width="23.85546875" style="557" customWidth="1"/>
    <col min="11010" max="11010" width="8.140625" style="557" customWidth="1"/>
    <col min="11011" max="11011" width="7.140625" style="557" customWidth="1"/>
    <col min="11012" max="11012" width="8.140625" style="557" customWidth="1"/>
    <col min="11013" max="11013" width="8.5703125" style="557" customWidth="1"/>
    <col min="11014" max="11014" width="9.7109375" style="557" customWidth="1"/>
    <col min="11015" max="11015" width="8.5703125" style="557" customWidth="1"/>
    <col min="11016" max="11017" width="9.140625" style="557"/>
    <col min="11018" max="11018" width="8.85546875" style="557" customWidth="1"/>
    <col min="11019" max="11019" width="7.28515625" style="557" customWidth="1"/>
    <col min="11020" max="11020" width="13.7109375" style="557" customWidth="1"/>
    <col min="11021" max="11021" width="9.5703125" style="557" customWidth="1"/>
    <col min="11022" max="11022" width="8.140625" style="557" customWidth="1"/>
    <col min="11023" max="11023" width="11.28515625" style="557" customWidth="1"/>
    <col min="11024" max="11264" width="9.140625" style="557"/>
    <col min="11265" max="11265" width="23.85546875" style="557" customWidth="1"/>
    <col min="11266" max="11266" width="8.140625" style="557" customWidth="1"/>
    <col min="11267" max="11267" width="7.140625" style="557" customWidth="1"/>
    <col min="11268" max="11268" width="8.140625" style="557" customWidth="1"/>
    <col min="11269" max="11269" width="8.5703125" style="557" customWidth="1"/>
    <col min="11270" max="11270" width="9.7109375" style="557" customWidth="1"/>
    <col min="11271" max="11271" width="8.5703125" style="557" customWidth="1"/>
    <col min="11272" max="11273" width="9.140625" style="557"/>
    <col min="11274" max="11274" width="8.85546875" style="557" customWidth="1"/>
    <col min="11275" max="11275" width="7.28515625" style="557" customWidth="1"/>
    <col min="11276" max="11276" width="13.7109375" style="557" customWidth="1"/>
    <col min="11277" max="11277" width="9.5703125" style="557" customWidth="1"/>
    <col min="11278" max="11278" width="8.140625" style="557" customWidth="1"/>
    <col min="11279" max="11279" width="11.28515625" style="557" customWidth="1"/>
    <col min="11280" max="11520" width="9.140625" style="557"/>
    <col min="11521" max="11521" width="23.85546875" style="557" customWidth="1"/>
    <col min="11522" max="11522" width="8.140625" style="557" customWidth="1"/>
    <col min="11523" max="11523" width="7.140625" style="557" customWidth="1"/>
    <col min="11524" max="11524" width="8.140625" style="557" customWidth="1"/>
    <col min="11525" max="11525" width="8.5703125" style="557" customWidth="1"/>
    <col min="11526" max="11526" width="9.7109375" style="557" customWidth="1"/>
    <col min="11527" max="11527" width="8.5703125" style="557" customWidth="1"/>
    <col min="11528" max="11529" width="9.140625" style="557"/>
    <col min="11530" max="11530" width="8.85546875" style="557" customWidth="1"/>
    <col min="11531" max="11531" width="7.28515625" style="557" customWidth="1"/>
    <col min="11532" max="11532" width="13.7109375" style="557" customWidth="1"/>
    <col min="11533" max="11533" width="9.5703125" style="557" customWidth="1"/>
    <col min="11534" max="11534" width="8.140625" style="557" customWidth="1"/>
    <col min="11535" max="11535" width="11.28515625" style="557" customWidth="1"/>
    <col min="11536" max="11776" width="9.140625" style="557"/>
    <col min="11777" max="11777" width="23.85546875" style="557" customWidth="1"/>
    <col min="11778" max="11778" width="8.140625" style="557" customWidth="1"/>
    <col min="11779" max="11779" width="7.140625" style="557" customWidth="1"/>
    <col min="11780" max="11780" width="8.140625" style="557" customWidth="1"/>
    <col min="11781" max="11781" width="8.5703125" style="557" customWidth="1"/>
    <col min="11782" max="11782" width="9.7109375" style="557" customWidth="1"/>
    <col min="11783" max="11783" width="8.5703125" style="557" customWidth="1"/>
    <col min="11784" max="11785" width="9.140625" style="557"/>
    <col min="11786" max="11786" width="8.85546875" style="557" customWidth="1"/>
    <col min="11787" max="11787" width="7.28515625" style="557" customWidth="1"/>
    <col min="11788" max="11788" width="13.7109375" style="557" customWidth="1"/>
    <col min="11789" max="11789" width="9.5703125" style="557" customWidth="1"/>
    <col min="11790" max="11790" width="8.140625" style="557" customWidth="1"/>
    <col min="11791" max="11791" width="11.28515625" style="557" customWidth="1"/>
    <col min="11792" max="12032" width="9.140625" style="557"/>
    <col min="12033" max="12033" width="23.85546875" style="557" customWidth="1"/>
    <col min="12034" max="12034" width="8.140625" style="557" customWidth="1"/>
    <col min="12035" max="12035" width="7.140625" style="557" customWidth="1"/>
    <col min="12036" max="12036" width="8.140625" style="557" customWidth="1"/>
    <col min="12037" max="12037" width="8.5703125" style="557" customWidth="1"/>
    <col min="12038" max="12038" width="9.7109375" style="557" customWidth="1"/>
    <col min="12039" max="12039" width="8.5703125" style="557" customWidth="1"/>
    <col min="12040" max="12041" width="9.140625" style="557"/>
    <col min="12042" max="12042" width="8.85546875" style="557" customWidth="1"/>
    <col min="12043" max="12043" width="7.28515625" style="557" customWidth="1"/>
    <col min="12044" max="12044" width="13.7109375" style="557" customWidth="1"/>
    <col min="12045" max="12045" width="9.5703125" style="557" customWidth="1"/>
    <col min="12046" max="12046" width="8.140625" style="557" customWidth="1"/>
    <col min="12047" max="12047" width="11.28515625" style="557" customWidth="1"/>
    <col min="12048" max="12288" width="9.140625" style="557"/>
    <col min="12289" max="12289" width="23.85546875" style="557" customWidth="1"/>
    <col min="12290" max="12290" width="8.140625" style="557" customWidth="1"/>
    <col min="12291" max="12291" width="7.140625" style="557" customWidth="1"/>
    <col min="12292" max="12292" width="8.140625" style="557" customWidth="1"/>
    <col min="12293" max="12293" width="8.5703125" style="557" customWidth="1"/>
    <col min="12294" max="12294" width="9.7109375" style="557" customWidth="1"/>
    <col min="12295" max="12295" width="8.5703125" style="557" customWidth="1"/>
    <col min="12296" max="12297" width="9.140625" style="557"/>
    <col min="12298" max="12298" width="8.85546875" style="557" customWidth="1"/>
    <col min="12299" max="12299" width="7.28515625" style="557" customWidth="1"/>
    <col min="12300" max="12300" width="13.7109375" style="557" customWidth="1"/>
    <col min="12301" max="12301" width="9.5703125" style="557" customWidth="1"/>
    <col min="12302" max="12302" width="8.140625" style="557" customWidth="1"/>
    <col min="12303" max="12303" width="11.28515625" style="557" customWidth="1"/>
    <col min="12304" max="12544" width="9.140625" style="557"/>
    <col min="12545" max="12545" width="23.85546875" style="557" customWidth="1"/>
    <col min="12546" max="12546" width="8.140625" style="557" customWidth="1"/>
    <col min="12547" max="12547" width="7.140625" style="557" customWidth="1"/>
    <col min="12548" max="12548" width="8.140625" style="557" customWidth="1"/>
    <col min="12549" max="12549" width="8.5703125" style="557" customWidth="1"/>
    <col min="12550" max="12550" width="9.7109375" style="557" customWidth="1"/>
    <col min="12551" max="12551" width="8.5703125" style="557" customWidth="1"/>
    <col min="12552" max="12553" width="9.140625" style="557"/>
    <col min="12554" max="12554" width="8.85546875" style="557" customWidth="1"/>
    <col min="12555" max="12555" width="7.28515625" style="557" customWidth="1"/>
    <col min="12556" max="12556" width="13.7109375" style="557" customWidth="1"/>
    <col min="12557" max="12557" width="9.5703125" style="557" customWidth="1"/>
    <col min="12558" max="12558" width="8.140625" style="557" customWidth="1"/>
    <col min="12559" max="12559" width="11.28515625" style="557" customWidth="1"/>
    <col min="12560" max="12800" width="9.140625" style="557"/>
    <col min="12801" max="12801" width="23.85546875" style="557" customWidth="1"/>
    <col min="12802" max="12802" width="8.140625" style="557" customWidth="1"/>
    <col min="12803" max="12803" width="7.140625" style="557" customWidth="1"/>
    <col min="12804" max="12804" width="8.140625" style="557" customWidth="1"/>
    <col min="12805" max="12805" width="8.5703125" style="557" customWidth="1"/>
    <col min="12806" max="12806" width="9.7109375" style="557" customWidth="1"/>
    <col min="12807" max="12807" width="8.5703125" style="557" customWidth="1"/>
    <col min="12808" max="12809" width="9.140625" style="557"/>
    <col min="12810" max="12810" width="8.85546875" style="557" customWidth="1"/>
    <col min="12811" max="12811" width="7.28515625" style="557" customWidth="1"/>
    <col min="12812" max="12812" width="13.7109375" style="557" customWidth="1"/>
    <col min="12813" max="12813" width="9.5703125" style="557" customWidth="1"/>
    <col min="12814" max="12814" width="8.140625" style="557" customWidth="1"/>
    <col min="12815" max="12815" width="11.28515625" style="557" customWidth="1"/>
    <col min="12816" max="13056" width="9.140625" style="557"/>
    <col min="13057" max="13057" width="23.85546875" style="557" customWidth="1"/>
    <col min="13058" max="13058" width="8.140625" style="557" customWidth="1"/>
    <col min="13059" max="13059" width="7.140625" style="557" customWidth="1"/>
    <col min="13060" max="13060" width="8.140625" style="557" customWidth="1"/>
    <col min="13061" max="13061" width="8.5703125" style="557" customWidth="1"/>
    <col min="13062" max="13062" width="9.7109375" style="557" customWidth="1"/>
    <col min="13063" max="13063" width="8.5703125" style="557" customWidth="1"/>
    <col min="13064" max="13065" width="9.140625" style="557"/>
    <col min="13066" max="13066" width="8.85546875" style="557" customWidth="1"/>
    <col min="13067" max="13067" width="7.28515625" style="557" customWidth="1"/>
    <col min="13068" max="13068" width="13.7109375" style="557" customWidth="1"/>
    <col min="13069" max="13069" width="9.5703125" style="557" customWidth="1"/>
    <col min="13070" max="13070" width="8.140625" style="557" customWidth="1"/>
    <col min="13071" max="13071" width="11.28515625" style="557" customWidth="1"/>
    <col min="13072" max="13312" width="9.140625" style="557"/>
    <col min="13313" max="13313" width="23.85546875" style="557" customWidth="1"/>
    <col min="13314" max="13314" width="8.140625" style="557" customWidth="1"/>
    <col min="13315" max="13315" width="7.140625" style="557" customWidth="1"/>
    <col min="13316" max="13316" width="8.140625" style="557" customWidth="1"/>
    <col min="13317" max="13317" width="8.5703125" style="557" customWidth="1"/>
    <col min="13318" max="13318" width="9.7109375" style="557" customWidth="1"/>
    <col min="13319" max="13319" width="8.5703125" style="557" customWidth="1"/>
    <col min="13320" max="13321" width="9.140625" style="557"/>
    <col min="13322" max="13322" width="8.85546875" style="557" customWidth="1"/>
    <col min="13323" max="13323" width="7.28515625" style="557" customWidth="1"/>
    <col min="13324" max="13324" width="13.7109375" style="557" customWidth="1"/>
    <col min="13325" max="13325" width="9.5703125" style="557" customWidth="1"/>
    <col min="13326" max="13326" width="8.140625" style="557" customWidth="1"/>
    <col min="13327" max="13327" width="11.28515625" style="557" customWidth="1"/>
    <col min="13328" max="13568" width="9.140625" style="557"/>
    <col min="13569" max="13569" width="23.85546875" style="557" customWidth="1"/>
    <col min="13570" max="13570" width="8.140625" style="557" customWidth="1"/>
    <col min="13571" max="13571" width="7.140625" style="557" customWidth="1"/>
    <col min="13572" max="13572" width="8.140625" style="557" customWidth="1"/>
    <col min="13573" max="13573" width="8.5703125" style="557" customWidth="1"/>
    <col min="13574" max="13574" width="9.7109375" style="557" customWidth="1"/>
    <col min="13575" max="13575" width="8.5703125" style="557" customWidth="1"/>
    <col min="13576" max="13577" width="9.140625" style="557"/>
    <col min="13578" max="13578" width="8.85546875" style="557" customWidth="1"/>
    <col min="13579" max="13579" width="7.28515625" style="557" customWidth="1"/>
    <col min="13580" max="13580" width="13.7109375" style="557" customWidth="1"/>
    <col min="13581" max="13581" width="9.5703125" style="557" customWidth="1"/>
    <col min="13582" max="13582" width="8.140625" style="557" customWidth="1"/>
    <col min="13583" max="13583" width="11.28515625" style="557" customWidth="1"/>
    <col min="13584" max="13824" width="9.140625" style="557"/>
    <col min="13825" max="13825" width="23.85546875" style="557" customWidth="1"/>
    <col min="13826" max="13826" width="8.140625" style="557" customWidth="1"/>
    <col min="13827" max="13827" width="7.140625" style="557" customWidth="1"/>
    <col min="13828" max="13828" width="8.140625" style="557" customWidth="1"/>
    <col min="13829" max="13829" width="8.5703125" style="557" customWidth="1"/>
    <col min="13830" max="13830" width="9.7109375" style="557" customWidth="1"/>
    <col min="13831" max="13831" width="8.5703125" style="557" customWidth="1"/>
    <col min="13832" max="13833" width="9.140625" style="557"/>
    <col min="13834" max="13834" width="8.85546875" style="557" customWidth="1"/>
    <col min="13835" max="13835" width="7.28515625" style="557" customWidth="1"/>
    <col min="13836" max="13836" width="13.7109375" style="557" customWidth="1"/>
    <col min="13837" max="13837" width="9.5703125" style="557" customWidth="1"/>
    <col min="13838" max="13838" width="8.140625" style="557" customWidth="1"/>
    <col min="13839" max="13839" width="11.28515625" style="557" customWidth="1"/>
    <col min="13840" max="14080" width="9.140625" style="557"/>
    <col min="14081" max="14081" width="23.85546875" style="557" customWidth="1"/>
    <col min="14082" max="14082" width="8.140625" style="557" customWidth="1"/>
    <col min="14083" max="14083" width="7.140625" style="557" customWidth="1"/>
    <col min="14084" max="14084" width="8.140625" style="557" customWidth="1"/>
    <col min="14085" max="14085" width="8.5703125" style="557" customWidth="1"/>
    <col min="14086" max="14086" width="9.7109375" style="557" customWidth="1"/>
    <col min="14087" max="14087" width="8.5703125" style="557" customWidth="1"/>
    <col min="14088" max="14089" width="9.140625" style="557"/>
    <col min="14090" max="14090" width="8.85546875" style="557" customWidth="1"/>
    <col min="14091" max="14091" width="7.28515625" style="557" customWidth="1"/>
    <col min="14092" max="14092" width="13.7109375" style="557" customWidth="1"/>
    <col min="14093" max="14093" width="9.5703125" style="557" customWidth="1"/>
    <col min="14094" max="14094" width="8.140625" style="557" customWidth="1"/>
    <col min="14095" max="14095" width="11.28515625" style="557" customWidth="1"/>
    <col min="14096" max="14336" width="9.140625" style="557"/>
    <col min="14337" max="14337" width="23.85546875" style="557" customWidth="1"/>
    <col min="14338" max="14338" width="8.140625" style="557" customWidth="1"/>
    <col min="14339" max="14339" width="7.140625" style="557" customWidth="1"/>
    <col min="14340" max="14340" width="8.140625" style="557" customWidth="1"/>
    <col min="14341" max="14341" width="8.5703125" style="557" customWidth="1"/>
    <col min="14342" max="14342" width="9.7109375" style="557" customWidth="1"/>
    <col min="14343" max="14343" width="8.5703125" style="557" customWidth="1"/>
    <col min="14344" max="14345" width="9.140625" style="557"/>
    <col min="14346" max="14346" width="8.85546875" style="557" customWidth="1"/>
    <col min="14347" max="14347" width="7.28515625" style="557" customWidth="1"/>
    <col min="14348" max="14348" width="13.7109375" style="557" customWidth="1"/>
    <col min="14349" max="14349" width="9.5703125" style="557" customWidth="1"/>
    <col min="14350" max="14350" width="8.140625" style="557" customWidth="1"/>
    <col min="14351" max="14351" width="11.28515625" style="557" customWidth="1"/>
    <col min="14352" max="14592" width="9.140625" style="557"/>
    <col min="14593" max="14593" width="23.85546875" style="557" customWidth="1"/>
    <col min="14594" max="14594" width="8.140625" style="557" customWidth="1"/>
    <col min="14595" max="14595" width="7.140625" style="557" customWidth="1"/>
    <col min="14596" max="14596" width="8.140625" style="557" customWidth="1"/>
    <col min="14597" max="14597" width="8.5703125" style="557" customWidth="1"/>
    <col min="14598" max="14598" width="9.7109375" style="557" customWidth="1"/>
    <col min="14599" max="14599" width="8.5703125" style="557" customWidth="1"/>
    <col min="14600" max="14601" width="9.140625" style="557"/>
    <col min="14602" max="14602" width="8.85546875" style="557" customWidth="1"/>
    <col min="14603" max="14603" width="7.28515625" style="557" customWidth="1"/>
    <col min="14604" max="14604" width="13.7109375" style="557" customWidth="1"/>
    <col min="14605" max="14605" width="9.5703125" style="557" customWidth="1"/>
    <col min="14606" max="14606" width="8.140625" style="557" customWidth="1"/>
    <col min="14607" max="14607" width="11.28515625" style="557" customWidth="1"/>
    <col min="14608" max="14848" width="9.140625" style="557"/>
    <col min="14849" max="14849" width="23.85546875" style="557" customWidth="1"/>
    <col min="14850" max="14850" width="8.140625" style="557" customWidth="1"/>
    <col min="14851" max="14851" width="7.140625" style="557" customWidth="1"/>
    <col min="14852" max="14852" width="8.140625" style="557" customWidth="1"/>
    <col min="14853" max="14853" width="8.5703125" style="557" customWidth="1"/>
    <col min="14854" max="14854" width="9.7109375" style="557" customWidth="1"/>
    <col min="14855" max="14855" width="8.5703125" style="557" customWidth="1"/>
    <col min="14856" max="14857" width="9.140625" style="557"/>
    <col min="14858" max="14858" width="8.85546875" style="557" customWidth="1"/>
    <col min="14859" max="14859" width="7.28515625" style="557" customWidth="1"/>
    <col min="14860" max="14860" width="13.7109375" style="557" customWidth="1"/>
    <col min="14861" max="14861" width="9.5703125" style="557" customWidth="1"/>
    <col min="14862" max="14862" width="8.140625" style="557" customWidth="1"/>
    <col min="14863" max="14863" width="11.28515625" style="557" customWidth="1"/>
    <col min="14864" max="15104" width="9.140625" style="557"/>
    <col min="15105" max="15105" width="23.85546875" style="557" customWidth="1"/>
    <col min="15106" max="15106" width="8.140625" style="557" customWidth="1"/>
    <col min="15107" max="15107" width="7.140625" style="557" customWidth="1"/>
    <col min="15108" max="15108" width="8.140625" style="557" customWidth="1"/>
    <col min="15109" max="15109" width="8.5703125" style="557" customWidth="1"/>
    <col min="15110" max="15110" width="9.7109375" style="557" customWidth="1"/>
    <col min="15111" max="15111" width="8.5703125" style="557" customWidth="1"/>
    <col min="15112" max="15113" width="9.140625" style="557"/>
    <col min="15114" max="15114" width="8.85546875" style="557" customWidth="1"/>
    <col min="15115" max="15115" width="7.28515625" style="557" customWidth="1"/>
    <col min="15116" max="15116" width="13.7109375" style="557" customWidth="1"/>
    <col min="15117" max="15117" width="9.5703125" style="557" customWidth="1"/>
    <col min="15118" max="15118" width="8.140625" style="557" customWidth="1"/>
    <col min="15119" max="15119" width="11.28515625" style="557" customWidth="1"/>
    <col min="15120" max="15360" width="9.140625" style="557"/>
    <col min="15361" max="15361" width="23.85546875" style="557" customWidth="1"/>
    <col min="15362" max="15362" width="8.140625" style="557" customWidth="1"/>
    <col min="15363" max="15363" width="7.140625" style="557" customWidth="1"/>
    <col min="15364" max="15364" width="8.140625" style="557" customWidth="1"/>
    <col min="15365" max="15365" width="8.5703125" style="557" customWidth="1"/>
    <col min="15366" max="15366" width="9.7109375" style="557" customWidth="1"/>
    <col min="15367" max="15367" width="8.5703125" style="557" customWidth="1"/>
    <col min="15368" max="15369" width="9.140625" style="557"/>
    <col min="15370" max="15370" width="8.85546875" style="557" customWidth="1"/>
    <col min="15371" max="15371" width="7.28515625" style="557" customWidth="1"/>
    <col min="15372" max="15372" width="13.7109375" style="557" customWidth="1"/>
    <col min="15373" max="15373" width="9.5703125" style="557" customWidth="1"/>
    <col min="15374" max="15374" width="8.140625" style="557" customWidth="1"/>
    <col min="15375" max="15375" width="11.28515625" style="557" customWidth="1"/>
    <col min="15376" max="15616" width="9.140625" style="557"/>
    <col min="15617" max="15617" width="23.85546875" style="557" customWidth="1"/>
    <col min="15618" max="15618" width="8.140625" style="557" customWidth="1"/>
    <col min="15619" max="15619" width="7.140625" style="557" customWidth="1"/>
    <col min="15620" max="15620" width="8.140625" style="557" customWidth="1"/>
    <col min="15621" max="15621" width="8.5703125" style="557" customWidth="1"/>
    <col min="15622" max="15622" width="9.7109375" style="557" customWidth="1"/>
    <col min="15623" max="15623" width="8.5703125" style="557" customWidth="1"/>
    <col min="15624" max="15625" width="9.140625" style="557"/>
    <col min="15626" max="15626" width="8.85546875" style="557" customWidth="1"/>
    <col min="15627" max="15627" width="7.28515625" style="557" customWidth="1"/>
    <col min="15628" max="15628" width="13.7109375" style="557" customWidth="1"/>
    <col min="15629" max="15629" width="9.5703125" style="557" customWidth="1"/>
    <col min="15630" max="15630" width="8.140625" style="557" customWidth="1"/>
    <col min="15631" max="15631" width="11.28515625" style="557" customWidth="1"/>
    <col min="15632" max="15872" width="9.140625" style="557"/>
    <col min="15873" max="15873" width="23.85546875" style="557" customWidth="1"/>
    <col min="15874" max="15874" width="8.140625" style="557" customWidth="1"/>
    <col min="15875" max="15875" width="7.140625" style="557" customWidth="1"/>
    <col min="15876" max="15876" width="8.140625" style="557" customWidth="1"/>
    <col min="15877" max="15877" width="8.5703125" style="557" customWidth="1"/>
    <col min="15878" max="15878" width="9.7109375" style="557" customWidth="1"/>
    <col min="15879" max="15879" width="8.5703125" style="557" customWidth="1"/>
    <col min="15880" max="15881" width="9.140625" style="557"/>
    <col min="15882" max="15882" width="8.85546875" style="557" customWidth="1"/>
    <col min="15883" max="15883" width="7.28515625" style="557" customWidth="1"/>
    <col min="15884" max="15884" width="13.7109375" style="557" customWidth="1"/>
    <col min="15885" max="15885" width="9.5703125" style="557" customWidth="1"/>
    <col min="15886" max="15886" width="8.140625" style="557" customWidth="1"/>
    <col min="15887" max="15887" width="11.28515625" style="557" customWidth="1"/>
    <col min="15888" max="16128" width="9.140625" style="557"/>
    <col min="16129" max="16129" width="23.85546875" style="557" customWidth="1"/>
    <col min="16130" max="16130" width="8.140625" style="557" customWidth="1"/>
    <col min="16131" max="16131" width="7.140625" style="557" customWidth="1"/>
    <col min="16132" max="16132" width="8.140625" style="557" customWidth="1"/>
    <col min="16133" max="16133" width="8.5703125" style="557" customWidth="1"/>
    <col min="16134" max="16134" width="9.7109375" style="557" customWidth="1"/>
    <col min="16135" max="16135" width="8.5703125" style="557" customWidth="1"/>
    <col min="16136" max="16137" width="9.140625" style="557"/>
    <col min="16138" max="16138" width="8.85546875" style="557" customWidth="1"/>
    <col min="16139" max="16139" width="7.28515625" style="557" customWidth="1"/>
    <col min="16140" max="16140" width="13.7109375" style="557" customWidth="1"/>
    <col min="16141" max="16141" width="9.5703125" style="557" customWidth="1"/>
    <col min="16142" max="16142" width="8.140625" style="557" customWidth="1"/>
    <col min="16143" max="16143" width="11.28515625" style="557" customWidth="1"/>
    <col min="16144" max="16384" width="9.140625" style="557"/>
  </cols>
  <sheetData>
    <row r="1" spans="1:15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5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5" ht="13.5">
      <c r="A3" s="558" t="s">
        <v>169</v>
      </c>
      <c r="B3" s="1353" t="s">
        <v>2020</v>
      </c>
      <c r="C3" s="1353"/>
      <c r="D3" s="1353"/>
      <c r="E3" s="1353"/>
      <c r="F3" s="558" t="s">
        <v>171</v>
      </c>
      <c r="H3" s="1190" t="s">
        <v>2021</v>
      </c>
      <c r="I3" s="1190"/>
      <c r="J3" s="558" t="s">
        <v>172</v>
      </c>
      <c r="K3" s="598">
        <v>521.86699999999996</v>
      </c>
      <c r="L3" s="558" t="s">
        <v>436</v>
      </c>
      <c r="M3" s="344" t="s">
        <v>2022</v>
      </c>
      <c r="N3" s="599"/>
    </row>
    <row r="4" spans="1:15" ht="15">
      <c r="A4" s="808" t="s">
        <v>4176</v>
      </c>
      <c r="B4" s="808"/>
      <c r="C4" s="808"/>
    </row>
    <row r="5" spans="1:15" ht="13.5">
      <c r="A5" s="558" t="s">
        <v>174</v>
      </c>
      <c r="B5" s="1354" t="s">
        <v>2023</v>
      </c>
      <c r="C5" s="1354"/>
      <c r="D5" s="1354"/>
      <c r="E5" s="1354"/>
      <c r="F5" s="558" t="s">
        <v>176</v>
      </c>
      <c r="H5" s="1354" t="s">
        <v>2024</v>
      </c>
      <c r="I5" s="1354"/>
      <c r="J5" s="1354"/>
    </row>
    <row r="7" spans="1:15" ht="13.5">
      <c r="A7" s="558" t="s">
        <v>178</v>
      </c>
      <c r="B7" s="1355" t="s">
        <v>2025</v>
      </c>
      <c r="C7" s="1356"/>
      <c r="D7" s="1356"/>
      <c r="E7" s="1357"/>
      <c r="F7" s="1197" t="s">
        <v>1696</v>
      </c>
      <c r="G7" s="1197"/>
      <c r="H7" s="1358" t="s">
        <v>2026</v>
      </c>
      <c r="I7" s="1359"/>
      <c r="J7" s="1359"/>
      <c r="K7" s="1360"/>
    </row>
    <row r="8" spans="1:15">
      <c r="F8" s="1197"/>
      <c r="G8" s="1197"/>
      <c r="H8" s="1361"/>
      <c r="I8" s="1362"/>
      <c r="J8" s="1362"/>
      <c r="K8" s="1363"/>
    </row>
    <row r="10" spans="1:15" s="561" customFormat="1" ht="25.5">
      <c r="A10" s="560" t="s">
        <v>1697</v>
      </c>
      <c r="B10" s="1364" t="s">
        <v>2027</v>
      </c>
      <c r="C10" s="1364"/>
      <c r="D10" s="1364" t="s">
        <v>2028</v>
      </c>
      <c r="E10" s="1364"/>
      <c r="F10" s="1364"/>
      <c r="G10" s="1364" t="s">
        <v>2029</v>
      </c>
      <c r="H10" s="1364"/>
      <c r="I10" s="1364"/>
      <c r="J10" s="1364" t="s">
        <v>2030</v>
      </c>
      <c r="K10" s="1364"/>
      <c r="L10" s="1364"/>
      <c r="M10" s="1364"/>
      <c r="N10" s="600" t="s">
        <v>2031</v>
      </c>
      <c r="O10" s="600" t="s">
        <v>2032</v>
      </c>
    </row>
    <row r="11" spans="1:15" s="561" customFormat="1" ht="21.75" customHeight="1">
      <c r="A11" s="560" t="s">
        <v>1702</v>
      </c>
      <c r="B11" s="1365" t="s">
        <v>2033</v>
      </c>
      <c r="C11" s="1365"/>
      <c r="D11" s="1365" t="s">
        <v>2034</v>
      </c>
      <c r="E11" s="1365"/>
      <c r="F11" s="1365"/>
      <c r="G11" s="1365" t="s">
        <v>2035</v>
      </c>
      <c r="H11" s="1365"/>
      <c r="I11" s="1365"/>
      <c r="J11" s="1365"/>
      <c r="K11" s="1365"/>
      <c r="L11" s="1365"/>
      <c r="M11" s="1365"/>
      <c r="N11" s="600"/>
      <c r="O11" s="601" t="s">
        <v>2036</v>
      </c>
    </row>
    <row r="12" spans="1:15" s="561" customFormat="1">
      <c r="A12" s="560" t="s">
        <v>1707</v>
      </c>
      <c r="B12" s="1365" t="s">
        <v>2037</v>
      </c>
      <c r="C12" s="1365"/>
      <c r="D12" s="1365" t="s">
        <v>2038</v>
      </c>
      <c r="E12" s="1365"/>
      <c r="F12" s="1365"/>
      <c r="G12" s="1365"/>
      <c r="H12" s="1365"/>
      <c r="I12" s="1365"/>
      <c r="J12" s="1365"/>
      <c r="K12" s="1365"/>
      <c r="L12" s="1365"/>
      <c r="M12" s="1365"/>
      <c r="N12" s="600"/>
      <c r="O12" s="601"/>
    </row>
    <row r="13" spans="1:15" s="561" customFormat="1" ht="24" customHeight="1">
      <c r="A13" s="560" t="s">
        <v>197</v>
      </c>
      <c r="B13" s="1365" t="s">
        <v>2025</v>
      </c>
      <c r="C13" s="1365"/>
      <c r="D13" s="1365" t="s">
        <v>2039</v>
      </c>
      <c r="E13" s="1365"/>
      <c r="F13" s="1365"/>
      <c r="G13" s="1365" t="s">
        <v>2040</v>
      </c>
      <c r="H13" s="1365"/>
      <c r="I13" s="1365"/>
      <c r="J13" s="1365" t="s">
        <v>2039</v>
      </c>
      <c r="K13" s="1365"/>
      <c r="L13" s="1365"/>
      <c r="M13" s="1365"/>
      <c r="N13" s="601" t="s">
        <v>2039</v>
      </c>
      <c r="O13" s="601" t="s">
        <v>2041</v>
      </c>
    </row>
    <row r="14" spans="1:15" s="561" customFormat="1">
      <c r="A14" s="562"/>
    </row>
    <row r="15" spans="1:15" s="561" customFormat="1" ht="12" customHeight="1">
      <c r="A15" s="562" t="s">
        <v>1356</v>
      </c>
      <c r="B15" s="602">
        <v>6</v>
      </c>
      <c r="C15" s="1203" t="s">
        <v>1490</v>
      </c>
      <c r="D15" s="1197"/>
      <c r="E15" s="1197"/>
      <c r="F15" s="602">
        <v>6</v>
      </c>
      <c r="G15" s="562" t="s">
        <v>1712</v>
      </c>
      <c r="H15" s="602">
        <v>4</v>
      </c>
      <c r="I15" s="562" t="s">
        <v>1492</v>
      </c>
      <c r="J15" s="602">
        <v>1</v>
      </c>
      <c r="K15" s="562" t="s">
        <v>1386</v>
      </c>
      <c r="L15" s="602">
        <v>4</v>
      </c>
    </row>
    <row r="16" spans="1:15" s="561" customFormat="1">
      <c r="A16" s="562"/>
    </row>
    <row r="17" spans="1:14" s="562" customFormat="1" ht="15" customHeight="1">
      <c r="A17" s="562" t="s">
        <v>203</v>
      </c>
      <c r="B17" s="562" t="s">
        <v>204</v>
      </c>
      <c r="C17" s="564">
        <v>140</v>
      </c>
      <c r="D17" s="562" t="s">
        <v>205</v>
      </c>
      <c r="E17" s="564">
        <v>10</v>
      </c>
      <c r="F17" s="562" t="s">
        <v>206</v>
      </c>
      <c r="G17" s="564">
        <v>14</v>
      </c>
      <c r="H17" s="562" t="s">
        <v>230</v>
      </c>
      <c r="I17" s="564">
        <v>164</v>
      </c>
      <c r="J17" s="562" t="s">
        <v>207</v>
      </c>
      <c r="K17" s="564">
        <v>21</v>
      </c>
      <c r="L17" s="1203" t="s">
        <v>1360</v>
      </c>
      <c r="M17" s="1204"/>
      <c r="N17" s="564"/>
    </row>
    <row r="18" spans="1:14" s="562" customFormat="1" ht="15" customHeight="1">
      <c r="A18" s="562" t="s">
        <v>209</v>
      </c>
      <c r="B18" s="562" t="s">
        <v>210</v>
      </c>
      <c r="C18" s="564">
        <v>289</v>
      </c>
      <c r="D18" s="562" t="s">
        <v>211</v>
      </c>
      <c r="E18" s="564">
        <v>24</v>
      </c>
      <c r="F18" s="562" t="s">
        <v>212</v>
      </c>
      <c r="G18" s="564">
        <v>30</v>
      </c>
      <c r="H18" s="562" t="s">
        <v>411</v>
      </c>
      <c r="I18" s="564">
        <v>343</v>
      </c>
    </row>
    <row r="19" spans="1:14" s="562" customFormat="1" ht="12.75" customHeight="1">
      <c r="B19" s="562" t="s">
        <v>213</v>
      </c>
      <c r="C19" s="564">
        <v>303</v>
      </c>
      <c r="D19" s="562" t="s">
        <v>214</v>
      </c>
      <c r="E19" s="564">
        <v>13</v>
      </c>
      <c r="F19" s="562" t="s">
        <v>215</v>
      </c>
      <c r="G19" s="564">
        <v>27</v>
      </c>
      <c r="H19" s="562" t="s">
        <v>410</v>
      </c>
      <c r="I19" s="564">
        <v>343</v>
      </c>
    </row>
    <row r="20" spans="1:14" s="562" customFormat="1"/>
    <row r="21" spans="1:14" s="561" customFormat="1">
      <c r="A21" s="567" t="s">
        <v>216</v>
      </c>
    </row>
    <row r="22" spans="1:14" s="561" customFormat="1">
      <c r="A22" s="562"/>
    </row>
    <row r="23" spans="1:14" s="561" customFormat="1" ht="12.75" customHeigh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14" s="561" customFormat="1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14" s="561" customFormat="1" ht="15.75" customHeight="1">
      <c r="A25" s="560" t="s">
        <v>232</v>
      </c>
      <c r="B25" s="560">
        <v>8000</v>
      </c>
      <c r="C25" s="560" t="s">
        <v>233</v>
      </c>
      <c r="D25" s="570">
        <v>41.749359999999996</v>
      </c>
      <c r="E25" s="570">
        <v>19.707999999999998</v>
      </c>
      <c r="F25" s="604">
        <v>0</v>
      </c>
      <c r="G25" s="604">
        <v>0</v>
      </c>
      <c r="H25" s="570">
        <v>13.786837500000001</v>
      </c>
      <c r="I25" s="570">
        <v>0.71257999999999999</v>
      </c>
      <c r="J25" s="604">
        <v>0</v>
      </c>
      <c r="K25" s="604">
        <v>0</v>
      </c>
      <c r="L25" s="604">
        <v>0</v>
      </c>
      <c r="M25" s="570">
        <v>14.4994175</v>
      </c>
      <c r="N25" s="570">
        <v>73.571227420336925</v>
      </c>
    </row>
    <row r="26" spans="1:14" s="561" customFormat="1" ht="15" customHeight="1">
      <c r="A26" s="560" t="s">
        <v>1715</v>
      </c>
      <c r="B26" s="560">
        <v>7000</v>
      </c>
      <c r="C26" s="560" t="s">
        <v>233</v>
      </c>
      <c r="D26" s="570">
        <v>3.0268286</v>
      </c>
      <c r="E26" s="570">
        <v>0</v>
      </c>
      <c r="F26" s="604">
        <v>0</v>
      </c>
      <c r="G26" s="604">
        <v>0</v>
      </c>
      <c r="H26" s="570">
        <v>0</v>
      </c>
      <c r="I26" s="570">
        <v>0</v>
      </c>
      <c r="J26" s="604">
        <v>0</v>
      </c>
      <c r="K26" s="604">
        <v>0</v>
      </c>
      <c r="L26" s="604">
        <v>0</v>
      </c>
      <c r="M26" s="570">
        <v>0</v>
      </c>
      <c r="N26" s="570"/>
    </row>
    <row r="27" spans="1:14" s="561" customFormat="1" ht="15.75" customHeight="1">
      <c r="A27" s="560" t="s">
        <v>235</v>
      </c>
      <c r="B27" s="560">
        <v>43000</v>
      </c>
      <c r="C27" s="560" t="s">
        <v>236</v>
      </c>
      <c r="D27" s="570">
        <v>0.43</v>
      </c>
      <c r="E27" s="570">
        <v>0.18</v>
      </c>
      <c r="F27" s="604">
        <v>0</v>
      </c>
      <c r="G27" s="604">
        <v>0</v>
      </c>
      <c r="H27" s="570">
        <v>0</v>
      </c>
      <c r="I27" s="570">
        <v>0.18</v>
      </c>
      <c r="J27" s="604">
        <v>0</v>
      </c>
      <c r="K27" s="604">
        <v>0</v>
      </c>
      <c r="L27" s="604">
        <v>0</v>
      </c>
      <c r="M27" s="570">
        <v>0.18</v>
      </c>
      <c r="N27" s="570">
        <v>100</v>
      </c>
    </row>
    <row r="28" spans="1:14" s="561" customFormat="1" ht="16.5" customHeight="1">
      <c r="A28" s="560" t="s">
        <v>396</v>
      </c>
      <c r="B28" s="560">
        <v>34000</v>
      </c>
      <c r="C28" s="560" t="s">
        <v>236</v>
      </c>
      <c r="D28" s="570">
        <v>0.34</v>
      </c>
      <c r="E28" s="570">
        <v>0.16</v>
      </c>
      <c r="F28" s="604">
        <v>0</v>
      </c>
      <c r="G28" s="604">
        <v>0</v>
      </c>
      <c r="H28" s="570">
        <v>0.16</v>
      </c>
      <c r="I28" s="570">
        <v>0</v>
      </c>
      <c r="J28" s="604">
        <v>0</v>
      </c>
      <c r="K28" s="604">
        <v>0</v>
      </c>
      <c r="L28" s="604">
        <v>0</v>
      </c>
      <c r="M28" s="570">
        <v>0.16</v>
      </c>
      <c r="N28" s="570">
        <v>100</v>
      </c>
    </row>
    <row r="29" spans="1:14" s="561" customFormat="1" ht="16.5" customHeight="1">
      <c r="A29" s="560" t="s">
        <v>238</v>
      </c>
      <c r="B29" s="560">
        <v>1200</v>
      </c>
      <c r="C29" s="560" t="s">
        <v>233</v>
      </c>
      <c r="D29" s="570">
        <v>6.2624039999999992</v>
      </c>
      <c r="E29" s="570">
        <v>2</v>
      </c>
      <c r="F29" s="604">
        <v>0</v>
      </c>
      <c r="G29" s="604">
        <v>0</v>
      </c>
      <c r="H29" s="570">
        <v>0</v>
      </c>
      <c r="I29" s="570">
        <v>1.6</v>
      </c>
      <c r="J29" s="604">
        <v>0</v>
      </c>
      <c r="K29" s="604">
        <v>0</v>
      </c>
      <c r="L29" s="604">
        <v>0</v>
      </c>
      <c r="M29" s="570">
        <v>1.6</v>
      </c>
      <c r="N29" s="570">
        <v>80</v>
      </c>
    </row>
    <row r="30" spans="1:14" s="561" customFormat="1" ht="14.25" customHeight="1">
      <c r="A30" s="560" t="s">
        <v>667</v>
      </c>
      <c r="B30" s="560">
        <v>565</v>
      </c>
      <c r="C30" s="560" t="s">
        <v>233</v>
      </c>
      <c r="D30" s="570">
        <v>2.9485485499999999</v>
      </c>
      <c r="E30" s="570">
        <v>2.87026</v>
      </c>
      <c r="F30" s="604">
        <v>0</v>
      </c>
      <c r="G30" s="604">
        <v>0</v>
      </c>
      <c r="H30" s="570">
        <v>2.87026</v>
      </c>
      <c r="I30" s="570">
        <v>0</v>
      </c>
      <c r="J30" s="604">
        <v>0</v>
      </c>
      <c r="K30" s="604">
        <v>0</v>
      </c>
      <c r="L30" s="604">
        <v>0</v>
      </c>
      <c r="M30" s="570">
        <v>2.87026</v>
      </c>
      <c r="N30" s="570">
        <v>100</v>
      </c>
    </row>
    <row r="31" spans="1:14" s="561" customFormat="1" ht="15" customHeight="1">
      <c r="A31" s="560" t="s">
        <v>240</v>
      </c>
      <c r="B31" s="560">
        <v>1000</v>
      </c>
      <c r="C31" s="560" t="s">
        <v>233</v>
      </c>
      <c r="D31" s="570">
        <v>5.2186699999999995</v>
      </c>
      <c r="E31" s="570">
        <v>0</v>
      </c>
      <c r="F31" s="604">
        <v>0</v>
      </c>
      <c r="G31" s="604">
        <v>0</v>
      </c>
      <c r="H31" s="570">
        <v>0</v>
      </c>
      <c r="I31" s="570">
        <v>0</v>
      </c>
      <c r="J31" s="604">
        <v>0</v>
      </c>
      <c r="K31" s="604">
        <v>0</v>
      </c>
      <c r="L31" s="604">
        <v>0</v>
      </c>
      <c r="M31" s="570">
        <v>0</v>
      </c>
      <c r="N31" s="570"/>
    </row>
    <row r="32" spans="1:14" s="561" customFormat="1" ht="15" customHeight="1">
      <c r="A32" s="560" t="s">
        <v>394</v>
      </c>
      <c r="B32" s="560">
        <v>2750</v>
      </c>
      <c r="C32" s="560" t="s">
        <v>1716</v>
      </c>
      <c r="D32" s="570">
        <v>2.1</v>
      </c>
      <c r="E32" s="570">
        <v>0.44000000000000006</v>
      </c>
      <c r="F32" s="604">
        <v>0</v>
      </c>
      <c r="G32" s="604">
        <v>0</v>
      </c>
      <c r="H32" s="570">
        <v>8.4000000000000005E-2</v>
      </c>
      <c r="I32" s="570">
        <v>0.17600000000000002</v>
      </c>
      <c r="J32" s="604">
        <v>0</v>
      </c>
      <c r="K32" s="604">
        <v>0</v>
      </c>
      <c r="L32" s="604">
        <v>0</v>
      </c>
      <c r="M32" s="570">
        <v>0.26</v>
      </c>
      <c r="N32" s="570">
        <v>59.090909090909079</v>
      </c>
    </row>
    <row r="33" spans="1:14" s="561" customFormat="1" ht="14.25" customHeight="1">
      <c r="A33" s="560" t="s">
        <v>1717</v>
      </c>
      <c r="B33" s="560">
        <v>10000</v>
      </c>
      <c r="C33" s="560" t="s">
        <v>244</v>
      </c>
      <c r="D33" s="570">
        <v>0.1</v>
      </c>
      <c r="E33" s="570">
        <v>0.1</v>
      </c>
      <c r="F33" s="604">
        <v>0</v>
      </c>
      <c r="G33" s="604">
        <v>0</v>
      </c>
      <c r="H33" s="570">
        <v>0</v>
      </c>
      <c r="I33" s="570">
        <v>0.1</v>
      </c>
      <c r="J33" s="604">
        <v>0</v>
      </c>
      <c r="K33" s="604">
        <v>0</v>
      </c>
      <c r="L33" s="604">
        <v>0</v>
      </c>
      <c r="M33" s="570">
        <v>0.1</v>
      </c>
      <c r="N33" s="570">
        <v>100</v>
      </c>
    </row>
    <row r="34" spans="1:14" s="561" customFormat="1" ht="15.75" customHeight="1">
      <c r="A34" s="572" t="s">
        <v>230</v>
      </c>
      <c r="B34" s="560"/>
      <c r="C34" s="560"/>
      <c r="D34" s="573">
        <v>62.175811150000001</v>
      </c>
      <c r="E34" s="573">
        <v>25.458259999999999</v>
      </c>
      <c r="F34" s="573">
        <v>0</v>
      </c>
      <c r="G34" s="573">
        <v>0</v>
      </c>
      <c r="H34" s="573">
        <v>16.901097500000002</v>
      </c>
      <c r="I34" s="573">
        <v>2.7685800000000005</v>
      </c>
      <c r="J34" s="573">
        <v>0</v>
      </c>
      <c r="K34" s="573">
        <v>0</v>
      </c>
      <c r="L34" s="573">
        <v>0</v>
      </c>
      <c r="M34" s="573">
        <v>19.669677500000002</v>
      </c>
      <c r="N34" s="570"/>
    </row>
    <row r="35" spans="1:14" s="561" customFormat="1">
      <c r="A35" s="562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0" orientation="landscape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R35"/>
  <sheetViews>
    <sheetView workbookViewId="0">
      <selection activeCell="A4" sqref="A4:C4"/>
    </sheetView>
  </sheetViews>
  <sheetFormatPr defaultRowHeight="12.75"/>
  <cols>
    <col min="1" max="1" width="30.42578125" style="557" customWidth="1"/>
    <col min="2" max="256" width="9.140625" style="557"/>
    <col min="257" max="257" width="30.42578125" style="557" customWidth="1"/>
    <col min="258" max="512" width="9.140625" style="557"/>
    <col min="513" max="513" width="30.42578125" style="557" customWidth="1"/>
    <col min="514" max="768" width="9.140625" style="557"/>
    <col min="769" max="769" width="30.42578125" style="557" customWidth="1"/>
    <col min="770" max="1024" width="9.140625" style="557"/>
    <col min="1025" max="1025" width="30.42578125" style="557" customWidth="1"/>
    <col min="1026" max="1280" width="9.140625" style="557"/>
    <col min="1281" max="1281" width="30.42578125" style="557" customWidth="1"/>
    <col min="1282" max="1536" width="9.140625" style="557"/>
    <col min="1537" max="1537" width="30.42578125" style="557" customWidth="1"/>
    <col min="1538" max="1792" width="9.140625" style="557"/>
    <col min="1793" max="1793" width="30.42578125" style="557" customWidth="1"/>
    <col min="1794" max="2048" width="9.140625" style="557"/>
    <col min="2049" max="2049" width="30.42578125" style="557" customWidth="1"/>
    <col min="2050" max="2304" width="9.140625" style="557"/>
    <col min="2305" max="2305" width="30.42578125" style="557" customWidth="1"/>
    <col min="2306" max="2560" width="9.140625" style="557"/>
    <col min="2561" max="2561" width="30.42578125" style="557" customWidth="1"/>
    <col min="2562" max="2816" width="9.140625" style="557"/>
    <col min="2817" max="2817" width="30.42578125" style="557" customWidth="1"/>
    <col min="2818" max="3072" width="9.140625" style="557"/>
    <col min="3073" max="3073" width="30.42578125" style="557" customWidth="1"/>
    <col min="3074" max="3328" width="9.140625" style="557"/>
    <col min="3329" max="3329" width="30.42578125" style="557" customWidth="1"/>
    <col min="3330" max="3584" width="9.140625" style="557"/>
    <col min="3585" max="3585" width="30.42578125" style="557" customWidth="1"/>
    <col min="3586" max="3840" width="9.140625" style="557"/>
    <col min="3841" max="3841" width="30.42578125" style="557" customWidth="1"/>
    <col min="3842" max="4096" width="9.140625" style="557"/>
    <col min="4097" max="4097" width="30.42578125" style="557" customWidth="1"/>
    <col min="4098" max="4352" width="9.140625" style="557"/>
    <col min="4353" max="4353" width="30.42578125" style="557" customWidth="1"/>
    <col min="4354" max="4608" width="9.140625" style="557"/>
    <col min="4609" max="4609" width="30.42578125" style="557" customWidth="1"/>
    <col min="4610" max="4864" width="9.140625" style="557"/>
    <col min="4865" max="4865" width="30.42578125" style="557" customWidth="1"/>
    <col min="4866" max="5120" width="9.140625" style="557"/>
    <col min="5121" max="5121" width="30.42578125" style="557" customWidth="1"/>
    <col min="5122" max="5376" width="9.140625" style="557"/>
    <col min="5377" max="5377" width="30.42578125" style="557" customWidth="1"/>
    <col min="5378" max="5632" width="9.140625" style="557"/>
    <col min="5633" max="5633" width="30.42578125" style="557" customWidth="1"/>
    <col min="5634" max="5888" width="9.140625" style="557"/>
    <col min="5889" max="5889" width="30.42578125" style="557" customWidth="1"/>
    <col min="5890" max="6144" width="9.140625" style="557"/>
    <col min="6145" max="6145" width="30.42578125" style="557" customWidth="1"/>
    <col min="6146" max="6400" width="9.140625" style="557"/>
    <col min="6401" max="6401" width="30.42578125" style="557" customWidth="1"/>
    <col min="6402" max="6656" width="9.140625" style="557"/>
    <col min="6657" max="6657" width="30.42578125" style="557" customWidth="1"/>
    <col min="6658" max="6912" width="9.140625" style="557"/>
    <col min="6913" max="6913" width="30.42578125" style="557" customWidth="1"/>
    <col min="6914" max="7168" width="9.140625" style="557"/>
    <col min="7169" max="7169" width="30.42578125" style="557" customWidth="1"/>
    <col min="7170" max="7424" width="9.140625" style="557"/>
    <col min="7425" max="7425" width="30.42578125" style="557" customWidth="1"/>
    <col min="7426" max="7680" width="9.140625" style="557"/>
    <col min="7681" max="7681" width="30.42578125" style="557" customWidth="1"/>
    <col min="7682" max="7936" width="9.140625" style="557"/>
    <col min="7937" max="7937" width="30.42578125" style="557" customWidth="1"/>
    <col min="7938" max="8192" width="9.140625" style="557"/>
    <col min="8193" max="8193" width="30.42578125" style="557" customWidth="1"/>
    <col min="8194" max="8448" width="9.140625" style="557"/>
    <col min="8449" max="8449" width="30.42578125" style="557" customWidth="1"/>
    <col min="8450" max="8704" width="9.140625" style="557"/>
    <col min="8705" max="8705" width="30.42578125" style="557" customWidth="1"/>
    <col min="8706" max="8960" width="9.140625" style="557"/>
    <col min="8961" max="8961" width="30.42578125" style="557" customWidth="1"/>
    <col min="8962" max="9216" width="9.140625" style="557"/>
    <col min="9217" max="9217" width="30.42578125" style="557" customWidth="1"/>
    <col min="9218" max="9472" width="9.140625" style="557"/>
    <col min="9473" max="9473" width="30.42578125" style="557" customWidth="1"/>
    <col min="9474" max="9728" width="9.140625" style="557"/>
    <col min="9729" max="9729" width="30.42578125" style="557" customWidth="1"/>
    <col min="9730" max="9984" width="9.140625" style="557"/>
    <col min="9985" max="9985" width="30.42578125" style="557" customWidth="1"/>
    <col min="9986" max="10240" width="9.140625" style="557"/>
    <col min="10241" max="10241" width="30.42578125" style="557" customWidth="1"/>
    <col min="10242" max="10496" width="9.140625" style="557"/>
    <col min="10497" max="10497" width="30.42578125" style="557" customWidth="1"/>
    <col min="10498" max="10752" width="9.140625" style="557"/>
    <col min="10753" max="10753" width="30.42578125" style="557" customWidth="1"/>
    <col min="10754" max="11008" width="9.140625" style="557"/>
    <col min="11009" max="11009" width="30.42578125" style="557" customWidth="1"/>
    <col min="11010" max="11264" width="9.140625" style="557"/>
    <col min="11265" max="11265" width="30.42578125" style="557" customWidth="1"/>
    <col min="11266" max="11520" width="9.140625" style="557"/>
    <col min="11521" max="11521" width="30.42578125" style="557" customWidth="1"/>
    <col min="11522" max="11776" width="9.140625" style="557"/>
    <col min="11777" max="11777" width="30.42578125" style="557" customWidth="1"/>
    <col min="11778" max="12032" width="9.140625" style="557"/>
    <col min="12033" max="12033" width="30.42578125" style="557" customWidth="1"/>
    <col min="12034" max="12288" width="9.140625" style="557"/>
    <col min="12289" max="12289" width="30.42578125" style="557" customWidth="1"/>
    <col min="12290" max="12544" width="9.140625" style="557"/>
    <col min="12545" max="12545" width="30.42578125" style="557" customWidth="1"/>
    <col min="12546" max="12800" width="9.140625" style="557"/>
    <col min="12801" max="12801" width="30.42578125" style="557" customWidth="1"/>
    <col min="12802" max="13056" width="9.140625" style="557"/>
    <col min="13057" max="13057" width="30.42578125" style="557" customWidth="1"/>
    <col min="13058" max="13312" width="9.140625" style="557"/>
    <col min="13313" max="13313" width="30.42578125" style="557" customWidth="1"/>
    <col min="13314" max="13568" width="9.140625" style="557"/>
    <col min="13569" max="13569" width="30.42578125" style="557" customWidth="1"/>
    <col min="13570" max="13824" width="9.140625" style="557"/>
    <col min="13825" max="13825" width="30.42578125" style="557" customWidth="1"/>
    <col min="13826" max="14080" width="9.140625" style="557"/>
    <col min="14081" max="14081" width="30.42578125" style="557" customWidth="1"/>
    <col min="14082" max="14336" width="9.140625" style="557"/>
    <col min="14337" max="14337" width="30.42578125" style="557" customWidth="1"/>
    <col min="14338" max="14592" width="9.140625" style="557"/>
    <col min="14593" max="14593" width="30.42578125" style="557" customWidth="1"/>
    <col min="14594" max="14848" width="9.140625" style="557"/>
    <col min="14849" max="14849" width="30.42578125" style="557" customWidth="1"/>
    <col min="14850" max="15104" width="9.140625" style="557"/>
    <col min="15105" max="15105" width="30.42578125" style="557" customWidth="1"/>
    <col min="15106" max="15360" width="9.140625" style="557"/>
    <col min="15361" max="15361" width="30.42578125" style="557" customWidth="1"/>
    <col min="15362" max="15616" width="9.140625" style="557"/>
    <col min="15617" max="15617" width="30.42578125" style="557" customWidth="1"/>
    <col min="15618" max="15872" width="9.140625" style="557"/>
    <col min="15873" max="15873" width="30.42578125" style="557" customWidth="1"/>
    <col min="15874" max="16128" width="9.140625" style="557"/>
    <col min="16129" max="16129" width="30.42578125" style="557" customWidth="1"/>
    <col min="16130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353" t="s">
        <v>2042</v>
      </c>
      <c r="C3" s="1353"/>
      <c r="D3" s="1353"/>
      <c r="E3" s="1353"/>
      <c r="F3" s="558" t="s">
        <v>171</v>
      </c>
      <c r="H3" s="1366" t="s">
        <v>2043</v>
      </c>
      <c r="I3" s="1366"/>
      <c r="J3" s="558" t="s">
        <v>172</v>
      </c>
      <c r="K3" s="559">
        <v>590.15499999999997</v>
      </c>
      <c r="L3" s="558" t="s">
        <v>436</v>
      </c>
      <c r="N3" s="610">
        <v>80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354" t="s">
        <v>2044</v>
      </c>
      <c r="C5" s="1354"/>
      <c r="D5" s="1354"/>
      <c r="E5" s="1354"/>
      <c r="F5" s="558" t="s">
        <v>176</v>
      </c>
      <c r="H5" s="1354" t="s">
        <v>2045</v>
      </c>
      <c r="I5" s="1354"/>
      <c r="J5" s="1354"/>
    </row>
    <row r="7" spans="1:14" ht="13.5">
      <c r="A7" s="558" t="s">
        <v>178</v>
      </c>
      <c r="B7" s="1355" t="s">
        <v>2046</v>
      </c>
      <c r="C7" s="1356"/>
      <c r="D7" s="1356"/>
      <c r="E7" s="1357"/>
      <c r="F7" s="1197" t="s">
        <v>1696</v>
      </c>
      <c r="G7" s="1197"/>
      <c r="H7" s="1367" t="s">
        <v>2047</v>
      </c>
      <c r="I7" s="1368"/>
      <c r="J7" s="1368"/>
      <c r="K7" s="1369"/>
    </row>
    <row r="8" spans="1:14">
      <c r="F8" s="1197"/>
      <c r="G8" s="1197"/>
      <c r="H8" s="1370"/>
      <c r="I8" s="1371"/>
      <c r="J8" s="1371"/>
      <c r="K8" s="1372"/>
    </row>
    <row r="10" spans="1:14" s="561" customFormat="1">
      <c r="A10" s="560" t="s">
        <v>1697</v>
      </c>
      <c r="B10" s="1364" t="s">
        <v>2048</v>
      </c>
      <c r="C10" s="1364"/>
      <c r="D10" s="1364" t="s">
        <v>2049</v>
      </c>
      <c r="E10" s="1364"/>
      <c r="F10" s="1364"/>
      <c r="G10" s="1364" t="s">
        <v>2050</v>
      </c>
      <c r="H10" s="1364"/>
      <c r="I10" s="1364"/>
      <c r="J10" s="1364"/>
      <c r="K10" s="1364"/>
      <c r="L10" s="1364"/>
      <c r="M10" s="1364"/>
    </row>
    <row r="11" spans="1:14" s="561" customFormat="1">
      <c r="A11" s="560" t="s">
        <v>1702</v>
      </c>
      <c r="B11" s="1365" t="s">
        <v>2051</v>
      </c>
      <c r="C11" s="1365"/>
      <c r="D11" s="1365" t="s">
        <v>2052</v>
      </c>
      <c r="E11" s="1365"/>
      <c r="F11" s="1365"/>
      <c r="G11" s="1365" t="s">
        <v>2053</v>
      </c>
      <c r="H11" s="1365"/>
      <c r="I11" s="1365"/>
      <c r="J11" s="1364"/>
      <c r="K11" s="1364"/>
      <c r="L11" s="1364"/>
      <c r="M11" s="1364"/>
    </row>
    <row r="12" spans="1:14" s="561" customFormat="1" ht="33.75" customHeight="1">
      <c r="A12" s="560" t="s">
        <v>1707</v>
      </c>
      <c r="B12" s="1373" t="s">
        <v>2054</v>
      </c>
      <c r="C12" s="1374"/>
      <c r="D12" s="1365" t="s">
        <v>2055</v>
      </c>
      <c r="E12" s="1365"/>
      <c r="F12" s="1365"/>
      <c r="G12" s="1365" t="s">
        <v>2056</v>
      </c>
      <c r="H12" s="1365"/>
      <c r="I12" s="1365"/>
      <c r="J12" s="1364"/>
      <c r="K12" s="1364"/>
      <c r="L12" s="1364"/>
      <c r="M12" s="1364"/>
    </row>
    <row r="13" spans="1:14" s="561" customFormat="1">
      <c r="A13" s="560" t="s">
        <v>197</v>
      </c>
      <c r="B13" s="1365" t="s">
        <v>2046</v>
      </c>
      <c r="C13" s="1365"/>
      <c r="D13" s="1365" t="s">
        <v>2057</v>
      </c>
      <c r="E13" s="1365"/>
      <c r="F13" s="1365"/>
      <c r="G13" s="1365" t="s">
        <v>2058</v>
      </c>
      <c r="H13" s="1365"/>
      <c r="I13" s="1365"/>
      <c r="J13" s="1364"/>
      <c r="K13" s="1364"/>
      <c r="L13" s="1364"/>
      <c r="M13" s="1364"/>
    </row>
    <row r="14" spans="1:14" s="561" customFormat="1">
      <c r="A14" s="562"/>
      <c r="D14" s="616"/>
      <c r="E14" s="616"/>
      <c r="F14" s="616"/>
    </row>
    <row r="15" spans="1:14" s="561" customFormat="1">
      <c r="A15" s="562" t="s">
        <v>1356</v>
      </c>
      <c r="B15" s="600">
        <v>3</v>
      </c>
      <c r="C15" s="1203" t="s">
        <v>1490</v>
      </c>
      <c r="D15" s="1197"/>
      <c r="E15" s="1197"/>
      <c r="F15" s="600">
        <v>3</v>
      </c>
      <c r="G15" s="562" t="s">
        <v>1712</v>
      </c>
      <c r="H15" s="600">
        <v>12</v>
      </c>
      <c r="I15" s="562" t="s">
        <v>1492</v>
      </c>
      <c r="J15" s="600">
        <v>1</v>
      </c>
      <c r="K15" s="562" t="s">
        <v>1386</v>
      </c>
      <c r="L15" s="600">
        <v>12</v>
      </c>
    </row>
    <row r="16" spans="1:14" s="561" customFormat="1">
      <c r="A16" s="562"/>
    </row>
    <row r="17" spans="1:18" s="562" customFormat="1">
      <c r="A17" s="562" t="s">
        <v>203</v>
      </c>
      <c r="B17" s="562" t="s">
        <v>204</v>
      </c>
      <c r="C17" s="564">
        <v>102</v>
      </c>
      <c r="D17" s="562" t="s">
        <v>205</v>
      </c>
      <c r="E17" s="564">
        <v>45</v>
      </c>
      <c r="F17" s="562" t="s">
        <v>206</v>
      </c>
      <c r="G17" s="564">
        <v>3</v>
      </c>
      <c r="H17" s="562" t="s">
        <v>230</v>
      </c>
      <c r="I17" s="564">
        <v>150</v>
      </c>
      <c r="J17" s="562" t="s">
        <v>207</v>
      </c>
      <c r="K17" s="564">
        <v>18</v>
      </c>
      <c r="L17" s="1203" t="s">
        <v>1360</v>
      </c>
      <c r="M17" s="1204"/>
      <c r="N17" s="560">
        <v>13</v>
      </c>
    </row>
    <row r="18" spans="1:18" s="562" customFormat="1">
      <c r="A18" s="562" t="s">
        <v>209</v>
      </c>
      <c r="B18" s="562" t="s">
        <v>210</v>
      </c>
      <c r="C18" s="564">
        <v>224</v>
      </c>
      <c r="D18" s="562" t="s">
        <v>211</v>
      </c>
      <c r="E18" s="564">
        <v>119</v>
      </c>
      <c r="F18" s="562" t="s">
        <v>212</v>
      </c>
      <c r="G18" s="564">
        <v>9</v>
      </c>
      <c r="H18" s="562" t="s">
        <v>411</v>
      </c>
      <c r="I18" s="564">
        <v>352</v>
      </c>
    </row>
    <row r="19" spans="1:18" s="562" customFormat="1" ht="25.5">
      <c r="B19" s="562" t="s">
        <v>213</v>
      </c>
      <c r="C19" s="564">
        <v>253</v>
      </c>
      <c r="D19" s="562" t="s">
        <v>214</v>
      </c>
      <c r="E19" s="564">
        <v>125</v>
      </c>
      <c r="F19" s="562" t="s">
        <v>215</v>
      </c>
      <c r="G19" s="564">
        <v>14</v>
      </c>
      <c r="H19" s="562" t="s">
        <v>410</v>
      </c>
      <c r="I19" s="564">
        <v>392</v>
      </c>
    </row>
    <row r="20" spans="1:18" s="562" customFormat="1"/>
    <row r="21" spans="1:18" s="561" customFormat="1">
      <c r="A21" s="567" t="s">
        <v>216</v>
      </c>
    </row>
    <row r="22" spans="1:18" s="561" customFormat="1">
      <c r="A22" s="562"/>
    </row>
    <row r="23" spans="1:18" s="561" customForma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18" s="561" customFormat="1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18" s="561" customFormat="1">
      <c r="A25" s="560" t="s">
        <v>232</v>
      </c>
      <c r="B25" s="564">
        <v>8000</v>
      </c>
      <c r="C25" s="560" t="s">
        <v>233</v>
      </c>
      <c r="D25" s="570">
        <v>47.212400000000002</v>
      </c>
      <c r="E25" s="570">
        <v>18.87</v>
      </c>
      <c r="F25" s="617">
        <v>0</v>
      </c>
      <c r="G25" s="617">
        <v>0</v>
      </c>
      <c r="H25" s="570">
        <v>1.1083099999999999</v>
      </c>
      <c r="I25" s="570">
        <v>13.249779999999999</v>
      </c>
      <c r="J25" s="617">
        <v>0</v>
      </c>
      <c r="K25" s="617">
        <v>0</v>
      </c>
      <c r="L25" s="617">
        <v>0</v>
      </c>
      <c r="M25" s="570">
        <v>14.358089999999999</v>
      </c>
      <c r="N25" s="570">
        <v>76.089507154213038</v>
      </c>
      <c r="O25" s="605"/>
      <c r="P25" s="605"/>
      <c r="Q25" s="605"/>
      <c r="R25" s="605"/>
    </row>
    <row r="26" spans="1:18" s="561" customFormat="1">
      <c r="A26" s="560" t="s">
        <v>1715</v>
      </c>
      <c r="B26" s="564">
        <v>7000</v>
      </c>
      <c r="C26" s="560" t="s">
        <v>233</v>
      </c>
      <c r="D26" s="570">
        <v>3.4228989999999997</v>
      </c>
      <c r="E26" s="570">
        <v>0</v>
      </c>
      <c r="F26" s="617">
        <v>0</v>
      </c>
      <c r="G26" s="617">
        <v>0</v>
      </c>
      <c r="H26" s="570">
        <v>0</v>
      </c>
      <c r="I26" s="570">
        <v>0</v>
      </c>
      <c r="J26" s="617">
        <v>0</v>
      </c>
      <c r="K26" s="617">
        <v>0</v>
      </c>
      <c r="L26" s="617">
        <v>0</v>
      </c>
      <c r="M26" s="570">
        <v>0</v>
      </c>
      <c r="N26" s="570"/>
      <c r="O26" s="605"/>
      <c r="P26" s="605"/>
      <c r="Q26" s="605"/>
      <c r="R26" s="605"/>
    </row>
    <row r="27" spans="1:18" s="561" customFormat="1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0.18</v>
      </c>
      <c r="F27" s="617">
        <v>0</v>
      </c>
      <c r="G27" s="617">
        <v>0</v>
      </c>
      <c r="H27" s="570">
        <v>0</v>
      </c>
      <c r="I27" s="570">
        <v>0.18</v>
      </c>
      <c r="J27" s="617">
        <v>0</v>
      </c>
      <c r="K27" s="617">
        <v>0</v>
      </c>
      <c r="L27" s="617">
        <v>0</v>
      </c>
      <c r="M27" s="570">
        <v>0.18</v>
      </c>
      <c r="N27" s="570">
        <v>100</v>
      </c>
      <c r="O27" s="605"/>
      <c r="P27" s="605"/>
      <c r="Q27" s="605"/>
      <c r="R27" s="605"/>
    </row>
    <row r="28" spans="1:18" s="561" customFormat="1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0.16</v>
      </c>
      <c r="F28" s="617">
        <v>0</v>
      </c>
      <c r="G28" s="617">
        <v>0</v>
      </c>
      <c r="H28" s="570">
        <v>0.16</v>
      </c>
      <c r="I28" s="570">
        <v>0</v>
      </c>
      <c r="J28" s="617">
        <v>0</v>
      </c>
      <c r="K28" s="617">
        <v>0</v>
      </c>
      <c r="L28" s="617">
        <v>0</v>
      </c>
      <c r="M28" s="570">
        <v>0.16</v>
      </c>
      <c r="N28" s="570">
        <v>100</v>
      </c>
      <c r="O28" s="605"/>
      <c r="P28" s="605"/>
      <c r="Q28" s="605"/>
      <c r="R28" s="605"/>
    </row>
    <row r="29" spans="1:18" s="561" customFormat="1">
      <c r="A29" s="560" t="s">
        <v>238</v>
      </c>
      <c r="B29" s="564">
        <v>1200</v>
      </c>
      <c r="C29" s="560" t="s">
        <v>233</v>
      </c>
      <c r="D29" s="570">
        <v>7.0818599999999998</v>
      </c>
      <c r="E29" s="570">
        <v>2</v>
      </c>
      <c r="F29" s="617">
        <v>0</v>
      </c>
      <c r="G29" s="617">
        <v>0</v>
      </c>
      <c r="H29" s="570">
        <v>0</v>
      </c>
      <c r="I29" s="570">
        <v>0</v>
      </c>
      <c r="J29" s="617">
        <v>0</v>
      </c>
      <c r="K29" s="617">
        <v>0</v>
      </c>
      <c r="L29" s="617">
        <v>0</v>
      </c>
      <c r="M29" s="570">
        <v>0</v>
      </c>
      <c r="N29" s="570">
        <v>0</v>
      </c>
      <c r="O29" s="605"/>
      <c r="P29" s="605"/>
      <c r="Q29" s="605"/>
      <c r="R29" s="605"/>
    </row>
    <row r="30" spans="1:18" s="561" customFormat="1">
      <c r="A30" s="560" t="s">
        <v>667</v>
      </c>
      <c r="B30" s="564">
        <v>565</v>
      </c>
      <c r="C30" s="560" t="s">
        <v>233</v>
      </c>
      <c r="D30" s="570">
        <v>3.33437575</v>
      </c>
      <c r="E30" s="570">
        <v>3.2458499999999999</v>
      </c>
      <c r="F30" s="617">
        <v>0</v>
      </c>
      <c r="G30" s="617">
        <v>0</v>
      </c>
      <c r="H30" s="570">
        <v>3.2458499999999999</v>
      </c>
      <c r="I30" s="570">
        <v>0</v>
      </c>
      <c r="J30" s="617">
        <v>0</v>
      </c>
      <c r="K30" s="617">
        <v>0</v>
      </c>
      <c r="L30" s="617">
        <v>0</v>
      </c>
      <c r="M30" s="570">
        <v>3.2458499999999999</v>
      </c>
      <c r="N30" s="570">
        <v>100</v>
      </c>
      <c r="O30" s="605"/>
      <c r="P30" s="605"/>
      <c r="Q30" s="605"/>
      <c r="R30" s="605"/>
    </row>
    <row r="31" spans="1:18" s="561" customFormat="1">
      <c r="A31" s="560" t="s">
        <v>240</v>
      </c>
      <c r="B31" s="564">
        <v>1000</v>
      </c>
      <c r="C31" s="560" t="s">
        <v>233</v>
      </c>
      <c r="D31" s="570">
        <v>5.9015500000000003</v>
      </c>
      <c r="E31" s="570">
        <v>0</v>
      </c>
      <c r="F31" s="617">
        <v>0</v>
      </c>
      <c r="G31" s="617">
        <v>0</v>
      </c>
      <c r="H31" s="570">
        <v>0</v>
      </c>
      <c r="I31" s="570">
        <v>0</v>
      </c>
      <c r="J31" s="617">
        <v>0</v>
      </c>
      <c r="K31" s="617">
        <v>0</v>
      </c>
      <c r="L31" s="617">
        <v>0</v>
      </c>
      <c r="M31" s="570">
        <v>0</v>
      </c>
      <c r="N31" s="570">
        <v>0</v>
      </c>
      <c r="O31" s="605"/>
      <c r="P31" s="605"/>
      <c r="Q31" s="605"/>
      <c r="R31" s="605"/>
    </row>
    <row r="32" spans="1:18" s="561" customFormat="1">
      <c r="A32" s="560" t="s">
        <v>394</v>
      </c>
      <c r="B32" s="564">
        <v>2750</v>
      </c>
      <c r="C32" s="560" t="s">
        <v>1716</v>
      </c>
      <c r="D32" s="570">
        <v>2.1</v>
      </c>
      <c r="E32" s="570">
        <v>0.44000000000000006</v>
      </c>
      <c r="F32" s="617">
        <v>0</v>
      </c>
      <c r="G32" s="617">
        <v>0</v>
      </c>
      <c r="H32" s="570">
        <v>1.2499999999999997E-2</v>
      </c>
      <c r="I32" s="570">
        <v>7.7499999999999999E-2</v>
      </c>
      <c r="J32" s="617">
        <v>0</v>
      </c>
      <c r="K32" s="617">
        <v>0</v>
      </c>
      <c r="L32" s="617">
        <v>0</v>
      </c>
      <c r="M32" s="570">
        <v>0.09</v>
      </c>
      <c r="N32" s="570">
        <v>20.45454545454545</v>
      </c>
      <c r="O32" s="605"/>
      <c r="P32" s="605"/>
      <c r="Q32" s="605"/>
      <c r="R32" s="605"/>
    </row>
    <row r="33" spans="1:18" s="561" customFormat="1">
      <c r="A33" s="560" t="s">
        <v>1717</v>
      </c>
      <c r="B33" s="564">
        <v>10000</v>
      </c>
      <c r="C33" s="560" t="s">
        <v>244</v>
      </c>
      <c r="D33" s="570">
        <v>0.1</v>
      </c>
      <c r="E33" s="570">
        <v>0.1</v>
      </c>
      <c r="F33" s="617">
        <v>0</v>
      </c>
      <c r="G33" s="617">
        <v>0</v>
      </c>
      <c r="H33" s="570">
        <v>0.1</v>
      </c>
      <c r="I33" s="570">
        <v>0</v>
      </c>
      <c r="J33" s="617">
        <v>0</v>
      </c>
      <c r="K33" s="617">
        <v>0</v>
      </c>
      <c r="L33" s="617">
        <v>0</v>
      </c>
      <c r="M33" s="570">
        <v>0.1</v>
      </c>
      <c r="N33" s="570">
        <v>100</v>
      </c>
      <c r="O33" s="605"/>
      <c r="P33" s="605"/>
      <c r="Q33" s="605"/>
      <c r="R33" s="605"/>
    </row>
    <row r="34" spans="1:18" s="561" customFormat="1">
      <c r="A34" s="572" t="s">
        <v>230</v>
      </c>
      <c r="B34" s="560"/>
      <c r="C34" s="560"/>
      <c r="D34" s="573">
        <v>69.923084749999987</v>
      </c>
      <c r="E34" s="573">
        <v>24.995850000000004</v>
      </c>
      <c r="F34" s="573">
        <v>0</v>
      </c>
      <c r="G34" s="573">
        <v>0</v>
      </c>
      <c r="H34" s="573">
        <v>4.6266599999999993</v>
      </c>
      <c r="I34" s="573">
        <v>13.50728</v>
      </c>
      <c r="J34" s="573">
        <v>0</v>
      </c>
      <c r="K34" s="573">
        <v>0</v>
      </c>
      <c r="L34" s="573">
        <v>0</v>
      </c>
      <c r="M34" s="573">
        <v>18.133939999999999</v>
      </c>
      <c r="N34" s="573"/>
      <c r="O34" s="613"/>
      <c r="P34" s="613"/>
      <c r="Q34" s="613"/>
      <c r="R34" s="613"/>
    </row>
    <row r="35" spans="1:18" s="561" customFormat="1">
      <c r="A35" s="562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  <c r="Q35" s="608"/>
      <c r="R35" s="608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1" orientation="landscape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30.42578125" style="557" customWidth="1"/>
    <col min="2" max="12" width="9.140625" style="557"/>
    <col min="13" max="13" width="7.85546875" style="557" customWidth="1"/>
    <col min="14" max="14" width="6.85546875" style="557" customWidth="1"/>
    <col min="15" max="256" width="9.140625" style="557"/>
    <col min="257" max="257" width="30.42578125" style="557" customWidth="1"/>
    <col min="258" max="268" width="9.140625" style="557"/>
    <col min="269" max="269" width="7.85546875" style="557" customWidth="1"/>
    <col min="270" max="270" width="6.85546875" style="557" customWidth="1"/>
    <col min="271" max="512" width="9.140625" style="557"/>
    <col min="513" max="513" width="30.42578125" style="557" customWidth="1"/>
    <col min="514" max="524" width="9.140625" style="557"/>
    <col min="525" max="525" width="7.85546875" style="557" customWidth="1"/>
    <col min="526" max="526" width="6.85546875" style="557" customWidth="1"/>
    <col min="527" max="768" width="9.140625" style="557"/>
    <col min="769" max="769" width="30.42578125" style="557" customWidth="1"/>
    <col min="770" max="780" width="9.140625" style="557"/>
    <col min="781" max="781" width="7.85546875" style="557" customWidth="1"/>
    <col min="782" max="782" width="6.85546875" style="557" customWidth="1"/>
    <col min="783" max="1024" width="9.140625" style="557"/>
    <col min="1025" max="1025" width="30.42578125" style="557" customWidth="1"/>
    <col min="1026" max="1036" width="9.140625" style="557"/>
    <col min="1037" max="1037" width="7.85546875" style="557" customWidth="1"/>
    <col min="1038" max="1038" width="6.85546875" style="557" customWidth="1"/>
    <col min="1039" max="1280" width="9.140625" style="557"/>
    <col min="1281" max="1281" width="30.42578125" style="557" customWidth="1"/>
    <col min="1282" max="1292" width="9.140625" style="557"/>
    <col min="1293" max="1293" width="7.85546875" style="557" customWidth="1"/>
    <col min="1294" max="1294" width="6.85546875" style="557" customWidth="1"/>
    <col min="1295" max="1536" width="9.140625" style="557"/>
    <col min="1537" max="1537" width="30.42578125" style="557" customWidth="1"/>
    <col min="1538" max="1548" width="9.140625" style="557"/>
    <col min="1549" max="1549" width="7.85546875" style="557" customWidth="1"/>
    <col min="1550" max="1550" width="6.85546875" style="557" customWidth="1"/>
    <col min="1551" max="1792" width="9.140625" style="557"/>
    <col min="1793" max="1793" width="30.42578125" style="557" customWidth="1"/>
    <col min="1794" max="1804" width="9.140625" style="557"/>
    <col min="1805" max="1805" width="7.85546875" style="557" customWidth="1"/>
    <col min="1806" max="1806" width="6.85546875" style="557" customWidth="1"/>
    <col min="1807" max="2048" width="9.140625" style="557"/>
    <col min="2049" max="2049" width="30.42578125" style="557" customWidth="1"/>
    <col min="2050" max="2060" width="9.140625" style="557"/>
    <col min="2061" max="2061" width="7.85546875" style="557" customWidth="1"/>
    <col min="2062" max="2062" width="6.85546875" style="557" customWidth="1"/>
    <col min="2063" max="2304" width="9.140625" style="557"/>
    <col min="2305" max="2305" width="30.42578125" style="557" customWidth="1"/>
    <col min="2306" max="2316" width="9.140625" style="557"/>
    <col min="2317" max="2317" width="7.85546875" style="557" customWidth="1"/>
    <col min="2318" max="2318" width="6.85546875" style="557" customWidth="1"/>
    <col min="2319" max="2560" width="9.140625" style="557"/>
    <col min="2561" max="2561" width="30.42578125" style="557" customWidth="1"/>
    <col min="2562" max="2572" width="9.140625" style="557"/>
    <col min="2573" max="2573" width="7.85546875" style="557" customWidth="1"/>
    <col min="2574" max="2574" width="6.85546875" style="557" customWidth="1"/>
    <col min="2575" max="2816" width="9.140625" style="557"/>
    <col min="2817" max="2817" width="30.42578125" style="557" customWidth="1"/>
    <col min="2818" max="2828" width="9.140625" style="557"/>
    <col min="2829" max="2829" width="7.85546875" style="557" customWidth="1"/>
    <col min="2830" max="2830" width="6.85546875" style="557" customWidth="1"/>
    <col min="2831" max="3072" width="9.140625" style="557"/>
    <col min="3073" max="3073" width="30.42578125" style="557" customWidth="1"/>
    <col min="3074" max="3084" width="9.140625" style="557"/>
    <col min="3085" max="3085" width="7.85546875" style="557" customWidth="1"/>
    <col min="3086" max="3086" width="6.85546875" style="557" customWidth="1"/>
    <col min="3087" max="3328" width="9.140625" style="557"/>
    <col min="3329" max="3329" width="30.42578125" style="557" customWidth="1"/>
    <col min="3330" max="3340" width="9.140625" style="557"/>
    <col min="3341" max="3341" width="7.85546875" style="557" customWidth="1"/>
    <col min="3342" max="3342" width="6.85546875" style="557" customWidth="1"/>
    <col min="3343" max="3584" width="9.140625" style="557"/>
    <col min="3585" max="3585" width="30.42578125" style="557" customWidth="1"/>
    <col min="3586" max="3596" width="9.140625" style="557"/>
    <col min="3597" max="3597" width="7.85546875" style="557" customWidth="1"/>
    <col min="3598" max="3598" width="6.85546875" style="557" customWidth="1"/>
    <col min="3599" max="3840" width="9.140625" style="557"/>
    <col min="3841" max="3841" width="30.42578125" style="557" customWidth="1"/>
    <col min="3842" max="3852" width="9.140625" style="557"/>
    <col min="3853" max="3853" width="7.85546875" style="557" customWidth="1"/>
    <col min="3854" max="3854" width="6.85546875" style="557" customWidth="1"/>
    <col min="3855" max="4096" width="9.140625" style="557"/>
    <col min="4097" max="4097" width="30.42578125" style="557" customWidth="1"/>
    <col min="4098" max="4108" width="9.140625" style="557"/>
    <col min="4109" max="4109" width="7.85546875" style="557" customWidth="1"/>
    <col min="4110" max="4110" width="6.85546875" style="557" customWidth="1"/>
    <col min="4111" max="4352" width="9.140625" style="557"/>
    <col min="4353" max="4353" width="30.42578125" style="557" customWidth="1"/>
    <col min="4354" max="4364" width="9.140625" style="557"/>
    <col min="4365" max="4365" width="7.85546875" style="557" customWidth="1"/>
    <col min="4366" max="4366" width="6.85546875" style="557" customWidth="1"/>
    <col min="4367" max="4608" width="9.140625" style="557"/>
    <col min="4609" max="4609" width="30.42578125" style="557" customWidth="1"/>
    <col min="4610" max="4620" width="9.140625" style="557"/>
    <col min="4621" max="4621" width="7.85546875" style="557" customWidth="1"/>
    <col min="4622" max="4622" width="6.85546875" style="557" customWidth="1"/>
    <col min="4623" max="4864" width="9.140625" style="557"/>
    <col min="4865" max="4865" width="30.42578125" style="557" customWidth="1"/>
    <col min="4866" max="4876" width="9.140625" style="557"/>
    <col min="4877" max="4877" width="7.85546875" style="557" customWidth="1"/>
    <col min="4878" max="4878" width="6.85546875" style="557" customWidth="1"/>
    <col min="4879" max="5120" width="9.140625" style="557"/>
    <col min="5121" max="5121" width="30.42578125" style="557" customWidth="1"/>
    <col min="5122" max="5132" width="9.140625" style="557"/>
    <col min="5133" max="5133" width="7.85546875" style="557" customWidth="1"/>
    <col min="5134" max="5134" width="6.85546875" style="557" customWidth="1"/>
    <col min="5135" max="5376" width="9.140625" style="557"/>
    <col min="5377" max="5377" width="30.42578125" style="557" customWidth="1"/>
    <col min="5378" max="5388" width="9.140625" style="557"/>
    <col min="5389" max="5389" width="7.85546875" style="557" customWidth="1"/>
    <col min="5390" max="5390" width="6.85546875" style="557" customWidth="1"/>
    <col min="5391" max="5632" width="9.140625" style="557"/>
    <col min="5633" max="5633" width="30.42578125" style="557" customWidth="1"/>
    <col min="5634" max="5644" width="9.140625" style="557"/>
    <col min="5645" max="5645" width="7.85546875" style="557" customWidth="1"/>
    <col min="5646" max="5646" width="6.85546875" style="557" customWidth="1"/>
    <col min="5647" max="5888" width="9.140625" style="557"/>
    <col min="5889" max="5889" width="30.42578125" style="557" customWidth="1"/>
    <col min="5890" max="5900" width="9.140625" style="557"/>
    <col min="5901" max="5901" width="7.85546875" style="557" customWidth="1"/>
    <col min="5902" max="5902" width="6.85546875" style="557" customWidth="1"/>
    <col min="5903" max="6144" width="9.140625" style="557"/>
    <col min="6145" max="6145" width="30.42578125" style="557" customWidth="1"/>
    <col min="6146" max="6156" width="9.140625" style="557"/>
    <col min="6157" max="6157" width="7.85546875" style="557" customWidth="1"/>
    <col min="6158" max="6158" width="6.85546875" style="557" customWidth="1"/>
    <col min="6159" max="6400" width="9.140625" style="557"/>
    <col min="6401" max="6401" width="30.42578125" style="557" customWidth="1"/>
    <col min="6402" max="6412" width="9.140625" style="557"/>
    <col min="6413" max="6413" width="7.85546875" style="557" customWidth="1"/>
    <col min="6414" max="6414" width="6.85546875" style="557" customWidth="1"/>
    <col min="6415" max="6656" width="9.140625" style="557"/>
    <col min="6657" max="6657" width="30.42578125" style="557" customWidth="1"/>
    <col min="6658" max="6668" width="9.140625" style="557"/>
    <col min="6669" max="6669" width="7.85546875" style="557" customWidth="1"/>
    <col min="6670" max="6670" width="6.85546875" style="557" customWidth="1"/>
    <col min="6671" max="6912" width="9.140625" style="557"/>
    <col min="6913" max="6913" width="30.42578125" style="557" customWidth="1"/>
    <col min="6914" max="6924" width="9.140625" style="557"/>
    <col min="6925" max="6925" width="7.85546875" style="557" customWidth="1"/>
    <col min="6926" max="6926" width="6.85546875" style="557" customWidth="1"/>
    <col min="6927" max="7168" width="9.140625" style="557"/>
    <col min="7169" max="7169" width="30.42578125" style="557" customWidth="1"/>
    <col min="7170" max="7180" width="9.140625" style="557"/>
    <col min="7181" max="7181" width="7.85546875" style="557" customWidth="1"/>
    <col min="7182" max="7182" width="6.85546875" style="557" customWidth="1"/>
    <col min="7183" max="7424" width="9.140625" style="557"/>
    <col min="7425" max="7425" width="30.42578125" style="557" customWidth="1"/>
    <col min="7426" max="7436" width="9.140625" style="557"/>
    <col min="7437" max="7437" width="7.85546875" style="557" customWidth="1"/>
    <col min="7438" max="7438" width="6.85546875" style="557" customWidth="1"/>
    <col min="7439" max="7680" width="9.140625" style="557"/>
    <col min="7681" max="7681" width="30.42578125" style="557" customWidth="1"/>
    <col min="7682" max="7692" width="9.140625" style="557"/>
    <col min="7693" max="7693" width="7.85546875" style="557" customWidth="1"/>
    <col min="7694" max="7694" width="6.85546875" style="557" customWidth="1"/>
    <col min="7695" max="7936" width="9.140625" style="557"/>
    <col min="7937" max="7937" width="30.42578125" style="557" customWidth="1"/>
    <col min="7938" max="7948" width="9.140625" style="557"/>
    <col min="7949" max="7949" width="7.85546875" style="557" customWidth="1"/>
    <col min="7950" max="7950" width="6.85546875" style="557" customWidth="1"/>
    <col min="7951" max="8192" width="9.140625" style="557"/>
    <col min="8193" max="8193" width="30.42578125" style="557" customWidth="1"/>
    <col min="8194" max="8204" width="9.140625" style="557"/>
    <col min="8205" max="8205" width="7.85546875" style="557" customWidth="1"/>
    <col min="8206" max="8206" width="6.85546875" style="557" customWidth="1"/>
    <col min="8207" max="8448" width="9.140625" style="557"/>
    <col min="8449" max="8449" width="30.42578125" style="557" customWidth="1"/>
    <col min="8450" max="8460" width="9.140625" style="557"/>
    <col min="8461" max="8461" width="7.85546875" style="557" customWidth="1"/>
    <col min="8462" max="8462" width="6.85546875" style="557" customWidth="1"/>
    <col min="8463" max="8704" width="9.140625" style="557"/>
    <col min="8705" max="8705" width="30.42578125" style="557" customWidth="1"/>
    <col min="8706" max="8716" width="9.140625" style="557"/>
    <col min="8717" max="8717" width="7.85546875" style="557" customWidth="1"/>
    <col min="8718" max="8718" width="6.85546875" style="557" customWidth="1"/>
    <col min="8719" max="8960" width="9.140625" style="557"/>
    <col min="8961" max="8961" width="30.42578125" style="557" customWidth="1"/>
    <col min="8962" max="8972" width="9.140625" style="557"/>
    <col min="8973" max="8973" width="7.85546875" style="557" customWidth="1"/>
    <col min="8974" max="8974" width="6.85546875" style="557" customWidth="1"/>
    <col min="8975" max="9216" width="9.140625" style="557"/>
    <col min="9217" max="9217" width="30.42578125" style="557" customWidth="1"/>
    <col min="9218" max="9228" width="9.140625" style="557"/>
    <col min="9229" max="9229" width="7.85546875" style="557" customWidth="1"/>
    <col min="9230" max="9230" width="6.85546875" style="557" customWidth="1"/>
    <col min="9231" max="9472" width="9.140625" style="557"/>
    <col min="9473" max="9473" width="30.42578125" style="557" customWidth="1"/>
    <col min="9474" max="9484" width="9.140625" style="557"/>
    <col min="9485" max="9485" width="7.85546875" style="557" customWidth="1"/>
    <col min="9486" max="9486" width="6.85546875" style="557" customWidth="1"/>
    <col min="9487" max="9728" width="9.140625" style="557"/>
    <col min="9729" max="9729" width="30.42578125" style="557" customWidth="1"/>
    <col min="9730" max="9740" width="9.140625" style="557"/>
    <col min="9741" max="9741" width="7.85546875" style="557" customWidth="1"/>
    <col min="9742" max="9742" width="6.85546875" style="557" customWidth="1"/>
    <col min="9743" max="9984" width="9.140625" style="557"/>
    <col min="9985" max="9985" width="30.42578125" style="557" customWidth="1"/>
    <col min="9986" max="9996" width="9.140625" style="557"/>
    <col min="9997" max="9997" width="7.85546875" style="557" customWidth="1"/>
    <col min="9998" max="9998" width="6.85546875" style="557" customWidth="1"/>
    <col min="9999" max="10240" width="9.140625" style="557"/>
    <col min="10241" max="10241" width="30.42578125" style="557" customWidth="1"/>
    <col min="10242" max="10252" width="9.140625" style="557"/>
    <col min="10253" max="10253" width="7.85546875" style="557" customWidth="1"/>
    <col min="10254" max="10254" width="6.85546875" style="557" customWidth="1"/>
    <col min="10255" max="10496" width="9.140625" style="557"/>
    <col min="10497" max="10497" width="30.42578125" style="557" customWidth="1"/>
    <col min="10498" max="10508" width="9.140625" style="557"/>
    <col min="10509" max="10509" width="7.85546875" style="557" customWidth="1"/>
    <col min="10510" max="10510" width="6.85546875" style="557" customWidth="1"/>
    <col min="10511" max="10752" width="9.140625" style="557"/>
    <col min="10753" max="10753" width="30.42578125" style="557" customWidth="1"/>
    <col min="10754" max="10764" width="9.140625" style="557"/>
    <col min="10765" max="10765" width="7.85546875" style="557" customWidth="1"/>
    <col min="10766" max="10766" width="6.85546875" style="557" customWidth="1"/>
    <col min="10767" max="11008" width="9.140625" style="557"/>
    <col min="11009" max="11009" width="30.42578125" style="557" customWidth="1"/>
    <col min="11010" max="11020" width="9.140625" style="557"/>
    <col min="11021" max="11021" width="7.85546875" style="557" customWidth="1"/>
    <col min="11022" max="11022" width="6.85546875" style="557" customWidth="1"/>
    <col min="11023" max="11264" width="9.140625" style="557"/>
    <col min="11265" max="11265" width="30.42578125" style="557" customWidth="1"/>
    <col min="11266" max="11276" width="9.140625" style="557"/>
    <col min="11277" max="11277" width="7.85546875" style="557" customWidth="1"/>
    <col min="11278" max="11278" width="6.85546875" style="557" customWidth="1"/>
    <col min="11279" max="11520" width="9.140625" style="557"/>
    <col min="11521" max="11521" width="30.42578125" style="557" customWidth="1"/>
    <col min="11522" max="11532" width="9.140625" style="557"/>
    <col min="11533" max="11533" width="7.85546875" style="557" customWidth="1"/>
    <col min="11534" max="11534" width="6.85546875" style="557" customWidth="1"/>
    <col min="11535" max="11776" width="9.140625" style="557"/>
    <col min="11777" max="11777" width="30.42578125" style="557" customWidth="1"/>
    <col min="11778" max="11788" width="9.140625" style="557"/>
    <col min="11789" max="11789" width="7.85546875" style="557" customWidth="1"/>
    <col min="11790" max="11790" width="6.85546875" style="557" customWidth="1"/>
    <col min="11791" max="12032" width="9.140625" style="557"/>
    <col min="12033" max="12033" width="30.42578125" style="557" customWidth="1"/>
    <col min="12034" max="12044" width="9.140625" style="557"/>
    <col min="12045" max="12045" width="7.85546875" style="557" customWidth="1"/>
    <col min="12046" max="12046" width="6.85546875" style="557" customWidth="1"/>
    <col min="12047" max="12288" width="9.140625" style="557"/>
    <col min="12289" max="12289" width="30.42578125" style="557" customWidth="1"/>
    <col min="12290" max="12300" width="9.140625" style="557"/>
    <col min="12301" max="12301" width="7.85546875" style="557" customWidth="1"/>
    <col min="12302" max="12302" width="6.85546875" style="557" customWidth="1"/>
    <col min="12303" max="12544" width="9.140625" style="557"/>
    <col min="12545" max="12545" width="30.42578125" style="557" customWidth="1"/>
    <col min="12546" max="12556" width="9.140625" style="557"/>
    <col min="12557" max="12557" width="7.85546875" style="557" customWidth="1"/>
    <col min="12558" max="12558" width="6.85546875" style="557" customWidth="1"/>
    <col min="12559" max="12800" width="9.140625" style="557"/>
    <col min="12801" max="12801" width="30.42578125" style="557" customWidth="1"/>
    <col min="12802" max="12812" width="9.140625" style="557"/>
    <col min="12813" max="12813" width="7.85546875" style="557" customWidth="1"/>
    <col min="12814" max="12814" width="6.85546875" style="557" customWidth="1"/>
    <col min="12815" max="13056" width="9.140625" style="557"/>
    <col min="13057" max="13057" width="30.42578125" style="557" customWidth="1"/>
    <col min="13058" max="13068" width="9.140625" style="557"/>
    <col min="13069" max="13069" width="7.85546875" style="557" customWidth="1"/>
    <col min="13070" max="13070" width="6.85546875" style="557" customWidth="1"/>
    <col min="13071" max="13312" width="9.140625" style="557"/>
    <col min="13313" max="13313" width="30.42578125" style="557" customWidth="1"/>
    <col min="13314" max="13324" width="9.140625" style="557"/>
    <col min="13325" max="13325" width="7.85546875" style="557" customWidth="1"/>
    <col min="13326" max="13326" width="6.85546875" style="557" customWidth="1"/>
    <col min="13327" max="13568" width="9.140625" style="557"/>
    <col min="13569" max="13569" width="30.42578125" style="557" customWidth="1"/>
    <col min="13570" max="13580" width="9.140625" style="557"/>
    <col min="13581" max="13581" width="7.85546875" style="557" customWidth="1"/>
    <col min="13582" max="13582" width="6.85546875" style="557" customWidth="1"/>
    <col min="13583" max="13824" width="9.140625" style="557"/>
    <col min="13825" max="13825" width="30.42578125" style="557" customWidth="1"/>
    <col min="13826" max="13836" width="9.140625" style="557"/>
    <col min="13837" max="13837" width="7.85546875" style="557" customWidth="1"/>
    <col min="13838" max="13838" width="6.85546875" style="557" customWidth="1"/>
    <col min="13839" max="14080" width="9.140625" style="557"/>
    <col min="14081" max="14081" width="30.42578125" style="557" customWidth="1"/>
    <col min="14082" max="14092" width="9.140625" style="557"/>
    <col min="14093" max="14093" width="7.85546875" style="557" customWidth="1"/>
    <col min="14094" max="14094" width="6.85546875" style="557" customWidth="1"/>
    <col min="14095" max="14336" width="9.140625" style="557"/>
    <col min="14337" max="14337" width="30.42578125" style="557" customWidth="1"/>
    <col min="14338" max="14348" width="9.140625" style="557"/>
    <col min="14349" max="14349" width="7.85546875" style="557" customWidth="1"/>
    <col min="14350" max="14350" width="6.85546875" style="557" customWidth="1"/>
    <col min="14351" max="14592" width="9.140625" style="557"/>
    <col min="14593" max="14593" width="30.42578125" style="557" customWidth="1"/>
    <col min="14594" max="14604" width="9.140625" style="557"/>
    <col min="14605" max="14605" width="7.85546875" style="557" customWidth="1"/>
    <col min="14606" max="14606" width="6.85546875" style="557" customWidth="1"/>
    <col min="14607" max="14848" width="9.140625" style="557"/>
    <col min="14849" max="14849" width="30.42578125" style="557" customWidth="1"/>
    <col min="14850" max="14860" width="9.140625" style="557"/>
    <col min="14861" max="14861" width="7.85546875" style="557" customWidth="1"/>
    <col min="14862" max="14862" width="6.85546875" style="557" customWidth="1"/>
    <col min="14863" max="15104" width="9.140625" style="557"/>
    <col min="15105" max="15105" width="30.42578125" style="557" customWidth="1"/>
    <col min="15106" max="15116" width="9.140625" style="557"/>
    <col min="15117" max="15117" width="7.85546875" style="557" customWidth="1"/>
    <col min="15118" max="15118" width="6.85546875" style="557" customWidth="1"/>
    <col min="15119" max="15360" width="9.140625" style="557"/>
    <col min="15361" max="15361" width="30.42578125" style="557" customWidth="1"/>
    <col min="15362" max="15372" width="9.140625" style="557"/>
    <col min="15373" max="15373" width="7.85546875" style="557" customWidth="1"/>
    <col min="15374" max="15374" width="6.85546875" style="557" customWidth="1"/>
    <col min="15375" max="15616" width="9.140625" style="557"/>
    <col min="15617" max="15617" width="30.42578125" style="557" customWidth="1"/>
    <col min="15618" max="15628" width="9.140625" style="557"/>
    <col min="15629" max="15629" width="7.85546875" style="557" customWidth="1"/>
    <col min="15630" max="15630" width="6.85546875" style="557" customWidth="1"/>
    <col min="15631" max="15872" width="9.140625" style="557"/>
    <col min="15873" max="15873" width="30.42578125" style="557" customWidth="1"/>
    <col min="15874" max="15884" width="9.140625" style="557"/>
    <col min="15885" max="15885" width="7.85546875" style="557" customWidth="1"/>
    <col min="15886" max="15886" width="6.85546875" style="557" customWidth="1"/>
    <col min="15887" max="16128" width="9.140625" style="557"/>
    <col min="16129" max="16129" width="30.42578125" style="557" customWidth="1"/>
    <col min="16130" max="16140" width="9.140625" style="557"/>
    <col min="16141" max="16141" width="7.85546875" style="557" customWidth="1"/>
    <col min="16142" max="16142" width="6.8554687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353" t="s">
        <v>2059</v>
      </c>
      <c r="C3" s="1353"/>
      <c r="D3" s="1353"/>
      <c r="E3" s="1353"/>
      <c r="F3" s="558" t="s">
        <v>171</v>
      </c>
      <c r="H3" s="1190" t="s">
        <v>2060</v>
      </c>
      <c r="I3" s="1190"/>
      <c r="J3" s="558" t="s">
        <v>172</v>
      </c>
      <c r="K3" s="559">
        <v>785.58600000000001</v>
      </c>
      <c r="L3" s="558" t="s">
        <v>436</v>
      </c>
      <c r="N3" s="559" t="s">
        <v>2022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375" t="s">
        <v>2061</v>
      </c>
      <c r="C5" s="1376"/>
      <c r="D5" s="1376"/>
      <c r="E5" s="1377"/>
      <c r="F5" s="558" t="s">
        <v>176</v>
      </c>
      <c r="H5" s="1375" t="s">
        <v>2062</v>
      </c>
      <c r="I5" s="1376"/>
      <c r="J5" s="1377"/>
    </row>
    <row r="7" spans="1:14" ht="13.5">
      <c r="A7" s="558" t="s">
        <v>178</v>
      </c>
      <c r="B7" s="1355"/>
      <c r="C7" s="1356"/>
      <c r="D7" s="1356"/>
      <c r="E7" s="1357"/>
      <c r="F7" s="1197" t="s">
        <v>1696</v>
      </c>
      <c r="G7" s="1197"/>
      <c r="H7" s="1354"/>
      <c r="I7" s="1354"/>
      <c r="J7" s="1354"/>
      <c r="K7" s="1354"/>
    </row>
    <row r="8" spans="1:14">
      <c r="F8" s="1197"/>
      <c r="G8" s="1197"/>
      <c r="H8" s="1354"/>
      <c r="I8" s="1354"/>
      <c r="J8" s="1354"/>
      <c r="K8" s="1354"/>
    </row>
    <row r="10" spans="1:14" s="561" customFormat="1">
      <c r="A10" s="560" t="s">
        <v>1697</v>
      </c>
      <c r="B10" s="1364" t="s">
        <v>2063</v>
      </c>
      <c r="C10" s="1364"/>
      <c r="D10" s="1364" t="s">
        <v>2064</v>
      </c>
      <c r="E10" s="1364"/>
      <c r="F10" s="1364"/>
      <c r="G10" s="1364" t="s">
        <v>2065</v>
      </c>
      <c r="H10" s="1364"/>
      <c r="I10" s="1364"/>
      <c r="J10" s="1364" t="s">
        <v>2066</v>
      </c>
      <c r="K10" s="1364"/>
      <c r="L10" s="1364"/>
      <c r="M10" s="1364"/>
    </row>
    <row r="11" spans="1:14" s="561" customFormat="1">
      <c r="A11" s="560" t="s">
        <v>1702</v>
      </c>
      <c r="B11" s="1365" t="s">
        <v>2067</v>
      </c>
      <c r="C11" s="1365"/>
      <c r="D11" s="1365" t="s">
        <v>2068</v>
      </c>
      <c r="E11" s="1365"/>
      <c r="F11" s="1365"/>
      <c r="G11" s="1365" t="s">
        <v>2069</v>
      </c>
      <c r="H11" s="1365"/>
      <c r="I11" s="1365"/>
      <c r="J11" s="1365" t="s">
        <v>2070</v>
      </c>
      <c r="K11" s="1365"/>
      <c r="L11" s="1365"/>
      <c r="M11" s="1365"/>
    </row>
    <row r="12" spans="1:14" s="561" customFormat="1">
      <c r="A12" s="560" t="s">
        <v>1707</v>
      </c>
      <c r="B12" s="1365" t="s">
        <v>2071</v>
      </c>
      <c r="C12" s="1365"/>
      <c r="D12" s="1365" t="s">
        <v>2072</v>
      </c>
      <c r="E12" s="1365"/>
      <c r="F12" s="1365"/>
      <c r="G12" s="1365" t="s">
        <v>2073</v>
      </c>
      <c r="H12" s="1365"/>
      <c r="I12" s="1365"/>
      <c r="J12" s="1365" t="s">
        <v>2074</v>
      </c>
      <c r="K12" s="1365"/>
      <c r="L12" s="1365"/>
      <c r="M12" s="1365"/>
    </row>
    <row r="13" spans="1:14" s="561" customFormat="1">
      <c r="A13" s="560" t="s">
        <v>197</v>
      </c>
      <c r="B13" s="1365" t="s">
        <v>2075</v>
      </c>
      <c r="C13" s="1365"/>
      <c r="D13" s="1365" t="s">
        <v>2076</v>
      </c>
      <c r="E13" s="1365"/>
      <c r="F13" s="1365"/>
      <c r="G13" s="1365" t="s">
        <v>2077</v>
      </c>
      <c r="H13" s="1365"/>
      <c r="I13" s="1365"/>
      <c r="J13" s="1365" t="s">
        <v>2078</v>
      </c>
      <c r="K13" s="1365"/>
      <c r="L13" s="1365"/>
      <c r="M13" s="1365"/>
    </row>
    <row r="14" spans="1:14" s="561" customFormat="1">
      <c r="A14" s="562"/>
    </row>
    <row r="15" spans="1:14" s="561" customFormat="1">
      <c r="A15" s="562" t="s">
        <v>1356</v>
      </c>
      <c r="B15" s="602">
        <v>4</v>
      </c>
      <c r="C15" s="1203" t="s">
        <v>1490</v>
      </c>
      <c r="D15" s="1197"/>
      <c r="E15" s="1197"/>
      <c r="F15" s="602">
        <v>4</v>
      </c>
      <c r="G15" s="562" t="s">
        <v>1712</v>
      </c>
      <c r="H15" s="602">
        <v>14</v>
      </c>
      <c r="I15" s="562" t="s">
        <v>1492</v>
      </c>
      <c r="J15" s="602">
        <v>1</v>
      </c>
      <c r="K15" s="562" t="s">
        <v>1386</v>
      </c>
      <c r="L15" s="602">
        <v>14</v>
      </c>
    </row>
    <row r="16" spans="1:14" s="561" customFormat="1">
      <c r="A16" s="562"/>
    </row>
    <row r="17" spans="1:14" s="562" customFormat="1">
      <c r="A17" s="562" t="s">
        <v>203</v>
      </c>
      <c r="B17" s="562" t="s">
        <v>204</v>
      </c>
      <c r="C17" s="564">
        <v>194</v>
      </c>
      <c r="D17" s="562" t="s">
        <v>205</v>
      </c>
      <c r="E17" s="564">
        <v>46</v>
      </c>
      <c r="F17" s="562" t="s">
        <v>206</v>
      </c>
      <c r="G17" s="564">
        <v>6</v>
      </c>
      <c r="H17" s="562" t="s">
        <v>230</v>
      </c>
      <c r="I17" s="564">
        <v>246</v>
      </c>
      <c r="J17" s="562" t="s">
        <v>207</v>
      </c>
      <c r="K17" s="564">
        <v>17</v>
      </c>
      <c r="L17" s="1203" t="s">
        <v>1360</v>
      </c>
      <c r="M17" s="1204"/>
      <c r="N17" s="564"/>
    </row>
    <row r="18" spans="1:14" s="562" customFormat="1">
      <c r="A18" s="562" t="s">
        <v>209</v>
      </c>
      <c r="B18" s="562" t="s">
        <v>210</v>
      </c>
      <c r="C18" s="564">
        <v>459</v>
      </c>
      <c r="D18" s="562" t="s">
        <v>211</v>
      </c>
      <c r="E18" s="564">
        <v>90</v>
      </c>
      <c r="F18" s="562" t="s">
        <v>212</v>
      </c>
      <c r="G18" s="564">
        <v>18</v>
      </c>
      <c r="H18" s="562" t="s">
        <v>411</v>
      </c>
      <c r="I18" s="564">
        <v>567</v>
      </c>
    </row>
    <row r="19" spans="1:14" s="562" customFormat="1" ht="25.5">
      <c r="B19" s="562" t="s">
        <v>213</v>
      </c>
      <c r="C19" s="564">
        <v>470</v>
      </c>
      <c r="D19" s="562" t="s">
        <v>214</v>
      </c>
      <c r="E19" s="564">
        <v>108</v>
      </c>
      <c r="F19" s="562" t="s">
        <v>215</v>
      </c>
      <c r="G19" s="564">
        <v>42</v>
      </c>
      <c r="H19" s="562" t="s">
        <v>410</v>
      </c>
      <c r="I19" s="564">
        <v>620</v>
      </c>
    </row>
    <row r="20" spans="1:14" s="562" customFormat="1"/>
    <row r="21" spans="1:14" s="561" customFormat="1">
      <c r="A21" s="567" t="s">
        <v>216</v>
      </c>
    </row>
    <row r="22" spans="1:14" s="561" customFormat="1">
      <c r="A22" s="562"/>
    </row>
    <row r="23" spans="1:14" s="561" customForma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14" s="561" customFormat="1" ht="25.5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14" s="561" customFormat="1">
      <c r="A25" s="560" t="s">
        <v>232</v>
      </c>
      <c r="B25" s="564">
        <v>8000</v>
      </c>
      <c r="C25" s="560" t="s">
        <v>233</v>
      </c>
      <c r="D25" s="570">
        <v>62.846879999999999</v>
      </c>
      <c r="E25" s="570">
        <v>28.11</v>
      </c>
      <c r="F25" s="607">
        <v>0</v>
      </c>
      <c r="G25" s="607">
        <v>0</v>
      </c>
      <c r="H25" s="570">
        <v>0.69391999999999998</v>
      </c>
      <c r="I25" s="570">
        <v>21.576049999999999</v>
      </c>
      <c r="J25" s="607">
        <v>0</v>
      </c>
      <c r="K25" s="607">
        <v>0</v>
      </c>
      <c r="L25" s="607">
        <v>0</v>
      </c>
      <c r="M25" s="570">
        <v>22.269969999999997</v>
      </c>
      <c r="N25" s="570">
        <v>79.224368552116673</v>
      </c>
    </row>
    <row r="26" spans="1:14" s="561" customFormat="1">
      <c r="A26" s="560" t="s">
        <v>1715</v>
      </c>
      <c r="B26" s="564">
        <v>7000</v>
      </c>
      <c r="C26" s="560" t="s">
        <v>233</v>
      </c>
      <c r="D26" s="570">
        <v>4.5563988000000002</v>
      </c>
      <c r="E26" s="570">
        <v>0</v>
      </c>
      <c r="F26" s="607">
        <v>0</v>
      </c>
      <c r="G26" s="607">
        <v>0</v>
      </c>
      <c r="H26" s="570">
        <v>0</v>
      </c>
      <c r="I26" s="570">
        <v>0</v>
      </c>
      <c r="J26" s="607">
        <v>0</v>
      </c>
      <c r="K26" s="607">
        <v>0</v>
      </c>
      <c r="L26" s="607">
        <v>0</v>
      </c>
      <c r="M26" s="570">
        <v>0</v>
      </c>
      <c r="N26" s="570"/>
    </row>
    <row r="27" spans="1:14" s="561" customFormat="1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0.18</v>
      </c>
      <c r="F27" s="607">
        <v>0</v>
      </c>
      <c r="G27" s="607">
        <v>0</v>
      </c>
      <c r="H27" s="570">
        <v>0</v>
      </c>
      <c r="I27" s="570">
        <v>0.18</v>
      </c>
      <c r="J27" s="607">
        <v>0</v>
      </c>
      <c r="K27" s="607">
        <v>0</v>
      </c>
      <c r="L27" s="607">
        <v>0</v>
      </c>
      <c r="M27" s="570">
        <v>0.18</v>
      </c>
      <c r="N27" s="570">
        <v>100</v>
      </c>
    </row>
    <row r="28" spans="1:14" s="561" customFormat="1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0.16</v>
      </c>
      <c r="F28" s="607">
        <v>0</v>
      </c>
      <c r="G28" s="607">
        <v>0</v>
      </c>
      <c r="H28" s="570">
        <v>0.16</v>
      </c>
      <c r="I28" s="570">
        <v>0</v>
      </c>
      <c r="J28" s="607">
        <v>0</v>
      </c>
      <c r="K28" s="607">
        <v>0</v>
      </c>
      <c r="L28" s="607">
        <v>0</v>
      </c>
      <c r="M28" s="570">
        <v>0.16</v>
      </c>
      <c r="N28" s="570">
        <v>100</v>
      </c>
    </row>
    <row r="29" spans="1:14" s="561" customFormat="1">
      <c r="A29" s="560" t="s">
        <v>238</v>
      </c>
      <c r="B29" s="564">
        <v>1200</v>
      </c>
      <c r="C29" s="560" t="s">
        <v>233</v>
      </c>
      <c r="D29" s="570">
        <v>9.4270320000000005</v>
      </c>
      <c r="E29" s="570">
        <v>2</v>
      </c>
      <c r="F29" s="607">
        <v>0</v>
      </c>
      <c r="G29" s="607">
        <v>0</v>
      </c>
      <c r="H29" s="570">
        <v>0.24</v>
      </c>
      <c r="I29" s="570">
        <v>0</v>
      </c>
      <c r="J29" s="607">
        <v>0</v>
      </c>
      <c r="K29" s="607">
        <v>0</v>
      </c>
      <c r="L29" s="607">
        <v>0</v>
      </c>
      <c r="M29" s="570">
        <v>0.24</v>
      </c>
      <c r="N29" s="570">
        <v>12</v>
      </c>
    </row>
    <row r="30" spans="1:14" s="561" customFormat="1">
      <c r="A30" s="560" t="s">
        <v>667</v>
      </c>
      <c r="B30" s="564">
        <v>565</v>
      </c>
      <c r="C30" s="560" t="s">
        <v>233</v>
      </c>
      <c r="D30" s="570">
        <v>4.4385609000000006</v>
      </c>
      <c r="E30" s="570">
        <v>4.3207300000000002</v>
      </c>
      <c r="F30" s="607">
        <v>0</v>
      </c>
      <c r="G30" s="607">
        <v>0</v>
      </c>
      <c r="H30" s="570">
        <v>4.3207300000000002</v>
      </c>
      <c r="I30" s="570">
        <v>0</v>
      </c>
      <c r="J30" s="607">
        <v>0</v>
      </c>
      <c r="K30" s="607">
        <v>0</v>
      </c>
      <c r="L30" s="607">
        <v>0</v>
      </c>
      <c r="M30" s="570">
        <v>4.3207300000000002</v>
      </c>
      <c r="N30" s="570">
        <v>100</v>
      </c>
    </row>
    <row r="31" spans="1:14" s="561" customFormat="1">
      <c r="A31" s="560" t="s">
        <v>240</v>
      </c>
      <c r="B31" s="564">
        <v>1000</v>
      </c>
      <c r="C31" s="560" t="s">
        <v>233</v>
      </c>
      <c r="D31" s="570">
        <v>7.8558599999999998</v>
      </c>
      <c r="E31" s="570">
        <v>0</v>
      </c>
      <c r="F31" s="607">
        <v>0</v>
      </c>
      <c r="G31" s="607">
        <v>0</v>
      </c>
      <c r="H31" s="570">
        <v>0</v>
      </c>
      <c r="I31" s="570">
        <v>0</v>
      </c>
      <c r="J31" s="607">
        <v>0</v>
      </c>
      <c r="K31" s="607">
        <v>0</v>
      </c>
      <c r="L31" s="607">
        <v>0</v>
      </c>
      <c r="M31" s="570">
        <v>0</v>
      </c>
      <c r="N31" s="570"/>
    </row>
    <row r="32" spans="1:14" s="561" customFormat="1">
      <c r="A32" s="560" t="s">
        <v>394</v>
      </c>
      <c r="B32" s="564">
        <v>2750</v>
      </c>
      <c r="C32" s="560" t="s">
        <v>1716</v>
      </c>
      <c r="D32" s="570">
        <v>2.1</v>
      </c>
      <c r="E32" s="570">
        <v>0.44000000000000006</v>
      </c>
      <c r="F32" s="607">
        <v>0</v>
      </c>
      <c r="G32" s="607">
        <v>0</v>
      </c>
      <c r="H32" s="570">
        <v>4.9999999999999989E-2</v>
      </c>
      <c r="I32" s="570">
        <v>0.20200000000000001</v>
      </c>
      <c r="J32" s="607">
        <v>0</v>
      </c>
      <c r="K32" s="607">
        <v>0</v>
      </c>
      <c r="L32" s="607">
        <v>0</v>
      </c>
      <c r="M32" s="570">
        <v>0.252</v>
      </c>
      <c r="N32" s="570">
        <v>57.272727272727266</v>
      </c>
    </row>
    <row r="33" spans="1:14" s="561" customFormat="1">
      <c r="A33" s="560" t="s">
        <v>1717</v>
      </c>
      <c r="B33" s="564">
        <v>10000</v>
      </c>
      <c r="C33" s="560" t="s">
        <v>244</v>
      </c>
      <c r="D33" s="570">
        <v>0.1</v>
      </c>
      <c r="E33" s="570">
        <v>0.1</v>
      </c>
      <c r="F33" s="607">
        <v>0</v>
      </c>
      <c r="G33" s="607">
        <v>0</v>
      </c>
      <c r="H33" s="570">
        <v>0.1</v>
      </c>
      <c r="I33" s="570">
        <v>0</v>
      </c>
      <c r="J33" s="607">
        <v>0</v>
      </c>
      <c r="K33" s="607">
        <v>0</v>
      </c>
      <c r="L33" s="607">
        <v>0</v>
      </c>
      <c r="M33" s="570">
        <v>0.1</v>
      </c>
      <c r="N33" s="570">
        <v>100</v>
      </c>
    </row>
    <row r="34" spans="1:14" s="608" customFormat="1">
      <c r="A34" s="572" t="s">
        <v>230</v>
      </c>
      <c r="B34" s="572"/>
      <c r="C34" s="572"/>
      <c r="D34" s="573">
        <v>92.094731699999983</v>
      </c>
      <c r="E34" s="573">
        <v>35.31073</v>
      </c>
      <c r="F34" s="573">
        <v>0</v>
      </c>
      <c r="G34" s="573">
        <v>0</v>
      </c>
      <c r="H34" s="573">
        <v>5.5646499999999994</v>
      </c>
      <c r="I34" s="573">
        <v>21.95805</v>
      </c>
      <c r="J34" s="573">
        <v>0</v>
      </c>
      <c r="K34" s="573">
        <v>0</v>
      </c>
      <c r="L34" s="573">
        <v>0</v>
      </c>
      <c r="M34" s="573">
        <v>27.522699999999997</v>
      </c>
      <c r="N34" s="573"/>
    </row>
    <row r="35" spans="1:14" s="561" customFormat="1">
      <c r="A35" s="562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9" orientation="landscape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U35"/>
  <sheetViews>
    <sheetView workbookViewId="0">
      <selection activeCell="A4" sqref="A4:C4"/>
    </sheetView>
  </sheetViews>
  <sheetFormatPr defaultRowHeight="12.75"/>
  <cols>
    <col min="1" max="1" width="24" style="557" customWidth="1"/>
    <col min="2" max="256" width="9.140625" style="557"/>
    <col min="257" max="257" width="24" style="557" customWidth="1"/>
    <col min="258" max="512" width="9.140625" style="557"/>
    <col min="513" max="513" width="24" style="557" customWidth="1"/>
    <col min="514" max="768" width="9.140625" style="557"/>
    <col min="769" max="769" width="24" style="557" customWidth="1"/>
    <col min="770" max="1024" width="9.140625" style="557"/>
    <col min="1025" max="1025" width="24" style="557" customWidth="1"/>
    <col min="1026" max="1280" width="9.140625" style="557"/>
    <col min="1281" max="1281" width="24" style="557" customWidth="1"/>
    <col min="1282" max="1536" width="9.140625" style="557"/>
    <col min="1537" max="1537" width="24" style="557" customWidth="1"/>
    <col min="1538" max="1792" width="9.140625" style="557"/>
    <col min="1793" max="1793" width="24" style="557" customWidth="1"/>
    <col min="1794" max="2048" width="9.140625" style="557"/>
    <col min="2049" max="2049" width="24" style="557" customWidth="1"/>
    <col min="2050" max="2304" width="9.140625" style="557"/>
    <col min="2305" max="2305" width="24" style="557" customWidth="1"/>
    <col min="2306" max="2560" width="9.140625" style="557"/>
    <col min="2561" max="2561" width="24" style="557" customWidth="1"/>
    <col min="2562" max="2816" width="9.140625" style="557"/>
    <col min="2817" max="2817" width="24" style="557" customWidth="1"/>
    <col min="2818" max="3072" width="9.140625" style="557"/>
    <col min="3073" max="3073" width="24" style="557" customWidth="1"/>
    <col min="3074" max="3328" width="9.140625" style="557"/>
    <col min="3329" max="3329" width="24" style="557" customWidth="1"/>
    <col min="3330" max="3584" width="9.140625" style="557"/>
    <col min="3585" max="3585" width="24" style="557" customWidth="1"/>
    <col min="3586" max="3840" width="9.140625" style="557"/>
    <col min="3841" max="3841" width="24" style="557" customWidth="1"/>
    <col min="3842" max="4096" width="9.140625" style="557"/>
    <col min="4097" max="4097" width="24" style="557" customWidth="1"/>
    <col min="4098" max="4352" width="9.140625" style="557"/>
    <col min="4353" max="4353" width="24" style="557" customWidth="1"/>
    <col min="4354" max="4608" width="9.140625" style="557"/>
    <col min="4609" max="4609" width="24" style="557" customWidth="1"/>
    <col min="4610" max="4864" width="9.140625" style="557"/>
    <col min="4865" max="4865" width="24" style="557" customWidth="1"/>
    <col min="4866" max="5120" width="9.140625" style="557"/>
    <col min="5121" max="5121" width="24" style="557" customWidth="1"/>
    <col min="5122" max="5376" width="9.140625" style="557"/>
    <col min="5377" max="5377" width="24" style="557" customWidth="1"/>
    <col min="5378" max="5632" width="9.140625" style="557"/>
    <col min="5633" max="5633" width="24" style="557" customWidth="1"/>
    <col min="5634" max="5888" width="9.140625" style="557"/>
    <col min="5889" max="5889" width="24" style="557" customWidth="1"/>
    <col min="5890" max="6144" width="9.140625" style="557"/>
    <col min="6145" max="6145" width="24" style="557" customWidth="1"/>
    <col min="6146" max="6400" width="9.140625" style="557"/>
    <col min="6401" max="6401" width="24" style="557" customWidth="1"/>
    <col min="6402" max="6656" width="9.140625" style="557"/>
    <col min="6657" max="6657" width="24" style="557" customWidth="1"/>
    <col min="6658" max="6912" width="9.140625" style="557"/>
    <col min="6913" max="6913" width="24" style="557" customWidth="1"/>
    <col min="6914" max="7168" width="9.140625" style="557"/>
    <col min="7169" max="7169" width="24" style="557" customWidth="1"/>
    <col min="7170" max="7424" width="9.140625" style="557"/>
    <col min="7425" max="7425" width="24" style="557" customWidth="1"/>
    <col min="7426" max="7680" width="9.140625" style="557"/>
    <col min="7681" max="7681" width="24" style="557" customWidth="1"/>
    <col min="7682" max="7936" width="9.140625" style="557"/>
    <col min="7937" max="7937" width="24" style="557" customWidth="1"/>
    <col min="7938" max="8192" width="9.140625" style="557"/>
    <col min="8193" max="8193" width="24" style="557" customWidth="1"/>
    <col min="8194" max="8448" width="9.140625" style="557"/>
    <col min="8449" max="8449" width="24" style="557" customWidth="1"/>
    <col min="8450" max="8704" width="9.140625" style="557"/>
    <col min="8705" max="8705" width="24" style="557" customWidth="1"/>
    <col min="8706" max="8960" width="9.140625" style="557"/>
    <col min="8961" max="8961" width="24" style="557" customWidth="1"/>
    <col min="8962" max="9216" width="9.140625" style="557"/>
    <col min="9217" max="9217" width="24" style="557" customWidth="1"/>
    <col min="9218" max="9472" width="9.140625" style="557"/>
    <col min="9473" max="9473" width="24" style="557" customWidth="1"/>
    <col min="9474" max="9728" width="9.140625" style="557"/>
    <col min="9729" max="9729" width="24" style="557" customWidth="1"/>
    <col min="9730" max="9984" width="9.140625" style="557"/>
    <col min="9985" max="9985" width="24" style="557" customWidth="1"/>
    <col min="9986" max="10240" width="9.140625" style="557"/>
    <col min="10241" max="10241" width="24" style="557" customWidth="1"/>
    <col min="10242" max="10496" width="9.140625" style="557"/>
    <col min="10497" max="10497" width="24" style="557" customWidth="1"/>
    <col min="10498" max="10752" width="9.140625" style="557"/>
    <col min="10753" max="10753" width="24" style="557" customWidth="1"/>
    <col min="10754" max="11008" width="9.140625" style="557"/>
    <col min="11009" max="11009" width="24" style="557" customWidth="1"/>
    <col min="11010" max="11264" width="9.140625" style="557"/>
    <col min="11265" max="11265" width="24" style="557" customWidth="1"/>
    <col min="11266" max="11520" width="9.140625" style="557"/>
    <col min="11521" max="11521" width="24" style="557" customWidth="1"/>
    <col min="11522" max="11776" width="9.140625" style="557"/>
    <col min="11777" max="11777" width="24" style="557" customWidth="1"/>
    <col min="11778" max="12032" width="9.140625" style="557"/>
    <col min="12033" max="12033" width="24" style="557" customWidth="1"/>
    <col min="12034" max="12288" width="9.140625" style="557"/>
    <col min="12289" max="12289" width="24" style="557" customWidth="1"/>
    <col min="12290" max="12544" width="9.140625" style="557"/>
    <col min="12545" max="12545" width="24" style="557" customWidth="1"/>
    <col min="12546" max="12800" width="9.140625" style="557"/>
    <col min="12801" max="12801" width="24" style="557" customWidth="1"/>
    <col min="12802" max="13056" width="9.140625" style="557"/>
    <col min="13057" max="13057" width="24" style="557" customWidth="1"/>
    <col min="13058" max="13312" width="9.140625" style="557"/>
    <col min="13313" max="13313" width="24" style="557" customWidth="1"/>
    <col min="13314" max="13568" width="9.140625" style="557"/>
    <col min="13569" max="13569" width="24" style="557" customWidth="1"/>
    <col min="13570" max="13824" width="9.140625" style="557"/>
    <col min="13825" max="13825" width="24" style="557" customWidth="1"/>
    <col min="13826" max="14080" width="9.140625" style="557"/>
    <col min="14081" max="14081" width="24" style="557" customWidth="1"/>
    <col min="14082" max="14336" width="9.140625" style="557"/>
    <col min="14337" max="14337" width="24" style="557" customWidth="1"/>
    <col min="14338" max="14592" width="9.140625" style="557"/>
    <col min="14593" max="14593" width="24" style="557" customWidth="1"/>
    <col min="14594" max="14848" width="9.140625" style="557"/>
    <col min="14849" max="14849" width="24" style="557" customWidth="1"/>
    <col min="14850" max="15104" width="9.140625" style="557"/>
    <col min="15105" max="15105" width="24" style="557" customWidth="1"/>
    <col min="15106" max="15360" width="9.140625" style="557"/>
    <col min="15361" max="15361" width="24" style="557" customWidth="1"/>
    <col min="15362" max="15616" width="9.140625" style="557"/>
    <col min="15617" max="15617" width="24" style="557" customWidth="1"/>
    <col min="15618" max="15872" width="9.140625" style="557"/>
    <col min="15873" max="15873" width="24" style="557" customWidth="1"/>
    <col min="15874" max="16128" width="9.140625" style="557"/>
    <col min="16129" max="16129" width="24" style="557" customWidth="1"/>
    <col min="16130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353" t="s">
        <v>2079</v>
      </c>
      <c r="C3" s="1353"/>
      <c r="D3" s="1353"/>
      <c r="E3" s="1353"/>
      <c r="F3" s="558" t="s">
        <v>171</v>
      </c>
      <c r="H3" s="1354" t="s">
        <v>2080</v>
      </c>
      <c r="I3" s="1354"/>
      <c r="J3" s="558" t="s">
        <v>172</v>
      </c>
      <c r="K3" s="610">
        <v>246.54900000000001</v>
      </c>
      <c r="L3" s="558" t="s">
        <v>436</v>
      </c>
      <c r="N3" s="610" t="s">
        <v>2081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378" t="s">
        <v>2082</v>
      </c>
      <c r="C5" s="1378"/>
      <c r="D5" s="1378"/>
      <c r="E5" s="1378"/>
      <c r="F5" s="558" t="s">
        <v>176</v>
      </c>
      <c r="H5" s="1378" t="s">
        <v>2083</v>
      </c>
      <c r="I5" s="1378"/>
      <c r="J5" s="1378"/>
      <c r="K5" s="611"/>
    </row>
    <row r="6" spans="1:14">
      <c r="B6" s="611"/>
      <c r="C6" s="611"/>
      <c r="D6" s="611"/>
      <c r="E6" s="611"/>
      <c r="H6" s="611"/>
      <c r="I6" s="611"/>
      <c r="J6" s="611"/>
      <c r="K6" s="611"/>
    </row>
    <row r="7" spans="1:14" ht="13.5">
      <c r="A7" s="558" t="s">
        <v>178</v>
      </c>
      <c r="B7" s="1375" t="s">
        <v>2084</v>
      </c>
      <c r="C7" s="1376"/>
      <c r="D7" s="1376"/>
      <c r="E7" s="1377"/>
      <c r="F7" s="1197" t="s">
        <v>1696</v>
      </c>
      <c r="G7" s="1197"/>
      <c r="H7" s="1358" t="s">
        <v>2085</v>
      </c>
      <c r="I7" s="1359"/>
      <c r="J7" s="1359"/>
      <c r="K7" s="1360"/>
    </row>
    <row r="8" spans="1:14">
      <c r="F8" s="1197"/>
      <c r="G8" s="1197"/>
      <c r="H8" s="1361"/>
      <c r="I8" s="1362"/>
      <c r="J8" s="1362"/>
      <c r="K8" s="1363"/>
    </row>
    <row r="10" spans="1:14" s="561" customFormat="1">
      <c r="A10" s="560" t="s">
        <v>1697</v>
      </c>
      <c r="B10" s="1364" t="s">
        <v>2086</v>
      </c>
      <c r="C10" s="1364"/>
      <c r="D10" s="1364" t="s">
        <v>2087</v>
      </c>
      <c r="E10" s="1364"/>
      <c r="F10" s="1364"/>
      <c r="G10" s="1364" t="s">
        <v>2088</v>
      </c>
      <c r="H10" s="1364"/>
      <c r="I10" s="1364"/>
      <c r="J10" s="1364"/>
      <c r="K10" s="1364"/>
      <c r="L10" s="1364"/>
      <c r="M10" s="1364"/>
    </row>
    <row r="11" spans="1:14" s="561" customFormat="1">
      <c r="A11" s="560" t="s">
        <v>1702</v>
      </c>
      <c r="B11" s="1365" t="s">
        <v>2089</v>
      </c>
      <c r="C11" s="1365"/>
      <c r="D11" s="1365" t="s">
        <v>2090</v>
      </c>
      <c r="E11" s="1365"/>
      <c r="F11" s="1365"/>
      <c r="G11" s="1365" t="s">
        <v>2091</v>
      </c>
      <c r="H11" s="1365"/>
      <c r="I11" s="1365"/>
      <c r="J11" s="1364"/>
      <c r="K11" s="1364"/>
      <c r="L11" s="1364"/>
      <c r="M11" s="1364"/>
    </row>
    <row r="12" spans="1:14" s="561" customFormat="1">
      <c r="A12" s="560" t="s">
        <v>1707</v>
      </c>
      <c r="B12" s="1365" t="s">
        <v>2092</v>
      </c>
      <c r="C12" s="1365"/>
      <c r="D12" s="1365" t="s">
        <v>2093</v>
      </c>
      <c r="E12" s="1365"/>
      <c r="F12" s="1365"/>
      <c r="G12" s="1365" t="s">
        <v>2094</v>
      </c>
      <c r="H12" s="1365"/>
      <c r="I12" s="1365"/>
      <c r="J12" s="1373" t="s">
        <v>2095</v>
      </c>
      <c r="K12" s="1379"/>
      <c r="L12" s="1379"/>
      <c r="M12" s="1374"/>
    </row>
    <row r="13" spans="1:14" s="561" customFormat="1" ht="12.75" customHeight="1">
      <c r="A13" s="560" t="s">
        <v>197</v>
      </c>
      <c r="B13" s="1365" t="s">
        <v>2084</v>
      </c>
      <c r="C13" s="1365"/>
      <c r="D13" s="1365"/>
      <c r="E13" s="1365"/>
      <c r="F13" s="1365"/>
      <c r="G13" s="1365" t="s">
        <v>2096</v>
      </c>
      <c r="H13" s="1365"/>
      <c r="I13" s="1365"/>
      <c r="J13" s="1364"/>
      <c r="K13" s="1364"/>
      <c r="L13" s="1364"/>
      <c r="M13" s="1364"/>
    </row>
    <row r="14" spans="1:14" s="561" customFormat="1">
      <c r="A14" s="562"/>
    </row>
    <row r="15" spans="1:14" s="561" customFormat="1">
      <c r="A15" s="562" t="s">
        <v>1356</v>
      </c>
      <c r="B15" s="600">
        <v>7</v>
      </c>
      <c r="C15" s="1203" t="s">
        <v>1490</v>
      </c>
      <c r="D15" s="1197"/>
      <c r="E15" s="1197"/>
      <c r="F15" s="600">
        <v>3</v>
      </c>
      <c r="G15" s="562" t="s">
        <v>1712</v>
      </c>
      <c r="H15" s="600">
        <v>8</v>
      </c>
      <c r="I15" s="562" t="s">
        <v>1492</v>
      </c>
      <c r="J15" s="600">
        <v>1</v>
      </c>
      <c r="K15" s="562" t="s">
        <v>1386</v>
      </c>
      <c r="L15" s="600">
        <v>8</v>
      </c>
    </row>
    <row r="16" spans="1:14" s="561" customFormat="1">
      <c r="A16" s="562"/>
    </row>
    <row r="17" spans="1:21" s="562" customFormat="1">
      <c r="A17" s="562" t="s">
        <v>203</v>
      </c>
      <c r="B17" s="562" t="s">
        <v>204</v>
      </c>
      <c r="C17" s="560">
        <v>105</v>
      </c>
      <c r="D17" s="562" t="s">
        <v>205</v>
      </c>
      <c r="E17" s="560">
        <v>8</v>
      </c>
      <c r="F17" s="562" t="s">
        <v>206</v>
      </c>
      <c r="G17" s="560"/>
      <c r="H17" s="562" t="s">
        <v>230</v>
      </c>
      <c r="I17" s="560">
        <v>113</v>
      </c>
      <c r="J17" s="562" t="s">
        <v>207</v>
      </c>
      <c r="K17" s="560"/>
      <c r="L17" s="1203" t="s">
        <v>1360</v>
      </c>
      <c r="M17" s="1204"/>
      <c r="N17" s="560">
        <v>17</v>
      </c>
    </row>
    <row r="18" spans="1:21" s="562" customFormat="1">
      <c r="A18" s="562" t="s">
        <v>209</v>
      </c>
      <c r="B18" s="562" t="s">
        <v>210</v>
      </c>
      <c r="C18" s="560">
        <v>209</v>
      </c>
      <c r="D18" s="562" t="s">
        <v>211</v>
      </c>
      <c r="E18" s="560">
        <v>17</v>
      </c>
      <c r="F18" s="562" t="s">
        <v>212</v>
      </c>
      <c r="G18" s="560"/>
      <c r="H18" s="562" t="s">
        <v>411</v>
      </c>
      <c r="I18" s="560">
        <v>226</v>
      </c>
    </row>
    <row r="19" spans="1:21" s="562" customFormat="1" ht="25.5">
      <c r="B19" s="562" t="s">
        <v>213</v>
      </c>
      <c r="C19" s="560">
        <v>211</v>
      </c>
      <c r="D19" s="562" t="s">
        <v>214</v>
      </c>
      <c r="E19" s="560">
        <v>19</v>
      </c>
      <c r="F19" s="562" t="s">
        <v>215</v>
      </c>
      <c r="G19" s="560"/>
      <c r="H19" s="562" t="s">
        <v>410</v>
      </c>
      <c r="I19" s="560">
        <v>230</v>
      </c>
    </row>
    <row r="20" spans="1:21" s="562" customFormat="1"/>
    <row r="21" spans="1:21" s="561" customFormat="1">
      <c r="A21" s="567" t="s">
        <v>216</v>
      </c>
    </row>
    <row r="22" spans="1:21" s="561" customFormat="1">
      <c r="A22" s="562"/>
    </row>
    <row r="23" spans="1:21" s="561" customForma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21" s="561" customFormat="1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21" s="561" customFormat="1">
      <c r="A25" s="560" t="s">
        <v>232</v>
      </c>
      <c r="B25" s="564">
        <v>8000</v>
      </c>
      <c r="C25" s="560" t="s">
        <v>233</v>
      </c>
      <c r="D25" s="570">
        <v>19.72392</v>
      </c>
      <c r="E25" s="570">
        <v>7.88</v>
      </c>
      <c r="F25" s="612">
        <v>0</v>
      </c>
      <c r="G25" s="612">
        <v>0</v>
      </c>
      <c r="H25" s="570">
        <v>0</v>
      </c>
      <c r="I25" s="570">
        <v>2.9409000000000001</v>
      </c>
      <c r="J25" s="612">
        <v>0</v>
      </c>
      <c r="K25" s="612">
        <v>0</v>
      </c>
      <c r="L25" s="612">
        <v>0</v>
      </c>
      <c r="M25" s="570">
        <v>2.9409000000000001</v>
      </c>
      <c r="N25" s="570">
        <v>37.321065989847718</v>
      </c>
      <c r="O25" s="605"/>
      <c r="P25" s="605"/>
      <c r="Q25" s="605"/>
      <c r="R25" s="605"/>
      <c r="S25" s="605"/>
      <c r="T25" s="605"/>
      <c r="U25" s="605"/>
    </row>
    <row r="26" spans="1:21" s="561" customFormat="1">
      <c r="A26" s="560" t="s">
        <v>1715</v>
      </c>
      <c r="B26" s="564">
        <v>7000</v>
      </c>
      <c r="C26" s="560" t="s">
        <v>233</v>
      </c>
      <c r="D26" s="570">
        <v>1.4299842</v>
      </c>
      <c r="E26" s="570">
        <v>0</v>
      </c>
      <c r="F26" s="612">
        <v>0</v>
      </c>
      <c r="G26" s="612">
        <v>0</v>
      </c>
      <c r="H26" s="570">
        <v>0</v>
      </c>
      <c r="I26" s="570">
        <v>0</v>
      </c>
      <c r="J26" s="612">
        <v>0</v>
      </c>
      <c r="K26" s="612">
        <v>0</v>
      </c>
      <c r="L26" s="612">
        <v>0</v>
      </c>
      <c r="M26" s="570">
        <v>0</v>
      </c>
      <c r="N26" s="570"/>
      <c r="O26" s="605"/>
      <c r="P26" s="605"/>
      <c r="Q26" s="605"/>
      <c r="R26" s="605"/>
      <c r="S26" s="605"/>
      <c r="T26" s="605"/>
      <c r="U26" s="605"/>
    </row>
    <row r="27" spans="1:21" s="561" customFormat="1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0.18</v>
      </c>
      <c r="F27" s="612">
        <v>0</v>
      </c>
      <c r="G27" s="612">
        <v>0</v>
      </c>
      <c r="H27" s="570">
        <v>0</v>
      </c>
      <c r="I27" s="570">
        <v>0.18</v>
      </c>
      <c r="J27" s="612">
        <v>0</v>
      </c>
      <c r="K27" s="612">
        <v>0</v>
      </c>
      <c r="L27" s="612">
        <v>0</v>
      </c>
      <c r="M27" s="570">
        <v>0.18</v>
      </c>
      <c r="N27" s="570">
        <v>100</v>
      </c>
      <c r="O27" s="605"/>
      <c r="P27" s="605"/>
      <c r="Q27" s="605"/>
      <c r="R27" s="605"/>
      <c r="S27" s="605"/>
      <c r="T27" s="605"/>
      <c r="U27" s="605"/>
    </row>
    <row r="28" spans="1:21" s="561" customFormat="1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0.16</v>
      </c>
      <c r="F28" s="612">
        <v>0</v>
      </c>
      <c r="G28" s="612">
        <v>0</v>
      </c>
      <c r="H28" s="570">
        <v>0.16</v>
      </c>
      <c r="I28" s="570">
        <v>0</v>
      </c>
      <c r="J28" s="612">
        <v>0</v>
      </c>
      <c r="K28" s="612">
        <v>0</v>
      </c>
      <c r="L28" s="612">
        <v>0</v>
      </c>
      <c r="M28" s="570">
        <v>0.16</v>
      </c>
      <c r="N28" s="570">
        <v>100</v>
      </c>
      <c r="O28" s="605"/>
      <c r="P28" s="605"/>
      <c r="Q28" s="605"/>
      <c r="R28" s="605"/>
      <c r="S28" s="605"/>
      <c r="T28" s="605"/>
      <c r="U28" s="605"/>
    </row>
    <row r="29" spans="1:21" s="561" customFormat="1">
      <c r="A29" s="560" t="s">
        <v>238</v>
      </c>
      <c r="B29" s="564">
        <v>1200</v>
      </c>
      <c r="C29" s="560" t="s">
        <v>233</v>
      </c>
      <c r="D29" s="570">
        <v>2.9585879999999998</v>
      </c>
      <c r="E29" s="570">
        <v>2</v>
      </c>
      <c r="F29" s="612">
        <v>0</v>
      </c>
      <c r="G29" s="612">
        <v>0</v>
      </c>
      <c r="H29" s="570">
        <v>0</v>
      </c>
      <c r="I29" s="570">
        <v>0</v>
      </c>
      <c r="J29" s="612">
        <v>0</v>
      </c>
      <c r="K29" s="612">
        <v>0</v>
      </c>
      <c r="L29" s="612">
        <v>0</v>
      </c>
      <c r="M29" s="570">
        <v>0</v>
      </c>
      <c r="N29" s="570">
        <v>0</v>
      </c>
      <c r="O29" s="605"/>
      <c r="P29" s="605"/>
      <c r="Q29" s="605"/>
      <c r="R29" s="605"/>
      <c r="S29" s="605"/>
      <c r="T29" s="605"/>
      <c r="U29" s="605"/>
    </row>
    <row r="30" spans="1:21" s="561" customFormat="1">
      <c r="A30" s="560" t="s">
        <v>667</v>
      </c>
      <c r="B30" s="564">
        <v>565</v>
      </c>
      <c r="C30" s="560" t="s">
        <v>233</v>
      </c>
      <c r="D30" s="570">
        <v>1.3930018499999999</v>
      </c>
      <c r="E30" s="570">
        <v>1.35602</v>
      </c>
      <c r="F30" s="612">
        <v>0</v>
      </c>
      <c r="G30" s="612">
        <v>0</v>
      </c>
      <c r="H30" s="570">
        <v>1.35602</v>
      </c>
      <c r="I30" s="570">
        <v>0</v>
      </c>
      <c r="J30" s="612">
        <v>0</v>
      </c>
      <c r="K30" s="612">
        <v>0</v>
      </c>
      <c r="L30" s="612">
        <v>0</v>
      </c>
      <c r="M30" s="570">
        <v>1.35602</v>
      </c>
      <c r="N30" s="570">
        <v>100</v>
      </c>
      <c r="O30" s="605"/>
      <c r="P30" s="605"/>
      <c r="Q30" s="605"/>
      <c r="R30" s="605"/>
      <c r="S30" s="605"/>
      <c r="T30" s="605"/>
      <c r="U30" s="605"/>
    </row>
    <row r="31" spans="1:21" s="561" customFormat="1">
      <c r="A31" s="560" t="s">
        <v>240</v>
      </c>
      <c r="B31" s="564">
        <v>1000</v>
      </c>
      <c r="C31" s="560" t="s">
        <v>233</v>
      </c>
      <c r="D31" s="570">
        <v>2.46549</v>
      </c>
      <c r="E31" s="570">
        <v>0</v>
      </c>
      <c r="F31" s="612">
        <v>0</v>
      </c>
      <c r="G31" s="612">
        <v>0</v>
      </c>
      <c r="H31" s="570">
        <v>0</v>
      </c>
      <c r="I31" s="570">
        <v>0</v>
      </c>
      <c r="J31" s="612">
        <v>0</v>
      </c>
      <c r="K31" s="612">
        <v>0</v>
      </c>
      <c r="L31" s="612">
        <v>0</v>
      </c>
      <c r="M31" s="570">
        <v>0</v>
      </c>
      <c r="N31" s="570"/>
      <c r="O31" s="605"/>
      <c r="P31" s="605"/>
      <c r="Q31" s="605"/>
      <c r="R31" s="605"/>
      <c r="S31" s="605"/>
      <c r="T31" s="605"/>
      <c r="U31" s="605"/>
    </row>
    <row r="32" spans="1:21" s="561" customFormat="1">
      <c r="A32" s="560" t="s">
        <v>394</v>
      </c>
      <c r="B32" s="564">
        <v>2750</v>
      </c>
      <c r="C32" s="560" t="s">
        <v>1716</v>
      </c>
      <c r="D32" s="570">
        <v>2.1</v>
      </c>
      <c r="E32" s="570">
        <v>0.44000000000000006</v>
      </c>
      <c r="F32" s="612">
        <v>0</v>
      </c>
      <c r="G32" s="612">
        <v>0</v>
      </c>
      <c r="H32" s="570">
        <v>3.5000000000000003E-2</v>
      </c>
      <c r="I32" s="570">
        <v>0.14849999999999999</v>
      </c>
      <c r="J32" s="612">
        <v>0</v>
      </c>
      <c r="K32" s="612">
        <v>0</v>
      </c>
      <c r="L32" s="612">
        <v>0</v>
      </c>
      <c r="M32" s="570">
        <v>0.1835</v>
      </c>
      <c r="N32" s="570">
        <v>41.704545454545453</v>
      </c>
      <c r="O32" s="605"/>
      <c r="P32" s="605"/>
      <c r="Q32" s="605"/>
      <c r="R32" s="605"/>
      <c r="S32" s="605"/>
      <c r="T32" s="605"/>
      <c r="U32" s="605"/>
    </row>
    <row r="33" spans="1:21" s="561" customFormat="1">
      <c r="A33" s="560" t="s">
        <v>1717</v>
      </c>
      <c r="B33" s="564">
        <v>10000</v>
      </c>
      <c r="C33" s="560" t="s">
        <v>244</v>
      </c>
      <c r="D33" s="570">
        <v>0.1</v>
      </c>
      <c r="E33" s="570">
        <v>0.1</v>
      </c>
      <c r="F33" s="612">
        <v>0</v>
      </c>
      <c r="G33" s="612">
        <v>0</v>
      </c>
      <c r="H33" s="570">
        <v>0.1</v>
      </c>
      <c r="I33" s="570">
        <v>0</v>
      </c>
      <c r="J33" s="612">
        <v>0</v>
      </c>
      <c r="K33" s="612">
        <v>0</v>
      </c>
      <c r="L33" s="612">
        <v>0</v>
      </c>
      <c r="M33" s="570">
        <v>0.1</v>
      </c>
      <c r="N33" s="570">
        <v>100</v>
      </c>
      <c r="O33" s="605"/>
      <c r="P33" s="605"/>
      <c r="Q33" s="605"/>
      <c r="R33" s="605"/>
      <c r="S33" s="605"/>
      <c r="T33" s="605"/>
      <c r="U33" s="605"/>
    </row>
    <row r="34" spans="1:21" s="561" customFormat="1">
      <c r="A34" s="572" t="s">
        <v>230</v>
      </c>
      <c r="B34" s="560"/>
      <c r="C34" s="560"/>
      <c r="D34" s="573">
        <v>30.940984050000001</v>
      </c>
      <c r="E34" s="573">
        <v>12.116019999999999</v>
      </c>
      <c r="F34" s="573">
        <v>0</v>
      </c>
      <c r="G34" s="573">
        <v>0</v>
      </c>
      <c r="H34" s="573">
        <v>1.6510199999999999</v>
      </c>
      <c r="I34" s="573">
        <v>3.2694000000000001</v>
      </c>
      <c r="J34" s="573">
        <v>0</v>
      </c>
      <c r="K34" s="573">
        <v>0</v>
      </c>
      <c r="L34" s="573">
        <v>0</v>
      </c>
      <c r="M34" s="573">
        <v>4.92042</v>
      </c>
      <c r="N34" s="573"/>
      <c r="O34" s="613"/>
      <c r="P34" s="613"/>
      <c r="Q34" s="613"/>
      <c r="R34" s="613"/>
      <c r="S34" s="605"/>
      <c r="T34" s="605"/>
      <c r="U34" s="605"/>
    </row>
    <row r="35" spans="1:21" s="561" customFormat="1">
      <c r="A35" s="562"/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613"/>
      <c r="R35" s="613"/>
      <c r="S35" s="605"/>
      <c r="T35" s="605"/>
      <c r="U35" s="605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1" orientation="landscape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T35"/>
  <sheetViews>
    <sheetView workbookViewId="0">
      <selection activeCell="A4" sqref="A4:C4"/>
    </sheetView>
  </sheetViews>
  <sheetFormatPr defaultRowHeight="12.75"/>
  <cols>
    <col min="1" max="1" width="30.42578125" style="557" customWidth="1"/>
    <col min="2" max="2" width="8" style="557" customWidth="1"/>
    <col min="3" max="3" width="9.140625" style="557"/>
    <col min="4" max="4" width="8.140625" style="557" customWidth="1"/>
    <col min="5" max="5" width="9.140625" style="557"/>
    <col min="6" max="6" width="9.7109375" style="557" customWidth="1"/>
    <col min="7" max="13" width="9.140625" style="557"/>
    <col min="14" max="14" width="8.140625" style="557" customWidth="1"/>
    <col min="15" max="256" width="9.140625" style="557"/>
    <col min="257" max="257" width="30.42578125" style="557" customWidth="1"/>
    <col min="258" max="258" width="8" style="557" customWidth="1"/>
    <col min="259" max="259" width="9.140625" style="557"/>
    <col min="260" max="260" width="8.140625" style="557" customWidth="1"/>
    <col min="261" max="261" width="9.140625" style="557"/>
    <col min="262" max="262" width="9.7109375" style="557" customWidth="1"/>
    <col min="263" max="269" width="9.140625" style="557"/>
    <col min="270" max="270" width="8.140625" style="557" customWidth="1"/>
    <col min="271" max="512" width="9.140625" style="557"/>
    <col min="513" max="513" width="30.42578125" style="557" customWidth="1"/>
    <col min="514" max="514" width="8" style="557" customWidth="1"/>
    <col min="515" max="515" width="9.140625" style="557"/>
    <col min="516" max="516" width="8.140625" style="557" customWidth="1"/>
    <col min="517" max="517" width="9.140625" style="557"/>
    <col min="518" max="518" width="9.7109375" style="557" customWidth="1"/>
    <col min="519" max="525" width="9.140625" style="557"/>
    <col min="526" max="526" width="8.140625" style="557" customWidth="1"/>
    <col min="527" max="768" width="9.140625" style="557"/>
    <col min="769" max="769" width="30.42578125" style="557" customWidth="1"/>
    <col min="770" max="770" width="8" style="557" customWidth="1"/>
    <col min="771" max="771" width="9.140625" style="557"/>
    <col min="772" max="772" width="8.140625" style="557" customWidth="1"/>
    <col min="773" max="773" width="9.140625" style="557"/>
    <col min="774" max="774" width="9.7109375" style="557" customWidth="1"/>
    <col min="775" max="781" width="9.140625" style="557"/>
    <col min="782" max="782" width="8.140625" style="557" customWidth="1"/>
    <col min="783" max="1024" width="9.140625" style="557"/>
    <col min="1025" max="1025" width="30.42578125" style="557" customWidth="1"/>
    <col min="1026" max="1026" width="8" style="557" customWidth="1"/>
    <col min="1027" max="1027" width="9.140625" style="557"/>
    <col min="1028" max="1028" width="8.140625" style="557" customWidth="1"/>
    <col min="1029" max="1029" width="9.140625" style="557"/>
    <col min="1030" max="1030" width="9.7109375" style="557" customWidth="1"/>
    <col min="1031" max="1037" width="9.140625" style="557"/>
    <col min="1038" max="1038" width="8.140625" style="557" customWidth="1"/>
    <col min="1039" max="1280" width="9.140625" style="557"/>
    <col min="1281" max="1281" width="30.42578125" style="557" customWidth="1"/>
    <col min="1282" max="1282" width="8" style="557" customWidth="1"/>
    <col min="1283" max="1283" width="9.140625" style="557"/>
    <col min="1284" max="1284" width="8.140625" style="557" customWidth="1"/>
    <col min="1285" max="1285" width="9.140625" style="557"/>
    <col min="1286" max="1286" width="9.7109375" style="557" customWidth="1"/>
    <col min="1287" max="1293" width="9.140625" style="557"/>
    <col min="1294" max="1294" width="8.140625" style="557" customWidth="1"/>
    <col min="1295" max="1536" width="9.140625" style="557"/>
    <col min="1537" max="1537" width="30.42578125" style="557" customWidth="1"/>
    <col min="1538" max="1538" width="8" style="557" customWidth="1"/>
    <col min="1539" max="1539" width="9.140625" style="557"/>
    <col min="1540" max="1540" width="8.140625" style="557" customWidth="1"/>
    <col min="1541" max="1541" width="9.140625" style="557"/>
    <col min="1542" max="1542" width="9.7109375" style="557" customWidth="1"/>
    <col min="1543" max="1549" width="9.140625" style="557"/>
    <col min="1550" max="1550" width="8.140625" style="557" customWidth="1"/>
    <col min="1551" max="1792" width="9.140625" style="557"/>
    <col min="1793" max="1793" width="30.42578125" style="557" customWidth="1"/>
    <col min="1794" max="1794" width="8" style="557" customWidth="1"/>
    <col min="1795" max="1795" width="9.140625" style="557"/>
    <col min="1796" max="1796" width="8.140625" style="557" customWidth="1"/>
    <col min="1797" max="1797" width="9.140625" style="557"/>
    <col min="1798" max="1798" width="9.7109375" style="557" customWidth="1"/>
    <col min="1799" max="1805" width="9.140625" style="557"/>
    <col min="1806" max="1806" width="8.140625" style="557" customWidth="1"/>
    <col min="1807" max="2048" width="9.140625" style="557"/>
    <col min="2049" max="2049" width="30.42578125" style="557" customWidth="1"/>
    <col min="2050" max="2050" width="8" style="557" customWidth="1"/>
    <col min="2051" max="2051" width="9.140625" style="557"/>
    <col min="2052" max="2052" width="8.140625" style="557" customWidth="1"/>
    <col min="2053" max="2053" width="9.140625" style="557"/>
    <col min="2054" max="2054" width="9.7109375" style="557" customWidth="1"/>
    <col min="2055" max="2061" width="9.140625" style="557"/>
    <col min="2062" max="2062" width="8.140625" style="557" customWidth="1"/>
    <col min="2063" max="2304" width="9.140625" style="557"/>
    <col min="2305" max="2305" width="30.42578125" style="557" customWidth="1"/>
    <col min="2306" max="2306" width="8" style="557" customWidth="1"/>
    <col min="2307" max="2307" width="9.140625" style="557"/>
    <col min="2308" max="2308" width="8.140625" style="557" customWidth="1"/>
    <col min="2309" max="2309" width="9.140625" style="557"/>
    <col min="2310" max="2310" width="9.7109375" style="557" customWidth="1"/>
    <col min="2311" max="2317" width="9.140625" style="557"/>
    <col min="2318" max="2318" width="8.140625" style="557" customWidth="1"/>
    <col min="2319" max="2560" width="9.140625" style="557"/>
    <col min="2561" max="2561" width="30.42578125" style="557" customWidth="1"/>
    <col min="2562" max="2562" width="8" style="557" customWidth="1"/>
    <col min="2563" max="2563" width="9.140625" style="557"/>
    <col min="2564" max="2564" width="8.140625" style="557" customWidth="1"/>
    <col min="2565" max="2565" width="9.140625" style="557"/>
    <col min="2566" max="2566" width="9.7109375" style="557" customWidth="1"/>
    <col min="2567" max="2573" width="9.140625" style="557"/>
    <col min="2574" max="2574" width="8.140625" style="557" customWidth="1"/>
    <col min="2575" max="2816" width="9.140625" style="557"/>
    <col min="2817" max="2817" width="30.42578125" style="557" customWidth="1"/>
    <col min="2818" max="2818" width="8" style="557" customWidth="1"/>
    <col min="2819" max="2819" width="9.140625" style="557"/>
    <col min="2820" max="2820" width="8.140625" style="557" customWidth="1"/>
    <col min="2821" max="2821" width="9.140625" style="557"/>
    <col min="2822" max="2822" width="9.7109375" style="557" customWidth="1"/>
    <col min="2823" max="2829" width="9.140625" style="557"/>
    <col min="2830" max="2830" width="8.140625" style="557" customWidth="1"/>
    <col min="2831" max="3072" width="9.140625" style="557"/>
    <col min="3073" max="3073" width="30.42578125" style="557" customWidth="1"/>
    <col min="3074" max="3074" width="8" style="557" customWidth="1"/>
    <col min="3075" max="3075" width="9.140625" style="557"/>
    <col min="3076" max="3076" width="8.140625" style="557" customWidth="1"/>
    <col min="3077" max="3077" width="9.140625" style="557"/>
    <col min="3078" max="3078" width="9.7109375" style="557" customWidth="1"/>
    <col min="3079" max="3085" width="9.140625" style="557"/>
    <col min="3086" max="3086" width="8.140625" style="557" customWidth="1"/>
    <col min="3087" max="3328" width="9.140625" style="557"/>
    <col min="3329" max="3329" width="30.42578125" style="557" customWidth="1"/>
    <col min="3330" max="3330" width="8" style="557" customWidth="1"/>
    <col min="3331" max="3331" width="9.140625" style="557"/>
    <col min="3332" max="3332" width="8.140625" style="557" customWidth="1"/>
    <col min="3333" max="3333" width="9.140625" style="557"/>
    <col min="3334" max="3334" width="9.7109375" style="557" customWidth="1"/>
    <col min="3335" max="3341" width="9.140625" style="557"/>
    <col min="3342" max="3342" width="8.140625" style="557" customWidth="1"/>
    <col min="3343" max="3584" width="9.140625" style="557"/>
    <col min="3585" max="3585" width="30.42578125" style="557" customWidth="1"/>
    <col min="3586" max="3586" width="8" style="557" customWidth="1"/>
    <col min="3587" max="3587" width="9.140625" style="557"/>
    <col min="3588" max="3588" width="8.140625" style="557" customWidth="1"/>
    <col min="3589" max="3589" width="9.140625" style="557"/>
    <col min="3590" max="3590" width="9.7109375" style="557" customWidth="1"/>
    <col min="3591" max="3597" width="9.140625" style="557"/>
    <col min="3598" max="3598" width="8.140625" style="557" customWidth="1"/>
    <col min="3599" max="3840" width="9.140625" style="557"/>
    <col min="3841" max="3841" width="30.42578125" style="557" customWidth="1"/>
    <col min="3842" max="3842" width="8" style="557" customWidth="1"/>
    <col min="3843" max="3843" width="9.140625" style="557"/>
    <col min="3844" max="3844" width="8.140625" style="557" customWidth="1"/>
    <col min="3845" max="3845" width="9.140625" style="557"/>
    <col min="3846" max="3846" width="9.7109375" style="557" customWidth="1"/>
    <col min="3847" max="3853" width="9.140625" style="557"/>
    <col min="3854" max="3854" width="8.140625" style="557" customWidth="1"/>
    <col min="3855" max="4096" width="9.140625" style="557"/>
    <col min="4097" max="4097" width="30.42578125" style="557" customWidth="1"/>
    <col min="4098" max="4098" width="8" style="557" customWidth="1"/>
    <col min="4099" max="4099" width="9.140625" style="557"/>
    <col min="4100" max="4100" width="8.140625" style="557" customWidth="1"/>
    <col min="4101" max="4101" width="9.140625" style="557"/>
    <col min="4102" max="4102" width="9.7109375" style="557" customWidth="1"/>
    <col min="4103" max="4109" width="9.140625" style="557"/>
    <col min="4110" max="4110" width="8.140625" style="557" customWidth="1"/>
    <col min="4111" max="4352" width="9.140625" style="557"/>
    <col min="4353" max="4353" width="30.42578125" style="557" customWidth="1"/>
    <col min="4354" max="4354" width="8" style="557" customWidth="1"/>
    <col min="4355" max="4355" width="9.140625" style="557"/>
    <col min="4356" max="4356" width="8.140625" style="557" customWidth="1"/>
    <col min="4357" max="4357" width="9.140625" style="557"/>
    <col min="4358" max="4358" width="9.7109375" style="557" customWidth="1"/>
    <col min="4359" max="4365" width="9.140625" style="557"/>
    <col min="4366" max="4366" width="8.140625" style="557" customWidth="1"/>
    <col min="4367" max="4608" width="9.140625" style="557"/>
    <col min="4609" max="4609" width="30.42578125" style="557" customWidth="1"/>
    <col min="4610" max="4610" width="8" style="557" customWidth="1"/>
    <col min="4611" max="4611" width="9.140625" style="557"/>
    <col min="4612" max="4612" width="8.140625" style="557" customWidth="1"/>
    <col min="4613" max="4613" width="9.140625" style="557"/>
    <col min="4614" max="4614" width="9.7109375" style="557" customWidth="1"/>
    <col min="4615" max="4621" width="9.140625" style="557"/>
    <col min="4622" max="4622" width="8.140625" style="557" customWidth="1"/>
    <col min="4623" max="4864" width="9.140625" style="557"/>
    <col min="4865" max="4865" width="30.42578125" style="557" customWidth="1"/>
    <col min="4866" max="4866" width="8" style="557" customWidth="1"/>
    <col min="4867" max="4867" width="9.140625" style="557"/>
    <col min="4868" max="4868" width="8.140625" style="557" customWidth="1"/>
    <col min="4869" max="4869" width="9.140625" style="557"/>
    <col min="4870" max="4870" width="9.7109375" style="557" customWidth="1"/>
    <col min="4871" max="4877" width="9.140625" style="557"/>
    <col min="4878" max="4878" width="8.140625" style="557" customWidth="1"/>
    <col min="4879" max="5120" width="9.140625" style="557"/>
    <col min="5121" max="5121" width="30.42578125" style="557" customWidth="1"/>
    <col min="5122" max="5122" width="8" style="557" customWidth="1"/>
    <col min="5123" max="5123" width="9.140625" style="557"/>
    <col min="5124" max="5124" width="8.140625" style="557" customWidth="1"/>
    <col min="5125" max="5125" width="9.140625" style="557"/>
    <col min="5126" max="5126" width="9.7109375" style="557" customWidth="1"/>
    <col min="5127" max="5133" width="9.140625" style="557"/>
    <col min="5134" max="5134" width="8.140625" style="557" customWidth="1"/>
    <col min="5135" max="5376" width="9.140625" style="557"/>
    <col min="5377" max="5377" width="30.42578125" style="557" customWidth="1"/>
    <col min="5378" max="5378" width="8" style="557" customWidth="1"/>
    <col min="5379" max="5379" width="9.140625" style="557"/>
    <col min="5380" max="5380" width="8.140625" style="557" customWidth="1"/>
    <col min="5381" max="5381" width="9.140625" style="557"/>
    <col min="5382" max="5382" width="9.7109375" style="557" customWidth="1"/>
    <col min="5383" max="5389" width="9.140625" style="557"/>
    <col min="5390" max="5390" width="8.140625" style="557" customWidth="1"/>
    <col min="5391" max="5632" width="9.140625" style="557"/>
    <col min="5633" max="5633" width="30.42578125" style="557" customWidth="1"/>
    <col min="5634" max="5634" width="8" style="557" customWidth="1"/>
    <col min="5635" max="5635" width="9.140625" style="557"/>
    <col min="5636" max="5636" width="8.140625" style="557" customWidth="1"/>
    <col min="5637" max="5637" width="9.140625" style="557"/>
    <col min="5638" max="5638" width="9.7109375" style="557" customWidth="1"/>
    <col min="5639" max="5645" width="9.140625" style="557"/>
    <col min="5646" max="5646" width="8.140625" style="557" customWidth="1"/>
    <col min="5647" max="5888" width="9.140625" style="557"/>
    <col min="5889" max="5889" width="30.42578125" style="557" customWidth="1"/>
    <col min="5890" max="5890" width="8" style="557" customWidth="1"/>
    <col min="5891" max="5891" width="9.140625" style="557"/>
    <col min="5892" max="5892" width="8.140625" style="557" customWidth="1"/>
    <col min="5893" max="5893" width="9.140625" style="557"/>
    <col min="5894" max="5894" width="9.7109375" style="557" customWidth="1"/>
    <col min="5895" max="5901" width="9.140625" style="557"/>
    <col min="5902" max="5902" width="8.140625" style="557" customWidth="1"/>
    <col min="5903" max="6144" width="9.140625" style="557"/>
    <col min="6145" max="6145" width="30.42578125" style="557" customWidth="1"/>
    <col min="6146" max="6146" width="8" style="557" customWidth="1"/>
    <col min="6147" max="6147" width="9.140625" style="557"/>
    <col min="6148" max="6148" width="8.140625" style="557" customWidth="1"/>
    <col min="6149" max="6149" width="9.140625" style="557"/>
    <col min="6150" max="6150" width="9.7109375" style="557" customWidth="1"/>
    <col min="6151" max="6157" width="9.140625" style="557"/>
    <col min="6158" max="6158" width="8.140625" style="557" customWidth="1"/>
    <col min="6159" max="6400" width="9.140625" style="557"/>
    <col min="6401" max="6401" width="30.42578125" style="557" customWidth="1"/>
    <col min="6402" max="6402" width="8" style="557" customWidth="1"/>
    <col min="6403" max="6403" width="9.140625" style="557"/>
    <col min="6404" max="6404" width="8.140625" style="557" customWidth="1"/>
    <col min="6405" max="6405" width="9.140625" style="557"/>
    <col min="6406" max="6406" width="9.7109375" style="557" customWidth="1"/>
    <col min="6407" max="6413" width="9.140625" style="557"/>
    <col min="6414" max="6414" width="8.140625" style="557" customWidth="1"/>
    <col min="6415" max="6656" width="9.140625" style="557"/>
    <col min="6657" max="6657" width="30.42578125" style="557" customWidth="1"/>
    <col min="6658" max="6658" width="8" style="557" customWidth="1"/>
    <col min="6659" max="6659" width="9.140625" style="557"/>
    <col min="6660" max="6660" width="8.140625" style="557" customWidth="1"/>
    <col min="6661" max="6661" width="9.140625" style="557"/>
    <col min="6662" max="6662" width="9.7109375" style="557" customWidth="1"/>
    <col min="6663" max="6669" width="9.140625" style="557"/>
    <col min="6670" max="6670" width="8.140625" style="557" customWidth="1"/>
    <col min="6671" max="6912" width="9.140625" style="557"/>
    <col min="6913" max="6913" width="30.42578125" style="557" customWidth="1"/>
    <col min="6914" max="6914" width="8" style="557" customWidth="1"/>
    <col min="6915" max="6915" width="9.140625" style="557"/>
    <col min="6916" max="6916" width="8.140625" style="557" customWidth="1"/>
    <col min="6917" max="6917" width="9.140625" style="557"/>
    <col min="6918" max="6918" width="9.7109375" style="557" customWidth="1"/>
    <col min="6919" max="6925" width="9.140625" style="557"/>
    <col min="6926" max="6926" width="8.140625" style="557" customWidth="1"/>
    <col min="6927" max="7168" width="9.140625" style="557"/>
    <col min="7169" max="7169" width="30.42578125" style="557" customWidth="1"/>
    <col min="7170" max="7170" width="8" style="557" customWidth="1"/>
    <col min="7171" max="7171" width="9.140625" style="557"/>
    <col min="7172" max="7172" width="8.140625" style="557" customWidth="1"/>
    <col min="7173" max="7173" width="9.140625" style="557"/>
    <col min="7174" max="7174" width="9.7109375" style="557" customWidth="1"/>
    <col min="7175" max="7181" width="9.140625" style="557"/>
    <col min="7182" max="7182" width="8.140625" style="557" customWidth="1"/>
    <col min="7183" max="7424" width="9.140625" style="557"/>
    <col min="7425" max="7425" width="30.42578125" style="557" customWidth="1"/>
    <col min="7426" max="7426" width="8" style="557" customWidth="1"/>
    <col min="7427" max="7427" width="9.140625" style="557"/>
    <col min="7428" max="7428" width="8.140625" style="557" customWidth="1"/>
    <col min="7429" max="7429" width="9.140625" style="557"/>
    <col min="7430" max="7430" width="9.7109375" style="557" customWidth="1"/>
    <col min="7431" max="7437" width="9.140625" style="557"/>
    <col min="7438" max="7438" width="8.140625" style="557" customWidth="1"/>
    <col min="7439" max="7680" width="9.140625" style="557"/>
    <col min="7681" max="7681" width="30.42578125" style="557" customWidth="1"/>
    <col min="7682" max="7682" width="8" style="557" customWidth="1"/>
    <col min="7683" max="7683" width="9.140625" style="557"/>
    <col min="7684" max="7684" width="8.140625" style="557" customWidth="1"/>
    <col min="7685" max="7685" width="9.140625" style="557"/>
    <col min="7686" max="7686" width="9.7109375" style="557" customWidth="1"/>
    <col min="7687" max="7693" width="9.140625" style="557"/>
    <col min="7694" max="7694" width="8.140625" style="557" customWidth="1"/>
    <col min="7695" max="7936" width="9.140625" style="557"/>
    <col min="7937" max="7937" width="30.42578125" style="557" customWidth="1"/>
    <col min="7938" max="7938" width="8" style="557" customWidth="1"/>
    <col min="7939" max="7939" width="9.140625" style="557"/>
    <col min="7940" max="7940" width="8.140625" style="557" customWidth="1"/>
    <col min="7941" max="7941" width="9.140625" style="557"/>
    <col min="7942" max="7942" width="9.7109375" style="557" customWidth="1"/>
    <col min="7943" max="7949" width="9.140625" style="557"/>
    <col min="7950" max="7950" width="8.140625" style="557" customWidth="1"/>
    <col min="7951" max="8192" width="9.140625" style="557"/>
    <col min="8193" max="8193" width="30.42578125" style="557" customWidth="1"/>
    <col min="8194" max="8194" width="8" style="557" customWidth="1"/>
    <col min="8195" max="8195" width="9.140625" style="557"/>
    <col min="8196" max="8196" width="8.140625" style="557" customWidth="1"/>
    <col min="8197" max="8197" width="9.140625" style="557"/>
    <col min="8198" max="8198" width="9.7109375" style="557" customWidth="1"/>
    <col min="8199" max="8205" width="9.140625" style="557"/>
    <col min="8206" max="8206" width="8.140625" style="557" customWidth="1"/>
    <col min="8207" max="8448" width="9.140625" style="557"/>
    <col min="8449" max="8449" width="30.42578125" style="557" customWidth="1"/>
    <col min="8450" max="8450" width="8" style="557" customWidth="1"/>
    <col min="8451" max="8451" width="9.140625" style="557"/>
    <col min="8452" max="8452" width="8.140625" style="557" customWidth="1"/>
    <col min="8453" max="8453" width="9.140625" style="557"/>
    <col min="8454" max="8454" width="9.7109375" style="557" customWidth="1"/>
    <col min="8455" max="8461" width="9.140625" style="557"/>
    <col min="8462" max="8462" width="8.140625" style="557" customWidth="1"/>
    <col min="8463" max="8704" width="9.140625" style="557"/>
    <col min="8705" max="8705" width="30.42578125" style="557" customWidth="1"/>
    <col min="8706" max="8706" width="8" style="557" customWidth="1"/>
    <col min="8707" max="8707" width="9.140625" style="557"/>
    <col min="8708" max="8708" width="8.140625" style="557" customWidth="1"/>
    <col min="8709" max="8709" width="9.140625" style="557"/>
    <col min="8710" max="8710" width="9.7109375" style="557" customWidth="1"/>
    <col min="8711" max="8717" width="9.140625" style="557"/>
    <col min="8718" max="8718" width="8.140625" style="557" customWidth="1"/>
    <col min="8719" max="8960" width="9.140625" style="557"/>
    <col min="8961" max="8961" width="30.42578125" style="557" customWidth="1"/>
    <col min="8962" max="8962" width="8" style="557" customWidth="1"/>
    <col min="8963" max="8963" width="9.140625" style="557"/>
    <col min="8964" max="8964" width="8.140625" style="557" customWidth="1"/>
    <col min="8965" max="8965" width="9.140625" style="557"/>
    <col min="8966" max="8966" width="9.7109375" style="557" customWidth="1"/>
    <col min="8967" max="8973" width="9.140625" style="557"/>
    <col min="8974" max="8974" width="8.140625" style="557" customWidth="1"/>
    <col min="8975" max="9216" width="9.140625" style="557"/>
    <col min="9217" max="9217" width="30.42578125" style="557" customWidth="1"/>
    <col min="9218" max="9218" width="8" style="557" customWidth="1"/>
    <col min="9219" max="9219" width="9.140625" style="557"/>
    <col min="9220" max="9220" width="8.140625" style="557" customWidth="1"/>
    <col min="9221" max="9221" width="9.140625" style="557"/>
    <col min="9222" max="9222" width="9.7109375" style="557" customWidth="1"/>
    <col min="9223" max="9229" width="9.140625" style="557"/>
    <col min="9230" max="9230" width="8.140625" style="557" customWidth="1"/>
    <col min="9231" max="9472" width="9.140625" style="557"/>
    <col min="9473" max="9473" width="30.42578125" style="557" customWidth="1"/>
    <col min="9474" max="9474" width="8" style="557" customWidth="1"/>
    <col min="9475" max="9475" width="9.140625" style="557"/>
    <col min="9476" max="9476" width="8.140625" style="557" customWidth="1"/>
    <col min="9477" max="9477" width="9.140625" style="557"/>
    <col min="9478" max="9478" width="9.7109375" style="557" customWidth="1"/>
    <col min="9479" max="9485" width="9.140625" style="557"/>
    <col min="9486" max="9486" width="8.140625" style="557" customWidth="1"/>
    <col min="9487" max="9728" width="9.140625" style="557"/>
    <col min="9729" max="9729" width="30.42578125" style="557" customWidth="1"/>
    <col min="9730" max="9730" width="8" style="557" customWidth="1"/>
    <col min="9731" max="9731" width="9.140625" style="557"/>
    <col min="9732" max="9732" width="8.140625" style="557" customWidth="1"/>
    <col min="9733" max="9733" width="9.140625" style="557"/>
    <col min="9734" max="9734" width="9.7109375" style="557" customWidth="1"/>
    <col min="9735" max="9741" width="9.140625" style="557"/>
    <col min="9742" max="9742" width="8.140625" style="557" customWidth="1"/>
    <col min="9743" max="9984" width="9.140625" style="557"/>
    <col min="9985" max="9985" width="30.42578125" style="557" customWidth="1"/>
    <col min="9986" max="9986" width="8" style="557" customWidth="1"/>
    <col min="9987" max="9987" width="9.140625" style="557"/>
    <col min="9988" max="9988" width="8.140625" style="557" customWidth="1"/>
    <col min="9989" max="9989" width="9.140625" style="557"/>
    <col min="9990" max="9990" width="9.7109375" style="557" customWidth="1"/>
    <col min="9991" max="9997" width="9.140625" style="557"/>
    <col min="9998" max="9998" width="8.140625" style="557" customWidth="1"/>
    <col min="9999" max="10240" width="9.140625" style="557"/>
    <col min="10241" max="10241" width="30.42578125" style="557" customWidth="1"/>
    <col min="10242" max="10242" width="8" style="557" customWidth="1"/>
    <col min="10243" max="10243" width="9.140625" style="557"/>
    <col min="10244" max="10244" width="8.140625" style="557" customWidth="1"/>
    <col min="10245" max="10245" width="9.140625" style="557"/>
    <col min="10246" max="10246" width="9.7109375" style="557" customWidth="1"/>
    <col min="10247" max="10253" width="9.140625" style="557"/>
    <col min="10254" max="10254" width="8.140625" style="557" customWidth="1"/>
    <col min="10255" max="10496" width="9.140625" style="557"/>
    <col min="10497" max="10497" width="30.42578125" style="557" customWidth="1"/>
    <col min="10498" max="10498" width="8" style="557" customWidth="1"/>
    <col min="10499" max="10499" width="9.140625" style="557"/>
    <col min="10500" max="10500" width="8.140625" style="557" customWidth="1"/>
    <col min="10501" max="10501" width="9.140625" style="557"/>
    <col min="10502" max="10502" width="9.7109375" style="557" customWidth="1"/>
    <col min="10503" max="10509" width="9.140625" style="557"/>
    <col min="10510" max="10510" width="8.140625" style="557" customWidth="1"/>
    <col min="10511" max="10752" width="9.140625" style="557"/>
    <col min="10753" max="10753" width="30.42578125" style="557" customWidth="1"/>
    <col min="10754" max="10754" width="8" style="557" customWidth="1"/>
    <col min="10755" max="10755" width="9.140625" style="557"/>
    <col min="10756" max="10756" width="8.140625" style="557" customWidth="1"/>
    <col min="10757" max="10757" width="9.140625" style="557"/>
    <col min="10758" max="10758" width="9.7109375" style="557" customWidth="1"/>
    <col min="10759" max="10765" width="9.140625" style="557"/>
    <col min="10766" max="10766" width="8.140625" style="557" customWidth="1"/>
    <col min="10767" max="11008" width="9.140625" style="557"/>
    <col min="11009" max="11009" width="30.42578125" style="557" customWidth="1"/>
    <col min="11010" max="11010" width="8" style="557" customWidth="1"/>
    <col min="11011" max="11011" width="9.140625" style="557"/>
    <col min="11012" max="11012" width="8.140625" style="557" customWidth="1"/>
    <col min="11013" max="11013" width="9.140625" style="557"/>
    <col min="11014" max="11014" width="9.7109375" style="557" customWidth="1"/>
    <col min="11015" max="11021" width="9.140625" style="557"/>
    <col min="11022" max="11022" width="8.140625" style="557" customWidth="1"/>
    <col min="11023" max="11264" width="9.140625" style="557"/>
    <col min="11265" max="11265" width="30.42578125" style="557" customWidth="1"/>
    <col min="11266" max="11266" width="8" style="557" customWidth="1"/>
    <col min="11267" max="11267" width="9.140625" style="557"/>
    <col min="11268" max="11268" width="8.140625" style="557" customWidth="1"/>
    <col min="11269" max="11269" width="9.140625" style="557"/>
    <col min="11270" max="11270" width="9.7109375" style="557" customWidth="1"/>
    <col min="11271" max="11277" width="9.140625" style="557"/>
    <col min="11278" max="11278" width="8.140625" style="557" customWidth="1"/>
    <col min="11279" max="11520" width="9.140625" style="557"/>
    <col min="11521" max="11521" width="30.42578125" style="557" customWidth="1"/>
    <col min="11522" max="11522" width="8" style="557" customWidth="1"/>
    <col min="11523" max="11523" width="9.140625" style="557"/>
    <col min="11524" max="11524" width="8.140625" style="557" customWidth="1"/>
    <col min="11525" max="11525" width="9.140625" style="557"/>
    <col min="11526" max="11526" width="9.7109375" style="557" customWidth="1"/>
    <col min="11527" max="11533" width="9.140625" style="557"/>
    <col min="11534" max="11534" width="8.140625" style="557" customWidth="1"/>
    <col min="11535" max="11776" width="9.140625" style="557"/>
    <col min="11777" max="11777" width="30.42578125" style="557" customWidth="1"/>
    <col min="11778" max="11778" width="8" style="557" customWidth="1"/>
    <col min="11779" max="11779" width="9.140625" style="557"/>
    <col min="11780" max="11780" width="8.140625" style="557" customWidth="1"/>
    <col min="11781" max="11781" width="9.140625" style="557"/>
    <col min="11782" max="11782" width="9.7109375" style="557" customWidth="1"/>
    <col min="11783" max="11789" width="9.140625" style="557"/>
    <col min="11790" max="11790" width="8.140625" style="557" customWidth="1"/>
    <col min="11791" max="12032" width="9.140625" style="557"/>
    <col min="12033" max="12033" width="30.42578125" style="557" customWidth="1"/>
    <col min="12034" max="12034" width="8" style="557" customWidth="1"/>
    <col min="12035" max="12035" width="9.140625" style="557"/>
    <col min="12036" max="12036" width="8.140625" style="557" customWidth="1"/>
    <col min="12037" max="12037" width="9.140625" style="557"/>
    <col min="12038" max="12038" width="9.7109375" style="557" customWidth="1"/>
    <col min="12039" max="12045" width="9.140625" style="557"/>
    <col min="12046" max="12046" width="8.140625" style="557" customWidth="1"/>
    <col min="12047" max="12288" width="9.140625" style="557"/>
    <col min="12289" max="12289" width="30.42578125" style="557" customWidth="1"/>
    <col min="12290" max="12290" width="8" style="557" customWidth="1"/>
    <col min="12291" max="12291" width="9.140625" style="557"/>
    <col min="12292" max="12292" width="8.140625" style="557" customWidth="1"/>
    <col min="12293" max="12293" width="9.140625" style="557"/>
    <col min="12294" max="12294" width="9.7109375" style="557" customWidth="1"/>
    <col min="12295" max="12301" width="9.140625" style="557"/>
    <col min="12302" max="12302" width="8.140625" style="557" customWidth="1"/>
    <col min="12303" max="12544" width="9.140625" style="557"/>
    <col min="12545" max="12545" width="30.42578125" style="557" customWidth="1"/>
    <col min="12546" max="12546" width="8" style="557" customWidth="1"/>
    <col min="12547" max="12547" width="9.140625" style="557"/>
    <col min="12548" max="12548" width="8.140625" style="557" customWidth="1"/>
    <col min="12549" max="12549" width="9.140625" style="557"/>
    <col min="12550" max="12550" width="9.7109375" style="557" customWidth="1"/>
    <col min="12551" max="12557" width="9.140625" style="557"/>
    <col min="12558" max="12558" width="8.140625" style="557" customWidth="1"/>
    <col min="12559" max="12800" width="9.140625" style="557"/>
    <col min="12801" max="12801" width="30.42578125" style="557" customWidth="1"/>
    <col min="12802" max="12802" width="8" style="557" customWidth="1"/>
    <col min="12803" max="12803" width="9.140625" style="557"/>
    <col min="12804" max="12804" width="8.140625" style="557" customWidth="1"/>
    <col min="12805" max="12805" width="9.140625" style="557"/>
    <col min="12806" max="12806" width="9.7109375" style="557" customWidth="1"/>
    <col min="12807" max="12813" width="9.140625" style="557"/>
    <col min="12814" max="12814" width="8.140625" style="557" customWidth="1"/>
    <col min="12815" max="13056" width="9.140625" style="557"/>
    <col min="13057" max="13057" width="30.42578125" style="557" customWidth="1"/>
    <col min="13058" max="13058" width="8" style="557" customWidth="1"/>
    <col min="13059" max="13059" width="9.140625" style="557"/>
    <col min="13060" max="13060" width="8.140625" style="557" customWidth="1"/>
    <col min="13061" max="13061" width="9.140625" style="557"/>
    <col min="13062" max="13062" width="9.7109375" style="557" customWidth="1"/>
    <col min="13063" max="13069" width="9.140625" style="557"/>
    <col min="13070" max="13070" width="8.140625" style="557" customWidth="1"/>
    <col min="13071" max="13312" width="9.140625" style="557"/>
    <col min="13313" max="13313" width="30.42578125" style="557" customWidth="1"/>
    <col min="13314" max="13314" width="8" style="557" customWidth="1"/>
    <col min="13315" max="13315" width="9.140625" style="557"/>
    <col min="13316" max="13316" width="8.140625" style="557" customWidth="1"/>
    <col min="13317" max="13317" width="9.140625" style="557"/>
    <col min="13318" max="13318" width="9.7109375" style="557" customWidth="1"/>
    <col min="13319" max="13325" width="9.140625" style="557"/>
    <col min="13326" max="13326" width="8.140625" style="557" customWidth="1"/>
    <col min="13327" max="13568" width="9.140625" style="557"/>
    <col min="13569" max="13569" width="30.42578125" style="557" customWidth="1"/>
    <col min="13570" max="13570" width="8" style="557" customWidth="1"/>
    <col min="13571" max="13571" width="9.140625" style="557"/>
    <col min="13572" max="13572" width="8.140625" style="557" customWidth="1"/>
    <col min="13573" max="13573" width="9.140625" style="557"/>
    <col min="13574" max="13574" width="9.7109375" style="557" customWidth="1"/>
    <col min="13575" max="13581" width="9.140625" style="557"/>
    <col min="13582" max="13582" width="8.140625" style="557" customWidth="1"/>
    <col min="13583" max="13824" width="9.140625" style="557"/>
    <col min="13825" max="13825" width="30.42578125" style="557" customWidth="1"/>
    <col min="13826" max="13826" width="8" style="557" customWidth="1"/>
    <col min="13827" max="13827" width="9.140625" style="557"/>
    <col min="13828" max="13828" width="8.140625" style="557" customWidth="1"/>
    <col min="13829" max="13829" width="9.140625" style="557"/>
    <col min="13830" max="13830" width="9.7109375" style="557" customWidth="1"/>
    <col min="13831" max="13837" width="9.140625" style="557"/>
    <col min="13838" max="13838" width="8.140625" style="557" customWidth="1"/>
    <col min="13839" max="14080" width="9.140625" style="557"/>
    <col min="14081" max="14081" width="30.42578125" style="557" customWidth="1"/>
    <col min="14082" max="14082" width="8" style="557" customWidth="1"/>
    <col min="14083" max="14083" width="9.140625" style="557"/>
    <col min="14084" max="14084" width="8.140625" style="557" customWidth="1"/>
    <col min="14085" max="14085" width="9.140625" style="557"/>
    <col min="14086" max="14086" width="9.7109375" style="557" customWidth="1"/>
    <col min="14087" max="14093" width="9.140625" style="557"/>
    <col min="14094" max="14094" width="8.140625" style="557" customWidth="1"/>
    <col min="14095" max="14336" width="9.140625" style="557"/>
    <col min="14337" max="14337" width="30.42578125" style="557" customWidth="1"/>
    <col min="14338" max="14338" width="8" style="557" customWidth="1"/>
    <col min="14339" max="14339" width="9.140625" style="557"/>
    <col min="14340" max="14340" width="8.140625" style="557" customWidth="1"/>
    <col min="14341" max="14341" width="9.140625" style="557"/>
    <col min="14342" max="14342" width="9.7109375" style="557" customWidth="1"/>
    <col min="14343" max="14349" width="9.140625" style="557"/>
    <col min="14350" max="14350" width="8.140625" style="557" customWidth="1"/>
    <col min="14351" max="14592" width="9.140625" style="557"/>
    <col min="14593" max="14593" width="30.42578125" style="557" customWidth="1"/>
    <col min="14594" max="14594" width="8" style="557" customWidth="1"/>
    <col min="14595" max="14595" width="9.140625" style="557"/>
    <col min="14596" max="14596" width="8.140625" style="557" customWidth="1"/>
    <col min="14597" max="14597" width="9.140625" style="557"/>
    <col min="14598" max="14598" width="9.7109375" style="557" customWidth="1"/>
    <col min="14599" max="14605" width="9.140625" style="557"/>
    <col min="14606" max="14606" width="8.140625" style="557" customWidth="1"/>
    <col min="14607" max="14848" width="9.140625" style="557"/>
    <col min="14849" max="14849" width="30.42578125" style="557" customWidth="1"/>
    <col min="14850" max="14850" width="8" style="557" customWidth="1"/>
    <col min="14851" max="14851" width="9.140625" style="557"/>
    <col min="14852" max="14852" width="8.140625" style="557" customWidth="1"/>
    <col min="14853" max="14853" width="9.140625" style="557"/>
    <col min="14854" max="14854" width="9.7109375" style="557" customWidth="1"/>
    <col min="14855" max="14861" width="9.140625" style="557"/>
    <col min="14862" max="14862" width="8.140625" style="557" customWidth="1"/>
    <col min="14863" max="15104" width="9.140625" style="557"/>
    <col min="15105" max="15105" width="30.42578125" style="557" customWidth="1"/>
    <col min="15106" max="15106" width="8" style="557" customWidth="1"/>
    <col min="15107" max="15107" width="9.140625" style="557"/>
    <col min="15108" max="15108" width="8.140625" style="557" customWidth="1"/>
    <col min="15109" max="15109" width="9.140625" style="557"/>
    <col min="15110" max="15110" width="9.7109375" style="557" customWidth="1"/>
    <col min="15111" max="15117" width="9.140625" style="557"/>
    <col min="15118" max="15118" width="8.140625" style="557" customWidth="1"/>
    <col min="15119" max="15360" width="9.140625" style="557"/>
    <col min="15361" max="15361" width="30.42578125" style="557" customWidth="1"/>
    <col min="15362" max="15362" width="8" style="557" customWidth="1"/>
    <col min="15363" max="15363" width="9.140625" style="557"/>
    <col min="15364" max="15364" width="8.140625" style="557" customWidth="1"/>
    <col min="15365" max="15365" width="9.140625" style="557"/>
    <col min="15366" max="15366" width="9.7109375" style="557" customWidth="1"/>
    <col min="15367" max="15373" width="9.140625" style="557"/>
    <col min="15374" max="15374" width="8.140625" style="557" customWidth="1"/>
    <col min="15375" max="15616" width="9.140625" style="557"/>
    <col min="15617" max="15617" width="30.42578125" style="557" customWidth="1"/>
    <col min="15618" max="15618" width="8" style="557" customWidth="1"/>
    <col min="15619" max="15619" width="9.140625" style="557"/>
    <col min="15620" max="15620" width="8.140625" style="557" customWidth="1"/>
    <col min="15621" max="15621" width="9.140625" style="557"/>
    <col min="15622" max="15622" width="9.7109375" style="557" customWidth="1"/>
    <col min="15623" max="15629" width="9.140625" style="557"/>
    <col min="15630" max="15630" width="8.140625" style="557" customWidth="1"/>
    <col min="15631" max="15872" width="9.140625" style="557"/>
    <col min="15873" max="15873" width="30.42578125" style="557" customWidth="1"/>
    <col min="15874" max="15874" width="8" style="557" customWidth="1"/>
    <col min="15875" max="15875" width="9.140625" style="557"/>
    <col min="15876" max="15876" width="8.140625" style="557" customWidth="1"/>
    <col min="15877" max="15877" width="9.140625" style="557"/>
    <col min="15878" max="15878" width="9.7109375" style="557" customWidth="1"/>
    <col min="15879" max="15885" width="9.140625" style="557"/>
    <col min="15886" max="15886" width="8.140625" style="557" customWidth="1"/>
    <col min="15887" max="16128" width="9.140625" style="557"/>
    <col min="16129" max="16129" width="30.42578125" style="557" customWidth="1"/>
    <col min="16130" max="16130" width="8" style="557" customWidth="1"/>
    <col min="16131" max="16131" width="9.140625" style="557"/>
    <col min="16132" max="16132" width="8.140625" style="557" customWidth="1"/>
    <col min="16133" max="16133" width="9.140625" style="557"/>
    <col min="16134" max="16134" width="9.7109375" style="557" customWidth="1"/>
    <col min="16135" max="16141" width="9.140625" style="557"/>
    <col min="16142" max="16142" width="8.140625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353" t="s">
        <v>2097</v>
      </c>
      <c r="C3" s="1353"/>
      <c r="D3" s="1353"/>
      <c r="E3" s="1353"/>
      <c r="F3" s="558" t="s">
        <v>171</v>
      </c>
      <c r="H3" s="1380" t="s">
        <v>2098</v>
      </c>
      <c r="I3" s="1380"/>
      <c r="J3" s="558" t="s">
        <v>172</v>
      </c>
      <c r="K3" s="559">
        <v>331.10500000000002</v>
      </c>
      <c r="L3" s="558" t="s">
        <v>436</v>
      </c>
      <c r="N3" s="559">
        <v>52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375" t="s">
        <v>2099</v>
      </c>
      <c r="C5" s="1376"/>
      <c r="D5" s="1376"/>
      <c r="E5" s="1377"/>
      <c r="F5" s="558" t="s">
        <v>176</v>
      </c>
      <c r="H5" s="1375" t="s">
        <v>2100</v>
      </c>
      <c r="I5" s="1376"/>
      <c r="J5" s="1377"/>
    </row>
    <row r="7" spans="1:14" ht="13.5">
      <c r="A7" s="558" t="s">
        <v>178</v>
      </c>
      <c r="B7" s="1375" t="s">
        <v>2101</v>
      </c>
      <c r="C7" s="1376"/>
      <c r="D7" s="1376"/>
      <c r="E7" s="1377"/>
      <c r="F7" s="1197" t="s">
        <v>1696</v>
      </c>
      <c r="G7" s="1197"/>
      <c r="H7" s="1381" t="s">
        <v>2102</v>
      </c>
      <c r="I7" s="1382"/>
      <c r="J7" s="1382"/>
      <c r="K7" s="1383"/>
    </row>
    <row r="8" spans="1:14">
      <c r="F8" s="1197"/>
      <c r="G8" s="1197"/>
      <c r="H8" s="1384"/>
      <c r="I8" s="1385"/>
      <c r="J8" s="1385"/>
      <c r="K8" s="1386"/>
    </row>
    <row r="10" spans="1:14" s="561" customFormat="1">
      <c r="A10" s="560" t="s">
        <v>1697</v>
      </c>
      <c r="B10" s="1364" t="s">
        <v>2103</v>
      </c>
      <c r="C10" s="1364"/>
      <c r="D10" s="1364" t="s">
        <v>2104</v>
      </c>
      <c r="E10" s="1364"/>
      <c r="F10" s="1364"/>
      <c r="G10" s="1364" t="s">
        <v>2105</v>
      </c>
      <c r="H10" s="1364"/>
      <c r="I10" s="1364"/>
      <c r="J10" s="1364"/>
      <c r="K10" s="1364"/>
      <c r="L10" s="1364"/>
      <c r="M10" s="1364"/>
    </row>
    <row r="11" spans="1:14" s="561" customFormat="1" ht="13.5">
      <c r="A11" s="560" t="s">
        <v>1702</v>
      </c>
      <c r="B11" s="1365" t="s">
        <v>2106</v>
      </c>
      <c r="C11" s="1365"/>
      <c r="D11" s="1365" t="s">
        <v>2107</v>
      </c>
      <c r="E11" s="1365"/>
      <c r="F11" s="1365"/>
      <c r="G11" s="1387" t="s">
        <v>2108</v>
      </c>
      <c r="H11" s="1387"/>
      <c r="I11" s="1387"/>
      <c r="J11" s="1364"/>
      <c r="K11" s="1364"/>
      <c r="L11" s="1364"/>
      <c r="M11" s="1364"/>
    </row>
    <row r="12" spans="1:14" s="561" customFormat="1" ht="39.75" customHeight="1">
      <c r="A12" s="560" t="s">
        <v>1707</v>
      </c>
      <c r="B12" s="1388" t="s">
        <v>2109</v>
      </c>
      <c r="C12" s="1389"/>
      <c r="D12" s="1365" t="s">
        <v>2110</v>
      </c>
      <c r="E12" s="1365"/>
      <c r="F12" s="1365"/>
      <c r="G12" s="1387" t="s">
        <v>2111</v>
      </c>
      <c r="H12" s="1387"/>
      <c r="I12" s="1387"/>
      <c r="J12" s="1364"/>
      <c r="K12" s="1364"/>
      <c r="L12" s="1364"/>
      <c r="M12" s="1364"/>
    </row>
    <row r="13" spans="1:14" s="561" customFormat="1" ht="13.5">
      <c r="A13" s="560" t="s">
        <v>197</v>
      </c>
      <c r="B13" s="1365" t="s">
        <v>2112</v>
      </c>
      <c r="C13" s="1365"/>
      <c r="D13" s="1390"/>
      <c r="E13" s="1391"/>
      <c r="F13" s="1392"/>
      <c r="G13" s="1387" t="s">
        <v>2113</v>
      </c>
      <c r="H13" s="1387"/>
      <c r="I13" s="1387"/>
      <c r="J13" s="1364"/>
      <c r="K13" s="1364"/>
      <c r="L13" s="1364"/>
      <c r="M13" s="1364"/>
    </row>
    <row r="14" spans="1:14" s="561" customFormat="1">
      <c r="A14" s="562"/>
    </row>
    <row r="15" spans="1:14" s="561" customFormat="1">
      <c r="A15" s="562" t="s">
        <v>1356</v>
      </c>
      <c r="B15" s="600">
        <v>5</v>
      </c>
      <c r="C15" s="1203" t="s">
        <v>1490</v>
      </c>
      <c r="D15" s="1197"/>
      <c r="E15" s="1197"/>
      <c r="F15" s="600">
        <v>3</v>
      </c>
      <c r="G15" s="562" t="s">
        <v>1712</v>
      </c>
      <c r="H15" s="600">
        <v>10</v>
      </c>
      <c r="I15" s="562" t="s">
        <v>1492</v>
      </c>
      <c r="J15" s="600">
        <v>1</v>
      </c>
      <c r="K15" s="562" t="s">
        <v>1386</v>
      </c>
      <c r="L15" s="600">
        <v>10</v>
      </c>
    </row>
    <row r="16" spans="1:14" s="561" customFormat="1">
      <c r="A16" s="562"/>
    </row>
    <row r="17" spans="1:14" s="562" customFormat="1">
      <c r="A17" s="562" t="s">
        <v>203</v>
      </c>
      <c r="B17" s="562" t="s">
        <v>204</v>
      </c>
      <c r="C17" s="564">
        <v>114</v>
      </c>
      <c r="D17" s="562" t="s">
        <v>205</v>
      </c>
      <c r="E17" s="564">
        <v>55</v>
      </c>
      <c r="F17" s="562" t="s">
        <v>206</v>
      </c>
      <c r="G17" s="564">
        <v>4</v>
      </c>
      <c r="H17" s="562" t="s">
        <v>230</v>
      </c>
      <c r="I17" s="564">
        <v>173</v>
      </c>
      <c r="J17" s="562" t="s">
        <v>207</v>
      </c>
      <c r="K17" s="564">
        <v>26</v>
      </c>
      <c r="L17" s="1203" t="s">
        <v>1360</v>
      </c>
      <c r="M17" s="1204"/>
      <c r="N17" s="560">
        <v>18</v>
      </c>
    </row>
    <row r="18" spans="1:14" s="562" customFormat="1">
      <c r="A18" s="562" t="s">
        <v>209</v>
      </c>
      <c r="B18" s="562" t="s">
        <v>210</v>
      </c>
      <c r="C18" s="564">
        <v>218</v>
      </c>
      <c r="D18" s="562" t="s">
        <v>211</v>
      </c>
      <c r="E18" s="564">
        <v>115</v>
      </c>
      <c r="F18" s="562" t="s">
        <v>212</v>
      </c>
      <c r="G18" s="564">
        <v>8</v>
      </c>
      <c r="H18" s="562" t="s">
        <v>411</v>
      </c>
      <c r="I18" s="564">
        <v>341</v>
      </c>
    </row>
    <row r="19" spans="1:14" s="562" customFormat="1" ht="12.75" customHeight="1">
      <c r="B19" s="562" t="s">
        <v>213</v>
      </c>
      <c r="C19" s="564">
        <v>185</v>
      </c>
      <c r="D19" s="562" t="s">
        <v>214</v>
      </c>
      <c r="E19" s="564">
        <v>117</v>
      </c>
      <c r="F19" s="562" t="s">
        <v>215</v>
      </c>
      <c r="G19" s="564">
        <v>13</v>
      </c>
      <c r="H19" s="562" t="s">
        <v>410</v>
      </c>
      <c r="I19" s="564">
        <v>315</v>
      </c>
    </row>
    <row r="20" spans="1:14" s="562" customFormat="1">
      <c r="E20" s="565"/>
    </row>
    <row r="21" spans="1:14" s="561" customFormat="1">
      <c r="A21" s="567" t="s">
        <v>216</v>
      </c>
    </row>
    <row r="22" spans="1:14" s="561" customFormat="1">
      <c r="A22" s="562"/>
    </row>
    <row r="23" spans="1:14" s="561" customForma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14" s="561" customFormat="1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14" s="561" customFormat="1">
      <c r="A25" s="560" t="s">
        <v>232</v>
      </c>
      <c r="B25" s="564">
        <v>8000</v>
      </c>
      <c r="C25" s="560" t="s">
        <v>233</v>
      </c>
      <c r="D25" s="570">
        <v>26.488399999999999</v>
      </c>
      <c r="E25" s="570">
        <v>10.58</v>
      </c>
      <c r="F25" s="609">
        <v>0</v>
      </c>
      <c r="G25" s="609">
        <v>0</v>
      </c>
      <c r="H25" s="570">
        <v>0.10780000000000001</v>
      </c>
      <c r="I25" s="570">
        <v>6.1926699999999997</v>
      </c>
      <c r="J25" s="609">
        <v>0</v>
      </c>
      <c r="K25" s="609">
        <v>0</v>
      </c>
      <c r="L25" s="609">
        <v>0</v>
      </c>
      <c r="M25" s="570">
        <v>6.3004699999999998</v>
      </c>
      <c r="N25" s="570">
        <v>59.550756143667293</v>
      </c>
    </row>
    <row r="26" spans="1:14" s="561" customFormat="1">
      <c r="A26" s="560" t="s">
        <v>2114</v>
      </c>
      <c r="B26" s="564">
        <v>7000</v>
      </c>
      <c r="C26" s="560" t="s">
        <v>233</v>
      </c>
      <c r="D26" s="570">
        <v>1.9204090000000003</v>
      </c>
      <c r="E26" s="570">
        <v>0</v>
      </c>
      <c r="F26" s="609">
        <v>0</v>
      </c>
      <c r="G26" s="609">
        <v>0</v>
      </c>
      <c r="H26" s="570">
        <v>0</v>
      </c>
      <c r="I26" s="570">
        <v>0</v>
      </c>
      <c r="J26" s="609">
        <v>0</v>
      </c>
      <c r="K26" s="609">
        <v>0</v>
      </c>
      <c r="L26" s="609">
        <v>0</v>
      </c>
      <c r="M26" s="570">
        <v>0</v>
      </c>
      <c r="N26" s="570"/>
    </row>
    <row r="27" spans="1:14" s="561" customFormat="1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0.18</v>
      </c>
      <c r="F27" s="609">
        <v>0</v>
      </c>
      <c r="G27" s="609">
        <v>0</v>
      </c>
      <c r="H27" s="570">
        <v>0</v>
      </c>
      <c r="I27" s="570">
        <v>0.18</v>
      </c>
      <c r="J27" s="609">
        <v>0</v>
      </c>
      <c r="K27" s="609">
        <v>0</v>
      </c>
      <c r="L27" s="609">
        <v>0</v>
      </c>
      <c r="M27" s="570">
        <v>0.18</v>
      </c>
      <c r="N27" s="570">
        <v>100</v>
      </c>
    </row>
    <row r="28" spans="1:14" s="561" customFormat="1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0.16</v>
      </c>
      <c r="F28" s="609">
        <v>0</v>
      </c>
      <c r="G28" s="609">
        <v>0</v>
      </c>
      <c r="H28" s="570">
        <v>0</v>
      </c>
      <c r="I28" s="570">
        <v>0</v>
      </c>
      <c r="J28" s="609">
        <v>0</v>
      </c>
      <c r="K28" s="609">
        <v>0</v>
      </c>
      <c r="L28" s="609">
        <v>0</v>
      </c>
      <c r="M28" s="570">
        <v>0</v>
      </c>
      <c r="N28" s="570">
        <v>0</v>
      </c>
    </row>
    <row r="29" spans="1:14" s="561" customFormat="1">
      <c r="A29" s="560" t="s">
        <v>238</v>
      </c>
      <c r="B29" s="564">
        <v>1200</v>
      </c>
      <c r="C29" s="560" t="s">
        <v>233</v>
      </c>
      <c r="D29" s="570">
        <v>3.9732599999999998</v>
      </c>
      <c r="E29" s="570">
        <v>2</v>
      </c>
      <c r="F29" s="609">
        <v>0</v>
      </c>
      <c r="G29" s="609">
        <v>0</v>
      </c>
      <c r="H29" s="570">
        <v>0</v>
      </c>
      <c r="I29" s="570">
        <v>0</v>
      </c>
      <c r="J29" s="609">
        <v>0</v>
      </c>
      <c r="K29" s="609">
        <v>0</v>
      </c>
      <c r="L29" s="609">
        <v>0</v>
      </c>
      <c r="M29" s="570">
        <v>0</v>
      </c>
      <c r="N29" s="570">
        <v>0</v>
      </c>
    </row>
    <row r="30" spans="1:14" s="561" customFormat="1">
      <c r="A30" s="560" t="s">
        <v>667</v>
      </c>
      <c r="B30" s="564">
        <v>565</v>
      </c>
      <c r="C30" s="560" t="s">
        <v>233</v>
      </c>
      <c r="D30" s="570">
        <v>1.8707432500000001</v>
      </c>
      <c r="E30" s="570">
        <v>1.82108</v>
      </c>
      <c r="F30" s="609">
        <v>0</v>
      </c>
      <c r="G30" s="609">
        <v>0</v>
      </c>
      <c r="H30" s="570">
        <v>1.82108</v>
      </c>
      <c r="I30" s="570">
        <v>0</v>
      </c>
      <c r="J30" s="609">
        <v>0</v>
      </c>
      <c r="K30" s="609">
        <v>0</v>
      </c>
      <c r="L30" s="609">
        <v>0</v>
      </c>
      <c r="M30" s="570">
        <v>1.82108</v>
      </c>
      <c r="N30" s="570">
        <v>100</v>
      </c>
    </row>
    <row r="31" spans="1:14" s="561" customFormat="1">
      <c r="A31" s="560" t="s">
        <v>240</v>
      </c>
      <c r="B31" s="564">
        <v>1000</v>
      </c>
      <c r="C31" s="560" t="s">
        <v>233</v>
      </c>
      <c r="D31" s="570">
        <v>3.3110499999999998</v>
      </c>
      <c r="E31" s="570">
        <v>0</v>
      </c>
      <c r="F31" s="609">
        <v>0</v>
      </c>
      <c r="G31" s="609">
        <v>0</v>
      </c>
      <c r="H31" s="570">
        <v>0</v>
      </c>
      <c r="I31" s="570">
        <v>0</v>
      </c>
      <c r="J31" s="609">
        <v>0</v>
      </c>
      <c r="K31" s="609">
        <v>0</v>
      </c>
      <c r="L31" s="609">
        <v>0</v>
      </c>
      <c r="M31" s="570">
        <v>0</v>
      </c>
      <c r="N31" s="570"/>
    </row>
    <row r="32" spans="1:14" s="561" customFormat="1">
      <c r="A32" s="560" t="s">
        <v>394</v>
      </c>
      <c r="B32" s="564">
        <v>2750</v>
      </c>
      <c r="C32" s="560" t="s">
        <v>1716</v>
      </c>
      <c r="D32" s="570">
        <v>2.1</v>
      </c>
      <c r="E32" s="570">
        <v>0.44000000000000006</v>
      </c>
      <c r="F32" s="609">
        <v>0</v>
      </c>
      <c r="G32" s="609">
        <v>0</v>
      </c>
      <c r="H32" s="570">
        <v>7.9000000000000001E-2</v>
      </c>
      <c r="I32" s="570">
        <v>0.24499999999999997</v>
      </c>
      <c r="J32" s="609">
        <v>0</v>
      </c>
      <c r="K32" s="609">
        <v>0</v>
      </c>
      <c r="L32" s="609">
        <v>0</v>
      </c>
      <c r="M32" s="570">
        <v>0.32399999999999995</v>
      </c>
      <c r="N32" s="570">
        <v>73.636363636363612</v>
      </c>
    </row>
    <row r="33" spans="1:20" s="561" customFormat="1">
      <c r="A33" s="560" t="s">
        <v>1717</v>
      </c>
      <c r="B33" s="564">
        <v>10000</v>
      </c>
      <c r="C33" s="560" t="s">
        <v>244</v>
      </c>
      <c r="D33" s="570">
        <v>0.1</v>
      </c>
      <c r="E33" s="570">
        <v>0.1</v>
      </c>
      <c r="F33" s="609">
        <v>0</v>
      </c>
      <c r="G33" s="609">
        <v>0</v>
      </c>
      <c r="H33" s="570">
        <v>0</v>
      </c>
      <c r="I33" s="570">
        <v>0.1</v>
      </c>
      <c r="J33" s="609">
        <v>0</v>
      </c>
      <c r="K33" s="609">
        <v>0</v>
      </c>
      <c r="L33" s="609">
        <v>0</v>
      </c>
      <c r="M33" s="570">
        <v>0.1</v>
      </c>
      <c r="N33" s="570">
        <v>100</v>
      </c>
    </row>
    <row r="34" spans="1:20" s="561" customFormat="1">
      <c r="A34" s="572" t="s">
        <v>230</v>
      </c>
      <c r="B34" s="560"/>
      <c r="C34" s="560"/>
      <c r="D34" s="573">
        <v>40.533862249999999</v>
      </c>
      <c r="E34" s="573">
        <v>15.281079999999999</v>
      </c>
      <c r="F34" s="573">
        <v>0</v>
      </c>
      <c r="G34" s="573">
        <v>0</v>
      </c>
      <c r="H34" s="573">
        <v>2.0078800000000001</v>
      </c>
      <c r="I34" s="573">
        <v>6.7176699999999991</v>
      </c>
      <c r="J34" s="573">
        <v>0</v>
      </c>
      <c r="K34" s="573">
        <v>0</v>
      </c>
      <c r="L34" s="573">
        <v>0</v>
      </c>
      <c r="M34" s="573">
        <v>8.7255499999999984</v>
      </c>
      <c r="N34" s="573"/>
      <c r="O34" s="608"/>
      <c r="P34" s="608"/>
      <c r="Q34" s="608"/>
      <c r="R34" s="608"/>
      <c r="S34" s="608"/>
      <c r="T34" s="608"/>
    </row>
    <row r="35" spans="1:20" s="561" customFormat="1">
      <c r="A35" s="562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  <c r="Q35" s="608"/>
      <c r="R35" s="608"/>
      <c r="S35" s="608"/>
      <c r="T35" s="608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30.42578125" style="557" customWidth="1"/>
    <col min="2" max="13" width="9.140625" style="557"/>
    <col min="14" max="14" width="14" style="557" customWidth="1"/>
    <col min="15" max="256" width="9.140625" style="557"/>
    <col min="257" max="257" width="30.42578125" style="557" customWidth="1"/>
    <col min="258" max="269" width="9.140625" style="557"/>
    <col min="270" max="270" width="14" style="557" customWidth="1"/>
    <col min="271" max="512" width="9.140625" style="557"/>
    <col min="513" max="513" width="30.42578125" style="557" customWidth="1"/>
    <col min="514" max="525" width="9.140625" style="557"/>
    <col min="526" max="526" width="14" style="557" customWidth="1"/>
    <col min="527" max="768" width="9.140625" style="557"/>
    <col min="769" max="769" width="30.42578125" style="557" customWidth="1"/>
    <col min="770" max="781" width="9.140625" style="557"/>
    <col min="782" max="782" width="14" style="557" customWidth="1"/>
    <col min="783" max="1024" width="9.140625" style="557"/>
    <col min="1025" max="1025" width="30.42578125" style="557" customWidth="1"/>
    <col min="1026" max="1037" width="9.140625" style="557"/>
    <col min="1038" max="1038" width="14" style="557" customWidth="1"/>
    <col min="1039" max="1280" width="9.140625" style="557"/>
    <col min="1281" max="1281" width="30.42578125" style="557" customWidth="1"/>
    <col min="1282" max="1293" width="9.140625" style="557"/>
    <col min="1294" max="1294" width="14" style="557" customWidth="1"/>
    <col min="1295" max="1536" width="9.140625" style="557"/>
    <col min="1537" max="1537" width="30.42578125" style="557" customWidth="1"/>
    <col min="1538" max="1549" width="9.140625" style="557"/>
    <col min="1550" max="1550" width="14" style="557" customWidth="1"/>
    <col min="1551" max="1792" width="9.140625" style="557"/>
    <col min="1793" max="1793" width="30.42578125" style="557" customWidth="1"/>
    <col min="1794" max="1805" width="9.140625" style="557"/>
    <col min="1806" max="1806" width="14" style="557" customWidth="1"/>
    <col min="1807" max="2048" width="9.140625" style="557"/>
    <col min="2049" max="2049" width="30.42578125" style="557" customWidth="1"/>
    <col min="2050" max="2061" width="9.140625" style="557"/>
    <col min="2062" max="2062" width="14" style="557" customWidth="1"/>
    <col min="2063" max="2304" width="9.140625" style="557"/>
    <col min="2305" max="2305" width="30.42578125" style="557" customWidth="1"/>
    <col min="2306" max="2317" width="9.140625" style="557"/>
    <col min="2318" max="2318" width="14" style="557" customWidth="1"/>
    <col min="2319" max="2560" width="9.140625" style="557"/>
    <col min="2561" max="2561" width="30.42578125" style="557" customWidth="1"/>
    <col min="2562" max="2573" width="9.140625" style="557"/>
    <col min="2574" max="2574" width="14" style="557" customWidth="1"/>
    <col min="2575" max="2816" width="9.140625" style="557"/>
    <col min="2817" max="2817" width="30.42578125" style="557" customWidth="1"/>
    <col min="2818" max="2829" width="9.140625" style="557"/>
    <col min="2830" max="2830" width="14" style="557" customWidth="1"/>
    <col min="2831" max="3072" width="9.140625" style="557"/>
    <col min="3073" max="3073" width="30.42578125" style="557" customWidth="1"/>
    <col min="3074" max="3085" width="9.140625" style="557"/>
    <col min="3086" max="3086" width="14" style="557" customWidth="1"/>
    <col min="3087" max="3328" width="9.140625" style="557"/>
    <col min="3329" max="3329" width="30.42578125" style="557" customWidth="1"/>
    <col min="3330" max="3341" width="9.140625" style="557"/>
    <col min="3342" max="3342" width="14" style="557" customWidth="1"/>
    <col min="3343" max="3584" width="9.140625" style="557"/>
    <col min="3585" max="3585" width="30.42578125" style="557" customWidth="1"/>
    <col min="3586" max="3597" width="9.140625" style="557"/>
    <col min="3598" max="3598" width="14" style="557" customWidth="1"/>
    <col min="3599" max="3840" width="9.140625" style="557"/>
    <col min="3841" max="3841" width="30.42578125" style="557" customWidth="1"/>
    <col min="3842" max="3853" width="9.140625" style="557"/>
    <col min="3854" max="3854" width="14" style="557" customWidth="1"/>
    <col min="3855" max="4096" width="9.140625" style="557"/>
    <col min="4097" max="4097" width="30.42578125" style="557" customWidth="1"/>
    <col min="4098" max="4109" width="9.140625" style="557"/>
    <col min="4110" max="4110" width="14" style="557" customWidth="1"/>
    <col min="4111" max="4352" width="9.140625" style="557"/>
    <col min="4353" max="4353" width="30.42578125" style="557" customWidth="1"/>
    <col min="4354" max="4365" width="9.140625" style="557"/>
    <col min="4366" max="4366" width="14" style="557" customWidth="1"/>
    <col min="4367" max="4608" width="9.140625" style="557"/>
    <col min="4609" max="4609" width="30.42578125" style="557" customWidth="1"/>
    <col min="4610" max="4621" width="9.140625" style="557"/>
    <col min="4622" max="4622" width="14" style="557" customWidth="1"/>
    <col min="4623" max="4864" width="9.140625" style="557"/>
    <col min="4865" max="4865" width="30.42578125" style="557" customWidth="1"/>
    <col min="4866" max="4877" width="9.140625" style="557"/>
    <col min="4878" max="4878" width="14" style="557" customWidth="1"/>
    <col min="4879" max="5120" width="9.140625" style="557"/>
    <col min="5121" max="5121" width="30.42578125" style="557" customWidth="1"/>
    <col min="5122" max="5133" width="9.140625" style="557"/>
    <col min="5134" max="5134" width="14" style="557" customWidth="1"/>
    <col min="5135" max="5376" width="9.140625" style="557"/>
    <col min="5377" max="5377" width="30.42578125" style="557" customWidth="1"/>
    <col min="5378" max="5389" width="9.140625" style="557"/>
    <col min="5390" max="5390" width="14" style="557" customWidth="1"/>
    <col min="5391" max="5632" width="9.140625" style="557"/>
    <col min="5633" max="5633" width="30.42578125" style="557" customWidth="1"/>
    <col min="5634" max="5645" width="9.140625" style="557"/>
    <col min="5646" max="5646" width="14" style="557" customWidth="1"/>
    <col min="5647" max="5888" width="9.140625" style="557"/>
    <col min="5889" max="5889" width="30.42578125" style="557" customWidth="1"/>
    <col min="5890" max="5901" width="9.140625" style="557"/>
    <col min="5902" max="5902" width="14" style="557" customWidth="1"/>
    <col min="5903" max="6144" width="9.140625" style="557"/>
    <col min="6145" max="6145" width="30.42578125" style="557" customWidth="1"/>
    <col min="6146" max="6157" width="9.140625" style="557"/>
    <col min="6158" max="6158" width="14" style="557" customWidth="1"/>
    <col min="6159" max="6400" width="9.140625" style="557"/>
    <col min="6401" max="6401" width="30.42578125" style="557" customWidth="1"/>
    <col min="6402" max="6413" width="9.140625" style="557"/>
    <col min="6414" max="6414" width="14" style="557" customWidth="1"/>
    <col min="6415" max="6656" width="9.140625" style="557"/>
    <col min="6657" max="6657" width="30.42578125" style="557" customWidth="1"/>
    <col min="6658" max="6669" width="9.140625" style="557"/>
    <col min="6670" max="6670" width="14" style="557" customWidth="1"/>
    <col min="6671" max="6912" width="9.140625" style="557"/>
    <col min="6913" max="6913" width="30.42578125" style="557" customWidth="1"/>
    <col min="6914" max="6925" width="9.140625" style="557"/>
    <col min="6926" max="6926" width="14" style="557" customWidth="1"/>
    <col min="6927" max="7168" width="9.140625" style="557"/>
    <col min="7169" max="7169" width="30.42578125" style="557" customWidth="1"/>
    <col min="7170" max="7181" width="9.140625" style="557"/>
    <col min="7182" max="7182" width="14" style="557" customWidth="1"/>
    <col min="7183" max="7424" width="9.140625" style="557"/>
    <col min="7425" max="7425" width="30.42578125" style="557" customWidth="1"/>
    <col min="7426" max="7437" width="9.140625" style="557"/>
    <col min="7438" max="7438" width="14" style="557" customWidth="1"/>
    <col min="7439" max="7680" width="9.140625" style="557"/>
    <col min="7681" max="7681" width="30.42578125" style="557" customWidth="1"/>
    <col min="7682" max="7693" width="9.140625" style="557"/>
    <col min="7694" max="7694" width="14" style="557" customWidth="1"/>
    <col min="7695" max="7936" width="9.140625" style="557"/>
    <col min="7937" max="7937" width="30.42578125" style="557" customWidth="1"/>
    <col min="7938" max="7949" width="9.140625" style="557"/>
    <col min="7950" max="7950" width="14" style="557" customWidth="1"/>
    <col min="7951" max="8192" width="9.140625" style="557"/>
    <col min="8193" max="8193" width="30.42578125" style="557" customWidth="1"/>
    <col min="8194" max="8205" width="9.140625" style="557"/>
    <col min="8206" max="8206" width="14" style="557" customWidth="1"/>
    <col min="8207" max="8448" width="9.140625" style="557"/>
    <col min="8449" max="8449" width="30.42578125" style="557" customWidth="1"/>
    <col min="8450" max="8461" width="9.140625" style="557"/>
    <col min="8462" max="8462" width="14" style="557" customWidth="1"/>
    <col min="8463" max="8704" width="9.140625" style="557"/>
    <col min="8705" max="8705" width="30.42578125" style="557" customWidth="1"/>
    <col min="8706" max="8717" width="9.140625" style="557"/>
    <col min="8718" max="8718" width="14" style="557" customWidth="1"/>
    <col min="8719" max="8960" width="9.140625" style="557"/>
    <col min="8961" max="8961" width="30.42578125" style="557" customWidth="1"/>
    <col min="8962" max="8973" width="9.140625" style="557"/>
    <col min="8974" max="8974" width="14" style="557" customWidth="1"/>
    <col min="8975" max="9216" width="9.140625" style="557"/>
    <col min="9217" max="9217" width="30.42578125" style="557" customWidth="1"/>
    <col min="9218" max="9229" width="9.140625" style="557"/>
    <col min="9230" max="9230" width="14" style="557" customWidth="1"/>
    <col min="9231" max="9472" width="9.140625" style="557"/>
    <col min="9473" max="9473" width="30.42578125" style="557" customWidth="1"/>
    <col min="9474" max="9485" width="9.140625" style="557"/>
    <col min="9486" max="9486" width="14" style="557" customWidth="1"/>
    <col min="9487" max="9728" width="9.140625" style="557"/>
    <col min="9729" max="9729" width="30.42578125" style="557" customWidth="1"/>
    <col min="9730" max="9741" width="9.140625" style="557"/>
    <col min="9742" max="9742" width="14" style="557" customWidth="1"/>
    <col min="9743" max="9984" width="9.140625" style="557"/>
    <col min="9985" max="9985" width="30.42578125" style="557" customWidth="1"/>
    <col min="9986" max="9997" width="9.140625" style="557"/>
    <col min="9998" max="9998" width="14" style="557" customWidth="1"/>
    <col min="9999" max="10240" width="9.140625" style="557"/>
    <col min="10241" max="10241" width="30.42578125" style="557" customWidth="1"/>
    <col min="10242" max="10253" width="9.140625" style="557"/>
    <col min="10254" max="10254" width="14" style="557" customWidth="1"/>
    <col min="10255" max="10496" width="9.140625" style="557"/>
    <col min="10497" max="10497" width="30.42578125" style="557" customWidth="1"/>
    <col min="10498" max="10509" width="9.140625" style="557"/>
    <col min="10510" max="10510" width="14" style="557" customWidth="1"/>
    <col min="10511" max="10752" width="9.140625" style="557"/>
    <col min="10753" max="10753" width="30.42578125" style="557" customWidth="1"/>
    <col min="10754" max="10765" width="9.140625" style="557"/>
    <col min="10766" max="10766" width="14" style="557" customWidth="1"/>
    <col min="10767" max="11008" width="9.140625" style="557"/>
    <col min="11009" max="11009" width="30.42578125" style="557" customWidth="1"/>
    <col min="11010" max="11021" width="9.140625" style="557"/>
    <col min="11022" max="11022" width="14" style="557" customWidth="1"/>
    <col min="11023" max="11264" width="9.140625" style="557"/>
    <col min="11265" max="11265" width="30.42578125" style="557" customWidth="1"/>
    <col min="11266" max="11277" width="9.140625" style="557"/>
    <col min="11278" max="11278" width="14" style="557" customWidth="1"/>
    <col min="11279" max="11520" width="9.140625" style="557"/>
    <col min="11521" max="11521" width="30.42578125" style="557" customWidth="1"/>
    <col min="11522" max="11533" width="9.140625" style="557"/>
    <col min="11534" max="11534" width="14" style="557" customWidth="1"/>
    <col min="11535" max="11776" width="9.140625" style="557"/>
    <col min="11777" max="11777" width="30.42578125" style="557" customWidth="1"/>
    <col min="11778" max="11789" width="9.140625" style="557"/>
    <col min="11790" max="11790" width="14" style="557" customWidth="1"/>
    <col min="11791" max="12032" width="9.140625" style="557"/>
    <col min="12033" max="12033" width="30.42578125" style="557" customWidth="1"/>
    <col min="12034" max="12045" width="9.140625" style="557"/>
    <col min="12046" max="12046" width="14" style="557" customWidth="1"/>
    <col min="12047" max="12288" width="9.140625" style="557"/>
    <col min="12289" max="12289" width="30.42578125" style="557" customWidth="1"/>
    <col min="12290" max="12301" width="9.140625" style="557"/>
    <col min="12302" max="12302" width="14" style="557" customWidth="1"/>
    <col min="12303" max="12544" width="9.140625" style="557"/>
    <col min="12545" max="12545" width="30.42578125" style="557" customWidth="1"/>
    <col min="12546" max="12557" width="9.140625" style="557"/>
    <col min="12558" max="12558" width="14" style="557" customWidth="1"/>
    <col min="12559" max="12800" width="9.140625" style="557"/>
    <col min="12801" max="12801" width="30.42578125" style="557" customWidth="1"/>
    <col min="12802" max="12813" width="9.140625" style="557"/>
    <col min="12814" max="12814" width="14" style="557" customWidth="1"/>
    <col min="12815" max="13056" width="9.140625" style="557"/>
    <col min="13057" max="13057" width="30.42578125" style="557" customWidth="1"/>
    <col min="13058" max="13069" width="9.140625" style="557"/>
    <col min="13070" max="13070" width="14" style="557" customWidth="1"/>
    <col min="13071" max="13312" width="9.140625" style="557"/>
    <col min="13313" max="13313" width="30.42578125" style="557" customWidth="1"/>
    <col min="13314" max="13325" width="9.140625" style="557"/>
    <col min="13326" max="13326" width="14" style="557" customWidth="1"/>
    <col min="13327" max="13568" width="9.140625" style="557"/>
    <col min="13569" max="13569" width="30.42578125" style="557" customWidth="1"/>
    <col min="13570" max="13581" width="9.140625" style="557"/>
    <col min="13582" max="13582" width="14" style="557" customWidth="1"/>
    <col min="13583" max="13824" width="9.140625" style="557"/>
    <col min="13825" max="13825" width="30.42578125" style="557" customWidth="1"/>
    <col min="13826" max="13837" width="9.140625" style="557"/>
    <col min="13838" max="13838" width="14" style="557" customWidth="1"/>
    <col min="13839" max="14080" width="9.140625" style="557"/>
    <col min="14081" max="14081" width="30.42578125" style="557" customWidth="1"/>
    <col min="14082" max="14093" width="9.140625" style="557"/>
    <col min="14094" max="14094" width="14" style="557" customWidth="1"/>
    <col min="14095" max="14336" width="9.140625" style="557"/>
    <col min="14337" max="14337" width="30.42578125" style="557" customWidth="1"/>
    <col min="14338" max="14349" width="9.140625" style="557"/>
    <col min="14350" max="14350" width="14" style="557" customWidth="1"/>
    <col min="14351" max="14592" width="9.140625" style="557"/>
    <col min="14593" max="14593" width="30.42578125" style="557" customWidth="1"/>
    <col min="14594" max="14605" width="9.140625" style="557"/>
    <col min="14606" max="14606" width="14" style="557" customWidth="1"/>
    <col min="14607" max="14848" width="9.140625" style="557"/>
    <col min="14849" max="14849" width="30.42578125" style="557" customWidth="1"/>
    <col min="14850" max="14861" width="9.140625" style="557"/>
    <col min="14862" max="14862" width="14" style="557" customWidth="1"/>
    <col min="14863" max="15104" width="9.140625" style="557"/>
    <col min="15105" max="15105" width="30.42578125" style="557" customWidth="1"/>
    <col min="15106" max="15117" width="9.140625" style="557"/>
    <col min="15118" max="15118" width="14" style="557" customWidth="1"/>
    <col min="15119" max="15360" width="9.140625" style="557"/>
    <col min="15361" max="15361" width="30.42578125" style="557" customWidth="1"/>
    <col min="15362" max="15373" width="9.140625" style="557"/>
    <col min="15374" max="15374" width="14" style="557" customWidth="1"/>
    <col min="15375" max="15616" width="9.140625" style="557"/>
    <col min="15617" max="15617" width="30.42578125" style="557" customWidth="1"/>
    <col min="15618" max="15629" width="9.140625" style="557"/>
    <col min="15630" max="15630" width="14" style="557" customWidth="1"/>
    <col min="15631" max="15872" width="9.140625" style="557"/>
    <col min="15873" max="15873" width="30.42578125" style="557" customWidth="1"/>
    <col min="15874" max="15885" width="9.140625" style="557"/>
    <col min="15886" max="15886" width="14" style="557" customWidth="1"/>
    <col min="15887" max="16128" width="9.140625" style="557"/>
    <col min="16129" max="16129" width="30.42578125" style="557" customWidth="1"/>
    <col min="16130" max="16141" width="9.140625" style="557"/>
    <col min="16142" max="16142" width="14" style="557" customWidth="1"/>
    <col min="16143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393" t="s">
        <v>2115</v>
      </c>
      <c r="C3" s="1394"/>
      <c r="D3" s="1394"/>
      <c r="E3" s="1395"/>
      <c r="F3" s="558" t="s">
        <v>171</v>
      </c>
      <c r="H3" s="1190" t="s">
        <v>2116</v>
      </c>
      <c r="I3" s="1190"/>
      <c r="J3" s="558" t="s">
        <v>172</v>
      </c>
      <c r="K3" s="559">
        <v>719.26499999999999</v>
      </c>
      <c r="L3" s="558" t="s">
        <v>436</v>
      </c>
      <c r="N3" s="610">
        <v>80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375" t="s">
        <v>2117</v>
      </c>
      <c r="C5" s="1376"/>
      <c r="D5" s="1376"/>
      <c r="E5" s="1377"/>
      <c r="F5" s="558" t="s">
        <v>176</v>
      </c>
      <c r="H5" s="1375" t="s">
        <v>2118</v>
      </c>
      <c r="I5" s="1376"/>
      <c r="J5" s="1377"/>
    </row>
    <row r="7" spans="1:14" ht="13.5">
      <c r="A7" s="558" t="s">
        <v>178</v>
      </c>
      <c r="B7" s="1375" t="s">
        <v>2119</v>
      </c>
      <c r="C7" s="1376"/>
      <c r="D7" s="1376"/>
      <c r="E7" s="1377"/>
      <c r="F7" s="1197" t="s">
        <v>1696</v>
      </c>
      <c r="G7" s="1197"/>
      <c r="H7" s="1358" t="s">
        <v>2120</v>
      </c>
      <c r="I7" s="1359"/>
      <c r="J7" s="1359"/>
      <c r="K7" s="1360"/>
    </row>
    <row r="8" spans="1:14">
      <c r="F8" s="1197"/>
      <c r="G8" s="1197"/>
      <c r="H8" s="1361"/>
      <c r="I8" s="1362"/>
      <c r="J8" s="1362"/>
      <c r="K8" s="1363"/>
    </row>
    <row r="10" spans="1:14" s="561" customFormat="1">
      <c r="A10" s="560" t="s">
        <v>1697</v>
      </c>
      <c r="B10" s="1364" t="s">
        <v>2121</v>
      </c>
      <c r="C10" s="1364"/>
      <c r="D10" s="1364" t="s">
        <v>2122</v>
      </c>
      <c r="E10" s="1364"/>
      <c r="F10" s="1364"/>
      <c r="G10" s="1364" t="s">
        <v>2123</v>
      </c>
      <c r="H10" s="1364"/>
      <c r="I10" s="1364"/>
      <c r="J10" s="1364" t="s">
        <v>2124</v>
      </c>
      <c r="K10" s="1364"/>
      <c r="L10" s="1364"/>
      <c r="M10" s="1364"/>
      <c r="N10" s="600" t="s">
        <v>2125</v>
      </c>
    </row>
    <row r="11" spans="1:14" s="561" customFormat="1">
      <c r="A11" s="560" t="s">
        <v>1702</v>
      </c>
      <c r="B11" s="1365" t="s">
        <v>2126</v>
      </c>
      <c r="C11" s="1365"/>
      <c r="D11" s="1365" t="s">
        <v>2127</v>
      </c>
      <c r="E11" s="1365"/>
      <c r="F11" s="1365"/>
      <c r="G11" s="1365" t="s">
        <v>2128</v>
      </c>
      <c r="H11" s="1365"/>
      <c r="I11" s="1365"/>
      <c r="J11" s="1365" t="s">
        <v>2129</v>
      </c>
      <c r="K11" s="1365"/>
      <c r="L11" s="1365"/>
      <c r="M11" s="1365"/>
      <c r="N11" s="600" t="s">
        <v>2130</v>
      </c>
    </row>
    <row r="12" spans="1:14" s="561" customFormat="1">
      <c r="A12" s="560" t="s">
        <v>1707</v>
      </c>
      <c r="B12" s="1365" t="s">
        <v>2131</v>
      </c>
      <c r="C12" s="1365"/>
      <c r="D12" s="1365" t="s">
        <v>2132</v>
      </c>
      <c r="E12" s="1365"/>
      <c r="F12" s="1365"/>
      <c r="G12" s="1365" t="s">
        <v>2133</v>
      </c>
      <c r="H12" s="1365"/>
      <c r="I12" s="1365"/>
      <c r="J12" s="1365" t="s">
        <v>2134</v>
      </c>
      <c r="K12" s="1365"/>
      <c r="L12" s="1365"/>
      <c r="M12" s="1365"/>
      <c r="N12" s="600" t="s">
        <v>2135</v>
      </c>
    </row>
    <row r="13" spans="1:14" s="561" customFormat="1">
      <c r="A13" s="560" t="s">
        <v>197</v>
      </c>
      <c r="B13" s="1365" t="s">
        <v>2136</v>
      </c>
      <c r="C13" s="1365"/>
      <c r="D13" s="1365" t="s">
        <v>2137</v>
      </c>
      <c r="E13" s="1365"/>
      <c r="F13" s="1365"/>
      <c r="G13" s="1365" t="s">
        <v>2138</v>
      </c>
      <c r="H13" s="1365"/>
      <c r="I13" s="1365"/>
      <c r="J13" s="1365" t="s">
        <v>2139</v>
      </c>
      <c r="K13" s="1365"/>
      <c r="L13" s="1365"/>
      <c r="M13" s="1365"/>
      <c r="N13" s="600" t="s">
        <v>2140</v>
      </c>
    </row>
    <row r="14" spans="1:14" s="561" customFormat="1">
      <c r="A14" s="562"/>
    </row>
    <row r="15" spans="1:14" s="561" customFormat="1">
      <c r="A15" s="562" t="s">
        <v>1356</v>
      </c>
      <c r="B15" s="602">
        <v>5</v>
      </c>
      <c r="C15" s="1203" t="s">
        <v>1490</v>
      </c>
      <c r="D15" s="1197"/>
      <c r="E15" s="1197"/>
      <c r="F15" s="602">
        <v>5</v>
      </c>
      <c r="G15" s="562" t="s">
        <v>1712</v>
      </c>
      <c r="H15" s="602">
        <v>13</v>
      </c>
      <c r="I15" s="562" t="s">
        <v>1492</v>
      </c>
      <c r="J15" s="602">
        <v>1</v>
      </c>
      <c r="K15" s="562" t="s">
        <v>1386</v>
      </c>
      <c r="L15" s="602">
        <v>13</v>
      </c>
    </row>
    <row r="16" spans="1:14" s="561" customFormat="1">
      <c r="A16" s="562"/>
    </row>
    <row r="17" spans="1:14" s="562" customFormat="1">
      <c r="A17" s="562" t="s">
        <v>203</v>
      </c>
      <c r="B17" s="562" t="s">
        <v>204</v>
      </c>
      <c r="C17" s="564">
        <v>140</v>
      </c>
      <c r="D17" s="562" t="s">
        <v>205</v>
      </c>
      <c r="E17" s="564">
        <v>12</v>
      </c>
      <c r="F17" s="562" t="s">
        <v>206</v>
      </c>
      <c r="G17" s="564">
        <v>10</v>
      </c>
      <c r="H17" s="562" t="s">
        <v>230</v>
      </c>
      <c r="I17" s="564">
        <v>162</v>
      </c>
      <c r="J17" s="562" t="s">
        <v>207</v>
      </c>
      <c r="K17" s="564">
        <v>18</v>
      </c>
      <c r="L17" s="1203" t="s">
        <v>1360</v>
      </c>
      <c r="M17" s="1204"/>
      <c r="N17" s="560"/>
    </row>
    <row r="18" spans="1:14" s="562" customFormat="1">
      <c r="A18" s="562" t="s">
        <v>209</v>
      </c>
      <c r="B18" s="562" t="s">
        <v>210</v>
      </c>
      <c r="C18" s="564">
        <v>382</v>
      </c>
      <c r="D18" s="562" t="s">
        <v>211</v>
      </c>
      <c r="E18" s="564">
        <v>34</v>
      </c>
      <c r="F18" s="562" t="s">
        <v>212</v>
      </c>
      <c r="G18" s="564">
        <v>49</v>
      </c>
      <c r="H18" s="562" t="s">
        <v>411</v>
      </c>
      <c r="I18" s="564">
        <v>465</v>
      </c>
    </row>
    <row r="19" spans="1:14" s="562" customFormat="1" ht="25.5">
      <c r="B19" s="562" t="s">
        <v>213</v>
      </c>
      <c r="C19" s="564">
        <v>362</v>
      </c>
      <c r="D19" s="562" t="s">
        <v>214</v>
      </c>
      <c r="E19" s="564">
        <v>39</v>
      </c>
      <c r="F19" s="562" t="s">
        <v>215</v>
      </c>
      <c r="G19" s="564">
        <v>32</v>
      </c>
      <c r="H19" s="562" t="s">
        <v>410</v>
      </c>
      <c r="I19" s="564">
        <v>433</v>
      </c>
    </row>
    <row r="20" spans="1:14" s="562" customFormat="1"/>
    <row r="21" spans="1:14" s="561" customFormat="1">
      <c r="A21" s="567" t="s">
        <v>216</v>
      </c>
    </row>
    <row r="22" spans="1:14" s="561" customFormat="1">
      <c r="A22" s="562"/>
    </row>
    <row r="23" spans="1:14" s="561" customForma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14" s="561" customFormat="1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14" s="561" customFormat="1">
      <c r="A25" s="560" t="s">
        <v>232</v>
      </c>
      <c r="B25" s="564">
        <v>8000</v>
      </c>
      <c r="C25" s="560" t="s">
        <v>233</v>
      </c>
      <c r="D25" s="570">
        <v>57.541200000000003</v>
      </c>
      <c r="E25" s="570">
        <v>23.536000000000001</v>
      </c>
      <c r="F25" s="620">
        <v>0</v>
      </c>
      <c r="G25" s="620">
        <v>0</v>
      </c>
      <c r="H25" s="570">
        <v>0.26562000000000002</v>
      </c>
      <c r="I25" s="570">
        <v>6.8390399999999998</v>
      </c>
      <c r="J25" s="620">
        <v>0</v>
      </c>
      <c r="K25" s="620">
        <v>0</v>
      </c>
      <c r="L25" s="620">
        <v>0</v>
      </c>
      <c r="M25" s="570">
        <v>7.10466</v>
      </c>
      <c r="N25" s="570">
        <v>30.186352821210061</v>
      </c>
    </row>
    <row r="26" spans="1:14" s="561" customFormat="1">
      <c r="A26" s="560" t="s">
        <v>1715</v>
      </c>
      <c r="B26" s="564">
        <v>7000</v>
      </c>
      <c r="C26" s="560" t="s">
        <v>233</v>
      </c>
      <c r="D26" s="570">
        <v>4.1717370000000003</v>
      </c>
      <c r="E26" s="570">
        <v>0</v>
      </c>
      <c r="F26" s="620">
        <v>0</v>
      </c>
      <c r="G26" s="620">
        <v>0</v>
      </c>
      <c r="H26" s="570">
        <v>0</v>
      </c>
      <c r="I26" s="570">
        <v>0</v>
      </c>
      <c r="J26" s="620">
        <v>0</v>
      </c>
      <c r="K26" s="620">
        <v>0</v>
      </c>
      <c r="L26" s="620">
        <v>0</v>
      </c>
      <c r="M26" s="570">
        <v>0</v>
      </c>
      <c r="N26" s="570">
        <v>0</v>
      </c>
    </row>
    <row r="27" spans="1:14" s="561" customFormat="1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0.18</v>
      </c>
      <c r="F27" s="620">
        <v>0</v>
      </c>
      <c r="G27" s="620">
        <v>0</v>
      </c>
      <c r="H27" s="570">
        <v>0</v>
      </c>
      <c r="I27" s="570">
        <v>0.18</v>
      </c>
      <c r="J27" s="620">
        <v>0</v>
      </c>
      <c r="K27" s="620">
        <v>0</v>
      </c>
      <c r="L27" s="620">
        <v>0</v>
      </c>
      <c r="M27" s="570">
        <v>0.18</v>
      </c>
      <c r="N27" s="570">
        <v>100</v>
      </c>
    </row>
    <row r="28" spans="1:14" s="561" customFormat="1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0.16</v>
      </c>
      <c r="F28" s="620">
        <v>0</v>
      </c>
      <c r="G28" s="620">
        <v>0</v>
      </c>
      <c r="H28" s="570">
        <v>0.16</v>
      </c>
      <c r="I28" s="570">
        <v>0</v>
      </c>
      <c r="J28" s="620">
        <v>0</v>
      </c>
      <c r="K28" s="620">
        <v>0</v>
      </c>
      <c r="L28" s="620">
        <v>0</v>
      </c>
      <c r="M28" s="570">
        <v>0.16</v>
      </c>
      <c r="N28" s="570">
        <v>100</v>
      </c>
    </row>
    <row r="29" spans="1:14" s="561" customFormat="1">
      <c r="A29" s="560" t="s">
        <v>238</v>
      </c>
      <c r="B29" s="564">
        <v>1200</v>
      </c>
      <c r="C29" s="560" t="s">
        <v>233</v>
      </c>
      <c r="D29" s="570">
        <v>8.6311800000000005</v>
      </c>
      <c r="E29" s="570">
        <v>2</v>
      </c>
      <c r="F29" s="620">
        <v>0</v>
      </c>
      <c r="G29" s="620">
        <v>0</v>
      </c>
      <c r="H29" s="570">
        <v>0</v>
      </c>
      <c r="I29" s="570">
        <v>0.495</v>
      </c>
      <c r="J29" s="620">
        <v>0</v>
      </c>
      <c r="K29" s="620">
        <v>0</v>
      </c>
      <c r="L29" s="620">
        <v>0</v>
      </c>
      <c r="M29" s="570">
        <v>0.495</v>
      </c>
      <c r="N29" s="570">
        <v>24.75</v>
      </c>
    </row>
    <row r="30" spans="1:14" s="561" customFormat="1">
      <c r="A30" s="560" t="s">
        <v>667</v>
      </c>
      <c r="B30" s="564">
        <v>565</v>
      </c>
      <c r="C30" s="560" t="s">
        <v>233</v>
      </c>
      <c r="D30" s="570">
        <v>4.0638472499999994</v>
      </c>
      <c r="E30" s="570">
        <v>3.9559600000000001</v>
      </c>
      <c r="F30" s="620">
        <v>0</v>
      </c>
      <c r="G30" s="620">
        <v>0</v>
      </c>
      <c r="H30" s="570">
        <v>3.9559600000000001</v>
      </c>
      <c r="I30" s="570">
        <v>0</v>
      </c>
      <c r="J30" s="620">
        <v>0</v>
      </c>
      <c r="K30" s="620">
        <v>0</v>
      </c>
      <c r="L30" s="620">
        <v>0</v>
      </c>
      <c r="M30" s="570">
        <v>3.9559600000000001</v>
      </c>
      <c r="N30" s="570">
        <v>100</v>
      </c>
    </row>
    <row r="31" spans="1:14" s="561" customFormat="1">
      <c r="A31" s="560" t="s">
        <v>240</v>
      </c>
      <c r="B31" s="564">
        <v>1000</v>
      </c>
      <c r="C31" s="560" t="s">
        <v>233</v>
      </c>
      <c r="D31" s="570">
        <v>7.1926500000000004</v>
      </c>
      <c r="E31" s="570">
        <v>0</v>
      </c>
      <c r="F31" s="620">
        <v>0</v>
      </c>
      <c r="G31" s="620">
        <v>0</v>
      </c>
      <c r="H31" s="570">
        <v>0</v>
      </c>
      <c r="I31" s="570">
        <v>0</v>
      </c>
      <c r="J31" s="620">
        <v>0</v>
      </c>
      <c r="K31" s="620">
        <v>0</v>
      </c>
      <c r="L31" s="620">
        <v>0</v>
      </c>
      <c r="M31" s="570">
        <v>0</v>
      </c>
      <c r="N31" s="570">
        <v>0</v>
      </c>
    </row>
    <row r="32" spans="1:14" s="561" customFormat="1">
      <c r="A32" s="560" t="s">
        <v>394</v>
      </c>
      <c r="B32" s="564">
        <v>2750</v>
      </c>
      <c r="C32" s="560" t="s">
        <v>1716</v>
      </c>
      <c r="D32" s="570">
        <v>2.1</v>
      </c>
      <c r="E32" s="570">
        <v>0.44000000000000006</v>
      </c>
      <c r="F32" s="620">
        <v>0</v>
      </c>
      <c r="G32" s="620">
        <v>0</v>
      </c>
      <c r="H32" s="570">
        <v>3.3000000000000002E-2</v>
      </c>
      <c r="I32" s="570">
        <v>0.247</v>
      </c>
      <c r="J32" s="620">
        <v>0</v>
      </c>
      <c r="K32" s="620">
        <v>0</v>
      </c>
      <c r="L32" s="620">
        <v>0</v>
      </c>
      <c r="M32" s="570">
        <v>0.28000000000000003</v>
      </c>
      <c r="N32" s="570">
        <v>63.636363636363633</v>
      </c>
    </row>
    <row r="33" spans="1:14" s="561" customFormat="1">
      <c r="A33" s="560" t="s">
        <v>1717</v>
      </c>
      <c r="B33" s="564">
        <v>10000</v>
      </c>
      <c r="C33" s="560" t="s">
        <v>244</v>
      </c>
      <c r="D33" s="570">
        <v>0.1</v>
      </c>
      <c r="E33" s="570">
        <v>0.1</v>
      </c>
      <c r="F33" s="620">
        <v>0</v>
      </c>
      <c r="G33" s="620">
        <v>0</v>
      </c>
      <c r="H33" s="570">
        <v>0.1</v>
      </c>
      <c r="I33" s="570">
        <v>0</v>
      </c>
      <c r="J33" s="620">
        <v>0</v>
      </c>
      <c r="K33" s="620">
        <v>0</v>
      </c>
      <c r="L33" s="620">
        <v>0</v>
      </c>
      <c r="M33" s="570">
        <v>0.1</v>
      </c>
      <c r="N33" s="570">
        <v>100</v>
      </c>
    </row>
    <row r="34" spans="1:14" s="608" customFormat="1">
      <c r="A34" s="572" t="s">
        <v>230</v>
      </c>
      <c r="B34" s="572"/>
      <c r="C34" s="572"/>
      <c r="D34" s="573">
        <v>84.570614249999991</v>
      </c>
      <c r="E34" s="573">
        <v>30.371960000000005</v>
      </c>
      <c r="F34" s="573">
        <v>0</v>
      </c>
      <c r="G34" s="573">
        <v>0</v>
      </c>
      <c r="H34" s="573">
        <v>4.5145800000000005</v>
      </c>
      <c r="I34" s="573">
        <v>7.7610399999999995</v>
      </c>
      <c r="J34" s="573">
        <v>0</v>
      </c>
      <c r="K34" s="573">
        <v>0</v>
      </c>
      <c r="L34" s="573">
        <v>0</v>
      </c>
      <c r="M34" s="573">
        <v>12.27562</v>
      </c>
      <c r="N34" s="573"/>
    </row>
    <row r="35" spans="1:14" s="561" customFormat="1">
      <c r="A35" s="562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78" orientation="landscape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" width="7.5703125" style="557" customWidth="1"/>
    <col min="3" max="3" width="9.140625" style="557"/>
    <col min="4" max="4" width="7.7109375" style="557" customWidth="1"/>
    <col min="5" max="5" width="9.140625" style="557"/>
    <col min="6" max="6" width="10.140625" style="557" customWidth="1"/>
    <col min="7" max="256" width="9.140625" style="557"/>
    <col min="257" max="257" width="24.140625" style="557" customWidth="1"/>
    <col min="258" max="258" width="7.5703125" style="557" customWidth="1"/>
    <col min="259" max="259" width="9.140625" style="557"/>
    <col min="260" max="260" width="7.7109375" style="557" customWidth="1"/>
    <col min="261" max="261" width="9.140625" style="557"/>
    <col min="262" max="262" width="10.140625" style="557" customWidth="1"/>
    <col min="263" max="512" width="9.140625" style="557"/>
    <col min="513" max="513" width="24.140625" style="557" customWidth="1"/>
    <col min="514" max="514" width="7.5703125" style="557" customWidth="1"/>
    <col min="515" max="515" width="9.140625" style="557"/>
    <col min="516" max="516" width="7.7109375" style="557" customWidth="1"/>
    <col min="517" max="517" width="9.140625" style="557"/>
    <col min="518" max="518" width="10.140625" style="557" customWidth="1"/>
    <col min="519" max="768" width="9.140625" style="557"/>
    <col min="769" max="769" width="24.140625" style="557" customWidth="1"/>
    <col min="770" max="770" width="7.5703125" style="557" customWidth="1"/>
    <col min="771" max="771" width="9.140625" style="557"/>
    <col min="772" max="772" width="7.7109375" style="557" customWidth="1"/>
    <col min="773" max="773" width="9.140625" style="557"/>
    <col min="774" max="774" width="10.140625" style="557" customWidth="1"/>
    <col min="775" max="1024" width="9.140625" style="557"/>
    <col min="1025" max="1025" width="24.140625" style="557" customWidth="1"/>
    <col min="1026" max="1026" width="7.5703125" style="557" customWidth="1"/>
    <col min="1027" max="1027" width="9.140625" style="557"/>
    <col min="1028" max="1028" width="7.7109375" style="557" customWidth="1"/>
    <col min="1029" max="1029" width="9.140625" style="557"/>
    <col min="1030" max="1030" width="10.140625" style="557" customWidth="1"/>
    <col min="1031" max="1280" width="9.140625" style="557"/>
    <col min="1281" max="1281" width="24.140625" style="557" customWidth="1"/>
    <col min="1282" max="1282" width="7.5703125" style="557" customWidth="1"/>
    <col min="1283" max="1283" width="9.140625" style="557"/>
    <col min="1284" max="1284" width="7.7109375" style="557" customWidth="1"/>
    <col min="1285" max="1285" width="9.140625" style="557"/>
    <col min="1286" max="1286" width="10.140625" style="557" customWidth="1"/>
    <col min="1287" max="1536" width="9.140625" style="557"/>
    <col min="1537" max="1537" width="24.140625" style="557" customWidth="1"/>
    <col min="1538" max="1538" width="7.5703125" style="557" customWidth="1"/>
    <col min="1539" max="1539" width="9.140625" style="557"/>
    <col min="1540" max="1540" width="7.7109375" style="557" customWidth="1"/>
    <col min="1541" max="1541" width="9.140625" style="557"/>
    <col min="1542" max="1542" width="10.140625" style="557" customWidth="1"/>
    <col min="1543" max="1792" width="9.140625" style="557"/>
    <col min="1793" max="1793" width="24.140625" style="557" customWidth="1"/>
    <col min="1794" max="1794" width="7.5703125" style="557" customWidth="1"/>
    <col min="1795" max="1795" width="9.140625" style="557"/>
    <col min="1796" max="1796" width="7.7109375" style="557" customWidth="1"/>
    <col min="1797" max="1797" width="9.140625" style="557"/>
    <col min="1798" max="1798" width="10.140625" style="557" customWidth="1"/>
    <col min="1799" max="2048" width="9.140625" style="557"/>
    <col min="2049" max="2049" width="24.140625" style="557" customWidth="1"/>
    <col min="2050" max="2050" width="7.5703125" style="557" customWidth="1"/>
    <col min="2051" max="2051" width="9.140625" style="557"/>
    <col min="2052" max="2052" width="7.7109375" style="557" customWidth="1"/>
    <col min="2053" max="2053" width="9.140625" style="557"/>
    <col min="2054" max="2054" width="10.140625" style="557" customWidth="1"/>
    <col min="2055" max="2304" width="9.140625" style="557"/>
    <col min="2305" max="2305" width="24.140625" style="557" customWidth="1"/>
    <col min="2306" max="2306" width="7.5703125" style="557" customWidth="1"/>
    <col min="2307" max="2307" width="9.140625" style="557"/>
    <col min="2308" max="2308" width="7.7109375" style="557" customWidth="1"/>
    <col min="2309" max="2309" width="9.140625" style="557"/>
    <col min="2310" max="2310" width="10.140625" style="557" customWidth="1"/>
    <col min="2311" max="2560" width="9.140625" style="557"/>
    <col min="2561" max="2561" width="24.140625" style="557" customWidth="1"/>
    <col min="2562" max="2562" width="7.5703125" style="557" customWidth="1"/>
    <col min="2563" max="2563" width="9.140625" style="557"/>
    <col min="2564" max="2564" width="7.7109375" style="557" customWidth="1"/>
    <col min="2565" max="2565" width="9.140625" style="557"/>
    <col min="2566" max="2566" width="10.140625" style="557" customWidth="1"/>
    <col min="2567" max="2816" width="9.140625" style="557"/>
    <col min="2817" max="2817" width="24.140625" style="557" customWidth="1"/>
    <col min="2818" max="2818" width="7.5703125" style="557" customWidth="1"/>
    <col min="2819" max="2819" width="9.140625" style="557"/>
    <col min="2820" max="2820" width="7.7109375" style="557" customWidth="1"/>
    <col min="2821" max="2821" width="9.140625" style="557"/>
    <col min="2822" max="2822" width="10.140625" style="557" customWidth="1"/>
    <col min="2823" max="3072" width="9.140625" style="557"/>
    <col min="3073" max="3073" width="24.140625" style="557" customWidth="1"/>
    <col min="3074" max="3074" width="7.5703125" style="557" customWidth="1"/>
    <col min="3075" max="3075" width="9.140625" style="557"/>
    <col min="3076" max="3076" width="7.7109375" style="557" customWidth="1"/>
    <col min="3077" max="3077" width="9.140625" style="557"/>
    <col min="3078" max="3078" width="10.140625" style="557" customWidth="1"/>
    <col min="3079" max="3328" width="9.140625" style="557"/>
    <col min="3329" max="3329" width="24.140625" style="557" customWidth="1"/>
    <col min="3330" max="3330" width="7.5703125" style="557" customWidth="1"/>
    <col min="3331" max="3331" width="9.140625" style="557"/>
    <col min="3332" max="3332" width="7.7109375" style="557" customWidth="1"/>
    <col min="3333" max="3333" width="9.140625" style="557"/>
    <col min="3334" max="3334" width="10.140625" style="557" customWidth="1"/>
    <col min="3335" max="3584" width="9.140625" style="557"/>
    <col min="3585" max="3585" width="24.140625" style="557" customWidth="1"/>
    <col min="3586" max="3586" width="7.5703125" style="557" customWidth="1"/>
    <col min="3587" max="3587" width="9.140625" style="557"/>
    <col min="3588" max="3588" width="7.7109375" style="557" customWidth="1"/>
    <col min="3589" max="3589" width="9.140625" style="557"/>
    <col min="3590" max="3590" width="10.140625" style="557" customWidth="1"/>
    <col min="3591" max="3840" width="9.140625" style="557"/>
    <col min="3841" max="3841" width="24.140625" style="557" customWidth="1"/>
    <col min="3842" max="3842" width="7.5703125" style="557" customWidth="1"/>
    <col min="3843" max="3843" width="9.140625" style="557"/>
    <col min="3844" max="3844" width="7.7109375" style="557" customWidth="1"/>
    <col min="3845" max="3845" width="9.140625" style="557"/>
    <col min="3846" max="3846" width="10.140625" style="557" customWidth="1"/>
    <col min="3847" max="4096" width="9.140625" style="557"/>
    <col min="4097" max="4097" width="24.140625" style="557" customWidth="1"/>
    <col min="4098" max="4098" width="7.5703125" style="557" customWidth="1"/>
    <col min="4099" max="4099" width="9.140625" style="557"/>
    <col min="4100" max="4100" width="7.7109375" style="557" customWidth="1"/>
    <col min="4101" max="4101" width="9.140625" style="557"/>
    <col min="4102" max="4102" width="10.140625" style="557" customWidth="1"/>
    <col min="4103" max="4352" width="9.140625" style="557"/>
    <col min="4353" max="4353" width="24.140625" style="557" customWidth="1"/>
    <col min="4354" max="4354" width="7.5703125" style="557" customWidth="1"/>
    <col min="4355" max="4355" width="9.140625" style="557"/>
    <col min="4356" max="4356" width="7.7109375" style="557" customWidth="1"/>
    <col min="4357" max="4357" width="9.140625" style="557"/>
    <col min="4358" max="4358" width="10.140625" style="557" customWidth="1"/>
    <col min="4359" max="4608" width="9.140625" style="557"/>
    <col min="4609" max="4609" width="24.140625" style="557" customWidth="1"/>
    <col min="4610" max="4610" width="7.5703125" style="557" customWidth="1"/>
    <col min="4611" max="4611" width="9.140625" style="557"/>
    <col min="4612" max="4612" width="7.7109375" style="557" customWidth="1"/>
    <col min="4613" max="4613" width="9.140625" style="557"/>
    <col min="4614" max="4614" width="10.140625" style="557" customWidth="1"/>
    <col min="4615" max="4864" width="9.140625" style="557"/>
    <col min="4865" max="4865" width="24.140625" style="557" customWidth="1"/>
    <col min="4866" max="4866" width="7.5703125" style="557" customWidth="1"/>
    <col min="4867" max="4867" width="9.140625" style="557"/>
    <col min="4868" max="4868" width="7.7109375" style="557" customWidth="1"/>
    <col min="4869" max="4869" width="9.140625" style="557"/>
    <col min="4870" max="4870" width="10.140625" style="557" customWidth="1"/>
    <col min="4871" max="5120" width="9.140625" style="557"/>
    <col min="5121" max="5121" width="24.140625" style="557" customWidth="1"/>
    <col min="5122" max="5122" width="7.5703125" style="557" customWidth="1"/>
    <col min="5123" max="5123" width="9.140625" style="557"/>
    <col min="5124" max="5124" width="7.7109375" style="557" customWidth="1"/>
    <col min="5125" max="5125" width="9.140625" style="557"/>
    <col min="5126" max="5126" width="10.140625" style="557" customWidth="1"/>
    <col min="5127" max="5376" width="9.140625" style="557"/>
    <col min="5377" max="5377" width="24.140625" style="557" customWidth="1"/>
    <col min="5378" max="5378" width="7.5703125" style="557" customWidth="1"/>
    <col min="5379" max="5379" width="9.140625" style="557"/>
    <col min="5380" max="5380" width="7.7109375" style="557" customWidth="1"/>
    <col min="5381" max="5381" width="9.140625" style="557"/>
    <col min="5382" max="5382" width="10.140625" style="557" customWidth="1"/>
    <col min="5383" max="5632" width="9.140625" style="557"/>
    <col min="5633" max="5633" width="24.140625" style="557" customWidth="1"/>
    <col min="5634" max="5634" width="7.5703125" style="557" customWidth="1"/>
    <col min="5635" max="5635" width="9.140625" style="557"/>
    <col min="5636" max="5636" width="7.7109375" style="557" customWidth="1"/>
    <col min="5637" max="5637" width="9.140625" style="557"/>
    <col min="5638" max="5638" width="10.140625" style="557" customWidth="1"/>
    <col min="5639" max="5888" width="9.140625" style="557"/>
    <col min="5889" max="5889" width="24.140625" style="557" customWidth="1"/>
    <col min="5890" max="5890" width="7.5703125" style="557" customWidth="1"/>
    <col min="5891" max="5891" width="9.140625" style="557"/>
    <col min="5892" max="5892" width="7.7109375" style="557" customWidth="1"/>
    <col min="5893" max="5893" width="9.140625" style="557"/>
    <col min="5894" max="5894" width="10.140625" style="557" customWidth="1"/>
    <col min="5895" max="6144" width="9.140625" style="557"/>
    <col min="6145" max="6145" width="24.140625" style="557" customWidth="1"/>
    <col min="6146" max="6146" width="7.5703125" style="557" customWidth="1"/>
    <col min="6147" max="6147" width="9.140625" style="557"/>
    <col min="6148" max="6148" width="7.7109375" style="557" customWidth="1"/>
    <col min="6149" max="6149" width="9.140625" style="557"/>
    <col min="6150" max="6150" width="10.140625" style="557" customWidth="1"/>
    <col min="6151" max="6400" width="9.140625" style="557"/>
    <col min="6401" max="6401" width="24.140625" style="557" customWidth="1"/>
    <col min="6402" max="6402" width="7.5703125" style="557" customWidth="1"/>
    <col min="6403" max="6403" width="9.140625" style="557"/>
    <col min="6404" max="6404" width="7.7109375" style="557" customWidth="1"/>
    <col min="6405" max="6405" width="9.140625" style="557"/>
    <col min="6406" max="6406" width="10.140625" style="557" customWidth="1"/>
    <col min="6407" max="6656" width="9.140625" style="557"/>
    <col min="6657" max="6657" width="24.140625" style="557" customWidth="1"/>
    <col min="6658" max="6658" width="7.5703125" style="557" customWidth="1"/>
    <col min="6659" max="6659" width="9.140625" style="557"/>
    <col min="6660" max="6660" width="7.7109375" style="557" customWidth="1"/>
    <col min="6661" max="6661" width="9.140625" style="557"/>
    <col min="6662" max="6662" width="10.140625" style="557" customWidth="1"/>
    <col min="6663" max="6912" width="9.140625" style="557"/>
    <col min="6913" max="6913" width="24.140625" style="557" customWidth="1"/>
    <col min="6914" max="6914" width="7.5703125" style="557" customWidth="1"/>
    <col min="6915" max="6915" width="9.140625" style="557"/>
    <col min="6916" max="6916" width="7.7109375" style="557" customWidth="1"/>
    <col min="6917" max="6917" width="9.140625" style="557"/>
    <col min="6918" max="6918" width="10.140625" style="557" customWidth="1"/>
    <col min="6919" max="7168" width="9.140625" style="557"/>
    <col min="7169" max="7169" width="24.140625" style="557" customWidth="1"/>
    <col min="7170" max="7170" width="7.5703125" style="557" customWidth="1"/>
    <col min="7171" max="7171" width="9.140625" style="557"/>
    <col min="7172" max="7172" width="7.7109375" style="557" customWidth="1"/>
    <col min="7173" max="7173" width="9.140625" style="557"/>
    <col min="7174" max="7174" width="10.140625" style="557" customWidth="1"/>
    <col min="7175" max="7424" width="9.140625" style="557"/>
    <col min="7425" max="7425" width="24.140625" style="557" customWidth="1"/>
    <col min="7426" max="7426" width="7.5703125" style="557" customWidth="1"/>
    <col min="7427" max="7427" width="9.140625" style="557"/>
    <col min="7428" max="7428" width="7.7109375" style="557" customWidth="1"/>
    <col min="7429" max="7429" width="9.140625" style="557"/>
    <col min="7430" max="7430" width="10.140625" style="557" customWidth="1"/>
    <col min="7431" max="7680" width="9.140625" style="557"/>
    <col min="7681" max="7681" width="24.140625" style="557" customWidth="1"/>
    <col min="7682" max="7682" width="7.5703125" style="557" customWidth="1"/>
    <col min="7683" max="7683" width="9.140625" style="557"/>
    <col min="7684" max="7684" width="7.7109375" style="557" customWidth="1"/>
    <col min="7685" max="7685" width="9.140625" style="557"/>
    <col min="7686" max="7686" width="10.140625" style="557" customWidth="1"/>
    <col min="7687" max="7936" width="9.140625" style="557"/>
    <col min="7937" max="7937" width="24.140625" style="557" customWidth="1"/>
    <col min="7938" max="7938" width="7.5703125" style="557" customWidth="1"/>
    <col min="7939" max="7939" width="9.140625" style="557"/>
    <col min="7940" max="7940" width="7.7109375" style="557" customWidth="1"/>
    <col min="7941" max="7941" width="9.140625" style="557"/>
    <col min="7942" max="7942" width="10.140625" style="557" customWidth="1"/>
    <col min="7943" max="8192" width="9.140625" style="557"/>
    <col min="8193" max="8193" width="24.140625" style="557" customWidth="1"/>
    <col min="8194" max="8194" width="7.5703125" style="557" customWidth="1"/>
    <col min="8195" max="8195" width="9.140625" style="557"/>
    <col min="8196" max="8196" width="7.7109375" style="557" customWidth="1"/>
    <col min="8197" max="8197" width="9.140625" style="557"/>
    <col min="8198" max="8198" width="10.140625" style="557" customWidth="1"/>
    <col min="8199" max="8448" width="9.140625" style="557"/>
    <col min="8449" max="8449" width="24.140625" style="557" customWidth="1"/>
    <col min="8450" max="8450" width="7.5703125" style="557" customWidth="1"/>
    <col min="8451" max="8451" width="9.140625" style="557"/>
    <col min="8452" max="8452" width="7.7109375" style="557" customWidth="1"/>
    <col min="8453" max="8453" width="9.140625" style="557"/>
    <col min="8454" max="8454" width="10.140625" style="557" customWidth="1"/>
    <col min="8455" max="8704" width="9.140625" style="557"/>
    <col min="8705" max="8705" width="24.140625" style="557" customWidth="1"/>
    <col min="8706" max="8706" width="7.5703125" style="557" customWidth="1"/>
    <col min="8707" max="8707" width="9.140625" style="557"/>
    <col min="8708" max="8708" width="7.7109375" style="557" customWidth="1"/>
    <col min="8709" max="8709" width="9.140625" style="557"/>
    <col min="8710" max="8710" width="10.140625" style="557" customWidth="1"/>
    <col min="8711" max="8960" width="9.140625" style="557"/>
    <col min="8961" max="8961" width="24.140625" style="557" customWidth="1"/>
    <col min="8962" max="8962" width="7.5703125" style="557" customWidth="1"/>
    <col min="8963" max="8963" width="9.140625" style="557"/>
    <col min="8964" max="8964" width="7.7109375" style="557" customWidth="1"/>
    <col min="8965" max="8965" width="9.140625" style="557"/>
    <col min="8966" max="8966" width="10.140625" style="557" customWidth="1"/>
    <col min="8967" max="9216" width="9.140625" style="557"/>
    <col min="9217" max="9217" width="24.140625" style="557" customWidth="1"/>
    <col min="9218" max="9218" width="7.5703125" style="557" customWidth="1"/>
    <col min="9219" max="9219" width="9.140625" style="557"/>
    <col min="9220" max="9220" width="7.7109375" style="557" customWidth="1"/>
    <col min="9221" max="9221" width="9.140625" style="557"/>
    <col min="9222" max="9222" width="10.140625" style="557" customWidth="1"/>
    <col min="9223" max="9472" width="9.140625" style="557"/>
    <col min="9473" max="9473" width="24.140625" style="557" customWidth="1"/>
    <col min="9474" max="9474" width="7.5703125" style="557" customWidth="1"/>
    <col min="9475" max="9475" width="9.140625" style="557"/>
    <col min="9476" max="9476" width="7.7109375" style="557" customWidth="1"/>
    <col min="9477" max="9477" width="9.140625" style="557"/>
    <col min="9478" max="9478" width="10.140625" style="557" customWidth="1"/>
    <col min="9479" max="9728" width="9.140625" style="557"/>
    <col min="9729" max="9729" width="24.140625" style="557" customWidth="1"/>
    <col min="9730" max="9730" width="7.5703125" style="557" customWidth="1"/>
    <col min="9731" max="9731" width="9.140625" style="557"/>
    <col min="9732" max="9732" width="7.7109375" style="557" customWidth="1"/>
    <col min="9733" max="9733" width="9.140625" style="557"/>
    <col min="9734" max="9734" width="10.140625" style="557" customWidth="1"/>
    <col min="9735" max="9984" width="9.140625" style="557"/>
    <col min="9985" max="9985" width="24.140625" style="557" customWidth="1"/>
    <col min="9986" max="9986" width="7.5703125" style="557" customWidth="1"/>
    <col min="9987" max="9987" width="9.140625" style="557"/>
    <col min="9988" max="9988" width="7.7109375" style="557" customWidth="1"/>
    <col min="9989" max="9989" width="9.140625" style="557"/>
    <col min="9990" max="9990" width="10.140625" style="557" customWidth="1"/>
    <col min="9991" max="10240" width="9.140625" style="557"/>
    <col min="10241" max="10241" width="24.140625" style="557" customWidth="1"/>
    <col min="10242" max="10242" width="7.5703125" style="557" customWidth="1"/>
    <col min="10243" max="10243" width="9.140625" style="557"/>
    <col min="10244" max="10244" width="7.7109375" style="557" customWidth="1"/>
    <col min="10245" max="10245" width="9.140625" style="557"/>
    <col min="10246" max="10246" width="10.140625" style="557" customWidth="1"/>
    <col min="10247" max="10496" width="9.140625" style="557"/>
    <col min="10497" max="10497" width="24.140625" style="557" customWidth="1"/>
    <col min="10498" max="10498" width="7.5703125" style="557" customWidth="1"/>
    <col min="10499" max="10499" width="9.140625" style="557"/>
    <col min="10500" max="10500" width="7.7109375" style="557" customWidth="1"/>
    <col min="10501" max="10501" width="9.140625" style="557"/>
    <col min="10502" max="10502" width="10.140625" style="557" customWidth="1"/>
    <col min="10503" max="10752" width="9.140625" style="557"/>
    <col min="10753" max="10753" width="24.140625" style="557" customWidth="1"/>
    <col min="10754" max="10754" width="7.5703125" style="557" customWidth="1"/>
    <col min="10755" max="10755" width="9.140625" style="557"/>
    <col min="10756" max="10756" width="7.7109375" style="557" customWidth="1"/>
    <col min="10757" max="10757" width="9.140625" style="557"/>
    <col min="10758" max="10758" width="10.140625" style="557" customWidth="1"/>
    <col min="10759" max="11008" width="9.140625" style="557"/>
    <col min="11009" max="11009" width="24.140625" style="557" customWidth="1"/>
    <col min="11010" max="11010" width="7.5703125" style="557" customWidth="1"/>
    <col min="11011" max="11011" width="9.140625" style="557"/>
    <col min="11012" max="11012" width="7.7109375" style="557" customWidth="1"/>
    <col min="11013" max="11013" width="9.140625" style="557"/>
    <col min="11014" max="11014" width="10.140625" style="557" customWidth="1"/>
    <col min="11015" max="11264" width="9.140625" style="557"/>
    <col min="11265" max="11265" width="24.140625" style="557" customWidth="1"/>
    <col min="11266" max="11266" width="7.5703125" style="557" customWidth="1"/>
    <col min="11267" max="11267" width="9.140625" style="557"/>
    <col min="11268" max="11268" width="7.7109375" style="557" customWidth="1"/>
    <col min="11269" max="11269" width="9.140625" style="557"/>
    <col min="11270" max="11270" width="10.140625" style="557" customWidth="1"/>
    <col min="11271" max="11520" width="9.140625" style="557"/>
    <col min="11521" max="11521" width="24.140625" style="557" customWidth="1"/>
    <col min="11522" max="11522" width="7.5703125" style="557" customWidth="1"/>
    <col min="11523" max="11523" width="9.140625" style="557"/>
    <col min="11524" max="11524" width="7.7109375" style="557" customWidth="1"/>
    <col min="11525" max="11525" width="9.140625" style="557"/>
    <col min="11526" max="11526" width="10.140625" style="557" customWidth="1"/>
    <col min="11527" max="11776" width="9.140625" style="557"/>
    <col min="11777" max="11777" width="24.140625" style="557" customWidth="1"/>
    <col min="11778" max="11778" width="7.5703125" style="557" customWidth="1"/>
    <col min="11779" max="11779" width="9.140625" style="557"/>
    <col min="11780" max="11780" width="7.7109375" style="557" customWidth="1"/>
    <col min="11781" max="11781" width="9.140625" style="557"/>
    <col min="11782" max="11782" width="10.140625" style="557" customWidth="1"/>
    <col min="11783" max="12032" width="9.140625" style="557"/>
    <col min="12033" max="12033" width="24.140625" style="557" customWidth="1"/>
    <col min="12034" max="12034" width="7.5703125" style="557" customWidth="1"/>
    <col min="12035" max="12035" width="9.140625" style="557"/>
    <col min="12036" max="12036" width="7.7109375" style="557" customWidth="1"/>
    <col min="12037" max="12037" width="9.140625" style="557"/>
    <col min="12038" max="12038" width="10.140625" style="557" customWidth="1"/>
    <col min="12039" max="12288" width="9.140625" style="557"/>
    <col min="12289" max="12289" width="24.140625" style="557" customWidth="1"/>
    <col min="12290" max="12290" width="7.5703125" style="557" customWidth="1"/>
    <col min="12291" max="12291" width="9.140625" style="557"/>
    <col min="12292" max="12292" width="7.7109375" style="557" customWidth="1"/>
    <col min="12293" max="12293" width="9.140625" style="557"/>
    <col min="12294" max="12294" width="10.140625" style="557" customWidth="1"/>
    <col min="12295" max="12544" width="9.140625" style="557"/>
    <col min="12545" max="12545" width="24.140625" style="557" customWidth="1"/>
    <col min="12546" max="12546" width="7.5703125" style="557" customWidth="1"/>
    <col min="12547" max="12547" width="9.140625" style="557"/>
    <col min="12548" max="12548" width="7.7109375" style="557" customWidth="1"/>
    <col min="12549" max="12549" width="9.140625" style="557"/>
    <col min="12550" max="12550" width="10.140625" style="557" customWidth="1"/>
    <col min="12551" max="12800" width="9.140625" style="557"/>
    <col min="12801" max="12801" width="24.140625" style="557" customWidth="1"/>
    <col min="12802" max="12802" width="7.5703125" style="557" customWidth="1"/>
    <col min="12803" max="12803" width="9.140625" style="557"/>
    <col min="12804" max="12804" width="7.7109375" style="557" customWidth="1"/>
    <col min="12805" max="12805" width="9.140625" style="557"/>
    <col min="12806" max="12806" width="10.140625" style="557" customWidth="1"/>
    <col min="12807" max="13056" width="9.140625" style="557"/>
    <col min="13057" max="13057" width="24.140625" style="557" customWidth="1"/>
    <col min="13058" max="13058" width="7.5703125" style="557" customWidth="1"/>
    <col min="13059" max="13059" width="9.140625" style="557"/>
    <col min="13060" max="13060" width="7.7109375" style="557" customWidth="1"/>
    <col min="13061" max="13061" width="9.140625" style="557"/>
    <col min="13062" max="13062" width="10.140625" style="557" customWidth="1"/>
    <col min="13063" max="13312" width="9.140625" style="557"/>
    <col min="13313" max="13313" width="24.140625" style="557" customWidth="1"/>
    <col min="13314" max="13314" width="7.5703125" style="557" customWidth="1"/>
    <col min="13315" max="13315" width="9.140625" style="557"/>
    <col min="13316" max="13316" width="7.7109375" style="557" customWidth="1"/>
    <col min="13317" max="13317" width="9.140625" style="557"/>
    <col min="13318" max="13318" width="10.140625" style="557" customWidth="1"/>
    <col min="13319" max="13568" width="9.140625" style="557"/>
    <col min="13569" max="13569" width="24.140625" style="557" customWidth="1"/>
    <col min="13570" max="13570" width="7.5703125" style="557" customWidth="1"/>
    <col min="13571" max="13571" width="9.140625" style="557"/>
    <col min="13572" max="13572" width="7.7109375" style="557" customWidth="1"/>
    <col min="13573" max="13573" width="9.140625" style="557"/>
    <col min="13574" max="13574" width="10.140625" style="557" customWidth="1"/>
    <col min="13575" max="13824" width="9.140625" style="557"/>
    <col min="13825" max="13825" width="24.140625" style="557" customWidth="1"/>
    <col min="13826" max="13826" width="7.5703125" style="557" customWidth="1"/>
    <col min="13827" max="13827" width="9.140625" style="557"/>
    <col min="13828" max="13828" width="7.7109375" style="557" customWidth="1"/>
    <col min="13829" max="13829" width="9.140625" style="557"/>
    <col min="13830" max="13830" width="10.140625" style="557" customWidth="1"/>
    <col min="13831" max="14080" width="9.140625" style="557"/>
    <col min="14081" max="14081" width="24.140625" style="557" customWidth="1"/>
    <col min="14082" max="14082" width="7.5703125" style="557" customWidth="1"/>
    <col min="14083" max="14083" width="9.140625" style="557"/>
    <col min="14084" max="14084" width="7.7109375" style="557" customWidth="1"/>
    <col min="14085" max="14085" width="9.140625" style="557"/>
    <col min="14086" max="14086" width="10.140625" style="557" customWidth="1"/>
    <col min="14087" max="14336" width="9.140625" style="557"/>
    <col min="14337" max="14337" width="24.140625" style="557" customWidth="1"/>
    <col min="14338" max="14338" width="7.5703125" style="557" customWidth="1"/>
    <col min="14339" max="14339" width="9.140625" style="557"/>
    <col min="14340" max="14340" width="7.7109375" style="557" customWidth="1"/>
    <col min="14341" max="14341" width="9.140625" style="557"/>
    <col min="14342" max="14342" width="10.140625" style="557" customWidth="1"/>
    <col min="14343" max="14592" width="9.140625" style="557"/>
    <col min="14593" max="14593" width="24.140625" style="557" customWidth="1"/>
    <col min="14594" max="14594" width="7.5703125" style="557" customWidth="1"/>
    <col min="14595" max="14595" width="9.140625" style="557"/>
    <col min="14596" max="14596" width="7.7109375" style="557" customWidth="1"/>
    <col min="14597" max="14597" width="9.140625" style="557"/>
    <col min="14598" max="14598" width="10.140625" style="557" customWidth="1"/>
    <col min="14599" max="14848" width="9.140625" style="557"/>
    <col min="14849" max="14849" width="24.140625" style="557" customWidth="1"/>
    <col min="14850" max="14850" width="7.5703125" style="557" customWidth="1"/>
    <col min="14851" max="14851" width="9.140625" style="557"/>
    <col min="14852" max="14852" width="7.7109375" style="557" customWidth="1"/>
    <col min="14853" max="14853" width="9.140625" style="557"/>
    <col min="14854" max="14854" width="10.140625" style="557" customWidth="1"/>
    <col min="14855" max="15104" width="9.140625" style="557"/>
    <col min="15105" max="15105" width="24.140625" style="557" customWidth="1"/>
    <col min="15106" max="15106" width="7.5703125" style="557" customWidth="1"/>
    <col min="15107" max="15107" width="9.140625" style="557"/>
    <col min="15108" max="15108" width="7.7109375" style="557" customWidth="1"/>
    <col min="15109" max="15109" width="9.140625" style="557"/>
    <col min="15110" max="15110" width="10.140625" style="557" customWidth="1"/>
    <col min="15111" max="15360" width="9.140625" style="557"/>
    <col min="15361" max="15361" width="24.140625" style="557" customWidth="1"/>
    <col min="15362" max="15362" width="7.5703125" style="557" customWidth="1"/>
    <col min="15363" max="15363" width="9.140625" style="557"/>
    <col min="15364" max="15364" width="7.7109375" style="557" customWidth="1"/>
    <col min="15365" max="15365" width="9.140625" style="557"/>
    <col min="15366" max="15366" width="10.140625" style="557" customWidth="1"/>
    <col min="15367" max="15616" width="9.140625" style="557"/>
    <col min="15617" max="15617" width="24.140625" style="557" customWidth="1"/>
    <col min="15618" max="15618" width="7.5703125" style="557" customWidth="1"/>
    <col min="15619" max="15619" width="9.140625" style="557"/>
    <col min="15620" max="15620" width="7.7109375" style="557" customWidth="1"/>
    <col min="15621" max="15621" width="9.140625" style="557"/>
    <col min="15622" max="15622" width="10.140625" style="557" customWidth="1"/>
    <col min="15623" max="15872" width="9.140625" style="557"/>
    <col min="15873" max="15873" width="24.140625" style="557" customWidth="1"/>
    <col min="15874" max="15874" width="7.5703125" style="557" customWidth="1"/>
    <col min="15875" max="15875" width="9.140625" style="557"/>
    <col min="15876" max="15876" width="7.7109375" style="557" customWidth="1"/>
    <col min="15877" max="15877" width="9.140625" style="557"/>
    <col min="15878" max="15878" width="10.140625" style="557" customWidth="1"/>
    <col min="15879" max="16128" width="9.140625" style="557"/>
    <col min="16129" max="16129" width="24.140625" style="557" customWidth="1"/>
    <col min="16130" max="16130" width="7.5703125" style="557" customWidth="1"/>
    <col min="16131" max="16131" width="9.140625" style="557"/>
    <col min="16132" max="16132" width="7.7109375" style="557" customWidth="1"/>
    <col min="16133" max="16133" width="9.140625" style="557"/>
    <col min="16134" max="16134" width="10.140625" style="557" customWidth="1"/>
    <col min="16135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353" t="s">
        <v>2141</v>
      </c>
      <c r="C3" s="1353"/>
      <c r="D3" s="1353"/>
      <c r="E3" s="1353"/>
      <c r="F3" s="558" t="s">
        <v>171</v>
      </c>
      <c r="H3" s="1380" t="s">
        <v>2142</v>
      </c>
      <c r="I3" s="1380"/>
      <c r="J3" s="558" t="s">
        <v>172</v>
      </c>
      <c r="K3" s="559">
        <v>621.95299999999997</v>
      </c>
      <c r="L3" s="558" t="s">
        <v>436</v>
      </c>
      <c r="N3" s="610" t="s">
        <v>2022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375" t="s">
        <v>2143</v>
      </c>
      <c r="C5" s="1376"/>
      <c r="D5" s="1376"/>
      <c r="E5" s="1377"/>
      <c r="F5" s="558" t="s">
        <v>176</v>
      </c>
      <c r="H5" s="1375" t="s">
        <v>2144</v>
      </c>
      <c r="I5" s="1376"/>
      <c r="J5" s="1377"/>
    </row>
    <row r="7" spans="1:14" ht="13.5">
      <c r="A7" s="558" t="s">
        <v>178</v>
      </c>
      <c r="B7" s="1355"/>
      <c r="C7" s="1356"/>
      <c r="D7" s="1356"/>
      <c r="E7" s="1357"/>
      <c r="F7" s="1197" t="s">
        <v>1696</v>
      </c>
      <c r="G7" s="1197"/>
      <c r="H7" s="1354"/>
      <c r="I7" s="1354"/>
      <c r="J7" s="1354"/>
      <c r="K7" s="1354"/>
    </row>
    <row r="8" spans="1:14">
      <c r="F8" s="1197"/>
      <c r="G8" s="1197"/>
      <c r="H8" s="1354"/>
      <c r="I8" s="1354"/>
      <c r="J8" s="1354"/>
      <c r="K8" s="1354"/>
    </row>
    <row r="10" spans="1:14" s="561" customFormat="1">
      <c r="A10" s="560" t="s">
        <v>1697</v>
      </c>
      <c r="B10" s="1364"/>
      <c r="C10" s="1364"/>
      <c r="D10" s="1364" t="s">
        <v>2145</v>
      </c>
      <c r="E10" s="1364"/>
      <c r="F10" s="1364"/>
      <c r="G10" s="1364" t="s">
        <v>2146</v>
      </c>
      <c r="H10" s="1364"/>
      <c r="I10" s="1364"/>
      <c r="J10" s="1364" t="s">
        <v>2147</v>
      </c>
      <c r="K10" s="1364"/>
      <c r="L10" s="1364"/>
      <c r="M10" s="1364"/>
    </row>
    <row r="11" spans="1:14" s="561" customFormat="1">
      <c r="A11" s="560" t="s">
        <v>1702</v>
      </c>
      <c r="B11" s="1364"/>
      <c r="C11" s="1364"/>
      <c r="D11" s="1365" t="s">
        <v>2148</v>
      </c>
      <c r="E11" s="1365"/>
      <c r="F11" s="1365"/>
      <c r="G11" s="1365" t="s">
        <v>2149</v>
      </c>
      <c r="H11" s="1365"/>
      <c r="I11" s="1365"/>
      <c r="J11" s="1365" t="s">
        <v>2150</v>
      </c>
      <c r="K11" s="1365"/>
      <c r="L11" s="1365"/>
      <c r="M11" s="1365"/>
    </row>
    <row r="12" spans="1:14" s="561" customFormat="1" ht="26.25" customHeight="1">
      <c r="A12" s="560" t="s">
        <v>1707</v>
      </c>
      <c r="B12" s="1364"/>
      <c r="C12" s="1364"/>
      <c r="D12" s="1365" t="s">
        <v>2151</v>
      </c>
      <c r="E12" s="1365"/>
      <c r="F12" s="1365"/>
      <c r="G12" s="1365" t="s">
        <v>2152</v>
      </c>
      <c r="H12" s="1365"/>
      <c r="I12" s="1365"/>
      <c r="J12" s="1365" t="s">
        <v>2153</v>
      </c>
      <c r="K12" s="1365"/>
      <c r="L12" s="1365"/>
      <c r="M12" s="1365"/>
    </row>
    <row r="13" spans="1:14" s="561" customFormat="1" ht="25.5">
      <c r="A13" s="560" t="s">
        <v>197</v>
      </c>
      <c r="B13" s="1364"/>
      <c r="C13" s="1364"/>
      <c r="D13" s="1365" t="s">
        <v>2154</v>
      </c>
      <c r="E13" s="1365"/>
      <c r="F13" s="1365"/>
      <c r="G13" s="1365" t="s">
        <v>2155</v>
      </c>
      <c r="H13" s="1365"/>
      <c r="I13" s="1365"/>
      <c r="J13" s="1365" t="s">
        <v>2156</v>
      </c>
      <c r="K13" s="1365"/>
      <c r="L13" s="1365"/>
      <c r="M13" s="1365"/>
    </row>
    <row r="14" spans="1:14" s="561" customFormat="1">
      <c r="A14" s="562"/>
    </row>
    <row r="15" spans="1:14" s="561" customFormat="1">
      <c r="A15" s="562" t="s">
        <v>1356</v>
      </c>
      <c r="B15" s="563">
        <v>3</v>
      </c>
      <c r="C15" s="1203" t="s">
        <v>1490</v>
      </c>
      <c r="D15" s="1197"/>
      <c r="E15" s="1197"/>
      <c r="F15" s="563">
        <v>3</v>
      </c>
      <c r="G15" s="562" t="s">
        <v>1712</v>
      </c>
      <c r="H15" s="563">
        <v>14</v>
      </c>
      <c r="I15" s="562" t="s">
        <v>1492</v>
      </c>
      <c r="J15" s="563">
        <v>1</v>
      </c>
      <c r="K15" s="562" t="s">
        <v>1386</v>
      </c>
      <c r="L15" s="563">
        <v>14</v>
      </c>
    </row>
    <row r="16" spans="1:14" s="561" customFormat="1">
      <c r="A16" s="562"/>
    </row>
    <row r="17" spans="1:14" s="562" customFormat="1">
      <c r="A17" s="562" t="s">
        <v>203</v>
      </c>
      <c r="B17" s="562" t="s">
        <v>204</v>
      </c>
      <c r="C17" s="564">
        <v>106</v>
      </c>
      <c r="D17" s="562" t="s">
        <v>205</v>
      </c>
      <c r="E17" s="564">
        <v>55</v>
      </c>
      <c r="F17" s="562" t="s">
        <v>206</v>
      </c>
      <c r="G17" s="560"/>
      <c r="H17" s="562" t="s">
        <v>230</v>
      </c>
      <c r="I17" s="564">
        <v>161</v>
      </c>
      <c r="J17" s="562" t="s">
        <v>207</v>
      </c>
      <c r="K17" s="564">
        <v>11</v>
      </c>
      <c r="L17" s="1203" t="s">
        <v>1360</v>
      </c>
      <c r="M17" s="1204"/>
      <c r="N17" s="560">
        <v>14</v>
      </c>
    </row>
    <row r="18" spans="1:14" s="562" customFormat="1">
      <c r="A18" s="562" t="s">
        <v>209</v>
      </c>
      <c r="B18" s="562" t="s">
        <v>210</v>
      </c>
      <c r="C18" s="564">
        <v>266</v>
      </c>
      <c r="D18" s="562" t="s">
        <v>211</v>
      </c>
      <c r="E18" s="564">
        <v>71</v>
      </c>
      <c r="F18" s="562" t="s">
        <v>212</v>
      </c>
      <c r="G18" s="560"/>
      <c r="H18" s="562" t="s">
        <v>411</v>
      </c>
      <c r="I18" s="564">
        <v>337</v>
      </c>
    </row>
    <row r="19" spans="1:14" s="562" customFormat="1" ht="15.75" customHeight="1">
      <c r="B19" s="562" t="s">
        <v>213</v>
      </c>
      <c r="C19" s="564">
        <v>249</v>
      </c>
      <c r="D19" s="562" t="s">
        <v>214</v>
      </c>
      <c r="E19" s="564">
        <v>62</v>
      </c>
      <c r="F19" s="562" t="s">
        <v>215</v>
      </c>
      <c r="G19" s="560"/>
      <c r="H19" s="562" t="s">
        <v>410</v>
      </c>
      <c r="I19" s="564">
        <v>311</v>
      </c>
    </row>
    <row r="20" spans="1:14" s="562" customFormat="1"/>
    <row r="21" spans="1:14" s="561" customFormat="1">
      <c r="A21" s="567" t="s">
        <v>216</v>
      </c>
    </row>
    <row r="22" spans="1:14" s="561" customFormat="1">
      <c r="A22" s="562"/>
    </row>
    <row r="23" spans="1:14" s="561" customForma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14" s="561" customFormat="1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14" s="561" customFormat="1">
      <c r="A25" s="560" t="s">
        <v>232</v>
      </c>
      <c r="B25" s="564">
        <v>8000</v>
      </c>
      <c r="C25" s="560" t="s">
        <v>233</v>
      </c>
      <c r="D25" s="570">
        <v>49.756239999999998</v>
      </c>
      <c r="E25" s="570">
        <v>22.88</v>
      </c>
      <c r="F25" s="621">
        <v>0</v>
      </c>
      <c r="G25" s="621">
        <v>0</v>
      </c>
      <c r="H25" s="570">
        <v>0.23215</v>
      </c>
      <c r="I25" s="570">
        <v>18.69999</v>
      </c>
      <c r="J25" s="621">
        <v>0</v>
      </c>
      <c r="K25" s="621">
        <v>0</v>
      </c>
      <c r="L25" s="621">
        <v>0</v>
      </c>
      <c r="M25" s="570">
        <v>18.93214</v>
      </c>
      <c r="N25" s="570">
        <v>82.745367132867145</v>
      </c>
    </row>
    <row r="26" spans="1:14" s="561" customFormat="1">
      <c r="A26" s="560" t="s">
        <v>2114</v>
      </c>
      <c r="B26" s="564">
        <v>7000</v>
      </c>
      <c r="C26" s="560" t="s">
        <v>233</v>
      </c>
      <c r="D26" s="570">
        <v>3.6073274</v>
      </c>
      <c r="E26" s="570">
        <v>0</v>
      </c>
      <c r="F26" s="621">
        <v>0</v>
      </c>
      <c r="G26" s="621">
        <v>0</v>
      </c>
      <c r="H26" s="570">
        <v>0</v>
      </c>
      <c r="I26" s="570">
        <v>0</v>
      </c>
      <c r="J26" s="621">
        <v>0</v>
      </c>
      <c r="K26" s="621">
        <v>0</v>
      </c>
      <c r="L26" s="621">
        <v>0</v>
      </c>
      <c r="M26" s="570">
        <v>0</v>
      </c>
      <c r="N26" s="570">
        <v>0</v>
      </c>
    </row>
    <row r="27" spans="1:14" s="561" customFormat="1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0.18</v>
      </c>
      <c r="F27" s="621">
        <v>0</v>
      </c>
      <c r="G27" s="621">
        <v>0</v>
      </c>
      <c r="H27" s="570">
        <v>0</v>
      </c>
      <c r="I27" s="570">
        <v>0.18</v>
      </c>
      <c r="J27" s="621">
        <v>0</v>
      </c>
      <c r="K27" s="621">
        <v>0</v>
      </c>
      <c r="L27" s="621">
        <v>0</v>
      </c>
      <c r="M27" s="570">
        <v>0.18</v>
      </c>
      <c r="N27" s="570">
        <v>100</v>
      </c>
    </row>
    <row r="28" spans="1:14" s="561" customFormat="1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0.16</v>
      </c>
      <c r="F28" s="621">
        <v>0</v>
      </c>
      <c r="G28" s="621">
        <v>0</v>
      </c>
      <c r="H28" s="570">
        <v>0.16</v>
      </c>
      <c r="I28" s="570">
        <v>0</v>
      </c>
      <c r="J28" s="621">
        <v>0</v>
      </c>
      <c r="K28" s="621">
        <v>0</v>
      </c>
      <c r="L28" s="621">
        <v>0</v>
      </c>
      <c r="M28" s="570">
        <v>0.16</v>
      </c>
      <c r="N28" s="570">
        <v>100</v>
      </c>
    </row>
    <row r="29" spans="1:14" s="561" customFormat="1">
      <c r="A29" s="560" t="s">
        <v>238</v>
      </c>
      <c r="B29" s="564">
        <v>1200</v>
      </c>
      <c r="C29" s="560" t="s">
        <v>233</v>
      </c>
      <c r="D29" s="570">
        <v>7.4634359999999997</v>
      </c>
      <c r="E29" s="570">
        <v>2</v>
      </c>
      <c r="F29" s="621">
        <v>0</v>
      </c>
      <c r="G29" s="621">
        <v>0</v>
      </c>
      <c r="H29" s="570">
        <v>0</v>
      </c>
      <c r="I29" s="570">
        <v>1.3</v>
      </c>
      <c r="J29" s="621">
        <v>0</v>
      </c>
      <c r="K29" s="621">
        <v>0</v>
      </c>
      <c r="L29" s="621">
        <v>0</v>
      </c>
      <c r="M29" s="570">
        <v>1.3</v>
      </c>
      <c r="N29" s="570">
        <v>65</v>
      </c>
    </row>
    <row r="30" spans="1:14" s="561" customFormat="1">
      <c r="A30" s="560" t="s">
        <v>667</v>
      </c>
      <c r="B30" s="564">
        <v>565</v>
      </c>
      <c r="C30" s="560" t="s">
        <v>233</v>
      </c>
      <c r="D30" s="570">
        <v>3.51403445</v>
      </c>
      <c r="E30" s="570">
        <v>3.4207399999999999</v>
      </c>
      <c r="F30" s="621">
        <v>0</v>
      </c>
      <c r="G30" s="621">
        <v>0</v>
      </c>
      <c r="H30" s="570">
        <v>3.4207399999999999</v>
      </c>
      <c r="I30" s="570">
        <v>0</v>
      </c>
      <c r="J30" s="621">
        <v>0</v>
      </c>
      <c r="K30" s="621">
        <v>0</v>
      </c>
      <c r="L30" s="621">
        <v>0</v>
      </c>
      <c r="M30" s="570">
        <v>3.4207399999999999</v>
      </c>
      <c r="N30" s="570">
        <v>100</v>
      </c>
    </row>
    <row r="31" spans="1:14" s="561" customFormat="1">
      <c r="A31" s="560" t="s">
        <v>240</v>
      </c>
      <c r="B31" s="564">
        <v>1000</v>
      </c>
      <c r="C31" s="560" t="s">
        <v>233</v>
      </c>
      <c r="D31" s="570">
        <v>6.2195299999999998</v>
      </c>
      <c r="E31" s="570">
        <v>0</v>
      </c>
      <c r="F31" s="621">
        <v>0</v>
      </c>
      <c r="G31" s="621">
        <v>0</v>
      </c>
      <c r="H31" s="570">
        <v>0</v>
      </c>
      <c r="I31" s="570">
        <v>0</v>
      </c>
      <c r="J31" s="621">
        <v>0</v>
      </c>
      <c r="K31" s="621">
        <v>0</v>
      </c>
      <c r="L31" s="621">
        <v>0</v>
      </c>
      <c r="M31" s="570">
        <v>0</v>
      </c>
      <c r="N31" s="570">
        <v>0</v>
      </c>
    </row>
    <row r="32" spans="1:14" s="561" customFormat="1">
      <c r="A32" s="560" t="s">
        <v>394</v>
      </c>
      <c r="B32" s="564">
        <v>2750</v>
      </c>
      <c r="C32" s="560" t="s">
        <v>1716</v>
      </c>
      <c r="D32" s="570">
        <v>2.1</v>
      </c>
      <c r="E32" s="570">
        <v>0.44000000000000006</v>
      </c>
      <c r="F32" s="621">
        <v>0</v>
      </c>
      <c r="G32" s="621">
        <v>0</v>
      </c>
      <c r="H32" s="570">
        <v>3.2500000000000001E-2</v>
      </c>
      <c r="I32" s="570">
        <v>0.26750000000000002</v>
      </c>
      <c r="J32" s="621">
        <v>0</v>
      </c>
      <c r="K32" s="621">
        <v>0</v>
      </c>
      <c r="L32" s="621">
        <v>0</v>
      </c>
      <c r="M32" s="570">
        <v>0.30000000000000004</v>
      </c>
      <c r="N32" s="570">
        <v>68.181818181818187</v>
      </c>
    </row>
    <row r="33" spans="1:14" s="561" customFormat="1">
      <c r="A33" s="560" t="s">
        <v>1717</v>
      </c>
      <c r="B33" s="564">
        <v>10000</v>
      </c>
      <c r="C33" s="560" t="s">
        <v>244</v>
      </c>
      <c r="D33" s="570">
        <v>0.1</v>
      </c>
      <c r="E33" s="570">
        <v>0.1</v>
      </c>
      <c r="F33" s="621">
        <v>0</v>
      </c>
      <c r="G33" s="621">
        <v>0</v>
      </c>
      <c r="H33" s="570">
        <v>0.1</v>
      </c>
      <c r="I33" s="570">
        <v>0</v>
      </c>
      <c r="J33" s="621">
        <v>0</v>
      </c>
      <c r="K33" s="621">
        <v>0</v>
      </c>
      <c r="L33" s="621">
        <v>0</v>
      </c>
      <c r="M33" s="570">
        <v>0.1</v>
      </c>
      <c r="N33" s="570">
        <v>100</v>
      </c>
    </row>
    <row r="34" spans="1:14" s="608" customFormat="1">
      <c r="A34" s="572" t="s">
        <v>230</v>
      </c>
      <c r="B34" s="572"/>
      <c r="C34" s="572"/>
      <c r="D34" s="573">
        <v>73.530567849999997</v>
      </c>
      <c r="E34" s="573">
        <v>29.18074</v>
      </c>
      <c r="F34" s="573">
        <v>0</v>
      </c>
      <c r="G34" s="573">
        <v>0</v>
      </c>
      <c r="H34" s="573">
        <v>3.9453900000000002</v>
      </c>
      <c r="I34" s="573">
        <v>20.447489999999998</v>
      </c>
      <c r="J34" s="573">
        <v>0</v>
      </c>
      <c r="K34" s="573">
        <v>0</v>
      </c>
      <c r="L34" s="573">
        <v>0</v>
      </c>
      <c r="M34" s="573">
        <v>24.392880000000002</v>
      </c>
      <c r="N34" s="573"/>
    </row>
    <row r="35" spans="1:14" s="561" customFormat="1">
      <c r="A35" s="562"/>
      <c r="H35" s="622"/>
      <c r="I35" s="622"/>
      <c r="J35" s="622"/>
      <c r="K35" s="622"/>
      <c r="L35" s="622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2" orientation="landscape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557" customWidth="1"/>
    <col min="2" max="256" width="9.140625" style="557"/>
    <col min="257" max="257" width="24.140625" style="557" customWidth="1"/>
    <col min="258" max="512" width="9.140625" style="557"/>
    <col min="513" max="513" width="24.140625" style="557" customWidth="1"/>
    <col min="514" max="768" width="9.140625" style="557"/>
    <col min="769" max="769" width="24.140625" style="557" customWidth="1"/>
    <col min="770" max="1024" width="9.140625" style="557"/>
    <col min="1025" max="1025" width="24.140625" style="557" customWidth="1"/>
    <col min="1026" max="1280" width="9.140625" style="557"/>
    <col min="1281" max="1281" width="24.140625" style="557" customWidth="1"/>
    <col min="1282" max="1536" width="9.140625" style="557"/>
    <col min="1537" max="1537" width="24.140625" style="557" customWidth="1"/>
    <col min="1538" max="1792" width="9.140625" style="557"/>
    <col min="1793" max="1793" width="24.140625" style="557" customWidth="1"/>
    <col min="1794" max="2048" width="9.140625" style="557"/>
    <col min="2049" max="2049" width="24.140625" style="557" customWidth="1"/>
    <col min="2050" max="2304" width="9.140625" style="557"/>
    <col min="2305" max="2305" width="24.140625" style="557" customWidth="1"/>
    <col min="2306" max="2560" width="9.140625" style="557"/>
    <col min="2561" max="2561" width="24.140625" style="557" customWidth="1"/>
    <col min="2562" max="2816" width="9.140625" style="557"/>
    <col min="2817" max="2817" width="24.140625" style="557" customWidth="1"/>
    <col min="2818" max="3072" width="9.140625" style="557"/>
    <col min="3073" max="3073" width="24.140625" style="557" customWidth="1"/>
    <col min="3074" max="3328" width="9.140625" style="557"/>
    <col min="3329" max="3329" width="24.140625" style="557" customWidth="1"/>
    <col min="3330" max="3584" width="9.140625" style="557"/>
    <col min="3585" max="3585" width="24.140625" style="557" customWidth="1"/>
    <col min="3586" max="3840" width="9.140625" style="557"/>
    <col min="3841" max="3841" width="24.140625" style="557" customWidth="1"/>
    <col min="3842" max="4096" width="9.140625" style="557"/>
    <col min="4097" max="4097" width="24.140625" style="557" customWidth="1"/>
    <col min="4098" max="4352" width="9.140625" style="557"/>
    <col min="4353" max="4353" width="24.140625" style="557" customWidth="1"/>
    <col min="4354" max="4608" width="9.140625" style="557"/>
    <col min="4609" max="4609" width="24.140625" style="557" customWidth="1"/>
    <col min="4610" max="4864" width="9.140625" style="557"/>
    <col min="4865" max="4865" width="24.140625" style="557" customWidth="1"/>
    <col min="4866" max="5120" width="9.140625" style="557"/>
    <col min="5121" max="5121" width="24.140625" style="557" customWidth="1"/>
    <col min="5122" max="5376" width="9.140625" style="557"/>
    <col min="5377" max="5377" width="24.140625" style="557" customWidth="1"/>
    <col min="5378" max="5632" width="9.140625" style="557"/>
    <col min="5633" max="5633" width="24.140625" style="557" customWidth="1"/>
    <col min="5634" max="5888" width="9.140625" style="557"/>
    <col min="5889" max="5889" width="24.140625" style="557" customWidth="1"/>
    <col min="5890" max="6144" width="9.140625" style="557"/>
    <col min="6145" max="6145" width="24.140625" style="557" customWidth="1"/>
    <col min="6146" max="6400" width="9.140625" style="557"/>
    <col min="6401" max="6401" width="24.140625" style="557" customWidth="1"/>
    <col min="6402" max="6656" width="9.140625" style="557"/>
    <col min="6657" max="6657" width="24.140625" style="557" customWidth="1"/>
    <col min="6658" max="6912" width="9.140625" style="557"/>
    <col min="6913" max="6913" width="24.140625" style="557" customWidth="1"/>
    <col min="6914" max="7168" width="9.140625" style="557"/>
    <col min="7169" max="7169" width="24.140625" style="557" customWidth="1"/>
    <col min="7170" max="7424" width="9.140625" style="557"/>
    <col min="7425" max="7425" width="24.140625" style="557" customWidth="1"/>
    <col min="7426" max="7680" width="9.140625" style="557"/>
    <col min="7681" max="7681" width="24.140625" style="557" customWidth="1"/>
    <col min="7682" max="7936" width="9.140625" style="557"/>
    <col min="7937" max="7937" width="24.140625" style="557" customWidth="1"/>
    <col min="7938" max="8192" width="9.140625" style="557"/>
    <col min="8193" max="8193" width="24.140625" style="557" customWidth="1"/>
    <col min="8194" max="8448" width="9.140625" style="557"/>
    <col min="8449" max="8449" width="24.140625" style="557" customWidth="1"/>
    <col min="8450" max="8704" width="9.140625" style="557"/>
    <col min="8705" max="8705" width="24.140625" style="557" customWidth="1"/>
    <col min="8706" max="8960" width="9.140625" style="557"/>
    <col min="8961" max="8961" width="24.140625" style="557" customWidth="1"/>
    <col min="8962" max="9216" width="9.140625" style="557"/>
    <col min="9217" max="9217" width="24.140625" style="557" customWidth="1"/>
    <col min="9218" max="9472" width="9.140625" style="557"/>
    <col min="9473" max="9473" width="24.140625" style="557" customWidth="1"/>
    <col min="9474" max="9728" width="9.140625" style="557"/>
    <col min="9729" max="9729" width="24.140625" style="557" customWidth="1"/>
    <col min="9730" max="9984" width="9.140625" style="557"/>
    <col min="9985" max="9985" width="24.140625" style="557" customWidth="1"/>
    <col min="9986" max="10240" width="9.140625" style="557"/>
    <col min="10241" max="10241" width="24.140625" style="557" customWidth="1"/>
    <col min="10242" max="10496" width="9.140625" style="557"/>
    <col min="10497" max="10497" width="24.140625" style="557" customWidth="1"/>
    <col min="10498" max="10752" width="9.140625" style="557"/>
    <col min="10753" max="10753" width="24.140625" style="557" customWidth="1"/>
    <col min="10754" max="11008" width="9.140625" style="557"/>
    <col min="11009" max="11009" width="24.140625" style="557" customWidth="1"/>
    <col min="11010" max="11264" width="9.140625" style="557"/>
    <col min="11265" max="11265" width="24.140625" style="557" customWidth="1"/>
    <col min="11266" max="11520" width="9.140625" style="557"/>
    <col min="11521" max="11521" width="24.140625" style="557" customWidth="1"/>
    <col min="11522" max="11776" width="9.140625" style="557"/>
    <col min="11777" max="11777" width="24.140625" style="557" customWidth="1"/>
    <col min="11778" max="12032" width="9.140625" style="557"/>
    <col min="12033" max="12033" width="24.140625" style="557" customWidth="1"/>
    <col min="12034" max="12288" width="9.140625" style="557"/>
    <col min="12289" max="12289" width="24.140625" style="557" customWidth="1"/>
    <col min="12290" max="12544" width="9.140625" style="557"/>
    <col min="12545" max="12545" width="24.140625" style="557" customWidth="1"/>
    <col min="12546" max="12800" width="9.140625" style="557"/>
    <col min="12801" max="12801" width="24.140625" style="557" customWidth="1"/>
    <col min="12802" max="13056" width="9.140625" style="557"/>
    <col min="13057" max="13057" width="24.140625" style="557" customWidth="1"/>
    <col min="13058" max="13312" width="9.140625" style="557"/>
    <col min="13313" max="13313" width="24.140625" style="557" customWidth="1"/>
    <col min="13314" max="13568" width="9.140625" style="557"/>
    <col min="13569" max="13569" width="24.140625" style="557" customWidth="1"/>
    <col min="13570" max="13824" width="9.140625" style="557"/>
    <col min="13825" max="13825" width="24.140625" style="557" customWidth="1"/>
    <col min="13826" max="14080" width="9.140625" style="557"/>
    <col min="14081" max="14081" width="24.140625" style="557" customWidth="1"/>
    <col min="14082" max="14336" width="9.140625" style="557"/>
    <col min="14337" max="14337" width="24.140625" style="557" customWidth="1"/>
    <col min="14338" max="14592" width="9.140625" style="557"/>
    <col min="14593" max="14593" width="24.140625" style="557" customWidth="1"/>
    <col min="14594" max="14848" width="9.140625" style="557"/>
    <col min="14849" max="14849" width="24.140625" style="557" customWidth="1"/>
    <col min="14850" max="15104" width="9.140625" style="557"/>
    <col min="15105" max="15105" width="24.140625" style="557" customWidth="1"/>
    <col min="15106" max="15360" width="9.140625" style="557"/>
    <col min="15361" max="15361" width="24.140625" style="557" customWidth="1"/>
    <col min="15362" max="15616" width="9.140625" style="557"/>
    <col min="15617" max="15617" width="24.140625" style="557" customWidth="1"/>
    <col min="15618" max="15872" width="9.140625" style="557"/>
    <col min="15873" max="15873" width="24.140625" style="557" customWidth="1"/>
    <col min="15874" max="16128" width="9.140625" style="557"/>
    <col min="16129" max="16129" width="24.140625" style="557" customWidth="1"/>
    <col min="16130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353" t="s">
        <v>2157</v>
      </c>
      <c r="C3" s="1353"/>
      <c r="D3" s="1353"/>
      <c r="E3" s="1353"/>
      <c r="F3" s="558" t="s">
        <v>171</v>
      </c>
      <c r="H3" s="1190" t="s">
        <v>2158</v>
      </c>
      <c r="I3" s="1190"/>
      <c r="J3" s="558" t="s">
        <v>172</v>
      </c>
      <c r="K3" s="344">
        <v>488.17399999999998</v>
      </c>
      <c r="L3" s="558" t="s">
        <v>436</v>
      </c>
      <c r="N3" s="559">
        <v>59.51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375" t="s">
        <v>2159</v>
      </c>
      <c r="C5" s="1376"/>
      <c r="D5" s="1376"/>
      <c r="E5" s="1377"/>
      <c r="F5" s="558" t="s">
        <v>176</v>
      </c>
      <c r="H5" s="1375" t="s">
        <v>2160</v>
      </c>
      <c r="I5" s="1376"/>
      <c r="J5" s="1377"/>
    </row>
    <row r="7" spans="1:14" ht="13.5">
      <c r="A7" s="558" t="s">
        <v>178</v>
      </c>
      <c r="B7" s="1355"/>
      <c r="C7" s="1356"/>
      <c r="D7" s="1356"/>
      <c r="E7" s="1357"/>
      <c r="F7" s="1197" t="s">
        <v>1696</v>
      </c>
      <c r="G7" s="1197"/>
      <c r="H7" s="1354"/>
      <c r="I7" s="1354"/>
      <c r="J7" s="1354"/>
      <c r="K7" s="1354"/>
    </row>
    <row r="8" spans="1:14">
      <c r="F8" s="1197"/>
      <c r="G8" s="1197"/>
      <c r="H8" s="1354"/>
      <c r="I8" s="1354"/>
      <c r="J8" s="1354"/>
      <c r="K8" s="1354"/>
    </row>
    <row r="10" spans="1:14" s="561" customFormat="1">
      <c r="A10" s="560" t="s">
        <v>1697</v>
      </c>
      <c r="B10" s="1364" t="s">
        <v>2161</v>
      </c>
      <c r="C10" s="1364"/>
      <c r="D10" s="1364" t="s">
        <v>2162</v>
      </c>
      <c r="E10" s="1364"/>
      <c r="F10" s="1364"/>
      <c r="G10" s="1364" t="s">
        <v>2163</v>
      </c>
      <c r="H10" s="1364"/>
      <c r="I10" s="1364"/>
      <c r="J10" s="1364"/>
      <c r="K10" s="1364"/>
      <c r="L10" s="1364"/>
      <c r="M10" s="1364"/>
    </row>
    <row r="11" spans="1:14" s="561" customFormat="1">
      <c r="A11" s="560" t="s">
        <v>1702</v>
      </c>
      <c r="B11" s="1365" t="s">
        <v>2164</v>
      </c>
      <c r="C11" s="1365"/>
      <c r="D11" s="1364"/>
      <c r="E11" s="1364"/>
      <c r="F11" s="1364"/>
      <c r="G11" s="1364"/>
      <c r="H11" s="1364"/>
      <c r="I11" s="1364"/>
      <c r="J11" s="1364"/>
      <c r="K11" s="1364"/>
      <c r="L11" s="1364"/>
      <c r="M11" s="1364"/>
    </row>
    <row r="12" spans="1:14" s="561" customFormat="1">
      <c r="A12" s="560" t="s">
        <v>1707</v>
      </c>
      <c r="B12" s="1365" t="s">
        <v>2165</v>
      </c>
      <c r="C12" s="1365"/>
      <c r="D12" s="1373" t="s">
        <v>2166</v>
      </c>
      <c r="E12" s="1379"/>
      <c r="F12" s="1374"/>
      <c r="G12" s="1364" t="s">
        <v>2167</v>
      </c>
      <c r="H12" s="1364"/>
      <c r="I12" s="1364"/>
      <c r="J12" s="1373" t="s">
        <v>2168</v>
      </c>
      <c r="K12" s="1379"/>
      <c r="L12" s="1379"/>
      <c r="M12" s="1374"/>
    </row>
    <row r="13" spans="1:14" s="561" customFormat="1" ht="12.75" customHeight="1">
      <c r="A13" s="560" t="s">
        <v>197</v>
      </c>
      <c r="B13" s="1364"/>
      <c r="C13" s="1364"/>
      <c r="D13" s="1364"/>
      <c r="E13" s="1364"/>
      <c r="F13" s="1364"/>
      <c r="G13" s="1364"/>
      <c r="H13" s="1364"/>
      <c r="I13" s="1364"/>
      <c r="J13" s="1364"/>
      <c r="K13" s="1364"/>
      <c r="L13" s="1364"/>
      <c r="M13" s="1364"/>
    </row>
    <row r="14" spans="1:14" s="561" customFormat="1">
      <c r="A14" s="562"/>
    </row>
    <row r="15" spans="1:14" s="561" customFormat="1">
      <c r="A15" s="562" t="s">
        <v>1356</v>
      </c>
      <c r="B15" s="602">
        <v>3</v>
      </c>
      <c r="C15" s="1203" t="s">
        <v>1490</v>
      </c>
      <c r="D15" s="1197"/>
      <c r="E15" s="1197"/>
      <c r="F15" s="602">
        <v>3</v>
      </c>
      <c r="G15" s="562" t="s">
        <v>1712</v>
      </c>
      <c r="H15" s="602">
        <v>10</v>
      </c>
      <c r="I15" s="562" t="s">
        <v>1492</v>
      </c>
      <c r="J15" s="602">
        <v>1</v>
      </c>
      <c r="K15" s="562" t="s">
        <v>1386</v>
      </c>
      <c r="L15" s="602">
        <v>10</v>
      </c>
    </row>
    <row r="16" spans="1:14" s="561" customFormat="1">
      <c r="A16" s="562"/>
      <c r="E16" s="605"/>
    </row>
    <row r="17" spans="1:14" s="562" customFormat="1">
      <c r="A17" s="562" t="s">
        <v>203</v>
      </c>
      <c r="B17" s="562" t="s">
        <v>204</v>
      </c>
      <c r="C17" s="564">
        <v>86</v>
      </c>
      <c r="D17" s="562" t="s">
        <v>205</v>
      </c>
      <c r="E17" s="564">
        <v>38</v>
      </c>
      <c r="F17" s="562" t="s">
        <v>206</v>
      </c>
      <c r="G17" s="564">
        <v>5</v>
      </c>
      <c r="H17" s="562" t="s">
        <v>230</v>
      </c>
      <c r="I17" s="564">
        <v>129</v>
      </c>
      <c r="J17" s="562" t="s">
        <v>207</v>
      </c>
      <c r="K17" s="564">
        <v>13</v>
      </c>
      <c r="L17" s="1203" t="s">
        <v>1360</v>
      </c>
      <c r="M17" s="1204"/>
      <c r="N17" s="564">
        <v>23</v>
      </c>
    </row>
    <row r="18" spans="1:14" s="562" customFormat="1">
      <c r="A18" s="562" t="s">
        <v>209</v>
      </c>
      <c r="B18" s="562" t="s">
        <v>210</v>
      </c>
      <c r="C18" s="564">
        <v>225</v>
      </c>
      <c r="D18" s="562" t="s">
        <v>211</v>
      </c>
      <c r="E18" s="564">
        <v>102</v>
      </c>
      <c r="F18" s="562" t="s">
        <v>212</v>
      </c>
      <c r="G18" s="564">
        <v>18</v>
      </c>
      <c r="H18" s="562" t="s">
        <v>411</v>
      </c>
      <c r="I18" s="564">
        <v>345</v>
      </c>
    </row>
    <row r="19" spans="1:14" s="562" customFormat="1" ht="12" customHeight="1">
      <c r="B19" s="562" t="s">
        <v>213</v>
      </c>
      <c r="C19" s="564">
        <v>236</v>
      </c>
      <c r="D19" s="562" t="s">
        <v>214</v>
      </c>
      <c r="E19" s="564">
        <v>95</v>
      </c>
      <c r="F19" s="562" t="s">
        <v>215</v>
      </c>
      <c r="G19" s="564">
        <v>21</v>
      </c>
      <c r="H19" s="562" t="s">
        <v>410</v>
      </c>
      <c r="I19" s="564">
        <v>352</v>
      </c>
    </row>
    <row r="20" spans="1:14" s="562" customFormat="1"/>
    <row r="21" spans="1:14" s="561" customFormat="1">
      <c r="A21" s="567" t="s">
        <v>216</v>
      </c>
    </row>
    <row r="22" spans="1:14" s="561" customFormat="1">
      <c r="A22" s="562"/>
    </row>
    <row r="23" spans="1:14" s="561" customForma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14" s="561" customFormat="1" ht="25.5" customHeight="1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14" s="561" customFormat="1">
      <c r="A25" s="560" t="s">
        <v>232</v>
      </c>
      <c r="B25" s="564">
        <v>8000</v>
      </c>
      <c r="C25" s="560" t="s">
        <v>233</v>
      </c>
      <c r="D25" s="570">
        <v>39.053919999999998</v>
      </c>
      <c r="E25" s="570">
        <v>18.61</v>
      </c>
      <c r="F25" s="606">
        <v>0</v>
      </c>
      <c r="G25" s="606">
        <v>0</v>
      </c>
      <c r="H25" s="570">
        <v>0.14277000000000001</v>
      </c>
      <c r="I25" s="570">
        <v>13.26557</v>
      </c>
      <c r="J25" s="606">
        <v>0</v>
      </c>
      <c r="K25" s="606">
        <v>0</v>
      </c>
      <c r="L25" s="606">
        <v>0</v>
      </c>
      <c r="M25" s="570">
        <v>13.408340000000001</v>
      </c>
      <c r="N25" s="570">
        <v>72.049113379903289</v>
      </c>
    </row>
    <row r="26" spans="1:14" s="561" customFormat="1">
      <c r="A26" s="560" t="s">
        <v>1715</v>
      </c>
      <c r="B26" s="564">
        <v>7000</v>
      </c>
      <c r="C26" s="560" t="s">
        <v>233</v>
      </c>
      <c r="D26" s="570">
        <v>2.8314092</v>
      </c>
      <c r="E26" s="570">
        <v>0</v>
      </c>
      <c r="F26" s="606">
        <v>0</v>
      </c>
      <c r="G26" s="606">
        <v>0</v>
      </c>
      <c r="H26" s="570">
        <v>0</v>
      </c>
      <c r="I26" s="570">
        <v>0</v>
      </c>
      <c r="J26" s="606">
        <v>0</v>
      </c>
      <c r="K26" s="606">
        <v>0</v>
      </c>
      <c r="L26" s="606">
        <v>0</v>
      </c>
      <c r="M26" s="570">
        <v>0</v>
      </c>
      <c r="N26" s="570"/>
    </row>
    <row r="27" spans="1:14" s="561" customFormat="1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0.18</v>
      </c>
      <c r="F27" s="606">
        <v>0</v>
      </c>
      <c r="G27" s="606">
        <v>0</v>
      </c>
      <c r="H27" s="570">
        <v>0</v>
      </c>
      <c r="I27" s="570">
        <v>0.18</v>
      </c>
      <c r="J27" s="606">
        <v>0</v>
      </c>
      <c r="K27" s="606">
        <v>0</v>
      </c>
      <c r="L27" s="606">
        <v>0</v>
      </c>
      <c r="M27" s="570">
        <v>0.18</v>
      </c>
      <c r="N27" s="570">
        <v>100</v>
      </c>
    </row>
    <row r="28" spans="1:14" s="561" customFormat="1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0.16</v>
      </c>
      <c r="F28" s="606">
        <v>0</v>
      </c>
      <c r="G28" s="606">
        <v>0</v>
      </c>
      <c r="H28" s="570">
        <v>0.16</v>
      </c>
      <c r="I28" s="570">
        <v>0</v>
      </c>
      <c r="J28" s="606">
        <v>0</v>
      </c>
      <c r="K28" s="606">
        <v>0</v>
      </c>
      <c r="L28" s="606">
        <v>0</v>
      </c>
      <c r="M28" s="570">
        <v>0.16</v>
      </c>
      <c r="N28" s="570">
        <v>100</v>
      </c>
    </row>
    <row r="29" spans="1:14" s="561" customFormat="1">
      <c r="A29" s="560" t="s">
        <v>238</v>
      </c>
      <c r="B29" s="564">
        <v>1200</v>
      </c>
      <c r="C29" s="560" t="s">
        <v>233</v>
      </c>
      <c r="D29" s="570">
        <v>5.8580879999999995</v>
      </c>
      <c r="E29" s="570">
        <v>2</v>
      </c>
      <c r="F29" s="606">
        <v>0</v>
      </c>
      <c r="G29" s="606">
        <v>0</v>
      </c>
      <c r="H29" s="570">
        <v>0</v>
      </c>
      <c r="I29" s="570">
        <v>1.1200000000000001</v>
      </c>
      <c r="J29" s="606">
        <v>0</v>
      </c>
      <c r="K29" s="606">
        <v>0</v>
      </c>
      <c r="L29" s="606">
        <v>0</v>
      </c>
      <c r="M29" s="570">
        <v>1.1200000000000001</v>
      </c>
      <c r="N29" s="570">
        <v>56.000000000000007</v>
      </c>
    </row>
    <row r="30" spans="1:14" s="561" customFormat="1">
      <c r="A30" s="560" t="s">
        <v>667</v>
      </c>
      <c r="B30" s="564">
        <v>565</v>
      </c>
      <c r="C30" s="560" t="s">
        <v>233</v>
      </c>
      <c r="D30" s="570">
        <v>2.7581831000000001</v>
      </c>
      <c r="E30" s="570">
        <v>2.6840000000000002</v>
      </c>
      <c r="F30" s="606">
        <v>0</v>
      </c>
      <c r="G30" s="606">
        <v>0</v>
      </c>
      <c r="H30" s="570">
        <v>2.6849500000000002</v>
      </c>
      <c r="I30" s="570">
        <v>0</v>
      </c>
      <c r="J30" s="606">
        <v>0</v>
      </c>
      <c r="K30" s="606">
        <v>0</v>
      </c>
      <c r="L30" s="606">
        <v>0</v>
      </c>
      <c r="M30" s="570">
        <v>2.6849500000000002</v>
      </c>
      <c r="N30" s="570">
        <v>100.03539493293592</v>
      </c>
    </row>
    <row r="31" spans="1:14" s="561" customFormat="1">
      <c r="A31" s="560" t="s">
        <v>240</v>
      </c>
      <c r="B31" s="564">
        <v>1000</v>
      </c>
      <c r="C31" s="560" t="s">
        <v>233</v>
      </c>
      <c r="D31" s="570">
        <v>4.8817399999999997</v>
      </c>
      <c r="E31" s="570">
        <v>0</v>
      </c>
      <c r="F31" s="606">
        <v>0</v>
      </c>
      <c r="G31" s="606">
        <v>0</v>
      </c>
      <c r="H31" s="570">
        <v>0</v>
      </c>
      <c r="I31" s="570">
        <v>0</v>
      </c>
      <c r="J31" s="606">
        <v>0</v>
      </c>
      <c r="K31" s="606">
        <v>0</v>
      </c>
      <c r="L31" s="606">
        <v>0</v>
      </c>
      <c r="M31" s="570">
        <v>0</v>
      </c>
      <c r="N31" s="570"/>
    </row>
    <row r="32" spans="1:14" s="561" customFormat="1">
      <c r="A32" s="560" t="s">
        <v>394</v>
      </c>
      <c r="B32" s="564">
        <v>2750</v>
      </c>
      <c r="C32" s="560" t="s">
        <v>1716</v>
      </c>
      <c r="D32" s="570">
        <v>2.1</v>
      </c>
      <c r="E32" s="570">
        <v>0.44000000000000006</v>
      </c>
      <c r="F32" s="606">
        <v>0</v>
      </c>
      <c r="G32" s="606">
        <v>0</v>
      </c>
      <c r="H32" s="570">
        <v>0.1125</v>
      </c>
      <c r="I32" s="570">
        <v>0.21049999999999999</v>
      </c>
      <c r="J32" s="606">
        <v>0</v>
      </c>
      <c r="K32" s="606">
        <v>0</v>
      </c>
      <c r="L32" s="606">
        <v>0</v>
      </c>
      <c r="M32" s="570">
        <v>0.32300000000000001</v>
      </c>
      <c r="N32" s="570">
        <v>73.409090909090907</v>
      </c>
    </row>
    <row r="33" spans="1:14" s="561" customFormat="1">
      <c r="A33" s="560" t="s">
        <v>1717</v>
      </c>
      <c r="B33" s="564">
        <v>10000</v>
      </c>
      <c r="C33" s="560" t="s">
        <v>244</v>
      </c>
      <c r="D33" s="570">
        <v>0.1</v>
      </c>
      <c r="E33" s="570">
        <v>0.1</v>
      </c>
      <c r="F33" s="606">
        <v>0</v>
      </c>
      <c r="G33" s="606">
        <v>0</v>
      </c>
      <c r="H33" s="570">
        <v>0</v>
      </c>
      <c r="I33" s="570">
        <v>0.1</v>
      </c>
      <c r="J33" s="606">
        <v>0</v>
      </c>
      <c r="K33" s="606">
        <v>0</v>
      </c>
      <c r="L33" s="606">
        <v>0</v>
      </c>
      <c r="M33" s="570">
        <v>0.1</v>
      </c>
      <c r="N33" s="570">
        <v>100</v>
      </c>
    </row>
    <row r="34" spans="1:14" s="561" customFormat="1">
      <c r="A34" s="572" t="s">
        <v>230</v>
      </c>
      <c r="B34" s="560"/>
      <c r="C34" s="560"/>
      <c r="D34" s="573">
        <v>58.353340300000006</v>
      </c>
      <c r="E34" s="573">
        <v>24.174000000000003</v>
      </c>
      <c r="F34" s="573">
        <v>0</v>
      </c>
      <c r="G34" s="573">
        <v>0</v>
      </c>
      <c r="H34" s="573">
        <v>3.1002200000000002</v>
      </c>
      <c r="I34" s="573">
        <v>14.87607</v>
      </c>
      <c r="J34" s="573">
        <v>0</v>
      </c>
      <c r="K34" s="573">
        <v>0</v>
      </c>
      <c r="L34" s="573">
        <v>0</v>
      </c>
      <c r="M34" s="573">
        <v>17.976290000000002</v>
      </c>
      <c r="N34" s="573"/>
    </row>
    <row r="35" spans="1:14" s="561" customFormat="1">
      <c r="A35" s="562"/>
      <c r="D35" s="605"/>
      <c r="E35" s="605"/>
      <c r="F35" s="605"/>
      <c r="G35" s="605"/>
      <c r="H35" s="605"/>
      <c r="I35" s="605"/>
      <c r="J35" s="605"/>
      <c r="K35" s="605"/>
      <c r="L35" s="605"/>
      <c r="M35" s="605"/>
      <c r="N35" s="605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U42"/>
  <sheetViews>
    <sheetView workbookViewId="0">
      <selection activeCell="A4" sqref="A4:C4"/>
    </sheetView>
  </sheetViews>
  <sheetFormatPr defaultRowHeight="12.75"/>
  <cols>
    <col min="1" max="1" width="30.42578125" style="557" customWidth="1"/>
    <col min="2" max="10" width="9.140625" style="557"/>
    <col min="11" max="11" width="7.85546875" style="557" customWidth="1"/>
    <col min="12" max="256" width="9.140625" style="557"/>
    <col min="257" max="257" width="30.42578125" style="557" customWidth="1"/>
    <col min="258" max="266" width="9.140625" style="557"/>
    <col min="267" max="267" width="7.85546875" style="557" customWidth="1"/>
    <col min="268" max="512" width="9.140625" style="557"/>
    <col min="513" max="513" width="30.42578125" style="557" customWidth="1"/>
    <col min="514" max="522" width="9.140625" style="557"/>
    <col min="523" max="523" width="7.85546875" style="557" customWidth="1"/>
    <col min="524" max="768" width="9.140625" style="557"/>
    <col min="769" max="769" width="30.42578125" style="557" customWidth="1"/>
    <col min="770" max="778" width="9.140625" style="557"/>
    <col min="779" max="779" width="7.85546875" style="557" customWidth="1"/>
    <col min="780" max="1024" width="9.140625" style="557"/>
    <col min="1025" max="1025" width="30.42578125" style="557" customWidth="1"/>
    <col min="1026" max="1034" width="9.140625" style="557"/>
    <col min="1035" max="1035" width="7.85546875" style="557" customWidth="1"/>
    <col min="1036" max="1280" width="9.140625" style="557"/>
    <col min="1281" max="1281" width="30.42578125" style="557" customWidth="1"/>
    <col min="1282" max="1290" width="9.140625" style="557"/>
    <col min="1291" max="1291" width="7.85546875" style="557" customWidth="1"/>
    <col min="1292" max="1536" width="9.140625" style="557"/>
    <col min="1537" max="1537" width="30.42578125" style="557" customWidth="1"/>
    <col min="1538" max="1546" width="9.140625" style="557"/>
    <col min="1547" max="1547" width="7.85546875" style="557" customWidth="1"/>
    <col min="1548" max="1792" width="9.140625" style="557"/>
    <col min="1793" max="1793" width="30.42578125" style="557" customWidth="1"/>
    <col min="1794" max="1802" width="9.140625" style="557"/>
    <col min="1803" max="1803" width="7.85546875" style="557" customWidth="1"/>
    <col min="1804" max="2048" width="9.140625" style="557"/>
    <col min="2049" max="2049" width="30.42578125" style="557" customWidth="1"/>
    <col min="2050" max="2058" width="9.140625" style="557"/>
    <col min="2059" max="2059" width="7.85546875" style="557" customWidth="1"/>
    <col min="2060" max="2304" width="9.140625" style="557"/>
    <col min="2305" max="2305" width="30.42578125" style="557" customWidth="1"/>
    <col min="2306" max="2314" width="9.140625" style="557"/>
    <col min="2315" max="2315" width="7.85546875" style="557" customWidth="1"/>
    <col min="2316" max="2560" width="9.140625" style="557"/>
    <col min="2561" max="2561" width="30.42578125" style="557" customWidth="1"/>
    <col min="2562" max="2570" width="9.140625" style="557"/>
    <col min="2571" max="2571" width="7.85546875" style="557" customWidth="1"/>
    <col min="2572" max="2816" width="9.140625" style="557"/>
    <col min="2817" max="2817" width="30.42578125" style="557" customWidth="1"/>
    <col min="2818" max="2826" width="9.140625" style="557"/>
    <col min="2827" max="2827" width="7.85546875" style="557" customWidth="1"/>
    <col min="2828" max="3072" width="9.140625" style="557"/>
    <col min="3073" max="3073" width="30.42578125" style="557" customWidth="1"/>
    <col min="3074" max="3082" width="9.140625" style="557"/>
    <col min="3083" max="3083" width="7.85546875" style="557" customWidth="1"/>
    <col min="3084" max="3328" width="9.140625" style="557"/>
    <col min="3329" max="3329" width="30.42578125" style="557" customWidth="1"/>
    <col min="3330" max="3338" width="9.140625" style="557"/>
    <col min="3339" max="3339" width="7.85546875" style="557" customWidth="1"/>
    <col min="3340" max="3584" width="9.140625" style="557"/>
    <col min="3585" max="3585" width="30.42578125" style="557" customWidth="1"/>
    <col min="3586" max="3594" width="9.140625" style="557"/>
    <col min="3595" max="3595" width="7.85546875" style="557" customWidth="1"/>
    <col min="3596" max="3840" width="9.140625" style="557"/>
    <col min="3841" max="3841" width="30.42578125" style="557" customWidth="1"/>
    <col min="3842" max="3850" width="9.140625" style="557"/>
    <col min="3851" max="3851" width="7.85546875" style="557" customWidth="1"/>
    <col min="3852" max="4096" width="9.140625" style="557"/>
    <col min="4097" max="4097" width="30.42578125" style="557" customWidth="1"/>
    <col min="4098" max="4106" width="9.140625" style="557"/>
    <col min="4107" max="4107" width="7.85546875" style="557" customWidth="1"/>
    <col min="4108" max="4352" width="9.140625" style="557"/>
    <col min="4353" max="4353" width="30.42578125" style="557" customWidth="1"/>
    <col min="4354" max="4362" width="9.140625" style="557"/>
    <col min="4363" max="4363" width="7.85546875" style="557" customWidth="1"/>
    <col min="4364" max="4608" width="9.140625" style="557"/>
    <col min="4609" max="4609" width="30.42578125" style="557" customWidth="1"/>
    <col min="4610" max="4618" width="9.140625" style="557"/>
    <col min="4619" max="4619" width="7.85546875" style="557" customWidth="1"/>
    <col min="4620" max="4864" width="9.140625" style="557"/>
    <col min="4865" max="4865" width="30.42578125" style="557" customWidth="1"/>
    <col min="4866" max="4874" width="9.140625" style="557"/>
    <col min="4875" max="4875" width="7.85546875" style="557" customWidth="1"/>
    <col min="4876" max="5120" width="9.140625" style="557"/>
    <col min="5121" max="5121" width="30.42578125" style="557" customWidth="1"/>
    <col min="5122" max="5130" width="9.140625" style="557"/>
    <col min="5131" max="5131" width="7.85546875" style="557" customWidth="1"/>
    <col min="5132" max="5376" width="9.140625" style="557"/>
    <col min="5377" max="5377" width="30.42578125" style="557" customWidth="1"/>
    <col min="5378" max="5386" width="9.140625" style="557"/>
    <col min="5387" max="5387" width="7.85546875" style="557" customWidth="1"/>
    <col min="5388" max="5632" width="9.140625" style="557"/>
    <col min="5633" max="5633" width="30.42578125" style="557" customWidth="1"/>
    <col min="5634" max="5642" width="9.140625" style="557"/>
    <col min="5643" max="5643" width="7.85546875" style="557" customWidth="1"/>
    <col min="5644" max="5888" width="9.140625" style="557"/>
    <col min="5889" max="5889" width="30.42578125" style="557" customWidth="1"/>
    <col min="5890" max="5898" width="9.140625" style="557"/>
    <col min="5899" max="5899" width="7.85546875" style="557" customWidth="1"/>
    <col min="5900" max="6144" width="9.140625" style="557"/>
    <col min="6145" max="6145" width="30.42578125" style="557" customWidth="1"/>
    <col min="6146" max="6154" width="9.140625" style="557"/>
    <col min="6155" max="6155" width="7.85546875" style="557" customWidth="1"/>
    <col min="6156" max="6400" width="9.140625" style="557"/>
    <col min="6401" max="6401" width="30.42578125" style="557" customWidth="1"/>
    <col min="6402" max="6410" width="9.140625" style="557"/>
    <col min="6411" max="6411" width="7.85546875" style="557" customWidth="1"/>
    <col min="6412" max="6656" width="9.140625" style="557"/>
    <col min="6657" max="6657" width="30.42578125" style="557" customWidth="1"/>
    <col min="6658" max="6666" width="9.140625" style="557"/>
    <col min="6667" max="6667" width="7.85546875" style="557" customWidth="1"/>
    <col min="6668" max="6912" width="9.140625" style="557"/>
    <col min="6913" max="6913" width="30.42578125" style="557" customWidth="1"/>
    <col min="6914" max="6922" width="9.140625" style="557"/>
    <col min="6923" max="6923" width="7.85546875" style="557" customWidth="1"/>
    <col min="6924" max="7168" width="9.140625" style="557"/>
    <col min="7169" max="7169" width="30.42578125" style="557" customWidth="1"/>
    <col min="7170" max="7178" width="9.140625" style="557"/>
    <col min="7179" max="7179" width="7.85546875" style="557" customWidth="1"/>
    <col min="7180" max="7424" width="9.140625" style="557"/>
    <col min="7425" max="7425" width="30.42578125" style="557" customWidth="1"/>
    <col min="7426" max="7434" width="9.140625" style="557"/>
    <col min="7435" max="7435" width="7.85546875" style="557" customWidth="1"/>
    <col min="7436" max="7680" width="9.140625" style="557"/>
    <col min="7681" max="7681" width="30.42578125" style="557" customWidth="1"/>
    <col min="7682" max="7690" width="9.140625" style="557"/>
    <col min="7691" max="7691" width="7.85546875" style="557" customWidth="1"/>
    <col min="7692" max="7936" width="9.140625" style="557"/>
    <col min="7937" max="7937" width="30.42578125" style="557" customWidth="1"/>
    <col min="7938" max="7946" width="9.140625" style="557"/>
    <col min="7947" max="7947" width="7.85546875" style="557" customWidth="1"/>
    <col min="7948" max="8192" width="9.140625" style="557"/>
    <col min="8193" max="8193" width="30.42578125" style="557" customWidth="1"/>
    <col min="8194" max="8202" width="9.140625" style="557"/>
    <col min="8203" max="8203" width="7.85546875" style="557" customWidth="1"/>
    <col min="8204" max="8448" width="9.140625" style="557"/>
    <col min="8449" max="8449" width="30.42578125" style="557" customWidth="1"/>
    <col min="8450" max="8458" width="9.140625" style="557"/>
    <col min="8459" max="8459" width="7.85546875" style="557" customWidth="1"/>
    <col min="8460" max="8704" width="9.140625" style="557"/>
    <col min="8705" max="8705" width="30.42578125" style="557" customWidth="1"/>
    <col min="8706" max="8714" width="9.140625" style="557"/>
    <col min="8715" max="8715" width="7.85546875" style="557" customWidth="1"/>
    <col min="8716" max="8960" width="9.140625" style="557"/>
    <col min="8961" max="8961" width="30.42578125" style="557" customWidth="1"/>
    <col min="8962" max="8970" width="9.140625" style="557"/>
    <col min="8971" max="8971" width="7.85546875" style="557" customWidth="1"/>
    <col min="8972" max="9216" width="9.140625" style="557"/>
    <col min="9217" max="9217" width="30.42578125" style="557" customWidth="1"/>
    <col min="9218" max="9226" width="9.140625" style="557"/>
    <col min="9227" max="9227" width="7.85546875" style="557" customWidth="1"/>
    <col min="9228" max="9472" width="9.140625" style="557"/>
    <col min="9473" max="9473" width="30.42578125" style="557" customWidth="1"/>
    <col min="9474" max="9482" width="9.140625" style="557"/>
    <col min="9483" max="9483" width="7.85546875" style="557" customWidth="1"/>
    <col min="9484" max="9728" width="9.140625" style="557"/>
    <col min="9729" max="9729" width="30.42578125" style="557" customWidth="1"/>
    <col min="9730" max="9738" width="9.140625" style="557"/>
    <col min="9739" max="9739" width="7.85546875" style="557" customWidth="1"/>
    <col min="9740" max="9984" width="9.140625" style="557"/>
    <col min="9985" max="9985" width="30.42578125" style="557" customWidth="1"/>
    <col min="9986" max="9994" width="9.140625" style="557"/>
    <col min="9995" max="9995" width="7.85546875" style="557" customWidth="1"/>
    <col min="9996" max="10240" width="9.140625" style="557"/>
    <col min="10241" max="10241" width="30.42578125" style="557" customWidth="1"/>
    <col min="10242" max="10250" width="9.140625" style="557"/>
    <col min="10251" max="10251" width="7.85546875" style="557" customWidth="1"/>
    <col min="10252" max="10496" width="9.140625" style="557"/>
    <col min="10497" max="10497" width="30.42578125" style="557" customWidth="1"/>
    <col min="10498" max="10506" width="9.140625" style="557"/>
    <col min="10507" max="10507" width="7.85546875" style="557" customWidth="1"/>
    <col min="10508" max="10752" width="9.140625" style="557"/>
    <col min="10753" max="10753" width="30.42578125" style="557" customWidth="1"/>
    <col min="10754" max="10762" width="9.140625" style="557"/>
    <col min="10763" max="10763" width="7.85546875" style="557" customWidth="1"/>
    <col min="10764" max="11008" width="9.140625" style="557"/>
    <col min="11009" max="11009" width="30.42578125" style="557" customWidth="1"/>
    <col min="11010" max="11018" width="9.140625" style="557"/>
    <col min="11019" max="11019" width="7.85546875" style="557" customWidth="1"/>
    <col min="11020" max="11264" width="9.140625" style="557"/>
    <col min="11265" max="11265" width="30.42578125" style="557" customWidth="1"/>
    <col min="11266" max="11274" width="9.140625" style="557"/>
    <col min="11275" max="11275" width="7.85546875" style="557" customWidth="1"/>
    <col min="11276" max="11520" width="9.140625" style="557"/>
    <col min="11521" max="11521" width="30.42578125" style="557" customWidth="1"/>
    <col min="11522" max="11530" width="9.140625" style="557"/>
    <col min="11531" max="11531" width="7.85546875" style="557" customWidth="1"/>
    <col min="11532" max="11776" width="9.140625" style="557"/>
    <col min="11777" max="11777" width="30.42578125" style="557" customWidth="1"/>
    <col min="11778" max="11786" width="9.140625" style="557"/>
    <col min="11787" max="11787" width="7.85546875" style="557" customWidth="1"/>
    <col min="11788" max="12032" width="9.140625" style="557"/>
    <col min="12033" max="12033" width="30.42578125" style="557" customWidth="1"/>
    <col min="12034" max="12042" width="9.140625" style="557"/>
    <col min="12043" max="12043" width="7.85546875" style="557" customWidth="1"/>
    <col min="12044" max="12288" width="9.140625" style="557"/>
    <col min="12289" max="12289" width="30.42578125" style="557" customWidth="1"/>
    <col min="12290" max="12298" width="9.140625" style="557"/>
    <col min="12299" max="12299" width="7.85546875" style="557" customWidth="1"/>
    <col min="12300" max="12544" width="9.140625" style="557"/>
    <col min="12545" max="12545" width="30.42578125" style="557" customWidth="1"/>
    <col min="12546" max="12554" width="9.140625" style="557"/>
    <col min="12555" max="12555" width="7.85546875" style="557" customWidth="1"/>
    <col min="12556" max="12800" width="9.140625" style="557"/>
    <col min="12801" max="12801" width="30.42578125" style="557" customWidth="1"/>
    <col min="12802" max="12810" width="9.140625" style="557"/>
    <col min="12811" max="12811" width="7.85546875" style="557" customWidth="1"/>
    <col min="12812" max="13056" width="9.140625" style="557"/>
    <col min="13057" max="13057" width="30.42578125" style="557" customWidth="1"/>
    <col min="13058" max="13066" width="9.140625" style="557"/>
    <col min="13067" max="13067" width="7.85546875" style="557" customWidth="1"/>
    <col min="13068" max="13312" width="9.140625" style="557"/>
    <col min="13313" max="13313" width="30.42578125" style="557" customWidth="1"/>
    <col min="13314" max="13322" width="9.140625" style="557"/>
    <col min="13323" max="13323" width="7.85546875" style="557" customWidth="1"/>
    <col min="13324" max="13568" width="9.140625" style="557"/>
    <col min="13569" max="13569" width="30.42578125" style="557" customWidth="1"/>
    <col min="13570" max="13578" width="9.140625" style="557"/>
    <col min="13579" max="13579" width="7.85546875" style="557" customWidth="1"/>
    <col min="13580" max="13824" width="9.140625" style="557"/>
    <col min="13825" max="13825" width="30.42578125" style="557" customWidth="1"/>
    <col min="13826" max="13834" width="9.140625" style="557"/>
    <col min="13835" max="13835" width="7.85546875" style="557" customWidth="1"/>
    <col min="13836" max="14080" width="9.140625" style="557"/>
    <col min="14081" max="14081" width="30.42578125" style="557" customWidth="1"/>
    <col min="14082" max="14090" width="9.140625" style="557"/>
    <col min="14091" max="14091" width="7.85546875" style="557" customWidth="1"/>
    <col min="14092" max="14336" width="9.140625" style="557"/>
    <col min="14337" max="14337" width="30.42578125" style="557" customWidth="1"/>
    <col min="14338" max="14346" width="9.140625" style="557"/>
    <col min="14347" max="14347" width="7.85546875" style="557" customWidth="1"/>
    <col min="14348" max="14592" width="9.140625" style="557"/>
    <col min="14593" max="14593" width="30.42578125" style="557" customWidth="1"/>
    <col min="14594" max="14602" width="9.140625" style="557"/>
    <col min="14603" max="14603" width="7.85546875" style="557" customWidth="1"/>
    <col min="14604" max="14848" width="9.140625" style="557"/>
    <col min="14849" max="14849" width="30.42578125" style="557" customWidth="1"/>
    <col min="14850" max="14858" width="9.140625" style="557"/>
    <col min="14859" max="14859" width="7.85546875" style="557" customWidth="1"/>
    <col min="14860" max="15104" width="9.140625" style="557"/>
    <col min="15105" max="15105" width="30.42578125" style="557" customWidth="1"/>
    <col min="15106" max="15114" width="9.140625" style="557"/>
    <col min="15115" max="15115" width="7.85546875" style="557" customWidth="1"/>
    <col min="15116" max="15360" width="9.140625" style="557"/>
    <col min="15361" max="15361" width="30.42578125" style="557" customWidth="1"/>
    <col min="15362" max="15370" width="9.140625" style="557"/>
    <col min="15371" max="15371" width="7.85546875" style="557" customWidth="1"/>
    <col min="15372" max="15616" width="9.140625" style="557"/>
    <col min="15617" max="15617" width="30.42578125" style="557" customWidth="1"/>
    <col min="15618" max="15626" width="9.140625" style="557"/>
    <col min="15627" max="15627" width="7.85546875" style="557" customWidth="1"/>
    <col min="15628" max="15872" width="9.140625" style="557"/>
    <col min="15873" max="15873" width="30.42578125" style="557" customWidth="1"/>
    <col min="15874" max="15882" width="9.140625" style="557"/>
    <col min="15883" max="15883" width="7.85546875" style="557" customWidth="1"/>
    <col min="15884" max="16128" width="9.140625" style="557"/>
    <col min="16129" max="16129" width="30.42578125" style="557" customWidth="1"/>
    <col min="16130" max="16138" width="9.140625" style="557"/>
    <col min="16139" max="16139" width="7.85546875" style="557" customWidth="1"/>
    <col min="16140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353" t="s">
        <v>2169</v>
      </c>
      <c r="C3" s="1353"/>
      <c r="D3" s="1353"/>
      <c r="E3" s="1353"/>
      <c r="F3" s="558" t="s">
        <v>171</v>
      </c>
      <c r="H3" s="1380" t="s">
        <v>2170</v>
      </c>
      <c r="I3" s="1380"/>
      <c r="J3" s="558" t="s">
        <v>172</v>
      </c>
      <c r="K3" s="559">
        <v>371.92899999999997</v>
      </c>
      <c r="L3" s="558" t="s">
        <v>436</v>
      </c>
      <c r="N3" s="559" t="s">
        <v>2171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354" t="s">
        <v>2172</v>
      </c>
      <c r="C5" s="1354"/>
      <c r="D5" s="1354"/>
      <c r="E5" s="1354"/>
      <c r="F5" s="558" t="s">
        <v>176</v>
      </c>
      <c r="H5" s="1354" t="s">
        <v>2038</v>
      </c>
      <c r="I5" s="1354"/>
      <c r="J5" s="1354"/>
    </row>
    <row r="7" spans="1:14" ht="13.5">
      <c r="A7" s="558" t="s">
        <v>178</v>
      </c>
      <c r="B7" s="1355" t="s">
        <v>2173</v>
      </c>
      <c r="C7" s="1356"/>
      <c r="D7" s="1356"/>
      <c r="E7" s="1357"/>
      <c r="F7" s="1197" t="s">
        <v>1696</v>
      </c>
      <c r="G7" s="1197"/>
      <c r="H7" s="1354" t="s">
        <v>2174</v>
      </c>
      <c r="I7" s="1354"/>
      <c r="J7" s="1354"/>
      <c r="K7" s="1354"/>
    </row>
    <row r="8" spans="1:14">
      <c r="F8" s="1197"/>
      <c r="G8" s="1197"/>
      <c r="H8" s="1354"/>
      <c r="I8" s="1354"/>
      <c r="J8" s="1354"/>
      <c r="K8" s="1354"/>
    </row>
    <row r="10" spans="1:14" s="561" customFormat="1">
      <c r="A10" s="560" t="s">
        <v>1697</v>
      </c>
      <c r="B10" s="1364" t="s">
        <v>2175</v>
      </c>
      <c r="C10" s="1364"/>
      <c r="D10" s="1364" t="s">
        <v>2176</v>
      </c>
      <c r="E10" s="1364"/>
      <c r="F10" s="1364"/>
      <c r="G10" s="1364"/>
      <c r="H10" s="1364"/>
      <c r="I10" s="1364"/>
      <c r="J10" s="1364"/>
      <c r="K10" s="1364"/>
      <c r="L10" s="1364"/>
      <c r="M10" s="1364"/>
    </row>
    <row r="11" spans="1:14" s="561" customFormat="1">
      <c r="A11" s="560" t="s">
        <v>1702</v>
      </c>
      <c r="B11" s="1365" t="s">
        <v>2177</v>
      </c>
      <c r="C11" s="1365"/>
      <c r="D11" s="1365" t="s">
        <v>2178</v>
      </c>
      <c r="E11" s="1365"/>
      <c r="F11" s="1365"/>
      <c r="G11" s="1364"/>
      <c r="H11" s="1364"/>
      <c r="I11" s="1364"/>
      <c r="J11" s="1364"/>
      <c r="K11" s="1364"/>
      <c r="L11" s="1364"/>
      <c r="M11" s="1364"/>
    </row>
    <row r="12" spans="1:14" s="561" customFormat="1">
      <c r="A12" s="560" t="s">
        <v>1707</v>
      </c>
      <c r="B12" s="1365" t="s">
        <v>2179</v>
      </c>
      <c r="C12" s="1365"/>
      <c r="D12" s="1365" t="s">
        <v>2180</v>
      </c>
      <c r="E12" s="1365"/>
      <c r="F12" s="1365"/>
      <c r="G12" s="1373" t="s">
        <v>2181</v>
      </c>
      <c r="H12" s="1379"/>
      <c r="I12" s="1374"/>
      <c r="J12" s="1373" t="s">
        <v>2182</v>
      </c>
      <c r="K12" s="1379"/>
      <c r="L12" s="1379"/>
      <c r="M12" s="1374"/>
    </row>
    <row r="13" spans="1:14" s="561" customFormat="1">
      <c r="A13" s="560" t="s">
        <v>197</v>
      </c>
      <c r="B13" s="1364"/>
      <c r="C13" s="1364"/>
      <c r="D13" s="1364"/>
      <c r="E13" s="1364"/>
      <c r="F13" s="1364"/>
      <c r="G13" s="1364"/>
      <c r="H13" s="1364"/>
      <c r="I13" s="1364"/>
      <c r="J13" s="1364"/>
      <c r="K13" s="1364"/>
      <c r="L13" s="1364"/>
      <c r="M13" s="1364"/>
    </row>
    <row r="14" spans="1:14" s="561" customFormat="1">
      <c r="A14" s="562"/>
    </row>
    <row r="15" spans="1:14" s="561" customFormat="1">
      <c r="A15" s="562" t="s">
        <v>1356</v>
      </c>
      <c r="B15" s="600">
        <v>2</v>
      </c>
      <c r="C15" s="1203" t="s">
        <v>1490</v>
      </c>
      <c r="D15" s="1197"/>
      <c r="E15" s="1197"/>
      <c r="F15" s="600">
        <v>2</v>
      </c>
      <c r="G15" s="562" t="s">
        <v>1712</v>
      </c>
      <c r="H15" s="600">
        <v>4</v>
      </c>
      <c r="I15" s="562" t="s">
        <v>1492</v>
      </c>
      <c r="J15" s="600">
        <v>1</v>
      </c>
      <c r="K15" s="562" t="s">
        <v>1386</v>
      </c>
      <c r="L15" s="600">
        <v>4</v>
      </c>
    </row>
    <row r="16" spans="1:14" s="561" customFormat="1">
      <c r="A16" s="562"/>
    </row>
    <row r="17" spans="1:20" s="562" customFormat="1">
      <c r="A17" s="562" t="s">
        <v>203</v>
      </c>
      <c r="B17" s="562" t="s">
        <v>204</v>
      </c>
      <c r="C17" s="560">
        <v>38</v>
      </c>
      <c r="D17" s="562" t="s">
        <v>205</v>
      </c>
      <c r="E17" s="560">
        <v>24</v>
      </c>
      <c r="F17" s="562" t="s">
        <v>206</v>
      </c>
      <c r="G17" s="560"/>
      <c r="H17" s="562" t="s">
        <v>230</v>
      </c>
      <c r="I17" s="564">
        <v>62</v>
      </c>
      <c r="J17" s="562" t="s">
        <v>207</v>
      </c>
      <c r="K17" s="560">
        <v>7</v>
      </c>
      <c r="L17" s="1203" t="s">
        <v>1360</v>
      </c>
      <c r="M17" s="1204"/>
      <c r="N17" s="560">
        <v>17</v>
      </c>
    </row>
    <row r="18" spans="1:20" s="562" customFormat="1">
      <c r="A18" s="562" t="s">
        <v>209</v>
      </c>
      <c r="B18" s="562" t="s">
        <v>210</v>
      </c>
      <c r="C18" s="560">
        <v>94</v>
      </c>
      <c r="D18" s="562" t="s">
        <v>211</v>
      </c>
      <c r="E18" s="560">
        <v>18</v>
      </c>
      <c r="F18" s="562" t="s">
        <v>212</v>
      </c>
      <c r="G18" s="560"/>
      <c r="H18" s="562" t="s">
        <v>411</v>
      </c>
      <c r="I18" s="564">
        <v>112</v>
      </c>
    </row>
    <row r="19" spans="1:20" s="562" customFormat="1" ht="25.5">
      <c r="B19" s="562" t="s">
        <v>213</v>
      </c>
      <c r="C19" s="560">
        <v>98</v>
      </c>
      <c r="D19" s="562" t="s">
        <v>214</v>
      </c>
      <c r="E19" s="560">
        <v>18</v>
      </c>
      <c r="F19" s="562" t="s">
        <v>215</v>
      </c>
      <c r="G19" s="560"/>
      <c r="H19" s="562" t="s">
        <v>410</v>
      </c>
      <c r="I19" s="564">
        <v>116</v>
      </c>
    </row>
    <row r="20" spans="1:20" s="562" customFormat="1"/>
    <row r="21" spans="1:20" s="561" customFormat="1">
      <c r="A21" s="567" t="s">
        <v>216</v>
      </c>
    </row>
    <row r="22" spans="1:20" s="561" customFormat="1">
      <c r="A22" s="562"/>
    </row>
    <row r="23" spans="1:20" s="561" customForma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20" s="561" customFormat="1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20" s="561" customFormat="1">
      <c r="A25" s="560" t="s">
        <v>232</v>
      </c>
      <c r="B25" s="564">
        <v>8000</v>
      </c>
      <c r="C25" s="560" t="s">
        <v>233</v>
      </c>
      <c r="D25" s="570">
        <v>29.75432</v>
      </c>
      <c r="E25" s="570">
        <v>11.9</v>
      </c>
      <c r="F25" s="614">
        <v>0</v>
      </c>
      <c r="G25" s="614">
        <v>0</v>
      </c>
      <c r="H25" s="570">
        <v>0.18496000000000001</v>
      </c>
      <c r="I25" s="570">
        <v>6.9274500000000003</v>
      </c>
      <c r="J25" s="614">
        <v>0</v>
      </c>
      <c r="K25" s="614">
        <v>0</v>
      </c>
      <c r="L25" s="614">
        <v>0</v>
      </c>
      <c r="M25" s="570">
        <v>7.1124100000000006</v>
      </c>
      <c r="N25" s="570">
        <v>59.768151260504212</v>
      </c>
      <c r="O25" s="605"/>
      <c r="P25" s="605"/>
      <c r="Q25" s="605"/>
      <c r="R25" s="605"/>
      <c r="S25" s="605"/>
      <c r="T25" s="605"/>
    </row>
    <row r="26" spans="1:20" s="561" customFormat="1">
      <c r="A26" s="560" t="s">
        <v>2114</v>
      </c>
      <c r="B26" s="564">
        <v>7000</v>
      </c>
      <c r="C26" s="560" t="s">
        <v>233</v>
      </c>
      <c r="D26" s="570">
        <v>2.1571881999999998</v>
      </c>
      <c r="E26" s="570">
        <v>0</v>
      </c>
      <c r="F26" s="614">
        <v>0</v>
      </c>
      <c r="G26" s="614">
        <v>0</v>
      </c>
      <c r="H26" s="570">
        <v>0</v>
      </c>
      <c r="I26" s="570">
        <v>0</v>
      </c>
      <c r="J26" s="614">
        <v>0</v>
      </c>
      <c r="K26" s="614">
        <v>0</v>
      </c>
      <c r="L26" s="614">
        <v>0</v>
      </c>
      <c r="M26" s="570">
        <v>0</v>
      </c>
      <c r="N26" s="570"/>
      <c r="O26" s="605"/>
      <c r="P26" s="605"/>
      <c r="Q26" s="605"/>
      <c r="R26" s="605"/>
      <c r="S26" s="605"/>
      <c r="T26" s="605"/>
    </row>
    <row r="27" spans="1:20" s="561" customFormat="1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0.18</v>
      </c>
      <c r="F27" s="614">
        <v>0</v>
      </c>
      <c r="G27" s="614">
        <v>0</v>
      </c>
      <c r="H27" s="570">
        <v>0</v>
      </c>
      <c r="I27" s="570">
        <v>0.18</v>
      </c>
      <c r="J27" s="614">
        <v>0</v>
      </c>
      <c r="K27" s="614">
        <v>0</v>
      </c>
      <c r="L27" s="614">
        <v>0</v>
      </c>
      <c r="M27" s="570">
        <v>0.18</v>
      </c>
      <c r="N27" s="570">
        <v>100</v>
      </c>
      <c r="O27" s="605"/>
      <c r="P27" s="605"/>
      <c r="Q27" s="605"/>
      <c r="R27" s="605"/>
      <c r="S27" s="605"/>
      <c r="T27" s="605"/>
    </row>
    <row r="28" spans="1:20" s="561" customFormat="1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0.16</v>
      </c>
      <c r="F28" s="614">
        <v>0</v>
      </c>
      <c r="G28" s="614">
        <v>0</v>
      </c>
      <c r="H28" s="570">
        <v>0.16</v>
      </c>
      <c r="I28" s="570">
        <v>0</v>
      </c>
      <c r="J28" s="614">
        <v>0</v>
      </c>
      <c r="K28" s="614">
        <v>0</v>
      </c>
      <c r="L28" s="614">
        <v>0</v>
      </c>
      <c r="M28" s="570">
        <v>0.16</v>
      </c>
      <c r="N28" s="570">
        <v>100</v>
      </c>
      <c r="O28" s="605"/>
      <c r="P28" s="605"/>
      <c r="Q28" s="605"/>
      <c r="R28" s="605"/>
      <c r="S28" s="605"/>
      <c r="T28" s="605"/>
    </row>
    <row r="29" spans="1:20" s="561" customFormat="1">
      <c r="A29" s="560" t="s">
        <v>238</v>
      </c>
      <c r="B29" s="564">
        <v>1200</v>
      </c>
      <c r="C29" s="560" t="s">
        <v>233</v>
      </c>
      <c r="D29" s="570">
        <v>4.4631479999999994</v>
      </c>
      <c r="E29" s="570">
        <v>2</v>
      </c>
      <c r="F29" s="614">
        <v>0</v>
      </c>
      <c r="G29" s="614">
        <v>0</v>
      </c>
      <c r="H29" s="570">
        <v>0</v>
      </c>
      <c r="I29" s="570">
        <v>1</v>
      </c>
      <c r="J29" s="614">
        <v>0</v>
      </c>
      <c r="K29" s="614">
        <v>0</v>
      </c>
      <c r="L29" s="614">
        <v>0</v>
      </c>
      <c r="M29" s="570">
        <v>1</v>
      </c>
      <c r="N29" s="570">
        <v>50</v>
      </c>
      <c r="O29" s="605"/>
      <c r="P29" s="605"/>
      <c r="Q29" s="605"/>
      <c r="R29" s="605"/>
      <c r="S29" s="605"/>
      <c r="T29" s="605"/>
    </row>
    <row r="30" spans="1:20" s="561" customFormat="1">
      <c r="A30" s="560" t="s">
        <v>667</v>
      </c>
      <c r="B30" s="564">
        <v>565</v>
      </c>
      <c r="C30" s="560" t="s">
        <v>233</v>
      </c>
      <c r="D30" s="570">
        <v>2.1013988499999998</v>
      </c>
      <c r="E30" s="570">
        <v>2.0456099999999999</v>
      </c>
      <c r="F30" s="614">
        <v>0</v>
      </c>
      <c r="G30" s="614">
        <v>0</v>
      </c>
      <c r="H30" s="570">
        <v>2.0456099999999999</v>
      </c>
      <c r="I30" s="570">
        <v>0</v>
      </c>
      <c r="J30" s="614">
        <v>0</v>
      </c>
      <c r="K30" s="614">
        <v>0</v>
      </c>
      <c r="L30" s="614">
        <v>0</v>
      </c>
      <c r="M30" s="570">
        <v>2.0456099999999999</v>
      </c>
      <c r="N30" s="570">
        <v>100</v>
      </c>
      <c r="O30" s="605"/>
      <c r="P30" s="605"/>
      <c r="Q30" s="605"/>
      <c r="R30" s="605"/>
      <c r="S30" s="605"/>
      <c r="T30" s="605"/>
    </row>
    <row r="31" spans="1:20" s="561" customFormat="1">
      <c r="A31" s="560" t="s">
        <v>240</v>
      </c>
      <c r="B31" s="564">
        <v>1000</v>
      </c>
      <c r="C31" s="560" t="s">
        <v>233</v>
      </c>
      <c r="D31" s="570">
        <v>3.71929</v>
      </c>
      <c r="E31" s="570">
        <v>0</v>
      </c>
      <c r="F31" s="614">
        <v>0</v>
      </c>
      <c r="G31" s="614">
        <v>0</v>
      </c>
      <c r="H31" s="570">
        <v>0</v>
      </c>
      <c r="I31" s="570">
        <v>0</v>
      </c>
      <c r="J31" s="614">
        <v>0</v>
      </c>
      <c r="K31" s="614">
        <v>0</v>
      </c>
      <c r="L31" s="614">
        <v>0</v>
      </c>
      <c r="M31" s="570">
        <v>0</v>
      </c>
      <c r="N31" s="570">
        <v>0</v>
      </c>
      <c r="O31" s="605"/>
      <c r="P31" s="605"/>
      <c r="Q31" s="605"/>
      <c r="R31" s="605"/>
      <c r="S31" s="605"/>
      <c r="T31" s="605"/>
    </row>
    <row r="32" spans="1:20" s="561" customFormat="1">
      <c r="A32" s="560" t="s">
        <v>394</v>
      </c>
      <c r="B32" s="564">
        <v>2750</v>
      </c>
      <c r="C32" s="560" t="s">
        <v>1716</v>
      </c>
      <c r="D32" s="570">
        <v>2.1</v>
      </c>
      <c r="E32" s="570">
        <v>0.44000000000000006</v>
      </c>
      <c r="F32" s="614">
        <v>0</v>
      </c>
      <c r="G32" s="614">
        <v>0</v>
      </c>
      <c r="H32" s="570">
        <v>9.999999999999995E-3</v>
      </c>
      <c r="I32" s="570">
        <v>0.3</v>
      </c>
      <c r="J32" s="614">
        <v>0</v>
      </c>
      <c r="K32" s="614">
        <v>0</v>
      </c>
      <c r="L32" s="614">
        <v>0</v>
      </c>
      <c r="M32" s="570">
        <v>0.31</v>
      </c>
      <c r="N32" s="570">
        <v>70.454545454545453</v>
      </c>
      <c r="O32" s="605"/>
      <c r="P32" s="605"/>
      <c r="Q32" s="605"/>
      <c r="R32" s="605"/>
      <c r="S32" s="605"/>
      <c r="T32" s="605"/>
    </row>
    <row r="33" spans="1:21" s="561" customFormat="1">
      <c r="A33" s="560" t="s">
        <v>1717</v>
      </c>
      <c r="B33" s="564">
        <v>10000</v>
      </c>
      <c r="C33" s="560" t="s">
        <v>244</v>
      </c>
      <c r="D33" s="570">
        <v>0.1</v>
      </c>
      <c r="E33" s="570">
        <v>0.1</v>
      </c>
      <c r="F33" s="614">
        <v>0</v>
      </c>
      <c r="G33" s="614">
        <v>0</v>
      </c>
      <c r="H33" s="570">
        <v>0.1</v>
      </c>
      <c r="I33" s="570">
        <v>0</v>
      </c>
      <c r="J33" s="614">
        <v>0</v>
      </c>
      <c r="K33" s="614">
        <v>0</v>
      </c>
      <c r="L33" s="614">
        <v>0</v>
      </c>
      <c r="M33" s="570">
        <v>0.1</v>
      </c>
      <c r="N33" s="570">
        <v>100</v>
      </c>
      <c r="O33" s="605"/>
      <c r="P33" s="605"/>
      <c r="Q33" s="605"/>
      <c r="R33" s="605"/>
      <c r="S33" s="605"/>
      <c r="T33" s="605"/>
    </row>
    <row r="34" spans="1:21" s="561" customFormat="1">
      <c r="A34" s="572" t="s">
        <v>230</v>
      </c>
      <c r="B34" s="560"/>
      <c r="C34" s="560"/>
      <c r="D34" s="573">
        <v>45.165345050000006</v>
      </c>
      <c r="E34" s="573">
        <v>16.825610000000001</v>
      </c>
      <c r="F34" s="573">
        <v>0</v>
      </c>
      <c r="G34" s="573">
        <v>0</v>
      </c>
      <c r="H34" s="573">
        <v>2.5005699999999997</v>
      </c>
      <c r="I34" s="573">
        <v>8.4074500000000008</v>
      </c>
      <c r="J34" s="573">
        <v>0</v>
      </c>
      <c r="K34" s="573">
        <v>0</v>
      </c>
      <c r="L34" s="573">
        <v>0</v>
      </c>
      <c r="M34" s="573">
        <v>10.90802</v>
      </c>
      <c r="N34" s="573"/>
      <c r="O34" s="613"/>
      <c r="P34" s="613"/>
      <c r="Q34" s="613"/>
      <c r="R34" s="613"/>
      <c r="S34" s="613"/>
      <c r="T34" s="613"/>
      <c r="U34" s="608"/>
    </row>
    <row r="35" spans="1:21" s="561" customFormat="1">
      <c r="A35" s="562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  <c r="Q35" s="608"/>
      <c r="R35" s="608"/>
      <c r="S35" s="608"/>
      <c r="T35" s="608"/>
      <c r="U35" s="608"/>
    </row>
    <row r="42" spans="1:21">
      <c r="G42" s="615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1" orientation="landscape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>
  <sheetPr>
    <tabColor indexed="12"/>
    <pageSetUpPr fitToPage="1"/>
  </sheetPr>
  <dimension ref="A1:U35"/>
  <sheetViews>
    <sheetView workbookViewId="0">
      <selection activeCell="A4" sqref="A4:C4"/>
    </sheetView>
  </sheetViews>
  <sheetFormatPr defaultRowHeight="12.75"/>
  <cols>
    <col min="1" max="1" width="30.42578125" style="557" customWidth="1"/>
    <col min="2" max="256" width="9.140625" style="557"/>
    <col min="257" max="257" width="30.42578125" style="557" customWidth="1"/>
    <col min="258" max="512" width="9.140625" style="557"/>
    <col min="513" max="513" width="30.42578125" style="557" customWidth="1"/>
    <col min="514" max="768" width="9.140625" style="557"/>
    <col min="769" max="769" width="30.42578125" style="557" customWidth="1"/>
    <col min="770" max="1024" width="9.140625" style="557"/>
    <col min="1025" max="1025" width="30.42578125" style="557" customWidth="1"/>
    <col min="1026" max="1280" width="9.140625" style="557"/>
    <col min="1281" max="1281" width="30.42578125" style="557" customWidth="1"/>
    <col min="1282" max="1536" width="9.140625" style="557"/>
    <col min="1537" max="1537" width="30.42578125" style="557" customWidth="1"/>
    <col min="1538" max="1792" width="9.140625" style="557"/>
    <col min="1793" max="1793" width="30.42578125" style="557" customWidth="1"/>
    <col min="1794" max="2048" width="9.140625" style="557"/>
    <col min="2049" max="2049" width="30.42578125" style="557" customWidth="1"/>
    <col min="2050" max="2304" width="9.140625" style="557"/>
    <col min="2305" max="2305" width="30.42578125" style="557" customWidth="1"/>
    <col min="2306" max="2560" width="9.140625" style="557"/>
    <col min="2561" max="2561" width="30.42578125" style="557" customWidth="1"/>
    <col min="2562" max="2816" width="9.140625" style="557"/>
    <col min="2817" max="2817" width="30.42578125" style="557" customWidth="1"/>
    <col min="2818" max="3072" width="9.140625" style="557"/>
    <col min="3073" max="3073" width="30.42578125" style="557" customWidth="1"/>
    <col min="3074" max="3328" width="9.140625" style="557"/>
    <col min="3329" max="3329" width="30.42578125" style="557" customWidth="1"/>
    <col min="3330" max="3584" width="9.140625" style="557"/>
    <col min="3585" max="3585" width="30.42578125" style="557" customWidth="1"/>
    <col min="3586" max="3840" width="9.140625" style="557"/>
    <col min="3841" max="3841" width="30.42578125" style="557" customWidth="1"/>
    <col min="3842" max="4096" width="9.140625" style="557"/>
    <col min="4097" max="4097" width="30.42578125" style="557" customWidth="1"/>
    <col min="4098" max="4352" width="9.140625" style="557"/>
    <col min="4353" max="4353" width="30.42578125" style="557" customWidth="1"/>
    <col min="4354" max="4608" width="9.140625" style="557"/>
    <col min="4609" max="4609" width="30.42578125" style="557" customWidth="1"/>
    <col min="4610" max="4864" width="9.140625" style="557"/>
    <col min="4865" max="4865" width="30.42578125" style="557" customWidth="1"/>
    <col min="4866" max="5120" width="9.140625" style="557"/>
    <col min="5121" max="5121" width="30.42578125" style="557" customWidth="1"/>
    <col min="5122" max="5376" width="9.140625" style="557"/>
    <col min="5377" max="5377" width="30.42578125" style="557" customWidth="1"/>
    <col min="5378" max="5632" width="9.140625" style="557"/>
    <col min="5633" max="5633" width="30.42578125" style="557" customWidth="1"/>
    <col min="5634" max="5888" width="9.140625" style="557"/>
    <col min="5889" max="5889" width="30.42578125" style="557" customWidth="1"/>
    <col min="5890" max="6144" width="9.140625" style="557"/>
    <col min="6145" max="6145" width="30.42578125" style="557" customWidth="1"/>
    <col min="6146" max="6400" width="9.140625" style="557"/>
    <col min="6401" max="6401" width="30.42578125" style="557" customWidth="1"/>
    <col min="6402" max="6656" width="9.140625" style="557"/>
    <col min="6657" max="6657" width="30.42578125" style="557" customWidth="1"/>
    <col min="6658" max="6912" width="9.140625" style="557"/>
    <col min="6913" max="6913" width="30.42578125" style="557" customWidth="1"/>
    <col min="6914" max="7168" width="9.140625" style="557"/>
    <col min="7169" max="7169" width="30.42578125" style="557" customWidth="1"/>
    <col min="7170" max="7424" width="9.140625" style="557"/>
    <col min="7425" max="7425" width="30.42578125" style="557" customWidth="1"/>
    <col min="7426" max="7680" width="9.140625" style="557"/>
    <col min="7681" max="7681" width="30.42578125" style="557" customWidth="1"/>
    <col min="7682" max="7936" width="9.140625" style="557"/>
    <col min="7937" max="7937" width="30.42578125" style="557" customWidth="1"/>
    <col min="7938" max="8192" width="9.140625" style="557"/>
    <col min="8193" max="8193" width="30.42578125" style="557" customWidth="1"/>
    <col min="8194" max="8448" width="9.140625" style="557"/>
    <col min="8449" max="8449" width="30.42578125" style="557" customWidth="1"/>
    <col min="8450" max="8704" width="9.140625" style="557"/>
    <col min="8705" max="8705" width="30.42578125" style="557" customWidth="1"/>
    <col min="8706" max="8960" width="9.140625" style="557"/>
    <col min="8961" max="8961" width="30.42578125" style="557" customWidth="1"/>
    <col min="8962" max="9216" width="9.140625" style="557"/>
    <col min="9217" max="9217" width="30.42578125" style="557" customWidth="1"/>
    <col min="9218" max="9472" width="9.140625" style="557"/>
    <col min="9473" max="9473" width="30.42578125" style="557" customWidth="1"/>
    <col min="9474" max="9728" width="9.140625" style="557"/>
    <col min="9729" max="9729" width="30.42578125" style="557" customWidth="1"/>
    <col min="9730" max="9984" width="9.140625" style="557"/>
    <col min="9985" max="9985" width="30.42578125" style="557" customWidth="1"/>
    <col min="9986" max="10240" width="9.140625" style="557"/>
    <col min="10241" max="10241" width="30.42578125" style="557" customWidth="1"/>
    <col min="10242" max="10496" width="9.140625" style="557"/>
    <col min="10497" max="10497" width="30.42578125" style="557" customWidth="1"/>
    <col min="10498" max="10752" width="9.140625" style="557"/>
    <col min="10753" max="10753" width="30.42578125" style="557" customWidth="1"/>
    <col min="10754" max="11008" width="9.140625" style="557"/>
    <col min="11009" max="11009" width="30.42578125" style="557" customWidth="1"/>
    <col min="11010" max="11264" width="9.140625" style="557"/>
    <col min="11265" max="11265" width="30.42578125" style="557" customWidth="1"/>
    <col min="11266" max="11520" width="9.140625" style="557"/>
    <col min="11521" max="11521" width="30.42578125" style="557" customWidth="1"/>
    <col min="11522" max="11776" width="9.140625" style="557"/>
    <col min="11777" max="11777" width="30.42578125" style="557" customWidth="1"/>
    <col min="11778" max="12032" width="9.140625" style="557"/>
    <col min="12033" max="12033" width="30.42578125" style="557" customWidth="1"/>
    <col min="12034" max="12288" width="9.140625" style="557"/>
    <col min="12289" max="12289" width="30.42578125" style="557" customWidth="1"/>
    <col min="12290" max="12544" width="9.140625" style="557"/>
    <col min="12545" max="12545" width="30.42578125" style="557" customWidth="1"/>
    <col min="12546" max="12800" width="9.140625" style="557"/>
    <col min="12801" max="12801" width="30.42578125" style="557" customWidth="1"/>
    <col min="12802" max="13056" width="9.140625" style="557"/>
    <col min="13057" max="13057" width="30.42578125" style="557" customWidth="1"/>
    <col min="13058" max="13312" width="9.140625" style="557"/>
    <col min="13313" max="13313" width="30.42578125" style="557" customWidth="1"/>
    <col min="13314" max="13568" width="9.140625" style="557"/>
    <col min="13569" max="13569" width="30.42578125" style="557" customWidth="1"/>
    <col min="13570" max="13824" width="9.140625" style="557"/>
    <col min="13825" max="13825" width="30.42578125" style="557" customWidth="1"/>
    <col min="13826" max="14080" width="9.140625" style="557"/>
    <col min="14081" max="14081" width="30.42578125" style="557" customWidth="1"/>
    <col min="14082" max="14336" width="9.140625" style="557"/>
    <col min="14337" max="14337" width="30.42578125" style="557" customWidth="1"/>
    <col min="14338" max="14592" width="9.140625" style="557"/>
    <col min="14593" max="14593" width="30.42578125" style="557" customWidth="1"/>
    <col min="14594" max="14848" width="9.140625" style="557"/>
    <col min="14849" max="14849" width="30.42578125" style="557" customWidth="1"/>
    <col min="14850" max="15104" width="9.140625" style="557"/>
    <col min="15105" max="15105" width="30.42578125" style="557" customWidth="1"/>
    <col min="15106" max="15360" width="9.140625" style="557"/>
    <col min="15361" max="15361" width="30.42578125" style="557" customWidth="1"/>
    <col min="15362" max="15616" width="9.140625" style="557"/>
    <col min="15617" max="15617" width="30.42578125" style="557" customWidth="1"/>
    <col min="15618" max="15872" width="9.140625" style="557"/>
    <col min="15873" max="15873" width="30.42578125" style="557" customWidth="1"/>
    <col min="15874" max="16128" width="9.140625" style="557"/>
    <col min="16129" max="16129" width="30.42578125" style="557" customWidth="1"/>
    <col min="16130" max="16384" width="9.140625" style="557"/>
  </cols>
  <sheetData>
    <row r="1" spans="1:14" ht="16.5">
      <c r="A1" s="1186" t="s">
        <v>1692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</row>
    <row r="2" spans="1:14" ht="16.5">
      <c r="A2" s="1186" t="s">
        <v>827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</row>
    <row r="3" spans="1:14" ht="13.5">
      <c r="A3" s="558" t="s">
        <v>169</v>
      </c>
      <c r="B3" s="1353" t="s">
        <v>137</v>
      </c>
      <c r="C3" s="1353"/>
      <c r="D3" s="1353"/>
      <c r="E3" s="1353"/>
      <c r="F3" s="558" t="s">
        <v>171</v>
      </c>
      <c r="H3" s="1396" t="s">
        <v>2183</v>
      </c>
      <c r="I3" s="1396"/>
      <c r="J3" s="558" t="s">
        <v>172</v>
      </c>
      <c r="K3" s="610">
        <v>585.41899999999998</v>
      </c>
      <c r="L3" s="558" t="s">
        <v>436</v>
      </c>
      <c r="N3" s="610" t="s">
        <v>2022</v>
      </c>
    </row>
    <row r="4" spans="1:14" ht="15">
      <c r="A4" s="808" t="s">
        <v>4176</v>
      </c>
      <c r="B4" s="808"/>
      <c r="C4" s="808"/>
    </row>
    <row r="5" spans="1:14" ht="13.5">
      <c r="A5" s="558" t="s">
        <v>174</v>
      </c>
      <c r="B5" s="1354" t="s">
        <v>2090</v>
      </c>
      <c r="C5" s="1354"/>
      <c r="D5" s="1354"/>
      <c r="E5" s="1354"/>
      <c r="F5" s="558" t="s">
        <v>176</v>
      </c>
      <c r="H5" s="1354" t="s">
        <v>2184</v>
      </c>
      <c r="I5" s="1354"/>
      <c r="J5" s="1354"/>
    </row>
    <row r="7" spans="1:14" ht="13.5">
      <c r="A7" s="558" t="s">
        <v>178</v>
      </c>
      <c r="B7" s="1355" t="s">
        <v>2185</v>
      </c>
      <c r="C7" s="1356"/>
      <c r="D7" s="1356"/>
      <c r="E7" s="1357"/>
      <c r="F7" s="1197" t="s">
        <v>1696</v>
      </c>
      <c r="G7" s="1197"/>
      <c r="H7" s="1358" t="s">
        <v>2186</v>
      </c>
      <c r="I7" s="1359"/>
      <c r="J7" s="1359"/>
      <c r="K7" s="1360"/>
    </row>
    <row r="8" spans="1:14">
      <c r="F8" s="1197"/>
      <c r="G8" s="1197"/>
      <c r="H8" s="1361"/>
      <c r="I8" s="1362"/>
      <c r="J8" s="1362"/>
      <c r="K8" s="1363"/>
    </row>
    <row r="10" spans="1:14" s="561" customFormat="1">
      <c r="A10" s="560" t="s">
        <v>1697</v>
      </c>
      <c r="B10" s="1364" t="s">
        <v>2187</v>
      </c>
      <c r="C10" s="1364"/>
      <c r="D10" s="1364"/>
      <c r="E10" s="1364"/>
      <c r="F10" s="1364"/>
      <c r="G10" s="1364"/>
      <c r="H10" s="1364"/>
      <c r="I10" s="1364"/>
      <c r="J10" s="1364"/>
      <c r="K10" s="1364"/>
      <c r="L10" s="1364"/>
      <c r="M10" s="1364"/>
    </row>
    <row r="11" spans="1:14" s="561" customFormat="1">
      <c r="A11" s="560" t="s">
        <v>1702</v>
      </c>
      <c r="B11" s="1365" t="s">
        <v>2090</v>
      </c>
      <c r="C11" s="1365"/>
      <c r="D11" s="1364"/>
      <c r="E11" s="1364"/>
      <c r="F11" s="1364"/>
      <c r="G11" s="1364"/>
      <c r="H11" s="1364"/>
      <c r="I11" s="1364"/>
      <c r="J11" s="1364"/>
      <c r="K11" s="1364"/>
      <c r="L11" s="1364"/>
      <c r="M11" s="1364"/>
    </row>
    <row r="12" spans="1:14" s="561" customFormat="1">
      <c r="A12" s="560" t="s">
        <v>1707</v>
      </c>
      <c r="B12" s="1365" t="s">
        <v>2188</v>
      </c>
      <c r="C12" s="1365"/>
      <c r="D12" s="1373" t="s">
        <v>2189</v>
      </c>
      <c r="E12" s="1379"/>
      <c r="F12" s="1374"/>
      <c r="G12" s="1373" t="s">
        <v>2190</v>
      </c>
      <c r="H12" s="1379"/>
      <c r="I12" s="1374"/>
      <c r="J12" s="1373" t="s">
        <v>2191</v>
      </c>
      <c r="K12" s="1379"/>
      <c r="L12" s="1379"/>
      <c r="M12" s="1374"/>
    </row>
    <row r="13" spans="1:14" s="561" customFormat="1">
      <c r="A13" s="560" t="s">
        <v>197</v>
      </c>
      <c r="B13" s="1364"/>
      <c r="C13" s="1364"/>
      <c r="D13" s="1364"/>
      <c r="E13" s="1364"/>
      <c r="F13" s="1364"/>
      <c r="G13" s="1364"/>
      <c r="H13" s="1364"/>
      <c r="I13" s="1364"/>
      <c r="J13" s="1364"/>
      <c r="K13" s="1364"/>
      <c r="L13" s="1364"/>
      <c r="M13" s="1364"/>
    </row>
    <row r="14" spans="1:14" s="561" customFormat="1">
      <c r="A14" s="562"/>
    </row>
    <row r="15" spans="1:14" s="561" customFormat="1">
      <c r="A15" s="562" t="s">
        <v>1356</v>
      </c>
      <c r="B15" s="600">
        <v>3</v>
      </c>
      <c r="C15" s="1203" t="s">
        <v>1490</v>
      </c>
      <c r="D15" s="1197"/>
      <c r="E15" s="1197"/>
      <c r="F15" s="600">
        <v>1</v>
      </c>
      <c r="G15" s="562" t="s">
        <v>1712</v>
      </c>
      <c r="H15" s="600">
        <v>9</v>
      </c>
      <c r="I15" s="562" t="s">
        <v>1492</v>
      </c>
      <c r="J15" s="600">
        <v>1</v>
      </c>
      <c r="K15" s="562" t="s">
        <v>1386</v>
      </c>
      <c r="L15" s="600">
        <v>9</v>
      </c>
    </row>
    <row r="16" spans="1:14" s="561" customFormat="1">
      <c r="A16" s="562"/>
    </row>
    <row r="17" spans="1:21" s="562" customFormat="1">
      <c r="A17" s="562" t="s">
        <v>203</v>
      </c>
      <c r="B17" s="562" t="s">
        <v>204</v>
      </c>
      <c r="C17" s="560">
        <v>85</v>
      </c>
      <c r="D17" s="562" t="s">
        <v>205</v>
      </c>
      <c r="E17" s="560">
        <v>24</v>
      </c>
      <c r="F17" s="562" t="s">
        <v>206</v>
      </c>
      <c r="G17" s="560">
        <v>2</v>
      </c>
      <c r="H17" s="562" t="s">
        <v>230</v>
      </c>
      <c r="I17" s="560">
        <v>111</v>
      </c>
      <c r="J17" s="562" t="s">
        <v>207</v>
      </c>
      <c r="K17" s="560">
        <v>31</v>
      </c>
      <c r="L17" s="1203" t="s">
        <v>1360</v>
      </c>
      <c r="M17" s="1204"/>
      <c r="N17" s="560">
        <v>6</v>
      </c>
    </row>
    <row r="18" spans="1:21" s="562" customFormat="1">
      <c r="A18" s="562" t="s">
        <v>209</v>
      </c>
      <c r="B18" s="562" t="s">
        <v>210</v>
      </c>
      <c r="C18" s="560">
        <v>192</v>
      </c>
      <c r="D18" s="562" t="s">
        <v>211</v>
      </c>
      <c r="E18" s="560">
        <v>76</v>
      </c>
      <c r="F18" s="562" t="s">
        <v>212</v>
      </c>
      <c r="G18" s="560">
        <v>9</v>
      </c>
      <c r="H18" s="562" t="s">
        <v>411</v>
      </c>
      <c r="I18" s="560">
        <v>277</v>
      </c>
    </row>
    <row r="19" spans="1:21" s="562" customFormat="1" ht="25.5">
      <c r="B19" s="562" t="s">
        <v>213</v>
      </c>
      <c r="C19" s="560">
        <v>203</v>
      </c>
      <c r="D19" s="562" t="s">
        <v>214</v>
      </c>
      <c r="E19" s="560">
        <v>68</v>
      </c>
      <c r="F19" s="562" t="s">
        <v>215</v>
      </c>
      <c r="G19" s="560">
        <v>11</v>
      </c>
      <c r="H19" s="562" t="s">
        <v>410</v>
      </c>
      <c r="I19" s="560">
        <v>282</v>
      </c>
    </row>
    <row r="20" spans="1:21" s="562" customFormat="1"/>
    <row r="21" spans="1:21" s="561" customFormat="1">
      <c r="A21" s="618" t="s">
        <v>216</v>
      </c>
    </row>
    <row r="22" spans="1:21" s="561" customFormat="1">
      <c r="A22" s="562"/>
    </row>
    <row r="23" spans="1:21" s="561" customFormat="1">
      <c r="A23" s="1205" t="s">
        <v>217</v>
      </c>
      <c r="B23" s="1205" t="s">
        <v>218</v>
      </c>
      <c r="C23" s="1205" t="s">
        <v>219</v>
      </c>
      <c r="D23" s="1205" t="s">
        <v>1363</v>
      </c>
      <c r="E23" s="1205" t="s">
        <v>1713</v>
      </c>
      <c r="F23" s="1200" t="s">
        <v>1714</v>
      </c>
      <c r="G23" s="1201"/>
      <c r="H23" s="1201"/>
      <c r="I23" s="1201"/>
      <c r="J23" s="1201"/>
      <c r="K23" s="1201"/>
      <c r="L23" s="1201"/>
      <c r="M23" s="1201"/>
      <c r="N23" s="1202"/>
    </row>
    <row r="24" spans="1:21" s="561" customFormat="1">
      <c r="A24" s="1206"/>
      <c r="B24" s="1206"/>
      <c r="C24" s="1206"/>
      <c r="D24" s="1206"/>
      <c r="E24" s="1206"/>
      <c r="F24" s="603" t="s">
        <v>226</v>
      </c>
      <c r="G24" s="603" t="s">
        <v>227</v>
      </c>
      <c r="H24" s="603" t="s">
        <v>228</v>
      </c>
      <c r="I24" s="603" t="s">
        <v>229</v>
      </c>
      <c r="J24" s="603"/>
      <c r="K24" s="603"/>
      <c r="L24" s="603"/>
      <c r="M24" s="569" t="s">
        <v>230</v>
      </c>
      <c r="N24" s="569" t="s">
        <v>231</v>
      </c>
    </row>
    <row r="25" spans="1:21" s="561" customFormat="1">
      <c r="A25" s="560" t="s">
        <v>232</v>
      </c>
      <c r="B25" s="564">
        <v>8000</v>
      </c>
      <c r="C25" s="560" t="s">
        <v>233</v>
      </c>
      <c r="D25" s="570">
        <v>46.83352</v>
      </c>
      <c r="E25" s="570">
        <v>18.72</v>
      </c>
      <c r="F25" s="619">
        <v>0</v>
      </c>
      <c r="G25" s="619">
        <v>0</v>
      </c>
      <c r="H25" s="570">
        <v>1.1348800000000001</v>
      </c>
      <c r="I25" s="570">
        <v>5.7111299999999998</v>
      </c>
      <c r="J25" s="619">
        <v>0</v>
      </c>
      <c r="K25" s="619">
        <v>0</v>
      </c>
      <c r="L25" s="619">
        <v>0</v>
      </c>
      <c r="M25" s="570">
        <v>6.8460099999999997</v>
      </c>
      <c r="N25" s="570">
        <v>36.570566239316236</v>
      </c>
      <c r="O25" s="605"/>
      <c r="P25" s="605"/>
      <c r="Q25" s="605"/>
      <c r="R25" s="605"/>
      <c r="S25" s="605"/>
      <c r="T25" s="605"/>
      <c r="U25" s="605"/>
    </row>
    <row r="26" spans="1:21" s="561" customFormat="1">
      <c r="A26" s="560" t="s">
        <v>1715</v>
      </c>
      <c r="B26" s="564">
        <v>7000</v>
      </c>
      <c r="C26" s="560" t="s">
        <v>233</v>
      </c>
      <c r="D26" s="570">
        <v>3.3954302000000003</v>
      </c>
      <c r="E26" s="570">
        <v>0</v>
      </c>
      <c r="F26" s="619">
        <v>0</v>
      </c>
      <c r="G26" s="619">
        <v>0</v>
      </c>
      <c r="H26" s="619">
        <v>0</v>
      </c>
      <c r="I26" s="619">
        <v>0</v>
      </c>
      <c r="J26" s="619">
        <v>0</v>
      </c>
      <c r="K26" s="619">
        <v>0</v>
      </c>
      <c r="L26" s="619">
        <v>0</v>
      </c>
      <c r="M26" s="570">
        <v>0</v>
      </c>
      <c r="N26" s="570"/>
      <c r="O26" s="605"/>
      <c r="P26" s="605"/>
      <c r="Q26" s="605"/>
      <c r="R26" s="605"/>
      <c r="S26" s="605"/>
      <c r="T26" s="605"/>
      <c r="U26" s="605"/>
    </row>
    <row r="27" spans="1:21" s="561" customFormat="1">
      <c r="A27" s="560" t="s">
        <v>235</v>
      </c>
      <c r="B27" s="564">
        <v>43000</v>
      </c>
      <c r="C27" s="560" t="s">
        <v>236</v>
      </c>
      <c r="D27" s="570">
        <v>0.43</v>
      </c>
      <c r="E27" s="570">
        <v>0.18</v>
      </c>
      <c r="F27" s="619">
        <v>0</v>
      </c>
      <c r="G27" s="619">
        <v>0</v>
      </c>
      <c r="H27" s="570">
        <v>0</v>
      </c>
      <c r="I27" s="570">
        <v>0.18</v>
      </c>
      <c r="J27" s="619">
        <v>0</v>
      </c>
      <c r="K27" s="619">
        <v>0</v>
      </c>
      <c r="L27" s="619">
        <v>0</v>
      </c>
      <c r="M27" s="570">
        <v>0.18</v>
      </c>
      <c r="N27" s="570">
        <v>100</v>
      </c>
      <c r="O27" s="605"/>
      <c r="P27" s="605"/>
      <c r="Q27" s="605"/>
      <c r="R27" s="605"/>
      <c r="S27" s="605"/>
      <c r="T27" s="605"/>
      <c r="U27" s="605"/>
    </row>
    <row r="28" spans="1:21" s="561" customFormat="1">
      <c r="A28" s="560" t="s">
        <v>396</v>
      </c>
      <c r="B28" s="564">
        <v>34000</v>
      </c>
      <c r="C28" s="560" t="s">
        <v>236</v>
      </c>
      <c r="D28" s="570">
        <v>0.34</v>
      </c>
      <c r="E28" s="570">
        <v>0.16</v>
      </c>
      <c r="F28" s="619">
        <v>0</v>
      </c>
      <c r="G28" s="619">
        <v>0</v>
      </c>
      <c r="H28" s="570">
        <v>0.16</v>
      </c>
      <c r="I28" s="570">
        <v>0</v>
      </c>
      <c r="J28" s="619">
        <v>0</v>
      </c>
      <c r="K28" s="619">
        <v>0</v>
      </c>
      <c r="L28" s="619">
        <v>0</v>
      </c>
      <c r="M28" s="570">
        <v>0.16</v>
      </c>
      <c r="N28" s="570">
        <v>100</v>
      </c>
      <c r="O28" s="605"/>
      <c r="P28" s="605"/>
      <c r="Q28" s="605"/>
      <c r="R28" s="605"/>
      <c r="S28" s="605"/>
      <c r="T28" s="605"/>
      <c r="U28" s="605"/>
    </row>
    <row r="29" spans="1:21" s="561" customFormat="1">
      <c r="A29" s="560" t="s">
        <v>238</v>
      </c>
      <c r="B29" s="564">
        <v>1200</v>
      </c>
      <c r="C29" s="560" t="s">
        <v>233</v>
      </c>
      <c r="D29" s="570">
        <v>7.0250279999999989</v>
      </c>
      <c r="E29" s="570">
        <v>2</v>
      </c>
      <c r="F29" s="619">
        <v>0</v>
      </c>
      <c r="G29" s="619">
        <v>0</v>
      </c>
      <c r="H29" s="570">
        <v>0</v>
      </c>
      <c r="I29" s="570">
        <v>7.8300000000000002E-3</v>
      </c>
      <c r="J29" s="619">
        <v>0</v>
      </c>
      <c r="K29" s="619">
        <v>0</v>
      </c>
      <c r="L29" s="619">
        <v>0</v>
      </c>
      <c r="M29" s="570">
        <v>7.8300000000000002E-3</v>
      </c>
      <c r="N29" s="570">
        <v>0.39150000000000001</v>
      </c>
      <c r="O29" s="605"/>
      <c r="P29" s="605"/>
      <c r="Q29" s="605"/>
      <c r="R29" s="605"/>
      <c r="S29" s="605"/>
      <c r="T29" s="605"/>
      <c r="U29" s="605"/>
    </row>
    <row r="30" spans="1:21" s="561" customFormat="1">
      <c r="A30" s="560" t="s">
        <v>667</v>
      </c>
      <c r="B30" s="564">
        <v>565</v>
      </c>
      <c r="C30" s="560" t="s">
        <v>233</v>
      </c>
      <c r="D30" s="570">
        <v>3.3076173499999997</v>
      </c>
      <c r="E30" s="570">
        <v>3.2198099999999998</v>
      </c>
      <c r="F30" s="619">
        <v>0</v>
      </c>
      <c r="G30" s="619">
        <v>0</v>
      </c>
      <c r="H30" s="570">
        <v>3.2198099999999998</v>
      </c>
      <c r="I30" s="570">
        <v>0</v>
      </c>
      <c r="J30" s="619">
        <v>0</v>
      </c>
      <c r="K30" s="619">
        <v>0</v>
      </c>
      <c r="L30" s="619">
        <v>0</v>
      </c>
      <c r="M30" s="570">
        <v>3.2198099999999998</v>
      </c>
      <c r="N30" s="570">
        <v>100</v>
      </c>
      <c r="O30" s="605"/>
      <c r="P30" s="605"/>
      <c r="Q30" s="605"/>
      <c r="R30" s="605"/>
      <c r="S30" s="605"/>
      <c r="T30" s="605"/>
      <c r="U30" s="605"/>
    </row>
    <row r="31" spans="1:21" s="561" customFormat="1">
      <c r="A31" s="560" t="s">
        <v>240</v>
      </c>
      <c r="B31" s="564">
        <v>1000</v>
      </c>
      <c r="C31" s="560" t="s">
        <v>233</v>
      </c>
      <c r="D31" s="570">
        <v>5.85419</v>
      </c>
      <c r="E31" s="570">
        <v>0</v>
      </c>
      <c r="F31" s="619">
        <v>0</v>
      </c>
      <c r="G31" s="619">
        <v>0</v>
      </c>
      <c r="H31" s="570"/>
      <c r="I31" s="570">
        <v>0</v>
      </c>
      <c r="J31" s="619">
        <v>0</v>
      </c>
      <c r="K31" s="619">
        <v>0</v>
      </c>
      <c r="L31" s="619">
        <v>0</v>
      </c>
      <c r="M31" s="570">
        <v>0</v>
      </c>
      <c r="N31" s="570"/>
      <c r="O31" s="605"/>
      <c r="P31" s="605"/>
      <c r="Q31" s="605"/>
      <c r="R31" s="605"/>
      <c r="S31" s="605"/>
      <c r="T31" s="605"/>
      <c r="U31" s="605"/>
    </row>
    <row r="32" spans="1:21" s="561" customFormat="1">
      <c r="A32" s="560" t="s">
        <v>394</v>
      </c>
      <c r="B32" s="564">
        <v>2750</v>
      </c>
      <c r="C32" s="560" t="s">
        <v>1716</v>
      </c>
      <c r="D32" s="570">
        <v>2.1</v>
      </c>
      <c r="E32" s="570">
        <v>0.44000000000000006</v>
      </c>
      <c r="F32" s="619">
        <v>0</v>
      </c>
      <c r="G32" s="619">
        <v>0</v>
      </c>
      <c r="H32" s="570">
        <v>1.2499999999999997E-2</v>
      </c>
      <c r="I32" s="570">
        <v>0.36249999999999999</v>
      </c>
      <c r="J32" s="619">
        <v>0</v>
      </c>
      <c r="K32" s="619">
        <v>0</v>
      </c>
      <c r="L32" s="619">
        <v>0</v>
      </c>
      <c r="M32" s="570">
        <v>0.375</v>
      </c>
      <c r="N32" s="570">
        <v>85.22727272727272</v>
      </c>
      <c r="O32" s="605"/>
      <c r="P32" s="605"/>
      <c r="Q32" s="605"/>
      <c r="R32" s="605"/>
      <c r="S32" s="605"/>
      <c r="T32" s="605"/>
      <c r="U32" s="605"/>
    </row>
    <row r="33" spans="1:21" s="561" customFormat="1">
      <c r="A33" s="560" t="s">
        <v>1717</v>
      </c>
      <c r="B33" s="564">
        <v>10000</v>
      </c>
      <c r="C33" s="560" t="s">
        <v>244</v>
      </c>
      <c r="D33" s="570">
        <v>0.1</v>
      </c>
      <c r="E33" s="570">
        <v>0.1</v>
      </c>
      <c r="F33" s="619">
        <v>0</v>
      </c>
      <c r="G33" s="619">
        <v>0</v>
      </c>
      <c r="H33" s="570">
        <v>0.1</v>
      </c>
      <c r="I33" s="570">
        <v>0</v>
      </c>
      <c r="J33" s="619">
        <v>0</v>
      </c>
      <c r="K33" s="619">
        <v>0</v>
      </c>
      <c r="L33" s="619">
        <v>0</v>
      </c>
      <c r="M33" s="570">
        <v>0.1</v>
      </c>
      <c r="N33" s="570">
        <v>100</v>
      </c>
      <c r="O33" s="605"/>
      <c r="P33" s="605"/>
      <c r="Q33" s="605"/>
      <c r="R33" s="605"/>
      <c r="S33" s="605"/>
      <c r="T33" s="605"/>
      <c r="U33" s="605"/>
    </row>
    <row r="34" spans="1:21" s="561" customFormat="1">
      <c r="A34" s="572" t="s">
        <v>230</v>
      </c>
      <c r="B34" s="560"/>
      <c r="C34" s="560"/>
      <c r="D34" s="573">
        <v>69.385785549999994</v>
      </c>
      <c r="E34" s="573">
        <v>24.81981</v>
      </c>
      <c r="F34" s="573">
        <v>0</v>
      </c>
      <c r="G34" s="573">
        <v>0</v>
      </c>
      <c r="H34" s="573">
        <v>4.6271899999999997</v>
      </c>
      <c r="I34" s="573">
        <v>6.2614599999999996</v>
      </c>
      <c r="J34" s="573">
        <v>0</v>
      </c>
      <c r="K34" s="573">
        <v>0</v>
      </c>
      <c r="L34" s="573">
        <v>0</v>
      </c>
      <c r="M34" s="573">
        <v>10.88865</v>
      </c>
      <c r="N34" s="573"/>
      <c r="O34" s="605"/>
      <c r="P34" s="605"/>
      <c r="Q34" s="605"/>
      <c r="R34" s="605"/>
      <c r="S34" s="605"/>
      <c r="T34" s="605"/>
      <c r="U34" s="605"/>
    </row>
    <row r="35" spans="1:21" s="561" customFormat="1">
      <c r="A35" s="562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7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6"/>
  <sheetViews>
    <sheetView workbookViewId="0">
      <selection activeCell="A3" sqref="A3:C3"/>
    </sheetView>
  </sheetViews>
  <sheetFormatPr defaultRowHeight="15"/>
  <sheetData>
    <row r="1" spans="1:23">
      <c r="A1" t="s">
        <v>440</v>
      </c>
    </row>
    <row r="2" spans="1:23">
      <c r="A2" t="s">
        <v>168</v>
      </c>
    </row>
    <row r="3" spans="1:23">
      <c r="A3" s="808" t="s">
        <v>4176</v>
      </c>
      <c r="B3" s="808"/>
      <c r="C3" s="808"/>
    </row>
    <row r="6" spans="1:23">
      <c r="A6" t="s">
        <v>439</v>
      </c>
      <c r="D6" t="s">
        <v>606</v>
      </c>
      <c r="H6" t="s">
        <v>437</v>
      </c>
      <c r="K6" t="s">
        <v>5721</v>
      </c>
      <c r="R6" t="s">
        <v>172</v>
      </c>
      <c r="T6">
        <v>476</v>
      </c>
      <c r="U6" t="s">
        <v>436</v>
      </c>
      <c r="W6">
        <v>120</v>
      </c>
    </row>
    <row r="9" spans="1:23">
      <c r="A9" t="s">
        <v>435</v>
      </c>
      <c r="D9" t="s">
        <v>605</v>
      </c>
      <c r="H9" t="s">
        <v>176</v>
      </c>
      <c r="K9" t="s">
        <v>550</v>
      </c>
    </row>
    <row r="12" spans="1:23">
      <c r="A12" t="s">
        <v>432</v>
      </c>
      <c r="H12" t="s">
        <v>431</v>
      </c>
      <c r="K12" t="s">
        <v>604</v>
      </c>
    </row>
    <row r="13" spans="1:23">
      <c r="H13" t="s">
        <v>429</v>
      </c>
    </row>
    <row r="17" spans="1:24">
      <c r="A17" t="s">
        <v>428</v>
      </c>
      <c r="D17" t="s">
        <v>603</v>
      </c>
      <c r="G17" t="s">
        <v>602</v>
      </c>
      <c r="K17" t="s">
        <v>601</v>
      </c>
      <c r="O17" t="s">
        <v>600</v>
      </c>
      <c r="R17" t="s">
        <v>599</v>
      </c>
    </row>
    <row r="18" spans="1:24">
      <c r="A18" t="s">
        <v>425</v>
      </c>
      <c r="D18" t="s">
        <v>598</v>
      </c>
      <c r="G18" t="s">
        <v>597</v>
      </c>
      <c r="K18" t="s">
        <v>596</v>
      </c>
      <c r="O18" t="s">
        <v>595</v>
      </c>
      <c r="R18" t="s">
        <v>594</v>
      </c>
    </row>
    <row r="19" spans="1:24">
      <c r="A19" t="s">
        <v>192</v>
      </c>
      <c r="D19" t="s">
        <v>593</v>
      </c>
      <c r="G19" t="s">
        <v>592</v>
      </c>
      <c r="K19" t="s">
        <v>591</v>
      </c>
      <c r="O19" t="s">
        <v>590</v>
      </c>
      <c r="R19" t="s">
        <v>532</v>
      </c>
    </row>
    <row r="20" spans="1:24">
      <c r="A20" t="s">
        <v>420</v>
      </c>
      <c r="G20" t="s">
        <v>419</v>
      </c>
      <c r="O20" t="s">
        <v>419</v>
      </c>
    </row>
    <row r="23" spans="1:24">
      <c r="A23" t="s">
        <v>198</v>
      </c>
      <c r="E23">
        <v>6</v>
      </c>
      <c r="G23" t="s">
        <v>418</v>
      </c>
      <c r="J23">
        <v>5</v>
      </c>
      <c r="L23" t="s">
        <v>200</v>
      </c>
      <c r="N23">
        <v>8</v>
      </c>
      <c r="S23" t="s">
        <v>417</v>
      </c>
      <c r="U23">
        <v>2</v>
      </c>
      <c r="W23" t="s">
        <v>202</v>
      </c>
      <c r="X23">
        <v>30</v>
      </c>
    </row>
    <row r="26" spans="1:24">
      <c r="A26" t="s">
        <v>416</v>
      </c>
      <c r="D26" t="s">
        <v>204</v>
      </c>
      <c r="E26">
        <v>104</v>
      </c>
      <c r="G26" t="s">
        <v>205</v>
      </c>
      <c r="H26">
        <v>19</v>
      </c>
      <c r="J26" t="s">
        <v>415</v>
      </c>
      <c r="K26">
        <v>0</v>
      </c>
      <c r="M26" t="s">
        <v>230</v>
      </c>
      <c r="N26">
        <f>E26+H26+K26</f>
        <v>123</v>
      </c>
      <c r="S26" t="s">
        <v>414</v>
      </c>
      <c r="T26">
        <v>19</v>
      </c>
      <c r="V26" t="s">
        <v>589</v>
      </c>
    </row>
    <row r="27" spans="1:24">
      <c r="A27" t="s">
        <v>412</v>
      </c>
      <c r="D27" t="s">
        <v>210</v>
      </c>
      <c r="E27">
        <v>175</v>
      </c>
      <c r="G27" t="s">
        <v>211</v>
      </c>
      <c r="H27">
        <v>46</v>
      </c>
      <c r="J27" t="s">
        <v>212</v>
      </c>
      <c r="K27">
        <v>0</v>
      </c>
      <c r="M27" t="s">
        <v>411</v>
      </c>
      <c r="N27">
        <f>E27+H27+K27</f>
        <v>221</v>
      </c>
    </row>
    <row r="28" spans="1:24">
      <c r="D28" t="s">
        <v>213</v>
      </c>
      <c r="E28">
        <v>193</v>
      </c>
      <c r="G28" t="s">
        <v>214</v>
      </c>
      <c r="H28">
        <v>40</v>
      </c>
      <c r="J28" t="s">
        <v>215</v>
      </c>
      <c r="K28">
        <v>0</v>
      </c>
      <c r="M28" t="s">
        <v>410</v>
      </c>
      <c r="N28">
        <f>E28+H28+K28</f>
        <v>233</v>
      </c>
    </row>
    <row r="30" spans="1:24">
      <c r="V30">
        <f>3401218-3262165</f>
        <v>139053</v>
      </c>
    </row>
    <row r="33" spans="1:25">
      <c r="A33" t="s">
        <v>409</v>
      </c>
    </row>
    <row r="35" spans="1:25">
      <c r="A35" t="s">
        <v>217</v>
      </c>
      <c r="D35" t="s">
        <v>408</v>
      </c>
      <c r="E35" t="s">
        <v>219</v>
      </c>
      <c r="F35" t="s">
        <v>407</v>
      </c>
      <c r="G35" t="s">
        <v>406</v>
      </c>
      <c r="H35" t="s">
        <v>405</v>
      </c>
    </row>
    <row r="36" spans="1:25">
      <c r="H36">
        <v>1</v>
      </c>
      <c r="J36" t="s">
        <v>404</v>
      </c>
      <c r="L36" t="s">
        <v>403</v>
      </c>
      <c r="N36" t="s">
        <v>402</v>
      </c>
      <c r="S36" t="s">
        <v>401</v>
      </c>
      <c r="U36" t="s">
        <v>400</v>
      </c>
      <c r="W36" t="s">
        <v>399</v>
      </c>
      <c r="X36" t="s">
        <v>230</v>
      </c>
      <c r="Y36" t="s">
        <v>231</v>
      </c>
    </row>
    <row r="37" spans="1:25">
      <c r="A37" t="s">
        <v>398</v>
      </c>
      <c r="D37">
        <v>8000</v>
      </c>
      <c r="E37" t="s">
        <v>233</v>
      </c>
      <c r="F37">
        <v>38.08</v>
      </c>
      <c r="G37">
        <v>3808000</v>
      </c>
      <c r="J37">
        <v>152909</v>
      </c>
      <c r="L37">
        <f>945049+139053</f>
        <v>1084102</v>
      </c>
      <c r="N37">
        <v>1985619</v>
      </c>
      <c r="S37">
        <v>178588</v>
      </c>
      <c r="U37">
        <v>406378</v>
      </c>
      <c r="X37">
        <f t="shared" ref="X37:X45" si="0">J37+L37+N37+S37+U37+W37</f>
        <v>3807596</v>
      </c>
      <c r="Y37">
        <f t="shared" ref="Y37:Y44" si="1">X37*100/G37</f>
        <v>99.989390756302527</v>
      </c>
    </row>
    <row r="38" spans="1:25">
      <c r="A38" t="s">
        <v>234</v>
      </c>
      <c r="D38">
        <v>7000</v>
      </c>
      <c r="E38" t="str">
        <f>+E37</f>
        <v>Hectare</v>
      </c>
      <c r="F38">
        <v>8.4</v>
      </c>
      <c r="G38">
        <v>800000</v>
      </c>
      <c r="J38">
        <v>6334</v>
      </c>
      <c r="L38">
        <v>106681</v>
      </c>
      <c r="N38">
        <v>319197</v>
      </c>
      <c r="S38">
        <v>399576</v>
      </c>
      <c r="U38">
        <v>79752</v>
      </c>
      <c r="X38">
        <f t="shared" si="0"/>
        <v>911540</v>
      </c>
      <c r="Y38">
        <f t="shared" si="1"/>
        <v>113.9425</v>
      </c>
    </row>
    <row r="39" spans="1:25">
      <c r="A39" t="s">
        <v>397</v>
      </c>
      <c r="D39">
        <v>86</v>
      </c>
      <c r="E39" t="str">
        <f>+E38</f>
        <v>Hectare</v>
      </c>
      <c r="F39">
        <v>0.41</v>
      </c>
      <c r="G39">
        <v>43000</v>
      </c>
      <c r="J39">
        <v>2604</v>
      </c>
      <c r="L39">
        <v>695</v>
      </c>
      <c r="N39">
        <v>34800</v>
      </c>
      <c r="S39">
        <v>5440</v>
      </c>
      <c r="U39">
        <v>12652</v>
      </c>
      <c r="X39">
        <f t="shared" si="0"/>
        <v>56191</v>
      </c>
      <c r="Y39">
        <f t="shared" si="1"/>
        <v>130.67674418604651</v>
      </c>
    </row>
    <row r="40" spans="1:25">
      <c r="A40" t="s">
        <v>396</v>
      </c>
      <c r="D40">
        <v>68</v>
      </c>
      <c r="E40" t="str">
        <f>+E39</f>
        <v>Hectare</v>
      </c>
      <c r="F40">
        <v>0.32</v>
      </c>
      <c r="G40">
        <v>34000</v>
      </c>
      <c r="J40">
        <v>0</v>
      </c>
      <c r="L40">
        <v>16210</v>
      </c>
      <c r="N40">
        <v>2467</v>
      </c>
      <c r="S40">
        <v>12937</v>
      </c>
      <c r="U40">
        <v>994</v>
      </c>
      <c r="X40">
        <f t="shared" si="0"/>
        <v>32608</v>
      </c>
      <c r="Y40">
        <f t="shared" si="1"/>
        <v>95.905882352941177</v>
      </c>
    </row>
    <row r="41" spans="1:25">
      <c r="A41" t="s">
        <v>238</v>
      </c>
      <c r="D41">
        <v>1200</v>
      </c>
      <c r="E41" t="str">
        <f>+E38</f>
        <v>Hectare</v>
      </c>
      <c r="F41">
        <v>5.71</v>
      </c>
      <c r="G41">
        <v>550000</v>
      </c>
      <c r="J41">
        <v>0</v>
      </c>
      <c r="L41">
        <v>24400</v>
      </c>
      <c r="N41">
        <v>46534</v>
      </c>
      <c r="S41">
        <v>281216</v>
      </c>
      <c r="U41">
        <v>193277</v>
      </c>
      <c r="X41">
        <f t="shared" si="0"/>
        <v>545427</v>
      </c>
      <c r="Y41">
        <f t="shared" si="1"/>
        <v>99.168545454545452</v>
      </c>
    </row>
    <row r="42" spans="1:25">
      <c r="A42" t="s">
        <v>395</v>
      </c>
      <c r="D42">
        <v>565</v>
      </c>
      <c r="E42" t="str">
        <f>+E38</f>
        <v>Hectare</v>
      </c>
      <c r="F42">
        <v>2.83</v>
      </c>
      <c r="G42">
        <v>246000</v>
      </c>
      <c r="J42">
        <v>0</v>
      </c>
      <c r="L42">
        <v>0</v>
      </c>
      <c r="N42">
        <v>30000</v>
      </c>
      <c r="S42">
        <v>216000</v>
      </c>
      <c r="U42">
        <v>0</v>
      </c>
      <c r="X42">
        <f t="shared" si="0"/>
        <v>246000</v>
      </c>
      <c r="Y42">
        <f t="shared" si="1"/>
        <v>100</v>
      </c>
    </row>
    <row r="43" spans="1:25">
      <c r="A43" t="s">
        <v>240</v>
      </c>
      <c r="D43">
        <v>1000</v>
      </c>
      <c r="E43" t="str">
        <f>+E41</f>
        <v>Hectare</v>
      </c>
      <c r="F43">
        <v>4.76</v>
      </c>
      <c r="G43">
        <v>476000</v>
      </c>
      <c r="J43">
        <v>63955</v>
      </c>
      <c r="L43">
        <v>35445</v>
      </c>
      <c r="N43">
        <v>82691</v>
      </c>
      <c r="S43">
        <v>121268</v>
      </c>
      <c r="U43">
        <v>94208</v>
      </c>
      <c r="X43">
        <f t="shared" si="0"/>
        <v>397567</v>
      </c>
      <c r="Y43">
        <f t="shared" si="1"/>
        <v>83.522478991596643</v>
      </c>
    </row>
    <row r="44" spans="1:25">
      <c r="A44" t="s">
        <v>394</v>
      </c>
      <c r="D44">
        <v>2750</v>
      </c>
      <c r="E44" t="s">
        <v>242</v>
      </c>
      <c r="F44">
        <v>2.31</v>
      </c>
      <c r="G44">
        <v>126500</v>
      </c>
      <c r="J44">
        <v>19186</v>
      </c>
      <c r="L44">
        <v>26544</v>
      </c>
      <c r="N44">
        <v>36277</v>
      </c>
      <c r="S44">
        <v>14030</v>
      </c>
      <c r="U44">
        <v>9031</v>
      </c>
      <c r="X44">
        <f t="shared" si="0"/>
        <v>105068</v>
      </c>
      <c r="Y44">
        <f t="shared" si="1"/>
        <v>83.057707509881425</v>
      </c>
    </row>
    <row r="45" spans="1:25">
      <c r="A45" t="s">
        <v>393</v>
      </c>
      <c r="D45">
        <v>10000</v>
      </c>
      <c r="E45" t="s">
        <v>244</v>
      </c>
      <c r="F45">
        <v>0.1</v>
      </c>
      <c r="G45">
        <v>0</v>
      </c>
      <c r="X45">
        <f t="shared" si="0"/>
        <v>0</v>
      </c>
      <c r="Y45">
        <v>0</v>
      </c>
    </row>
    <row r="46" spans="1:25">
      <c r="A46" t="s">
        <v>245</v>
      </c>
      <c r="F46">
        <f>SUM(F37:F45)</f>
        <v>62.919999999999995</v>
      </c>
      <c r="G46">
        <f>SUM(G37:G45)</f>
        <v>6083500</v>
      </c>
      <c r="J46">
        <f>SUM(J37:J45)</f>
        <v>244988</v>
      </c>
      <c r="L46">
        <f>SUM(L37:L45)</f>
        <v>1294077</v>
      </c>
      <c r="N46">
        <f>SUM(N37:N45)</f>
        <v>2537585</v>
      </c>
      <c r="S46">
        <f>SUM(S37:S45)</f>
        <v>1229055</v>
      </c>
      <c r="U46">
        <f>SUM(U37:U45)</f>
        <v>796292</v>
      </c>
      <c r="X46">
        <f>SUM(X37:X45)</f>
        <v>6101997</v>
      </c>
      <c r="Y46">
        <f>SUM(Y37:Y45)</f>
        <v>806.2632492513136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56" orientation="landscape" r:id="rId1"/>
</worksheet>
</file>

<file path=xl/worksheets/sheet240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9.42578125" style="244" customWidth="1"/>
    <col min="14" max="14" width="6.7109375" style="244" customWidth="1"/>
    <col min="15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9.4257812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9.4257812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9.4257812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9.4257812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9.4257812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9.4257812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9.4257812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9.4257812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9.4257812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9.4257812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9.4257812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9.4257812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9.4257812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9.4257812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9.4257812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9.4257812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9.4257812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9.4257812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9.4257812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9.4257812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9.4257812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9.4257812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9.4257812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9.4257812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9.4257812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9.4257812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9.4257812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9.4257812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9.4257812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9.4257812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9.4257812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9.4257812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9.4257812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9.4257812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9.4257812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9.4257812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9.4257812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9.4257812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9.4257812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9.4257812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9.4257812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9.4257812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9.4257812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9.4257812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9.4257812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9.4257812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9.4257812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9.4257812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9.4257812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9.4257812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9.4257812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9.4257812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9.4257812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9.4257812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9.4257812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9.4257812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9.4257812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9.4257812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9.4257812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9.4257812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9.4257812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9.4257812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9.42578125" style="244" customWidth="1"/>
    <col min="16142" max="16142" width="6.7109375" style="244" customWidth="1"/>
    <col min="16143" max="16384" width="9.140625" style="244"/>
  </cols>
  <sheetData>
    <row r="1" spans="1:14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14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14" ht="13.5">
      <c r="A3" s="245" t="s">
        <v>169</v>
      </c>
      <c r="B3" s="1398" t="s">
        <v>1886</v>
      </c>
      <c r="C3" s="1398"/>
      <c r="D3" s="1398"/>
      <c r="E3" s="1398"/>
      <c r="F3" s="245" t="s">
        <v>171</v>
      </c>
      <c r="H3" s="1399" t="s">
        <v>2192</v>
      </c>
      <c r="I3" s="1399"/>
      <c r="J3" s="245" t="s">
        <v>172</v>
      </c>
      <c r="K3" s="246">
        <v>505</v>
      </c>
      <c r="L3" s="245" t="s">
        <v>436</v>
      </c>
      <c r="N3" s="246">
        <v>80</v>
      </c>
    </row>
    <row r="4" spans="1:14" ht="15">
      <c r="A4" s="808" t="s">
        <v>4176</v>
      </c>
      <c r="B4" s="808"/>
      <c r="C4" s="808"/>
    </row>
    <row r="5" spans="1:14" ht="13.5">
      <c r="A5" s="245" t="s">
        <v>174</v>
      </c>
      <c r="B5" s="1400" t="s">
        <v>2193</v>
      </c>
      <c r="C5" s="1401"/>
      <c r="D5" s="1401"/>
      <c r="E5" s="1402"/>
      <c r="F5" s="245" t="s">
        <v>176</v>
      </c>
      <c r="H5" s="1400" t="s">
        <v>2194</v>
      </c>
      <c r="I5" s="1401"/>
      <c r="J5" s="1402"/>
    </row>
    <row r="7" spans="1:14" ht="13.5" customHeight="1">
      <c r="A7" s="245" t="s">
        <v>178</v>
      </c>
      <c r="B7" s="1400" t="s">
        <v>2193</v>
      </c>
      <c r="C7" s="1401"/>
      <c r="D7" s="1401"/>
      <c r="E7" s="1402"/>
      <c r="F7" s="1403" t="s">
        <v>1696</v>
      </c>
      <c r="G7" s="1403"/>
      <c r="H7" s="1404" t="s">
        <v>2195</v>
      </c>
      <c r="I7" s="1405"/>
      <c r="J7" s="1405"/>
      <c r="K7" s="1406"/>
    </row>
    <row r="8" spans="1:14">
      <c r="F8" s="1403"/>
      <c r="G8" s="1403"/>
      <c r="H8" s="1407"/>
      <c r="I8" s="1408"/>
      <c r="J8" s="1408"/>
      <c r="K8" s="1409"/>
    </row>
    <row r="10" spans="1:14" s="248" customFormat="1" ht="20.100000000000001" customHeight="1">
      <c r="A10" s="247" t="s">
        <v>1697</v>
      </c>
      <c r="B10" s="1410" t="s">
        <v>2195</v>
      </c>
      <c r="C10" s="1410"/>
      <c r="D10" s="1410" t="s">
        <v>2196</v>
      </c>
      <c r="E10" s="1410"/>
      <c r="F10" s="1410"/>
      <c r="G10" s="1410" t="s">
        <v>2197</v>
      </c>
      <c r="H10" s="1410"/>
      <c r="I10" s="1410"/>
      <c r="J10" s="1410"/>
      <c r="K10" s="1410"/>
      <c r="L10" s="1410"/>
      <c r="M10" s="1410"/>
    </row>
    <row r="11" spans="1:14" s="248" customFormat="1" ht="20.100000000000001" customHeight="1">
      <c r="A11" s="247" t="s">
        <v>1702</v>
      </c>
      <c r="B11" s="1410" t="s">
        <v>2198</v>
      </c>
      <c r="C11" s="1410"/>
      <c r="D11" s="1410"/>
      <c r="E11" s="1410"/>
      <c r="F11" s="1410"/>
      <c r="G11" s="1410"/>
      <c r="H11" s="1410"/>
      <c r="I11" s="1410"/>
      <c r="J11" s="1410"/>
      <c r="K11" s="1410"/>
      <c r="L11" s="1410"/>
      <c r="M11" s="1410"/>
    </row>
    <row r="12" spans="1:14" s="248" customFormat="1" ht="26.25" customHeight="1">
      <c r="A12" s="247" t="s">
        <v>1707</v>
      </c>
      <c r="B12" s="1412" t="s">
        <v>2199</v>
      </c>
      <c r="C12" s="1413"/>
      <c r="D12" s="1412" t="s">
        <v>2200</v>
      </c>
      <c r="E12" s="1414"/>
      <c r="F12" s="1413"/>
      <c r="G12" s="1412" t="s">
        <v>2201</v>
      </c>
      <c r="H12" s="1414"/>
      <c r="I12" s="1413"/>
      <c r="J12" s="1415" t="s">
        <v>2202</v>
      </c>
      <c r="K12" s="1415"/>
      <c r="L12" s="1412" t="s">
        <v>2203</v>
      </c>
      <c r="M12" s="1413"/>
    </row>
    <row r="13" spans="1:14" s="248" customFormat="1" ht="20.100000000000001" customHeight="1">
      <c r="A13" s="247" t="s">
        <v>197</v>
      </c>
      <c r="B13" s="1416"/>
      <c r="C13" s="1416"/>
      <c r="D13" s="1416"/>
      <c r="E13" s="1416"/>
      <c r="F13" s="1416"/>
      <c r="G13" s="1416"/>
      <c r="H13" s="1416"/>
      <c r="I13" s="1416"/>
      <c r="J13" s="1416"/>
      <c r="K13" s="1416"/>
      <c r="L13" s="1416"/>
      <c r="M13" s="1416"/>
    </row>
    <row r="14" spans="1:14" s="248" customFormat="1">
      <c r="A14" s="249"/>
    </row>
    <row r="15" spans="1:14" s="248" customFormat="1" ht="13.5" customHeight="1">
      <c r="A15" s="249" t="s">
        <v>1356</v>
      </c>
      <c r="B15" s="518">
        <v>3</v>
      </c>
      <c r="C15" s="1411" t="s">
        <v>1490</v>
      </c>
      <c r="D15" s="1403"/>
      <c r="E15" s="1403"/>
      <c r="F15" s="518">
        <v>3</v>
      </c>
      <c r="G15" s="249" t="s">
        <v>1712</v>
      </c>
      <c r="H15" s="518">
        <v>3</v>
      </c>
      <c r="I15" s="249" t="s">
        <v>1492</v>
      </c>
      <c r="J15" s="518"/>
      <c r="K15" s="249" t="s">
        <v>1386</v>
      </c>
      <c r="L15" s="518"/>
    </row>
    <row r="16" spans="1:14" s="248" customFormat="1">
      <c r="A16" s="249"/>
    </row>
    <row r="17" spans="1:14" s="249" customFormat="1" ht="12" customHeight="1">
      <c r="A17" s="249" t="s">
        <v>203</v>
      </c>
      <c r="B17" s="249" t="s">
        <v>204</v>
      </c>
      <c r="C17" s="218">
        <v>46</v>
      </c>
      <c r="D17" s="249" t="s">
        <v>205</v>
      </c>
      <c r="E17" s="218">
        <v>0</v>
      </c>
      <c r="F17" s="249" t="s">
        <v>206</v>
      </c>
      <c r="G17" s="218">
        <v>0</v>
      </c>
      <c r="H17" s="249" t="s">
        <v>230</v>
      </c>
      <c r="I17" s="218">
        <v>46</v>
      </c>
      <c r="J17" s="249" t="s">
        <v>207</v>
      </c>
      <c r="K17" s="218">
        <v>15</v>
      </c>
      <c r="L17" s="1411" t="s">
        <v>1360</v>
      </c>
      <c r="M17" s="1417"/>
      <c r="N17" s="218">
        <v>7</v>
      </c>
    </row>
    <row r="18" spans="1:14" s="249" customFormat="1">
      <c r="A18" s="249" t="s">
        <v>209</v>
      </c>
      <c r="B18" s="249" t="s">
        <v>210</v>
      </c>
      <c r="C18" s="218">
        <v>75</v>
      </c>
      <c r="D18" s="249" t="s">
        <v>211</v>
      </c>
      <c r="E18" s="218">
        <v>0</v>
      </c>
      <c r="F18" s="249" t="s">
        <v>212</v>
      </c>
      <c r="G18" s="218">
        <v>0</v>
      </c>
      <c r="H18" s="249" t="s">
        <v>411</v>
      </c>
      <c r="I18" s="218">
        <v>75</v>
      </c>
    </row>
    <row r="19" spans="1:14" s="249" customFormat="1" ht="13.5" customHeight="1">
      <c r="B19" s="249" t="s">
        <v>213</v>
      </c>
      <c r="C19" s="218">
        <v>59</v>
      </c>
      <c r="D19" s="249" t="s">
        <v>214</v>
      </c>
      <c r="E19" s="218">
        <v>0</v>
      </c>
      <c r="F19" s="249" t="s">
        <v>215</v>
      </c>
      <c r="G19" s="218">
        <v>0</v>
      </c>
      <c r="H19" s="249" t="s">
        <v>410</v>
      </c>
      <c r="I19" s="218">
        <v>59</v>
      </c>
    </row>
    <row r="20" spans="1:14" s="249" customFormat="1">
      <c r="G20" s="250"/>
    </row>
    <row r="21" spans="1:14" s="248" customFormat="1">
      <c r="A21" s="251" t="s">
        <v>216</v>
      </c>
    </row>
    <row r="22" spans="1:14" s="248" customFormat="1">
      <c r="A22" s="249"/>
    </row>
    <row r="23" spans="1:14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</row>
    <row r="24" spans="1:14" s="248" customFormat="1" ht="11.2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</row>
    <row r="25" spans="1:14" s="248" customFormat="1" ht="15" customHeight="1">
      <c r="A25" s="247" t="s">
        <v>232</v>
      </c>
      <c r="B25" s="218">
        <v>8000</v>
      </c>
      <c r="C25" s="247" t="s">
        <v>233</v>
      </c>
      <c r="D25" s="253">
        <v>40.4</v>
      </c>
      <c r="E25" s="253">
        <v>11</v>
      </c>
      <c r="F25" s="254">
        <v>0</v>
      </c>
      <c r="G25" s="254">
        <v>0</v>
      </c>
      <c r="H25" s="254">
        <v>0</v>
      </c>
      <c r="I25" s="254">
        <v>1.0812999999999999</v>
      </c>
      <c r="J25" s="254">
        <v>0</v>
      </c>
      <c r="K25" s="254">
        <v>0</v>
      </c>
      <c r="L25" s="254">
        <v>0</v>
      </c>
      <c r="M25" s="254">
        <v>1.0812999999999999</v>
      </c>
      <c r="N25" s="254">
        <v>9.83</v>
      </c>
    </row>
    <row r="26" spans="1:14" s="248" customFormat="1" ht="15" customHeight="1">
      <c r="A26" s="247" t="s">
        <v>1715</v>
      </c>
      <c r="B26" s="218">
        <v>7000</v>
      </c>
      <c r="C26" s="247" t="s">
        <v>233</v>
      </c>
      <c r="D26" s="253">
        <v>2.9289999999999998</v>
      </c>
      <c r="E26" s="253">
        <v>0</v>
      </c>
      <c r="F26" s="254">
        <v>0</v>
      </c>
      <c r="G26" s="254">
        <v>0</v>
      </c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>
        <v>0</v>
      </c>
      <c r="N26" s="254">
        <v>0</v>
      </c>
    </row>
    <row r="27" spans="1:14" s="248" customFormat="1" ht="15" customHeight="1">
      <c r="A27" s="247" t="s">
        <v>235</v>
      </c>
      <c r="B27" s="218">
        <v>43000</v>
      </c>
      <c r="C27" s="247" t="s">
        <v>236</v>
      </c>
      <c r="D27" s="253">
        <v>0.43</v>
      </c>
      <c r="E27" s="253">
        <v>0.18</v>
      </c>
      <c r="F27" s="254">
        <v>0</v>
      </c>
      <c r="G27" s="254">
        <v>0</v>
      </c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</row>
    <row r="28" spans="1:14" s="248" customFormat="1" ht="15" customHeight="1">
      <c r="A28" s="247" t="s">
        <v>396</v>
      </c>
      <c r="B28" s="218">
        <v>34000</v>
      </c>
      <c r="C28" s="247" t="s">
        <v>236</v>
      </c>
      <c r="D28" s="253">
        <v>0.34</v>
      </c>
      <c r="E28" s="253">
        <v>0.16</v>
      </c>
      <c r="F28" s="254">
        <v>0</v>
      </c>
      <c r="G28" s="254">
        <v>0</v>
      </c>
      <c r="H28" s="254">
        <v>0</v>
      </c>
      <c r="I28" s="254">
        <v>0.16</v>
      </c>
      <c r="J28" s="254">
        <v>0</v>
      </c>
      <c r="K28" s="254">
        <v>0</v>
      </c>
      <c r="L28" s="254">
        <v>0</v>
      </c>
      <c r="M28" s="254">
        <v>0.16</v>
      </c>
      <c r="N28" s="254">
        <v>100</v>
      </c>
    </row>
    <row r="29" spans="1:14" s="248" customFormat="1" ht="15" customHeight="1">
      <c r="A29" s="247" t="s">
        <v>238</v>
      </c>
      <c r="B29" s="218">
        <v>1200</v>
      </c>
      <c r="C29" s="247" t="s">
        <v>233</v>
      </c>
      <c r="D29" s="253">
        <v>6.06</v>
      </c>
      <c r="E29" s="253">
        <v>2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</row>
    <row r="30" spans="1:14" s="248" customFormat="1" ht="15" customHeight="1">
      <c r="A30" s="247" t="s">
        <v>667</v>
      </c>
      <c r="B30" s="218">
        <v>565</v>
      </c>
      <c r="C30" s="247" t="s">
        <v>233</v>
      </c>
      <c r="D30" s="253">
        <v>2.8532500000000001</v>
      </c>
      <c r="E30" s="253">
        <v>2.7774999999999999</v>
      </c>
      <c r="F30" s="254">
        <v>0</v>
      </c>
      <c r="G30" s="254">
        <v>0</v>
      </c>
      <c r="H30" s="254">
        <v>2.7774999999999999</v>
      </c>
      <c r="I30" s="254">
        <v>0</v>
      </c>
      <c r="J30" s="254">
        <v>0</v>
      </c>
      <c r="K30" s="254">
        <v>0</v>
      </c>
      <c r="L30" s="254">
        <v>0</v>
      </c>
      <c r="M30" s="254">
        <v>2.7774999999999999</v>
      </c>
      <c r="N30" s="254">
        <v>100</v>
      </c>
    </row>
    <row r="31" spans="1:14" s="248" customFormat="1" ht="15" customHeight="1">
      <c r="A31" s="247" t="s">
        <v>240</v>
      </c>
      <c r="B31" s="218">
        <v>1000</v>
      </c>
      <c r="C31" s="247" t="s">
        <v>233</v>
      </c>
      <c r="D31" s="253">
        <v>5.05</v>
      </c>
      <c r="E31" s="253">
        <v>0</v>
      </c>
      <c r="F31" s="254">
        <v>0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4">
        <v>0</v>
      </c>
    </row>
    <row r="32" spans="1:14" s="248" customFormat="1" ht="15" customHeight="1">
      <c r="A32" s="247" t="s">
        <v>394</v>
      </c>
      <c r="B32" s="218">
        <v>2750</v>
      </c>
      <c r="C32" s="247" t="s">
        <v>1716</v>
      </c>
      <c r="D32" s="253">
        <v>2.1</v>
      </c>
      <c r="E32" s="253">
        <v>0.41249999999999998</v>
      </c>
      <c r="F32" s="254">
        <v>0</v>
      </c>
      <c r="G32" s="254">
        <v>0</v>
      </c>
      <c r="H32" s="254">
        <v>0</v>
      </c>
      <c r="I32" s="254">
        <v>7.4999999999999997E-2</v>
      </c>
      <c r="J32" s="254">
        <v>0</v>
      </c>
      <c r="K32" s="254">
        <v>0</v>
      </c>
      <c r="L32" s="254">
        <v>0</v>
      </c>
      <c r="M32" s="254">
        <v>7.4999999999999997E-2</v>
      </c>
      <c r="N32" s="254">
        <v>18.181818181818183</v>
      </c>
    </row>
    <row r="33" spans="1:14" s="248" customFormat="1" ht="15" customHeight="1">
      <c r="A33" s="247" t="s">
        <v>1717</v>
      </c>
      <c r="B33" s="218">
        <v>10000</v>
      </c>
      <c r="C33" s="247" t="s">
        <v>244</v>
      </c>
      <c r="D33" s="253">
        <v>0.1</v>
      </c>
      <c r="E33" s="253">
        <v>0.1</v>
      </c>
      <c r="F33" s="254">
        <v>0</v>
      </c>
      <c r="G33" s="254">
        <v>0</v>
      </c>
      <c r="H33" s="254">
        <v>0</v>
      </c>
      <c r="I33" s="254">
        <v>0</v>
      </c>
      <c r="J33" s="254">
        <v>0</v>
      </c>
      <c r="K33" s="254">
        <v>0</v>
      </c>
      <c r="L33" s="254">
        <v>0</v>
      </c>
      <c r="M33" s="254">
        <v>0</v>
      </c>
      <c r="N33" s="254">
        <v>0</v>
      </c>
    </row>
    <row r="34" spans="1:14" s="248" customFormat="1" ht="15" customHeight="1">
      <c r="A34" s="255" t="s">
        <v>230</v>
      </c>
      <c r="B34" s="218"/>
      <c r="C34" s="247"/>
      <c r="D34" s="256">
        <v>60.262250000000009</v>
      </c>
      <c r="E34" s="256">
        <v>16.630000000000003</v>
      </c>
      <c r="F34" s="256">
        <v>0</v>
      </c>
      <c r="G34" s="256">
        <v>0</v>
      </c>
      <c r="H34" s="256">
        <v>2.7774999999999999</v>
      </c>
      <c r="I34" s="256">
        <v>1.3162999999999998</v>
      </c>
      <c r="J34" s="256">
        <v>0</v>
      </c>
      <c r="K34" s="256">
        <v>0</v>
      </c>
      <c r="L34" s="256">
        <v>0</v>
      </c>
      <c r="M34" s="256">
        <v>4.0937999999999999</v>
      </c>
      <c r="N34" s="256"/>
    </row>
    <row r="35" spans="1:14" s="248" customFormat="1">
      <c r="A35" s="249"/>
      <c r="H35" s="257"/>
      <c r="I35" s="257"/>
      <c r="J35" s="257"/>
    </row>
  </sheetData>
  <mergeCells count="36">
    <mergeCell ref="L17:M17"/>
    <mergeCell ref="A23:A24"/>
    <mergeCell ref="B23:B24"/>
    <mergeCell ref="C23:C24"/>
    <mergeCell ref="D23:D24"/>
    <mergeCell ref="E23:E24"/>
    <mergeCell ref="F23:N23"/>
    <mergeCell ref="C15:E15"/>
    <mergeCell ref="B11:C11"/>
    <mergeCell ref="D11:F11"/>
    <mergeCell ref="G11:I11"/>
    <mergeCell ref="J11:M11"/>
    <mergeCell ref="B12:C12"/>
    <mergeCell ref="D12:F12"/>
    <mergeCell ref="G12:I12"/>
    <mergeCell ref="J12:K12"/>
    <mergeCell ref="L12:M12"/>
    <mergeCell ref="B13:C13"/>
    <mergeCell ref="D13:F13"/>
    <mergeCell ref="G13:I13"/>
    <mergeCell ref="J13:K13"/>
    <mergeCell ref="L13:M13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7.7109375" style="244" customWidth="1"/>
    <col min="14" max="14" width="6.7109375" style="244" customWidth="1"/>
    <col min="15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7.710937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7.710937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7.710937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7.710937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7.710937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7.710937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7.710937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7.710937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7.710937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7.710937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7.710937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7.710937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7.710937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7.710937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7.710937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7.710937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7.710937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7.710937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7.710937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7.710937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7.710937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7.710937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7.710937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7.710937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7.710937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7.710937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7.710937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7.710937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7.710937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7.710937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7.710937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7.710937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7.710937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7.710937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7.710937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7.710937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7.710937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7.710937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7.710937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7.710937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7.710937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7.710937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7.710937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7.710937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7.710937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7.710937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7.710937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7.710937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7.710937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7.710937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7.710937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7.710937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7.710937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7.710937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7.710937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7.710937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7.710937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7.710937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7.710937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7.710937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7.710937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7.710937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7.7109375" style="244" customWidth="1"/>
    <col min="16142" max="16142" width="6.7109375" style="244" customWidth="1"/>
    <col min="16143" max="16384" width="9.140625" style="244"/>
  </cols>
  <sheetData>
    <row r="1" spans="1:14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14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14" ht="13.5">
      <c r="A3" s="245" t="s">
        <v>169</v>
      </c>
      <c r="B3" s="1398" t="s">
        <v>1887</v>
      </c>
      <c r="C3" s="1398"/>
      <c r="D3" s="1398"/>
      <c r="E3" s="1398"/>
      <c r="F3" s="245" t="s">
        <v>171</v>
      </c>
      <c r="H3" s="1399" t="s">
        <v>2204</v>
      </c>
      <c r="I3" s="1399"/>
      <c r="J3" s="245" t="s">
        <v>172</v>
      </c>
      <c r="K3" s="246">
        <v>478.3</v>
      </c>
      <c r="L3" s="245" t="s">
        <v>436</v>
      </c>
      <c r="N3" s="246">
        <v>80</v>
      </c>
    </row>
    <row r="4" spans="1:14" ht="15">
      <c r="A4" s="808" t="s">
        <v>4176</v>
      </c>
      <c r="B4" s="808"/>
      <c r="C4" s="808"/>
    </row>
    <row r="5" spans="1:14" ht="13.5">
      <c r="A5" s="245" t="s">
        <v>174</v>
      </c>
      <c r="B5" s="1400" t="s">
        <v>2205</v>
      </c>
      <c r="C5" s="1401"/>
      <c r="D5" s="1401"/>
      <c r="E5" s="1402"/>
      <c r="F5" s="245" t="s">
        <v>176</v>
      </c>
      <c r="H5" s="1400" t="s">
        <v>2206</v>
      </c>
      <c r="I5" s="1401"/>
      <c r="J5" s="1402"/>
    </row>
    <row r="7" spans="1:14" ht="13.5" customHeight="1">
      <c r="A7" s="245" t="s">
        <v>178</v>
      </c>
      <c r="B7" s="1400"/>
      <c r="C7" s="1401"/>
      <c r="D7" s="1401"/>
      <c r="E7" s="1402"/>
      <c r="F7" s="1403" t="s">
        <v>1696</v>
      </c>
      <c r="G7" s="1403"/>
      <c r="H7" s="1404"/>
      <c r="I7" s="1405"/>
      <c r="J7" s="1405"/>
      <c r="K7" s="1406"/>
    </row>
    <row r="8" spans="1:14">
      <c r="F8" s="1403"/>
      <c r="G8" s="1403"/>
      <c r="H8" s="1407"/>
      <c r="I8" s="1408"/>
      <c r="J8" s="1408"/>
      <c r="K8" s="1409"/>
    </row>
    <row r="10" spans="1:14" s="248" customFormat="1" ht="20.100000000000001" customHeight="1">
      <c r="A10" s="247" t="s">
        <v>1697</v>
      </c>
      <c r="B10" s="1410" t="s">
        <v>2207</v>
      </c>
      <c r="C10" s="1410"/>
      <c r="D10" s="1410" t="s">
        <v>2208</v>
      </c>
      <c r="E10" s="1410"/>
      <c r="F10" s="1410"/>
      <c r="G10" s="1410" t="s">
        <v>2209</v>
      </c>
      <c r="H10" s="1410"/>
      <c r="I10" s="1410"/>
      <c r="J10" s="1410" t="s">
        <v>2210</v>
      </c>
      <c r="K10" s="1410"/>
      <c r="L10" s="1410"/>
      <c r="M10" s="1410"/>
    </row>
    <row r="11" spans="1:14" s="248" customFormat="1" ht="20.100000000000001" customHeight="1">
      <c r="A11" s="247" t="s">
        <v>1702</v>
      </c>
      <c r="B11" s="1410"/>
      <c r="C11" s="1410"/>
      <c r="D11" s="1410"/>
      <c r="E11" s="1410"/>
      <c r="F11" s="1410"/>
      <c r="G11" s="1410"/>
      <c r="H11" s="1410"/>
      <c r="I11" s="1410"/>
      <c r="J11" s="1410"/>
      <c r="K11" s="1410"/>
      <c r="L11" s="1410"/>
      <c r="M11" s="1410"/>
    </row>
    <row r="12" spans="1:14" s="248" customFormat="1" ht="26.25" customHeight="1">
      <c r="A12" s="247" t="s">
        <v>1707</v>
      </c>
      <c r="B12" s="1412" t="s">
        <v>2211</v>
      </c>
      <c r="C12" s="1413"/>
      <c r="D12" s="1412" t="s">
        <v>2212</v>
      </c>
      <c r="E12" s="1414"/>
      <c r="F12" s="1413"/>
      <c r="G12" s="1410" t="s">
        <v>2213</v>
      </c>
      <c r="H12" s="1410"/>
      <c r="I12" s="1410"/>
      <c r="J12" s="1423" t="s">
        <v>2214</v>
      </c>
      <c r="K12" s="1423"/>
      <c r="L12" s="1424" t="s">
        <v>2215</v>
      </c>
      <c r="M12" s="1424"/>
    </row>
    <row r="13" spans="1:14" s="248" customFormat="1" ht="20.100000000000001" customHeight="1">
      <c r="A13" s="247" t="s">
        <v>197</v>
      </c>
      <c r="B13" s="1416"/>
      <c r="C13" s="1416"/>
      <c r="D13" s="1416"/>
      <c r="E13" s="1416"/>
      <c r="F13" s="1416"/>
      <c r="G13" s="1410"/>
      <c r="H13" s="1410"/>
      <c r="I13" s="1410"/>
      <c r="J13" s="1410"/>
      <c r="K13" s="1410"/>
      <c r="L13" s="1410"/>
      <c r="M13" s="1410"/>
    </row>
    <row r="14" spans="1:14" s="248" customFormat="1">
      <c r="A14" s="249"/>
    </row>
    <row r="15" spans="1:14" s="248" customFormat="1" ht="13.5" customHeight="1">
      <c r="A15" s="249" t="s">
        <v>1356</v>
      </c>
      <c r="B15" s="518">
        <v>4</v>
      </c>
      <c r="C15" s="1411" t="s">
        <v>1490</v>
      </c>
      <c r="D15" s="1403"/>
      <c r="E15" s="1403"/>
      <c r="F15" s="518">
        <v>3</v>
      </c>
      <c r="G15" s="249" t="s">
        <v>1712</v>
      </c>
      <c r="H15" s="518"/>
      <c r="I15" s="249" t="s">
        <v>1492</v>
      </c>
      <c r="J15" s="518">
        <v>0</v>
      </c>
      <c r="K15" s="249" t="s">
        <v>1386</v>
      </c>
      <c r="L15" s="518">
        <v>2</v>
      </c>
    </row>
    <row r="16" spans="1:14" s="248" customFormat="1">
      <c r="A16" s="249"/>
    </row>
    <row r="17" spans="1:14" s="249" customFormat="1" ht="12" customHeight="1">
      <c r="A17" s="249" t="s">
        <v>203</v>
      </c>
      <c r="B17" s="249" t="s">
        <v>204</v>
      </c>
      <c r="C17" s="218">
        <v>34</v>
      </c>
      <c r="D17" s="249" t="s">
        <v>205</v>
      </c>
      <c r="E17" s="218">
        <v>0</v>
      </c>
      <c r="F17" s="249" t="s">
        <v>206</v>
      </c>
      <c r="G17" s="218">
        <v>3</v>
      </c>
      <c r="H17" s="249" t="s">
        <v>230</v>
      </c>
      <c r="I17" s="218">
        <v>37</v>
      </c>
      <c r="J17" s="249" t="s">
        <v>207</v>
      </c>
      <c r="K17" s="218">
        <v>31</v>
      </c>
      <c r="L17" s="1411" t="s">
        <v>1360</v>
      </c>
      <c r="M17" s="1417"/>
      <c r="N17" s="218"/>
    </row>
    <row r="18" spans="1:14" s="249" customFormat="1">
      <c r="A18" s="249" t="s">
        <v>209</v>
      </c>
      <c r="B18" s="249" t="s">
        <v>210</v>
      </c>
      <c r="C18" s="218">
        <v>64</v>
      </c>
      <c r="D18" s="249" t="s">
        <v>211</v>
      </c>
      <c r="E18" s="218">
        <v>0</v>
      </c>
      <c r="F18" s="249" t="s">
        <v>212</v>
      </c>
      <c r="G18" s="218">
        <v>8</v>
      </c>
      <c r="H18" s="249" t="s">
        <v>411</v>
      </c>
      <c r="I18" s="218">
        <v>72</v>
      </c>
    </row>
    <row r="19" spans="1:14" s="249" customFormat="1" ht="13.5" customHeight="1">
      <c r="B19" s="249" t="s">
        <v>213</v>
      </c>
      <c r="C19" s="218">
        <v>89</v>
      </c>
      <c r="D19" s="249" t="s">
        <v>214</v>
      </c>
      <c r="E19" s="218">
        <v>0</v>
      </c>
      <c r="F19" s="249" t="s">
        <v>215</v>
      </c>
      <c r="G19" s="218">
        <v>9</v>
      </c>
      <c r="H19" s="249" t="s">
        <v>410</v>
      </c>
      <c r="I19" s="218">
        <v>98</v>
      </c>
    </row>
    <row r="20" spans="1:14" s="249" customFormat="1">
      <c r="G20" s="250"/>
    </row>
    <row r="21" spans="1:14" s="248" customFormat="1">
      <c r="A21" s="251" t="s">
        <v>216</v>
      </c>
    </row>
    <row r="22" spans="1:14" s="248" customFormat="1">
      <c r="A22" s="249"/>
    </row>
    <row r="23" spans="1:14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</row>
    <row r="24" spans="1:14" s="248" customFormat="1" ht="11.2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</row>
    <row r="25" spans="1:14" s="248" customFormat="1" ht="15" customHeight="1">
      <c r="A25" s="247" t="s">
        <v>232</v>
      </c>
      <c r="B25" s="218">
        <v>8000</v>
      </c>
      <c r="C25" s="247" t="s">
        <v>233</v>
      </c>
      <c r="D25" s="254">
        <v>38.264000000000003</v>
      </c>
      <c r="E25" s="254">
        <v>10</v>
      </c>
      <c r="F25" s="254">
        <v>0</v>
      </c>
      <c r="G25" s="254">
        <v>0</v>
      </c>
      <c r="H25" s="254">
        <v>0</v>
      </c>
      <c r="I25" s="254">
        <v>0</v>
      </c>
      <c r="J25" s="254">
        <v>0</v>
      </c>
      <c r="K25" s="254">
        <v>0</v>
      </c>
      <c r="L25" s="254">
        <v>0</v>
      </c>
      <c r="M25" s="254">
        <v>0</v>
      </c>
      <c r="N25" s="254">
        <v>0</v>
      </c>
    </row>
    <row r="26" spans="1:14" s="248" customFormat="1" ht="15" customHeight="1">
      <c r="A26" s="247" t="s">
        <v>1715</v>
      </c>
      <c r="B26" s="218">
        <v>7000</v>
      </c>
      <c r="C26" s="247" t="s">
        <v>233</v>
      </c>
      <c r="D26" s="254">
        <v>2.7741400000000001</v>
      </c>
      <c r="E26" s="254">
        <v>0</v>
      </c>
      <c r="F26" s="254">
        <v>0</v>
      </c>
      <c r="G26" s="254">
        <v>0</v>
      </c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>
        <v>0</v>
      </c>
      <c r="N26" s="254">
        <v>0</v>
      </c>
    </row>
    <row r="27" spans="1:14" s="248" customFormat="1" ht="15" customHeight="1">
      <c r="A27" s="247" t="s">
        <v>235</v>
      </c>
      <c r="B27" s="218">
        <v>43000</v>
      </c>
      <c r="C27" s="247" t="s">
        <v>236</v>
      </c>
      <c r="D27" s="254">
        <v>0.43</v>
      </c>
      <c r="E27" s="254">
        <v>0.18</v>
      </c>
      <c r="F27" s="254">
        <v>0</v>
      </c>
      <c r="G27" s="254">
        <v>0</v>
      </c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</row>
    <row r="28" spans="1:14" s="248" customFormat="1" ht="15" customHeight="1">
      <c r="A28" s="247" t="s">
        <v>396</v>
      </c>
      <c r="B28" s="218">
        <v>34000</v>
      </c>
      <c r="C28" s="247" t="s">
        <v>236</v>
      </c>
      <c r="D28" s="254">
        <v>0.34</v>
      </c>
      <c r="E28" s="254">
        <v>0.16</v>
      </c>
      <c r="F28" s="254">
        <v>0</v>
      </c>
      <c r="G28" s="254">
        <v>0</v>
      </c>
      <c r="H28" s="254">
        <v>0</v>
      </c>
      <c r="I28" s="254">
        <v>0.16</v>
      </c>
      <c r="J28" s="254">
        <v>0</v>
      </c>
      <c r="K28" s="254">
        <v>0</v>
      </c>
      <c r="L28" s="254">
        <v>0</v>
      </c>
      <c r="M28" s="254">
        <v>0.16</v>
      </c>
      <c r="N28" s="254">
        <v>100</v>
      </c>
    </row>
    <row r="29" spans="1:14" s="248" customFormat="1" ht="15" customHeight="1">
      <c r="A29" s="247" t="s">
        <v>238</v>
      </c>
      <c r="B29" s="218">
        <v>1200</v>
      </c>
      <c r="C29" s="247" t="s">
        <v>233</v>
      </c>
      <c r="D29" s="254">
        <v>5.7396000000000003</v>
      </c>
      <c r="E29" s="254">
        <v>2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</row>
    <row r="30" spans="1:14" s="248" customFormat="1" ht="15" customHeight="1">
      <c r="A30" s="247" t="s">
        <v>667</v>
      </c>
      <c r="B30" s="218">
        <v>565</v>
      </c>
      <c r="C30" s="247" t="s">
        <v>233</v>
      </c>
      <c r="D30" s="254">
        <v>2.7023950000000001</v>
      </c>
      <c r="E30" s="254">
        <v>2.6306500000000002</v>
      </c>
      <c r="F30" s="254">
        <v>0</v>
      </c>
      <c r="G30" s="254">
        <v>0</v>
      </c>
      <c r="H30" s="254">
        <v>2.6306500000000002</v>
      </c>
      <c r="I30" s="254">
        <v>0</v>
      </c>
      <c r="J30" s="254">
        <v>0</v>
      </c>
      <c r="K30" s="254">
        <v>0</v>
      </c>
      <c r="L30" s="254">
        <v>0</v>
      </c>
      <c r="M30" s="254">
        <v>2.6306500000000002</v>
      </c>
      <c r="N30" s="254">
        <v>100</v>
      </c>
    </row>
    <row r="31" spans="1:14" s="248" customFormat="1" ht="15" customHeight="1">
      <c r="A31" s="247" t="s">
        <v>240</v>
      </c>
      <c r="B31" s="218">
        <v>1000</v>
      </c>
      <c r="C31" s="247" t="s">
        <v>233</v>
      </c>
      <c r="D31" s="254">
        <v>4.7830000000000004</v>
      </c>
      <c r="E31" s="254">
        <v>0</v>
      </c>
      <c r="F31" s="254">
        <v>0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4">
        <v>0</v>
      </c>
    </row>
    <row r="32" spans="1:14" s="248" customFormat="1" ht="15" customHeight="1">
      <c r="A32" s="247" t="s">
        <v>394</v>
      </c>
      <c r="B32" s="218">
        <v>2750</v>
      </c>
      <c r="C32" s="247" t="s">
        <v>1716</v>
      </c>
      <c r="D32" s="254">
        <v>2.1</v>
      </c>
      <c r="E32" s="254">
        <v>0.41249999999999998</v>
      </c>
      <c r="F32" s="254">
        <v>0</v>
      </c>
      <c r="G32" s="254">
        <v>0</v>
      </c>
      <c r="H32" s="254">
        <v>0</v>
      </c>
      <c r="I32" s="254">
        <v>1.4999999999999999E-2</v>
      </c>
      <c r="J32" s="254">
        <v>0</v>
      </c>
      <c r="K32" s="254">
        <v>0</v>
      </c>
      <c r="L32" s="254">
        <v>0</v>
      </c>
      <c r="M32" s="254">
        <v>1.4999999999999999E-2</v>
      </c>
      <c r="N32" s="254">
        <v>3.6363636363636362</v>
      </c>
    </row>
    <row r="33" spans="1:14" s="248" customFormat="1" ht="15" customHeight="1">
      <c r="A33" s="247" t="s">
        <v>1717</v>
      </c>
      <c r="B33" s="218">
        <v>10000</v>
      </c>
      <c r="C33" s="247" t="s">
        <v>244</v>
      </c>
      <c r="D33" s="254">
        <v>0.1</v>
      </c>
      <c r="E33" s="254">
        <v>0.1</v>
      </c>
      <c r="F33" s="254">
        <v>0</v>
      </c>
      <c r="G33" s="254">
        <v>0</v>
      </c>
      <c r="H33" s="254">
        <v>0</v>
      </c>
      <c r="I33" s="254">
        <v>0</v>
      </c>
      <c r="J33" s="254">
        <v>0</v>
      </c>
      <c r="K33" s="254">
        <v>0</v>
      </c>
      <c r="L33" s="254">
        <v>0</v>
      </c>
      <c r="M33" s="254">
        <v>0</v>
      </c>
      <c r="N33" s="254">
        <v>0</v>
      </c>
    </row>
    <row r="34" spans="1:14" s="248" customFormat="1" ht="15" customHeight="1">
      <c r="A34" s="255" t="s">
        <v>230</v>
      </c>
      <c r="B34" s="218"/>
      <c r="C34" s="247"/>
      <c r="D34" s="258">
        <v>57.233135000000019</v>
      </c>
      <c r="E34" s="258">
        <v>15.483149999999998</v>
      </c>
      <c r="F34" s="259">
        <v>0</v>
      </c>
      <c r="G34" s="259">
        <v>0</v>
      </c>
      <c r="H34" s="258">
        <v>2.6306500000000002</v>
      </c>
      <c r="I34" s="258">
        <v>0.17499999999999999</v>
      </c>
      <c r="J34" s="259">
        <v>0</v>
      </c>
      <c r="K34" s="259">
        <v>0</v>
      </c>
      <c r="L34" s="259">
        <v>0</v>
      </c>
      <c r="M34" s="258">
        <v>2.8056500000000004</v>
      </c>
      <c r="N34" s="258"/>
    </row>
    <row r="35" spans="1:14" s="248" customFormat="1">
      <c r="A35" s="249"/>
      <c r="H35" s="257"/>
      <c r="I35" s="257"/>
      <c r="J35" s="257"/>
    </row>
  </sheetData>
  <mergeCells count="35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K12"/>
    <mergeCell ref="L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7.7109375" style="244" customWidth="1"/>
    <col min="14" max="14" width="6.7109375" style="244" customWidth="1"/>
    <col min="15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7.710937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7.710937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7.710937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7.710937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7.710937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7.710937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7.710937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7.710937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7.710937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7.710937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7.710937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7.710937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7.710937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7.710937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7.710937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7.710937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7.710937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7.710937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7.710937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7.710937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7.710937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7.710937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7.710937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7.710937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7.710937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7.710937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7.710937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7.710937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7.710937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7.710937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7.710937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7.710937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7.710937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7.710937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7.710937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7.710937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7.710937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7.710937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7.710937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7.710937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7.710937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7.710937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7.710937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7.710937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7.710937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7.710937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7.710937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7.710937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7.710937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7.710937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7.710937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7.710937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7.710937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7.710937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7.710937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7.710937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7.710937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7.710937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7.710937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7.710937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7.710937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7.710937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7.7109375" style="244" customWidth="1"/>
    <col min="16142" max="16142" width="6.7109375" style="244" customWidth="1"/>
    <col min="16143" max="16384" width="9.140625" style="244"/>
  </cols>
  <sheetData>
    <row r="1" spans="1:14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14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14" ht="13.5">
      <c r="A3" s="245" t="s">
        <v>169</v>
      </c>
      <c r="B3" s="1398" t="s">
        <v>2216</v>
      </c>
      <c r="C3" s="1398"/>
      <c r="D3" s="1398"/>
      <c r="E3" s="1398"/>
      <c r="F3" s="245" t="s">
        <v>171</v>
      </c>
      <c r="H3" s="1399" t="s">
        <v>2217</v>
      </c>
      <c r="I3" s="1399"/>
      <c r="J3" s="245" t="s">
        <v>172</v>
      </c>
      <c r="K3" s="246">
        <v>720</v>
      </c>
      <c r="L3" s="245" t="s">
        <v>436</v>
      </c>
      <c r="N3" s="246">
        <v>80</v>
      </c>
    </row>
    <row r="4" spans="1:14" ht="15">
      <c r="A4" s="808" t="s">
        <v>4176</v>
      </c>
      <c r="B4" s="808"/>
      <c r="C4" s="808"/>
    </row>
    <row r="5" spans="1:14" ht="13.5">
      <c r="A5" s="245" t="s">
        <v>174</v>
      </c>
      <c r="B5" s="1400" t="s">
        <v>2218</v>
      </c>
      <c r="C5" s="1401"/>
      <c r="D5" s="1401"/>
      <c r="E5" s="1402"/>
      <c r="F5" s="245" t="s">
        <v>176</v>
      </c>
      <c r="H5" s="1400" t="s">
        <v>2219</v>
      </c>
      <c r="I5" s="1401"/>
      <c r="J5" s="1402"/>
    </row>
    <row r="7" spans="1:14" ht="13.5" customHeight="1">
      <c r="A7" s="245" t="s">
        <v>178</v>
      </c>
      <c r="B7" s="1400"/>
      <c r="C7" s="1401"/>
      <c r="D7" s="1401"/>
      <c r="E7" s="1402"/>
      <c r="F7" s="1403" t="s">
        <v>1696</v>
      </c>
      <c r="G7" s="1403"/>
      <c r="H7" s="1404"/>
      <c r="I7" s="1405"/>
      <c r="J7" s="1405"/>
      <c r="K7" s="1406"/>
    </row>
    <row r="8" spans="1:14">
      <c r="F8" s="1403"/>
      <c r="G8" s="1403"/>
      <c r="H8" s="1407"/>
      <c r="I8" s="1408"/>
      <c r="J8" s="1408"/>
      <c r="K8" s="1409"/>
    </row>
    <row r="10" spans="1:14" s="248" customFormat="1" ht="20.100000000000001" customHeight="1">
      <c r="A10" s="247" t="s">
        <v>1697</v>
      </c>
      <c r="B10" s="1410" t="s">
        <v>2220</v>
      </c>
      <c r="C10" s="1410"/>
      <c r="D10" s="1410"/>
      <c r="E10" s="1410"/>
      <c r="F10" s="1410"/>
      <c r="G10" s="1410"/>
      <c r="H10" s="1410"/>
      <c r="I10" s="1410"/>
      <c r="J10" s="1410"/>
      <c r="K10" s="1410"/>
      <c r="L10" s="1410"/>
      <c r="M10" s="1410"/>
    </row>
    <row r="11" spans="1:14" s="248" customFormat="1" ht="20.100000000000001" customHeight="1">
      <c r="A11" s="247" t="s">
        <v>1702</v>
      </c>
      <c r="B11" s="1410" t="s">
        <v>2219</v>
      </c>
      <c r="C11" s="1410"/>
      <c r="D11" s="1410"/>
      <c r="E11" s="1410"/>
      <c r="F11" s="1410"/>
      <c r="G11" s="1410"/>
      <c r="H11" s="1410"/>
      <c r="I11" s="1410"/>
      <c r="J11" s="1410"/>
      <c r="K11" s="1410"/>
      <c r="L11" s="1410"/>
      <c r="M11" s="1410"/>
    </row>
    <row r="12" spans="1:14" s="248" customFormat="1" ht="26.25" customHeight="1">
      <c r="A12" s="247" t="s">
        <v>1707</v>
      </c>
      <c r="B12" s="1412" t="s">
        <v>2221</v>
      </c>
      <c r="C12" s="1413"/>
      <c r="D12" s="1415" t="s">
        <v>2222</v>
      </c>
      <c r="E12" s="1415"/>
      <c r="F12" s="1415"/>
      <c r="G12" s="1425" t="s">
        <v>2223</v>
      </c>
      <c r="H12" s="1426"/>
      <c r="I12" s="1427"/>
      <c r="J12" s="1410" t="s">
        <v>2224</v>
      </c>
      <c r="K12" s="1410"/>
      <c r="L12" s="1424" t="s">
        <v>2225</v>
      </c>
      <c r="M12" s="1424"/>
    </row>
    <row r="13" spans="1:14" s="248" customFormat="1" ht="20.100000000000001" customHeight="1">
      <c r="A13" s="247" t="s">
        <v>197</v>
      </c>
      <c r="B13" s="1428"/>
      <c r="C13" s="1429"/>
      <c r="D13" s="1428"/>
      <c r="E13" s="1430"/>
      <c r="F13" s="1429"/>
      <c r="G13" s="1428"/>
      <c r="H13" s="1430"/>
      <c r="I13" s="1429"/>
      <c r="J13" s="1410"/>
      <c r="K13" s="1410"/>
      <c r="L13" s="1410"/>
      <c r="M13" s="1410"/>
    </row>
    <row r="14" spans="1:14" s="248" customFormat="1">
      <c r="A14" s="249"/>
    </row>
    <row r="15" spans="1:14" s="248" customFormat="1" ht="13.5" customHeight="1">
      <c r="A15" s="249" t="s">
        <v>1356</v>
      </c>
      <c r="B15" s="518">
        <v>1</v>
      </c>
      <c r="C15" s="1411" t="s">
        <v>1490</v>
      </c>
      <c r="D15" s="1403"/>
      <c r="E15" s="1403"/>
      <c r="F15" s="518">
        <v>1</v>
      </c>
      <c r="G15" s="249" t="s">
        <v>1712</v>
      </c>
      <c r="H15" s="518">
        <v>5</v>
      </c>
      <c r="I15" s="249" t="s">
        <v>1492</v>
      </c>
      <c r="J15" s="518"/>
      <c r="K15" s="249" t="s">
        <v>1386</v>
      </c>
      <c r="L15" s="518">
        <v>2</v>
      </c>
    </row>
    <row r="16" spans="1:14" s="248" customFormat="1">
      <c r="A16" s="249"/>
    </row>
    <row r="17" spans="1:14" s="249" customFormat="1" ht="12" customHeight="1">
      <c r="A17" s="249" t="s">
        <v>203</v>
      </c>
      <c r="B17" s="249" t="s">
        <v>204</v>
      </c>
      <c r="C17" s="218">
        <v>61</v>
      </c>
      <c r="D17" s="249" t="s">
        <v>205</v>
      </c>
      <c r="E17" s="218">
        <v>13</v>
      </c>
      <c r="F17" s="249" t="s">
        <v>206</v>
      </c>
      <c r="G17" s="218">
        <v>0</v>
      </c>
      <c r="H17" s="249" t="s">
        <v>230</v>
      </c>
      <c r="I17" s="218">
        <v>74</v>
      </c>
      <c r="J17" s="249" t="s">
        <v>207</v>
      </c>
      <c r="K17" s="218">
        <v>36</v>
      </c>
      <c r="L17" s="1411" t="s">
        <v>1360</v>
      </c>
      <c r="M17" s="1417"/>
      <c r="N17" s="218"/>
    </row>
    <row r="18" spans="1:14" s="249" customFormat="1">
      <c r="A18" s="249" t="s">
        <v>209</v>
      </c>
      <c r="B18" s="249" t="s">
        <v>210</v>
      </c>
      <c r="C18" s="218">
        <v>142</v>
      </c>
      <c r="D18" s="249" t="s">
        <v>211</v>
      </c>
      <c r="E18" s="218">
        <v>32</v>
      </c>
      <c r="F18" s="249" t="s">
        <v>212</v>
      </c>
      <c r="G18" s="218">
        <v>0</v>
      </c>
      <c r="H18" s="249" t="s">
        <v>411</v>
      </c>
      <c r="I18" s="218">
        <v>174</v>
      </c>
    </row>
    <row r="19" spans="1:14" s="249" customFormat="1" ht="13.5" customHeight="1">
      <c r="B19" s="249" t="s">
        <v>213</v>
      </c>
      <c r="C19" s="218">
        <v>121</v>
      </c>
      <c r="D19" s="249" t="s">
        <v>214</v>
      </c>
      <c r="E19" s="218">
        <v>28</v>
      </c>
      <c r="F19" s="249" t="s">
        <v>215</v>
      </c>
      <c r="G19" s="218">
        <v>0</v>
      </c>
      <c r="H19" s="249" t="s">
        <v>410</v>
      </c>
      <c r="I19" s="218">
        <v>149</v>
      </c>
    </row>
    <row r="20" spans="1:14" s="249" customFormat="1">
      <c r="G20" s="250"/>
    </row>
    <row r="21" spans="1:14" s="248" customFormat="1">
      <c r="A21" s="251" t="s">
        <v>216</v>
      </c>
    </row>
    <row r="22" spans="1:14" s="248" customFormat="1">
      <c r="A22" s="249"/>
    </row>
    <row r="23" spans="1:14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</row>
    <row r="24" spans="1:14" s="248" customFormat="1" ht="11.2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</row>
    <row r="25" spans="1:14" s="248" customFormat="1" ht="15" customHeight="1">
      <c r="A25" s="247" t="s">
        <v>232</v>
      </c>
      <c r="B25" s="218">
        <v>8000</v>
      </c>
      <c r="C25" s="247" t="s">
        <v>233</v>
      </c>
      <c r="D25" s="253">
        <v>57.6</v>
      </c>
      <c r="E25" s="253">
        <v>10</v>
      </c>
      <c r="F25" s="254">
        <v>0</v>
      </c>
      <c r="G25" s="254">
        <v>0</v>
      </c>
      <c r="H25" s="253">
        <v>0.3</v>
      </c>
      <c r="I25" s="253">
        <v>0.45</v>
      </c>
      <c r="J25" s="254">
        <v>0</v>
      </c>
      <c r="K25" s="254">
        <v>0</v>
      </c>
      <c r="L25" s="254">
        <v>0</v>
      </c>
      <c r="M25" s="253">
        <v>0.75</v>
      </c>
      <c r="N25" s="253">
        <v>7.5</v>
      </c>
    </row>
    <row r="26" spans="1:14" s="248" customFormat="1" ht="15" customHeight="1">
      <c r="A26" s="247" t="s">
        <v>1715</v>
      </c>
      <c r="B26" s="218">
        <v>7000</v>
      </c>
      <c r="C26" s="247" t="s">
        <v>233</v>
      </c>
      <c r="D26" s="253">
        <v>4.1760000000000002</v>
      </c>
      <c r="E26" s="253">
        <v>0</v>
      </c>
      <c r="F26" s="254">
        <v>0</v>
      </c>
      <c r="G26" s="254">
        <v>0</v>
      </c>
      <c r="H26" s="253">
        <v>0</v>
      </c>
      <c r="I26" s="253">
        <v>0</v>
      </c>
      <c r="J26" s="254">
        <v>0</v>
      </c>
      <c r="K26" s="254">
        <v>0</v>
      </c>
      <c r="L26" s="254">
        <v>0</v>
      </c>
      <c r="M26" s="253">
        <v>0</v>
      </c>
      <c r="N26" s="253">
        <v>0</v>
      </c>
    </row>
    <row r="27" spans="1:14" s="263" customFormat="1" ht="15" customHeight="1">
      <c r="A27" s="260" t="s">
        <v>235</v>
      </c>
      <c r="B27" s="231">
        <v>43000</v>
      </c>
      <c r="C27" s="260" t="s">
        <v>236</v>
      </c>
      <c r="D27" s="261">
        <v>0.43</v>
      </c>
      <c r="E27" s="261">
        <v>0.18</v>
      </c>
      <c r="F27" s="262">
        <v>0</v>
      </c>
      <c r="G27" s="262">
        <v>0</v>
      </c>
      <c r="H27" s="261">
        <v>0</v>
      </c>
      <c r="I27" s="261">
        <v>0</v>
      </c>
      <c r="J27" s="262">
        <v>0</v>
      </c>
      <c r="K27" s="262">
        <v>0</v>
      </c>
      <c r="L27" s="262">
        <v>0</v>
      </c>
      <c r="M27" s="261">
        <v>0</v>
      </c>
      <c r="N27" s="261">
        <v>0</v>
      </c>
    </row>
    <row r="28" spans="1:14" s="248" customFormat="1" ht="15" customHeight="1">
      <c r="A28" s="247" t="s">
        <v>396</v>
      </c>
      <c r="B28" s="218">
        <v>34000</v>
      </c>
      <c r="C28" s="247" t="s">
        <v>236</v>
      </c>
      <c r="D28" s="253">
        <v>0.34</v>
      </c>
      <c r="E28" s="253">
        <v>0.16</v>
      </c>
      <c r="F28" s="254">
        <v>0</v>
      </c>
      <c r="G28" s="254">
        <v>0</v>
      </c>
      <c r="H28" s="253">
        <v>0.16</v>
      </c>
      <c r="I28" s="253">
        <v>0</v>
      </c>
      <c r="J28" s="254">
        <v>0</v>
      </c>
      <c r="K28" s="254">
        <v>0</v>
      </c>
      <c r="L28" s="254">
        <v>0</v>
      </c>
      <c r="M28" s="253">
        <v>0.16</v>
      </c>
      <c r="N28" s="253">
        <v>100</v>
      </c>
    </row>
    <row r="29" spans="1:14" s="248" customFormat="1" ht="15" customHeight="1">
      <c r="A29" s="247" t="s">
        <v>238</v>
      </c>
      <c r="B29" s="218">
        <v>1200</v>
      </c>
      <c r="C29" s="247" t="s">
        <v>233</v>
      </c>
      <c r="D29" s="253">
        <v>8.64</v>
      </c>
      <c r="E29" s="253">
        <v>2</v>
      </c>
      <c r="F29" s="254">
        <v>0</v>
      </c>
      <c r="G29" s="254">
        <v>0</v>
      </c>
      <c r="H29" s="253">
        <v>0</v>
      </c>
      <c r="I29" s="253">
        <v>0</v>
      </c>
      <c r="J29" s="254">
        <v>0</v>
      </c>
      <c r="K29" s="254">
        <v>0</v>
      </c>
      <c r="L29" s="254">
        <v>0</v>
      </c>
      <c r="M29" s="253">
        <v>0</v>
      </c>
      <c r="N29" s="253">
        <v>0</v>
      </c>
    </row>
    <row r="30" spans="1:14" s="248" customFormat="1" ht="15" customHeight="1">
      <c r="A30" s="247" t="s">
        <v>667</v>
      </c>
      <c r="B30" s="218">
        <v>565</v>
      </c>
      <c r="C30" s="247" t="s">
        <v>233</v>
      </c>
      <c r="D30" s="253">
        <v>4.0679999999999996</v>
      </c>
      <c r="E30" s="253">
        <v>3.96</v>
      </c>
      <c r="F30" s="254">
        <v>0</v>
      </c>
      <c r="G30" s="254">
        <v>0</v>
      </c>
      <c r="H30" s="253">
        <v>3.96</v>
      </c>
      <c r="I30" s="253">
        <v>0</v>
      </c>
      <c r="J30" s="254">
        <v>0</v>
      </c>
      <c r="K30" s="254">
        <v>0</v>
      </c>
      <c r="L30" s="254">
        <v>0</v>
      </c>
      <c r="M30" s="253">
        <v>3.96</v>
      </c>
      <c r="N30" s="253">
        <v>100</v>
      </c>
    </row>
    <row r="31" spans="1:14" s="248" customFormat="1" ht="15" customHeight="1">
      <c r="A31" s="247" t="s">
        <v>240</v>
      </c>
      <c r="B31" s="218">
        <v>1000</v>
      </c>
      <c r="C31" s="247" t="s">
        <v>233</v>
      </c>
      <c r="D31" s="253">
        <v>7.2</v>
      </c>
      <c r="E31" s="253">
        <v>0</v>
      </c>
      <c r="F31" s="254">
        <v>0</v>
      </c>
      <c r="G31" s="254">
        <v>0</v>
      </c>
      <c r="H31" s="253">
        <v>0</v>
      </c>
      <c r="I31" s="253">
        <v>0</v>
      </c>
      <c r="J31" s="254">
        <v>0</v>
      </c>
      <c r="K31" s="254">
        <v>0</v>
      </c>
      <c r="L31" s="254">
        <v>0</v>
      </c>
      <c r="M31" s="253">
        <v>0</v>
      </c>
      <c r="N31" s="253">
        <v>0</v>
      </c>
    </row>
    <row r="32" spans="1:14" s="263" customFormat="1" ht="15" customHeight="1">
      <c r="A32" s="260" t="s">
        <v>394</v>
      </c>
      <c r="B32" s="231">
        <v>2750</v>
      </c>
      <c r="C32" s="260" t="s">
        <v>242</v>
      </c>
      <c r="D32" s="261">
        <v>2.1</v>
      </c>
      <c r="E32" s="261">
        <v>0.41249999999999998</v>
      </c>
      <c r="F32" s="262">
        <v>0</v>
      </c>
      <c r="G32" s="262">
        <v>0</v>
      </c>
      <c r="H32" s="261">
        <v>0</v>
      </c>
      <c r="I32" s="261">
        <v>0</v>
      </c>
      <c r="J32" s="262">
        <v>0</v>
      </c>
      <c r="K32" s="262">
        <v>0</v>
      </c>
      <c r="L32" s="262">
        <v>0</v>
      </c>
      <c r="M32" s="261">
        <v>0</v>
      </c>
      <c r="N32" s="261">
        <v>0</v>
      </c>
    </row>
    <row r="33" spans="1:14" s="248" customFormat="1" ht="15" customHeight="1">
      <c r="A33" s="247" t="s">
        <v>1717</v>
      </c>
      <c r="B33" s="218">
        <v>10000</v>
      </c>
      <c r="C33" s="247" t="s">
        <v>244</v>
      </c>
      <c r="D33" s="253">
        <v>0.1</v>
      </c>
      <c r="E33" s="253">
        <v>0.1</v>
      </c>
      <c r="F33" s="254">
        <v>0</v>
      </c>
      <c r="G33" s="254">
        <v>0</v>
      </c>
      <c r="H33" s="253">
        <v>0</v>
      </c>
      <c r="I33" s="253">
        <v>0</v>
      </c>
      <c r="J33" s="254">
        <v>0</v>
      </c>
      <c r="K33" s="254">
        <v>0</v>
      </c>
      <c r="L33" s="254">
        <v>0</v>
      </c>
      <c r="M33" s="253">
        <v>0</v>
      </c>
      <c r="N33" s="253">
        <v>0</v>
      </c>
    </row>
    <row r="34" spans="1:14" s="248" customFormat="1" ht="15" customHeight="1">
      <c r="A34" s="255" t="s">
        <v>230</v>
      </c>
      <c r="B34" s="218"/>
      <c r="C34" s="247"/>
      <c r="D34" s="256">
        <v>84.653999999999996</v>
      </c>
      <c r="E34" s="256">
        <v>16.812500000000004</v>
      </c>
      <c r="F34" s="256">
        <v>0</v>
      </c>
      <c r="G34" s="256">
        <v>0</v>
      </c>
      <c r="H34" s="256">
        <v>4.42</v>
      </c>
      <c r="I34" s="256">
        <v>0.45</v>
      </c>
      <c r="J34" s="256">
        <v>0</v>
      </c>
      <c r="K34" s="256">
        <v>0</v>
      </c>
      <c r="L34" s="256">
        <v>0</v>
      </c>
      <c r="M34" s="256">
        <v>4.87</v>
      </c>
      <c r="N34" s="256"/>
    </row>
    <row r="35" spans="1:14" s="248" customFormat="1">
      <c r="A35" s="249"/>
      <c r="H35" s="257"/>
      <c r="I35" s="257"/>
      <c r="J35" s="257"/>
    </row>
  </sheetData>
  <mergeCells count="35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K12"/>
    <mergeCell ref="L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48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7.7109375" style="244" customWidth="1"/>
    <col min="14" max="14" width="6.7109375" style="244" customWidth="1"/>
    <col min="15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7.710937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7.710937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7.710937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7.710937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7.710937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7.710937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7.710937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7.710937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7.710937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7.710937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7.710937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7.710937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7.710937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7.710937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7.710937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7.710937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7.710937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7.710937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7.710937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7.710937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7.710937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7.710937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7.710937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7.710937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7.710937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7.710937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7.710937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7.710937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7.710937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7.710937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7.710937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7.710937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7.710937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7.710937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7.710937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7.710937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7.710937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7.710937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7.710937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7.710937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7.710937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7.710937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7.710937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7.710937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7.710937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7.710937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7.710937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7.710937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7.710937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7.710937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7.710937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7.710937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7.710937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7.710937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7.710937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7.710937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7.710937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7.710937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7.710937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7.710937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7.710937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7.710937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7.7109375" style="244" customWidth="1"/>
    <col min="16142" max="16142" width="6.7109375" style="244" customWidth="1"/>
    <col min="16143" max="16384" width="9.140625" style="244"/>
  </cols>
  <sheetData>
    <row r="1" spans="1:14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14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14" ht="13.5">
      <c r="A3" s="245" t="s">
        <v>169</v>
      </c>
      <c r="B3" s="1398" t="s">
        <v>1889</v>
      </c>
      <c r="C3" s="1398"/>
      <c r="D3" s="1398"/>
      <c r="E3" s="1398"/>
      <c r="F3" s="245" t="s">
        <v>171</v>
      </c>
      <c r="H3" s="1399" t="s">
        <v>2226</v>
      </c>
      <c r="I3" s="1399"/>
      <c r="J3" s="245" t="s">
        <v>172</v>
      </c>
      <c r="K3" s="246">
        <v>510</v>
      </c>
      <c r="L3" s="245" t="s">
        <v>436</v>
      </c>
      <c r="N3" s="246">
        <v>80</v>
      </c>
    </row>
    <row r="4" spans="1:14" ht="15">
      <c r="A4" s="808" t="s">
        <v>4176</v>
      </c>
      <c r="B4" s="808"/>
      <c r="C4" s="808"/>
    </row>
    <row r="5" spans="1:14" ht="13.5">
      <c r="A5" s="245" t="s">
        <v>174</v>
      </c>
      <c r="B5" s="1400" t="s">
        <v>2227</v>
      </c>
      <c r="C5" s="1401"/>
      <c r="D5" s="1401"/>
      <c r="E5" s="1402"/>
      <c r="F5" s="245" t="s">
        <v>176</v>
      </c>
      <c r="H5" s="1400" t="s">
        <v>2228</v>
      </c>
      <c r="I5" s="1401"/>
      <c r="J5" s="1402"/>
    </row>
    <row r="7" spans="1:14" ht="13.5" customHeight="1">
      <c r="A7" s="245" t="s">
        <v>178</v>
      </c>
      <c r="B7" s="1400" t="s">
        <v>2227</v>
      </c>
      <c r="C7" s="1401"/>
      <c r="D7" s="1401"/>
      <c r="E7" s="1402"/>
      <c r="F7" s="1403" t="s">
        <v>1696</v>
      </c>
      <c r="G7" s="1403"/>
      <c r="H7" s="1404" t="s">
        <v>2229</v>
      </c>
      <c r="I7" s="1405"/>
      <c r="J7" s="1405"/>
      <c r="K7" s="1406"/>
    </row>
    <row r="8" spans="1:14">
      <c r="F8" s="1403"/>
      <c r="G8" s="1403"/>
      <c r="H8" s="1407"/>
      <c r="I8" s="1408"/>
      <c r="J8" s="1408"/>
      <c r="K8" s="1409"/>
    </row>
    <row r="10" spans="1:14" s="248" customFormat="1" ht="20.100000000000001" customHeight="1">
      <c r="A10" s="247" t="s">
        <v>1697</v>
      </c>
      <c r="B10" s="1410" t="s">
        <v>2230</v>
      </c>
      <c r="C10" s="1410"/>
      <c r="D10" s="1410"/>
      <c r="E10" s="1410"/>
      <c r="F10" s="1410"/>
      <c r="G10" s="1410"/>
      <c r="H10" s="1410"/>
      <c r="I10" s="1410"/>
      <c r="J10" s="1410"/>
      <c r="K10" s="1410"/>
      <c r="L10" s="1410"/>
      <c r="M10" s="1410"/>
    </row>
    <row r="11" spans="1:14" s="248" customFormat="1" ht="20.100000000000001" customHeight="1">
      <c r="A11" s="247" t="s">
        <v>1702</v>
      </c>
      <c r="B11" s="1410" t="s">
        <v>2228</v>
      </c>
      <c r="C11" s="1410"/>
      <c r="D11" s="1410"/>
      <c r="E11" s="1410"/>
      <c r="F11" s="1410"/>
      <c r="G11" s="1410"/>
      <c r="H11" s="1410"/>
      <c r="I11" s="1410"/>
      <c r="J11" s="1410"/>
      <c r="K11" s="1410"/>
      <c r="L11" s="1410"/>
      <c r="M11" s="1410"/>
    </row>
    <row r="12" spans="1:14" s="248" customFormat="1" ht="26.25" customHeight="1">
      <c r="A12" s="247" t="s">
        <v>1707</v>
      </c>
      <c r="B12" s="1431" t="s">
        <v>2231</v>
      </c>
      <c r="C12" s="1431"/>
      <c r="D12" s="1431" t="s">
        <v>2232</v>
      </c>
      <c r="E12" s="1431"/>
      <c r="F12" s="1431"/>
      <c r="G12" s="1431" t="s">
        <v>2233</v>
      </c>
      <c r="H12" s="1431"/>
      <c r="I12" s="1431"/>
      <c r="J12" s="1432" t="s">
        <v>2234</v>
      </c>
      <c r="K12" s="1432"/>
      <c r="L12" s="1432"/>
      <c r="M12" s="1432"/>
    </row>
    <row r="13" spans="1:14" s="248" customFormat="1" ht="20.100000000000001" customHeight="1">
      <c r="A13" s="247" t="s">
        <v>197</v>
      </c>
      <c r="B13" s="264"/>
      <c r="C13" s="265"/>
      <c r="D13" s="264"/>
      <c r="E13" s="266"/>
      <c r="F13" s="265"/>
      <c r="G13" s="264"/>
      <c r="H13" s="266"/>
      <c r="I13" s="265"/>
      <c r="J13" s="264"/>
      <c r="K13" s="266"/>
      <c r="L13" s="266"/>
      <c r="M13" s="265"/>
    </row>
    <row r="14" spans="1:14" s="248" customFormat="1">
      <c r="A14" s="249"/>
    </row>
    <row r="15" spans="1:14" s="248" customFormat="1" ht="13.5" customHeight="1">
      <c r="A15" s="249" t="s">
        <v>1356</v>
      </c>
      <c r="B15" s="518">
        <v>1</v>
      </c>
      <c r="C15" s="1411" t="s">
        <v>1490</v>
      </c>
      <c r="D15" s="1403"/>
      <c r="E15" s="1403"/>
      <c r="F15" s="518">
        <v>1</v>
      </c>
      <c r="G15" s="249" t="s">
        <v>1712</v>
      </c>
      <c r="H15" s="518">
        <v>2</v>
      </c>
      <c r="I15" s="249" t="s">
        <v>1492</v>
      </c>
      <c r="J15" s="518"/>
      <c r="K15" s="249" t="s">
        <v>1386</v>
      </c>
      <c r="L15" s="518">
        <v>1</v>
      </c>
    </row>
    <row r="16" spans="1:14" s="248" customFormat="1">
      <c r="A16" s="249"/>
    </row>
    <row r="17" spans="1:14" s="249" customFormat="1" ht="12" customHeight="1">
      <c r="A17" s="249" t="s">
        <v>203</v>
      </c>
      <c r="B17" s="249" t="s">
        <v>204</v>
      </c>
      <c r="C17" s="218">
        <v>21</v>
      </c>
      <c r="D17" s="249" t="s">
        <v>205</v>
      </c>
      <c r="E17" s="218">
        <v>2</v>
      </c>
      <c r="F17" s="249" t="s">
        <v>206</v>
      </c>
      <c r="G17" s="218">
        <v>0</v>
      </c>
      <c r="H17" s="249" t="s">
        <v>230</v>
      </c>
      <c r="I17" s="218">
        <v>23</v>
      </c>
      <c r="J17" s="249" t="s">
        <v>207</v>
      </c>
      <c r="K17" s="218">
        <v>2</v>
      </c>
      <c r="L17" s="1411" t="s">
        <v>1360</v>
      </c>
      <c r="M17" s="1417"/>
      <c r="N17" s="218">
        <v>2</v>
      </c>
    </row>
    <row r="18" spans="1:14" s="249" customFormat="1">
      <c r="A18" s="249" t="s">
        <v>209</v>
      </c>
      <c r="B18" s="249" t="s">
        <v>210</v>
      </c>
      <c r="C18" s="218">
        <v>69</v>
      </c>
      <c r="D18" s="249" t="s">
        <v>211</v>
      </c>
      <c r="E18" s="218">
        <v>2</v>
      </c>
      <c r="F18" s="249" t="s">
        <v>212</v>
      </c>
      <c r="G18" s="218">
        <v>0</v>
      </c>
      <c r="H18" s="249" t="s">
        <v>411</v>
      </c>
      <c r="I18" s="218">
        <v>71</v>
      </c>
    </row>
    <row r="19" spans="1:14" s="249" customFormat="1" ht="13.5" customHeight="1">
      <c r="B19" s="249" t="s">
        <v>213</v>
      </c>
      <c r="C19" s="218">
        <v>49</v>
      </c>
      <c r="D19" s="249" t="s">
        <v>214</v>
      </c>
      <c r="E19" s="218">
        <v>0</v>
      </c>
      <c r="F19" s="249" t="s">
        <v>215</v>
      </c>
      <c r="G19" s="218">
        <v>0</v>
      </c>
      <c r="H19" s="249" t="s">
        <v>410</v>
      </c>
      <c r="I19" s="218">
        <v>49</v>
      </c>
    </row>
    <row r="20" spans="1:14" s="249" customFormat="1">
      <c r="G20" s="250"/>
    </row>
    <row r="21" spans="1:14" s="248" customFormat="1">
      <c r="A21" s="251" t="s">
        <v>216</v>
      </c>
    </row>
    <row r="22" spans="1:14" s="248" customFormat="1">
      <c r="A22" s="249"/>
    </row>
    <row r="23" spans="1:14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</row>
    <row r="24" spans="1:14" s="248" customFormat="1" ht="31.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</row>
    <row r="25" spans="1:14" s="248" customFormat="1" ht="15" customHeight="1">
      <c r="A25" s="247" t="s">
        <v>232</v>
      </c>
      <c r="B25" s="218">
        <v>8000</v>
      </c>
      <c r="C25" s="247" t="s">
        <v>233</v>
      </c>
      <c r="D25" s="253">
        <v>40.799999999999997</v>
      </c>
      <c r="E25" s="253">
        <v>10</v>
      </c>
      <c r="F25" s="254">
        <v>0</v>
      </c>
      <c r="G25" s="254">
        <v>0</v>
      </c>
      <c r="H25" s="254">
        <v>0.49</v>
      </c>
      <c r="I25" s="254">
        <v>1.3713900000000001</v>
      </c>
      <c r="J25" s="254">
        <v>0</v>
      </c>
      <c r="K25" s="254">
        <v>0</v>
      </c>
      <c r="L25" s="254">
        <v>0</v>
      </c>
      <c r="M25" s="254">
        <v>1.8613900000000001</v>
      </c>
      <c r="N25" s="254">
        <v>18.613900000000001</v>
      </c>
    </row>
    <row r="26" spans="1:14" s="263" customFormat="1" ht="15" customHeight="1">
      <c r="A26" s="260" t="s">
        <v>1715</v>
      </c>
      <c r="B26" s="231">
        <v>7000</v>
      </c>
      <c r="C26" s="260" t="s">
        <v>233</v>
      </c>
      <c r="D26" s="261">
        <v>2.9580000000000002</v>
      </c>
      <c r="E26" s="261">
        <v>0</v>
      </c>
      <c r="F26" s="254">
        <v>0</v>
      </c>
      <c r="G26" s="254">
        <v>0</v>
      </c>
      <c r="H26" s="262">
        <v>0</v>
      </c>
      <c r="I26" s="262">
        <v>0</v>
      </c>
      <c r="J26" s="254">
        <v>0</v>
      </c>
      <c r="K26" s="254">
        <v>0</v>
      </c>
      <c r="L26" s="254">
        <v>0</v>
      </c>
      <c r="M26" s="262">
        <v>0</v>
      </c>
      <c r="N26" s="254">
        <v>0</v>
      </c>
    </row>
    <row r="27" spans="1:14" s="248" customFormat="1" ht="15" customHeight="1">
      <c r="A27" s="247" t="s">
        <v>235</v>
      </c>
      <c r="B27" s="218">
        <v>43000</v>
      </c>
      <c r="C27" s="247" t="s">
        <v>236</v>
      </c>
      <c r="D27" s="253">
        <v>0.43859999999999999</v>
      </c>
      <c r="E27" s="253">
        <v>0.18</v>
      </c>
      <c r="F27" s="254">
        <v>0</v>
      </c>
      <c r="G27" s="254">
        <v>0</v>
      </c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</row>
    <row r="28" spans="1:14" s="248" customFormat="1" ht="15" customHeight="1">
      <c r="A28" s="247" t="s">
        <v>396</v>
      </c>
      <c r="B28" s="218">
        <v>34000</v>
      </c>
      <c r="C28" s="247" t="s">
        <v>236</v>
      </c>
      <c r="D28" s="253">
        <v>0.3468</v>
      </c>
      <c r="E28" s="253">
        <v>0.16</v>
      </c>
      <c r="F28" s="254">
        <v>0</v>
      </c>
      <c r="G28" s="254">
        <v>0</v>
      </c>
      <c r="H28" s="254">
        <v>0.16</v>
      </c>
      <c r="I28" s="254">
        <v>0</v>
      </c>
      <c r="J28" s="254">
        <v>0</v>
      </c>
      <c r="K28" s="254">
        <v>0</v>
      </c>
      <c r="L28" s="254">
        <v>0</v>
      </c>
      <c r="M28" s="254">
        <v>0.16</v>
      </c>
      <c r="N28" s="254">
        <v>100</v>
      </c>
    </row>
    <row r="29" spans="1:14" s="248" customFormat="1" ht="15" customHeight="1">
      <c r="A29" s="247" t="s">
        <v>238</v>
      </c>
      <c r="B29" s="218">
        <v>1200</v>
      </c>
      <c r="C29" s="247" t="s">
        <v>233</v>
      </c>
      <c r="D29" s="253">
        <v>6.12</v>
      </c>
      <c r="E29" s="253">
        <v>2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</row>
    <row r="30" spans="1:14" s="248" customFormat="1" ht="15" customHeight="1">
      <c r="A30" s="247" t="s">
        <v>667</v>
      </c>
      <c r="B30" s="218">
        <v>565</v>
      </c>
      <c r="C30" s="247" t="s">
        <v>233</v>
      </c>
      <c r="D30" s="253">
        <v>2.8815</v>
      </c>
      <c r="E30" s="253">
        <v>2.8050000000000002</v>
      </c>
      <c r="F30" s="254">
        <v>0</v>
      </c>
      <c r="G30" s="254">
        <v>0</v>
      </c>
      <c r="H30" s="254">
        <v>2.8050000000000002</v>
      </c>
      <c r="I30" s="254">
        <v>0</v>
      </c>
      <c r="J30" s="254">
        <v>0</v>
      </c>
      <c r="K30" s="254">
        <v>0</v>
      </c>
      <c r="L30" s="254">
        <v>0</v>
      </c>
      <c r="M30" s="254">
        <v>2.8050000000000002</v>
      </c>
      <c r="N30" s="254">
        <v>100</v>
      </c>
    </row>
    <row r="31" spans="1:14" s="248" customFormat="1" ht="15" customHeight="1">
      <c r="A31" s="247" t="s">
        <v>240</v>
      </c>
      <c r="B31" s="218">
        <v>1000</v>
      </c>
      <c r="C31" s="247" t="s">
        <v>233</v>
      </c>
      <c r="D31" s="253">
        <v>5.0999999999999996</v>
      </c>
      <c r="E31" s="253">
        <v>0</v>
      </c>
      <c r="F31" s="254">
        <v>0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4">
        <v>0</v>
      </c>
    </row>
    <row r="32" spans="1:14" s="248" customFormat="1" ht="15" customHeight="1">
      <c r="A32" s="247" t="s">
        <v>394</v>
      </c>
      <c r="B32" s="218">
        <v>2750</v>
      </c>
      <c r="C32" s="247" t="s">
        <v>1716</v>
      </c>
      <c r="D32" s="253">
        <v>2.1</v>
      </c>
      <c r="E32" s="253">
        <v>0.41249999999999998</v>
      </c>
      <c r="F32" s="254">
        <v>0</v>
      </c>
      <c r="G32" s="254">
        <v>0</v>
      </c>
      <c r="H32" s="254">
        <v>0</v>
      </c>
      <c r="I32" s="254">
        <v>3.5000000000000003E-2</v>
      </c>
      <c r="J32" s="254">
        <v>0</v>
      </c>
      <c r="K32" s="254">
        <v>0</v>
      </c>
      <c r="L32" s="254">
        <v>0</v>
      </c>
      <c r="M32" s="254">
        <v>3.5000000000000003E-2</v>
      </c>
      <c r="N32" s="254">
        <v>8.4848484848484862</v>
      </c>
    </row>
    <row r="33" spans="1:14" s="248" customFormat="1" ht="15" customHeight="1">
      <c r="A33" s="247" t="s">
        <v>1717</v>
      </c>
      <c r="B33" s="218">
        <v>10000</v>
      </c>
      <c r="C33" s="247" t="s">
        <v>244</v>
      </c>
      <c r="D33" s="253">
        <v>0.1</v>
      </c>
      <c r="E33" s="253">
        <v>0.1</v>
      </c>
      <c r="F33" s="254">
        <v>0</v>
      </c>
      <c r="G33" s="254">
        <v>0</v>
      </c>
      <c r="H33" s="254">
        <v>0</v>
      </c>
      <c r="I33" s="254">
        <v>0.1</v>
      </c>
      <c r="J33" s="254">
        <v>0</v>
      </c>
      <c r="K33" s="254">
        <v>0</v>
      </c>
      <c r="L33" s="254">
        <v>0</v>
      </c>
      <c r="M33" s="254">
        <v>0.1</v>
      </c>
      <c r="N33" s="254">
        <v>0</v>
      </c>
    </row>
    <row r="34" spans="1:14" s="248" customFormat="1" ht="15" customHeight="1">
      <c r="A34" s="255" t="s">
        <v>230</v>
      </c>
      <c r="B34" s="218"/>
      <c r="C34" s="247"/>
      <c r="D34" s="256">
        <v>60.844900000000003</v>
      </c>
      <c r="E34" s="256">
        <v>15.657499999999999</v>
      </c>
      <c r="F34" s="256">
        <v>0</v>
      </c>
      <c r="G34" s="256">
        <v>0</v>
      </c>
      <c r="H34" s="256">
        <v>3.4550000000000001</v>
      </c>
      <c r="I34" s="256">
        <v>1.5063900000000001</v>
      </c>
      <c r="J34" s="256">
        <v>0</v>
      </c>
      <c r="K34" s="256">
        <v>0</v>
      </c>
      <c r="L34" s="256">
        <v>0</v>
      </c>
      <c r="M34" s="256">
        <v>4.9613899999999997</v>
      </c>
      <c r="N34" s="256"/>
    </row>
    <row r="35" spans="1:14" s="248" customFormat="1">
      <c r="A35" s="249"/>
      <c r="H35" s="257"/>
      <c r="I35" s="257"/>
      <c r="J35" s="257"/>
    </row>
    <row r="48" spans="1:14" s="267" customFormat="1"/>
  </sheetData>
  <mergeCells count="30">
    <mergeCell ref="C15:E15"/>
    <mergeCell ref="L17:M17"/>
    <mergeCell ref="A23:A24"/>
    <mergeCell ref="B23:B24"/>
    <mergeCell ref="C23:C24"/>
    <mergeCell ref="D23:D24"/>
    <mergeCell ref="E23:E24"/>
    <mergeCell ref="F23:N23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scale="89" orientation="landscape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7.7109375" style="244" customWidth="1"/>
    <col min="14" max="14" width="6.7109375" style="244" customWidth="1"/>
    <col min="15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7.710937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7.710937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7.710937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7.710937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7.710937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7.710937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7.710937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7.710937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7.710937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7.710937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7.710937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7.710937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7.710937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7.710937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7.710937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7.710937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7.710937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7.710937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7.710937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7.710937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7.710937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7.710937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7.710937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7.710937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7.710937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7.710937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7.710937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7.710937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7.710937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7.710937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7.710937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7.710937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7.710937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7.710937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7.710937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7.710937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7.710937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7.710937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7.710937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7.710937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7.710937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7.710937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7.710937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7.710937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7.710937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7.710937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7.710937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7.710937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7.710937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7.710937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7.710937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7.710937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7.710937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7.710937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7.710937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7.710937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7.710937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7.710937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7.710937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7.710937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7.710937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7.710937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7.7109375" style="244" customWidth="1"/>
    <col min="16142" max="16142" width="6.7109375" style="244" customWidth="1"/>
    <col min="16143" max="16384" width="9.140625" style="244"/>
  </cols>
  <sheetData>
    <row r="1" spans="1:14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14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14" ht="13.5">
      <c r="A3" s="245" t="s">
        <v>169</v>
      </c>
      <c r="B3" s="1433" t="s">
        <v>2235</v>
      </c>
      <c r="C3" s="1434"/>
      <c r="D3" s="1434"/>
      <c r="E3" s="1435"/>
      <c r="F3" s="245" t="s">
        <v>171</v>
      </c>
      <c r="H3" s="1399" t="s">
        <v>2236</v>
      </c>
      <c r="I3" s="1399"/>
      <c r="J3" s="245" t="s">
        <v>172</v>
      </c>
      <c r="K3" s="246">
        <v>400.7</v>
      </c>
      <c r="L3" s="245" t="s">
        <v>436</v>
      </c>
      <c r="N3" s="246">
        <v>80</v>
      </c>
    </row>
    <row r="4" spans="1:14" ht="15">
      <c r="A4" s="808" t="s">
        <v>4176</v>
      </c>
      <c r="B4" s="808"/>
      <c r="C4" s="808"/>
    </row>
    <row r="5" spans="1:14" ht="13.5">
      <c r="A5" s="245" t="s">
        <v>174</v>
      </c>
      <c r="B5" s="1400" t="s">
        <v>2237</v>
      </c>
      <c r="C5" s="1401"/>
      <c r="D5" s="1401"/>
      <c r="E5" s="1402"/>
      <c r="F5" s="245" t="s">
        <v>176</v>
      </c>
      <c r="H5" s="1400" t="s">
        <v>2238</v>
      </c>
      <c r="I5" s="1401"/>
      <c r="J5" s="1402"/>
    </row>
    <row r="7" spans="1:14" ht="13.5" customHeight="1">
      <c r="A7" s="245" t="s">
        <v>178</v>
      </c>
      <c r="B7" s="1400" t="s">
        <v>2239</v>
      </c>
      <c r="C7" s="1401"/>
      <c r="D7" s="1401"/>
      <c r="E7" s="1402"/>
      <c r="F7" s="1403" t="s">
        <v>1696</v>
      </c>
      <c r="G7" s="1403"/>
      <c r="H7" s="1404" t="s">
        <v>2240</v>
      </c>
      <c r="I7" s="1405"/>
      <c r="J7" s="1405"/>
      <c r="K7" s="1406"/>
    </row>
    <row r="8" spans="1:14">
      <c r="F8" s="1403"/>
      <c r="G8" s="1403"/>
      <c r="H8" s="1407"/>
      <c r="I8" s="1408"/>
      <c r="J8" s="1408"/>
      <c r="K8" s="1409"/>
    </row>
    <row r="10" spans="1:14" s="248" customFormat="1" ht="20.100000000000001" customHeight="1">
      <c r="A10" s="247" t="s">
        <v>1697</v>
      </c>
      <c r="B10" s="1410" t="s">
        <v>2241</v>
      </c>
      <c r="C10" s="1410"/>
      <c r="D10" s="1410" t="s">
        <v>2242</v>
      </c>
      <c r="E10" s="1410"/>
      <c r="F10" s="1410"/>
      <c r="G10" s="1410" t="s">
        <v>2243</v>
      </c>
      <c r="H10" s="1410"/>
      <c r="I10" s="1410"/>
      <c r="J10" s="1424" t="s">
        <v>2244</v>
      </c>
      <c r="K10" s="1424"/>
      <c r="L10" s="1424" t="s">
        <v>2245</v>
      </c>
      <c r="M10" s="1424"/>
    </row>
    <row r="11" spans="1:14" s="248" customFormat="1" ht="29.25" customHeight="1">
      <c r="A11" s="247" t="s">
        <v>1702</v>
      </c>
      <c r="B11" s="1410" t="s">
        <v>2246</v>
      </c>
      <c r="C11" s="1410"/>
      <c r="D11" s="1410" t="s">
        <v>2247</v>
      </c>
      <c r="E11" s="1410"/>
      <c r="F11" s="1410"/>
      <c r="G11" s="1410" t="s">
        <v>2248</v>
      </c>
      <c r="H11" s="1410"/>
      <c r="I11" s="1410"/>
      <c r="J11" s="1424" t="s">
        <v>2249</v>
      </c>
      <c r="K11" s="1424"/>
      <c r="L11" s="1436"/>
      <c r="M11" s="1437"/>
    </row>
    <row r="12" spans="1:14" s="248" customFormat="1" ht="26.25" customHeight="1">
      <c r="A12" s="247" t="s">
        <v>1707</v>
      </c>
      <c r="B12" s="1410" t="s">
        <v>2246</v>
      </c>
      <c r="C12" s="1410"/>
      <c r="D12" s="1410" t="s">
        <v>2247</v>
      </c>
      <c r="E12" s="1410"/>
      <c r="F12" s="1410"/>
      <c r="G12" s="1410" t="s">
        <v>2250</v>
      </c>
      <c r="H12" s="1410"/>
      <c r="I12" s="1410"/>
      <c r="J12" s="1410"/>
      <c r="K12" s="1410"/>
      <c r="L12" s="1410"/>
      <c r="M12" s="1410"/>
    </row>
    <row r="13" spans="1:14" s="248" customFormat="1" ht="20.100000000000001" customHeight="1">
      <c r="A13" s="247" t="s">
        <v>197</v>
      </c>
      <c r="B13" s="1410"/>
      <c r="C13" s="1410"/>
      <c r="D13" s="1410"/>
      <c r="E13" s="1410"/>
      <c r="F13" s="1410"/>
      <c r="G13" s="1410"/>
      <c r="H13" s="1410"/>
      <c r="I13" s="1410"/>
      <c r="J13" s="1410"/>
      <c r="K13" s="1410"/>
      <c r="L13" s="1410"/>
      <c r="M13" s="1410"/>
    </row>
    <row r="14" spans="1:14" s="248" customFormat="1">
      <c r="A14" s="249"/>
    </row>
    <row r="15" spans="1:14" s="248" customFormat="1" ht="13.5" customHeight="1">
      <c r="A15" s="249" t="s">
        <v>1356</v>
      </c>
      <c r="B15" s="518">
        <v>5</v>
      </c>
      <c r="C15" s="1411" t="s">
        <v>1490</v>
      </c>
      <c r="D15" s="1403"/>
      <c r="E15" s="1403"/>
      <c r="F15" s="518">
        <v>5</v>
      </c>
      <c r="G15" s="249" t="s">
        <v>1712</v>
      </c>
      <c r="H15" s="518">
        <v>10</v>
      </c>
      <c r="I15" s="249" t="s">
        <v>1492</v>
      </c>
      <c r="J15" s="518">
        <v>1</v>
      </c>
      <c r="K15" s="249" t="s">
        <v>1386</v>
      </c>
      <c r="L15" s="518">
        <v>10</v>
      </c>
    </row>
    <row r="16" spans="1:14" s="248" customFormat="1">
      <c r="A16" s="249"/>
    </row>
    <row r="17" spans="1:14" s="249" customFormat="1" ht="12" customHeight="1">
      <c r="A17" s="249" t="s">
        <v>203</v>
      </c>
      <c r="B17" s="249" t="s">
        <v>204</v>
      </c>
      <c r="C17" s="218">
        <v>110</v>
      </c>
      <c r="D17" s="249" t="s">
        <v>205</v>
      </c>
      <c r="E17" s="218">
        <v>8</v>
      </c>
      <c r="F17" s="249" t="s">
        <v>206</v>
      </c>
      <c r="G17" s="218">
        <v>14</v>
      </c>
      <c r="H17" s="249" t="s">
        <v>230</v>
      </c>
      <c r="I17" s="218">
        <v>132</v>
      </c>
      <c r="J17" s="249" t="s">
        <v>207</v>
      </c>
      <c r="K17" s="218">
        <v>0</v>
      </c>
      <c r="L17" s="1411" t="s">
        <v>1360</v>
      </c>
      <c r="M17" s="1417"/>
      <c r="N17" s="218">
        <v>7</v>
      </c>
    </row>
    <row r="18" spans="1:14" s="249" customFormat="1">
      <c r="A18" s="249" t="s">
        <v>209</v>
      </c>
      <c r="B18" s="249" t="s">
        <v>210</v>
      </c>
      <c r="C18" s="218">
        <v>256</v>
      </c>
      <c r="D18" s="249" t="s">
        <v>211</v>
      </c>
      <c r="E18" s="218">
        <v>26</v>
      </c>
      <c r="F18" s="249" t="s">
        <v>212</v>
      </c>
      <c r="G18" s="218">
        <v>39</v>
      </c>
      <c r="H18" s="249" t="s">
        <v>411</v>
      </c>
      <c r="I18" s="218">
        <v>321</v>
      </c>
    </row>
    <row r="19" spans="1:14" s="249" customFormat="1" ht="13.5" customHeight="1">
      <c r="B19" s="249" t="s">
        <v>213</v>
      </c>
      <c r="C19" s="218">
        <v>276</v>
      </c>
      <c r="D19" s="249" t="s">
        <v>214</v>
      </c>
      <c r="E19" s="218">
        <v>35</v>
      </c>
      <c r="F19" s="249" t="s">
        <v>215</v>
      </c>
      <c r="G19" s="218">
        <v>31</v>
      </c>
      <c r="H19" s="249" t="s">
        <v>410</v>
      </c>
      <c r="I19" s="218">
        <v>342</v>
      </c>
    </row>
    <row r="20" spans="1:14" s="249" customFormat="1">
      <c r="A20" s="268"/>
      <c r="G20" s="250"/>
    </row>
    <row r="21" spans="1:14" s="248" customFormat="1">
      <c r="A21" s="251" t="s">
        <v>216</v>
      </c>
    </row>
    <row r="22" spans="1:14" s="248" customFormat="1">
      <c r="A22" s="249"/>
    </row>
    <row r="23" spans="1:14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</row>
    <row r="24" spans="1:14" s="248" customFormat="1" ht="28.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</row>
    <row r="25" spans="1:14" s="248" customFormat="1" ht="15" customHeight="1">
      <c r="A25" s="247" t="s">
        <v>232</v>
      </c>
      <c r="B25" s="218">
        <v>8000</v>
      </c>
      <c r="C25" s="247" t="s">
        <v>233</v>
      </c>
      <c r="D25" s="254">
        <v>32.055999999999997</v>
      </c>
      <c r="E25" s="254">
        <v>10</v>
      </c>
      <c r="F25" s="254">
        <v>0</v>
      </c>
      <c r="G25" s="254">
        <v>0</v>
      </c>
      <c r="H25" s="254">
        <v>0</v>
      </c>
      <c r="I25" s="254">
        <v>0</v>
      </c>
      <c r="J25" s="254">
        <v>0</v>
      </c>
      <c r="K25" s="254">
        <v>0</v>
      </c>
      <c r="L25" s="254">
        <v>0</v>
      </c>
      <c r="M25" s="254">
        <v>0</v>
      </c>
      <c r="N25" s="254">
        <v>0</v>
      </c>
    </row>
    <row r="26" spans="1:14" s="248" customFormat="1" ht="15" customHeight="1">
      <c r="A26" s="247" t="s">
        <v>1715</v>
      </c>
      <c r="B26" s="218">
        <v>7000</v>
      </c>
      <c r="C26" s="247" t="s">
        <v>233</v>
      </c>
      <c r="D26" s="254">
        <v>2.3240599999999998</v>
      </c>
      <c r="E26" s="254">
        <v>0</v>
      </c>
      <c r="F26" s="254">
        <v>0</v>
      </c>
      <c r="G26" s="254">
        <v>0</v>
      </c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>
        <v>0</v>
      </c>
      <c r="N26" s="254"/>
    </row>
    <row r="27" spans="1:14" s="248" customFormat="1" ht="15" customHeight="1">
      <c r="A27" s="247" t="s">
        <v>235</v>
      </c>
      <c r="B27" s="218">
        <v>43000</v>
      </c>
      <c r="C27" s="247" t="s">
        <v>236</v>
      </c>
      <c r="D27" s="254">
        <v>0.43</v>
      </c>
      <c r="E27" s="254">
        <v>0.18</v>
      </c>
      <c r="F27" s="254">
        <v>0</v>
      </c>
      <c r="G27" s="254">
        <v>0</v>
      </c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</row>
    <row r="28" spans="1:14" s="248" customFormat="1" ht="15" customHeight="1">
      <c r="A28" s="247" t="s">
        <v>396</v>
      </c>
      <c r="B28" s="218">
        <v>34000</v>
      </c>
      <c r="C28" s="247" t="s">
        <v>236</v>
      </c>
      <c r="D28" s="254">
        <v>0.34</v>
      </c>
      <c r="E28" s="254">
        <v>0.16</v>
      </c>
      <c r="F28" s="254">
        <v>0</v>
      </c>
      <c r="G28" s="254">
        <v>0</v>
      </c>
      <c r="H28" s="254">
        <v>0.16</v>
      </c>
      <c r="I28" s="254">
        <v>0</v>
      </c>
      <c r="J28" s="254">
        <v>0</v>
      </c>
      <c r="K28" s="254">
        <v>0</v>
      </c>
      <c r="L28" s="254">
        <v>0</v>
      </c>
      <c r="M28" s="254">
        <v>0.16</v>
      </c>
      <c r="N28" s="254">
        <v>100</v>
      </c>
    </row>
    <row r="29" spans="1:14" s="248" customFormat="1" ht="15" customHeight="1">
      <c r="A29" s="247" t="s">
        <v>238</v>
      </c>
      <c r="B29" s="218">
        <v>1200</v>
      </c>
      <c r="C29" s="247" t="s">
        <v>233</v>
      </c>
      <c r="D29" s="254">
        <v>4.8083999999999998</v>
      </c>
      <c r="E29" s="254">
        <v>2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</row>
    <row r="30" spans="1:14" s="248" customFormat="1" ht="15" customHeight="1">
      <c r="A30" s="247" t="s">
        <v>667</v>
      </c>
      <c r="B30" s="218">
        <v>565</v>
      </c>
      <c r="C30" s="247" t="s">
        <v>233</v>
      </c>
      <c r="D30" s="254">
        <v>2.2639550000000002</v>
      </c>
      <c r="E30" s="254">
        <v>2.2038500000000001</v>
      </c>
      <c r="F30" s="254">
        <v>0</v>
      </c>
      <c r="G30" s="254">
        <v>0</v>
      </c>
      <c r="H30" s="254">
        <v>2.2038500000000001</v>
      </c>
      <c r="I30" s="254">
        <v>0</v>
      </c>
      <c r="J30" s="254">
        <v>0</v>
      </c>
      <c r="K30" s="254">
        <v>0</v>
      </c>
      <c r="L30" s="254">
        <v>0</v>
      </c>
      <c r="M30" s="254">
        <v>2.2038500000000001</v>
      </c>
      <c r="N30" s="254">
        <v>100</v>
      </c>
    </row>
    <row r="31" spans="1:14" s="248" customFormat="1" ht="15" customHeight="1">
      <c r="A31" s="247" t="s">
        <v>240</v>
      </c>
      <c r="B31" s="218">
        <v>1000</v>
      </c>
      <c r="C31" s="247" t="s">
        <v>233</v>
      </c>
      <c r="D31" s="254">
        <v>4.0069999999999997</v>
      </c>
      <c r="E31" s="254">
        <v>0</v>
      </c>
      <c r="F31" s="254">
        <v>0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4"/>
    </row>
    <row r="32" spans="1:14" s="248" customFormat="1" ht="15" customHeight="1">
      <c r="A32" s="247" t="s">
        <v>394</v>
      </c>
      <c r="B32" s="218">
        <v>2750</v>
      </c>
      <c r="C32" s="247" t="s">
        <v>1716</v>
      </c>
      <c r="D32" s="254">
        <v>2.1</v>
      </c>
      <c r="E32" s="254">
        <v>0.41249999999999998</v>
      </c>
      <c r="F32" s="254">
        <v>0</v>
      </c>
      <c r="G32" s="254">
        <v>0</v>
      </c>
      <c r="H32" s="254">
        <v>0</v>
      </c>
      <c r="I32" s="254">
        <v>0</v>
      </c>
      <c r="J32" s="254">
        <v>0</v>
      </c>
      <c r="K32" s="254">
        <v>0</v>
      </c>
      <c r="L32" s="254">
        <v>0</v>
      </c>
      <c r="M32" s="254">
        <v>0</v>
      </c>
      <c r="N32" s="254">
        <v>0</v>
      </c>
    </row>
    <row r="33" spans="1:14" s="248" customFormat="1" ht="15" customHeight="1">
      <c r="A33" s="247" t="s">
        <v>1717</v>
      </c>
      <c r="B33" s="218">
        <v>10000</v>
      </c>
      <c r="C33" s="247" t="s">
        <v>244</v>
      </c>
      <c r="D33" s="254">
        <v>0.1</v>
      </c>
      <c r="E33" s="254">
        <v>0.1</v>
      </c>
      <c r="F33" s="254">
        <v>0</v>
      </c>
      <c r="G33" s="254">
        <v>0</v>
      </c>
      <c r="H33" s="254">
        <v>0</v>
      </c>
      <c r="I33" s="254">
        <v>0</v>
      </c>
      <c r="J33" s="254">
        <v>0</v>
      </c>
      <c r="K33" s="254">
        <v>0</v>
      </c>
      <c r="L33" s="254">
        <v>0</v>
      </c>
      <c r="M33" s="254">
        <v>0</v>
      </c>
      <c r="N33" s="254"/>
    </row>
    <row r="34" spans="1:14" s="248" customFormat="1" ht="15" customHeight="1">
      <c r="A34" s="255" t="s">
        <v>230</v>
      </c>
      <c r="B34" s="218"/>
      <c r="C34" s="247"/>
      <c r="D34" s="258">
        <v>48.429415000000006</v>
      </c>
      <c r="E34" s="258">
        <v>15.056349999999998</v>
      </c>
      <c r="F34" s="259">
        <v>0</v>
      </c>
      <c r="G34" s="259">
        <v>0</v>
      </c>
      <c r="H34" s="258">
        <v>2.3638500000000002</v>
      </c>
      <c r="I34" s="259">
        <v>0</v>
      </c>
      <c r="J34" s="259">
        <v>0</v>
      </c>
      <c r="K34" s="259">
        <v>0</v>
      </c>
      <c r="L34" s="259">
        <v>0</v>
      </c>
      <c r="M34" s="258">
        <v>2.3638500000000002</v>
      </c>
      <c r="N34" s="258"/>
    </row>
    <row r="35" spans="1:14" s="248" customFormat="1">
      <c r="A35" s="249"/>
      <c r="H35" s="257"/>
      <c r="I35" s="257"/>
      <c r="J35" s="257"/>
    </row>
  </sheetData>
  <mergeCells count="36">
    <mergeCell ref="C15:E15"/>
    <mergeCell ref="L17:M17"/>
    <mergeCell ref="A23:A24"/>
    <mergeCell ref="B23:B24"/>
    <mergeCell ref="C23:C24"/>
    <mergeCell ref="D23:D24"/>
    <mergeCell ref="E23:E24"/>
    <mergeCell ref="F23:N23"/>
    <mergeCell ref="B12:C12"/>
    <mergeCell ref="D12:F12"/>
    <mergeCell ref="G12:I12"/>
    <mergeCell ref="J12:M12"/>
    <mergeCell ref="B13:C13"/>
    <mergeCell ref="D13:F13"/>
    <mergeCell ref="G13:I13"/>
    <mergeCell ref="J13:M13"/>
    <mergeCell ref="L10:M10"/>
    <mergeCell ref="B11:C11"/>
    <mergeCell ref="D11:F11"/>
    <mergeCell ref="G11:I11"/>
    <mergeCell ref="J11:K11"/>
    <mergeCell ref="L11:M11"/>
    <mergeCell ref="B7:E7"/>
    <mergeCell ref="F7:G8"/>
    <mergeCell ref="H7:K8"/>
    <mergeCell ref="B10:C10"/>
    <mergeCell ref="D10:F10"/>
    <mergeCell ref="G10:I10"/>
    <mergeCell ref="J10:K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7.7109375" style="244" customWidth="1"/>
    <col min="14" max="14" width="6.7109375" style="244" customWidth="1"/>
    <col min="15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7.710937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7.710937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7.710937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7.710937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7.710937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7.710937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7.710937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7.710937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7.710937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7.710937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7.710937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7.710937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7.710937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7.710937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7.710937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7.710937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7.710937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7.710937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7.710937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7.710937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7.710937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7.710937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7.710937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7.710937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7.710937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7.710937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7.710937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7.710937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7.710937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7.710937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7.710937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7.710937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7.710937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7.710937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7.710937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7.710937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7.710937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7.710937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7.710937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7.710937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7.710937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7.710937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7.710937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7.710937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7.710937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7.710937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7.710937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7.710937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7.710937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7.710937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7.710937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7.710937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7.710937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7.710937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7.710937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7.710937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7.710937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7.710937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7.710937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7.710937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7.710937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7.710937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7.7109375" style="244" customWidth="1"/>
    <col min="16142" max="16142" width="6.7109375" style="244" customWidth="1"/>
    <col min="16143" max="16384" width="9.140625" style="244"/>
  </cols>
  <sheetData>
    <row r="1" spans="1:14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14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14" ht="13.5">
      <c r="A3" s="245" t="s">
        <v>169</v>
      </c>
      <c r="B3" s="1398" t="s">
        <v>2251</v>
      </c>
      <c r="C3" s="1398"/>
      <c r="D3" s="1398"/>
      <c r="E3" s="1398"/>
      <c r="F3" s="245" t="s">
        <v>171</v>
      </c>
      <c r="H3" s="1399" t="s">
        <v>2252</v>
      </c>
      <c r="I3" s="1399"/>
      <c r="J3" s="245" t="s">
        <v>172</v>
      </c>
      <c r="K3" s="246">
        <v>486.8</v>
      </c>
      <c r="L3" s="245" t="s">
        <v>436</v>
      </c>
      <c r="N3" s="246">
        <v>80</v>
      </c>
    </row>
    <row r="4" spans="1:14" ht="15">
      <c r="A4" s="808" t="s">
        <v>4176</v>
      </c>
      <c r="B4" s="808"/>
      <c r="C4" s="808"/>
    </row>
    <row r="5" spans="1:14" ht="13.5">
      <c r="A5" s="245" t="s">
        <v>174</v>
      </c>
      <c r="B5" s="1400" t="s">
        <v>2253</v>
      </c>
      <c r="C5" s="1401"/>
      <c r="D5" s="1401"/>
      <c r="E5" s="1402"/>
      <c r="F5" s="245" t="s">
        <v>176</v>
      </c>
      <c r="H5" s="1400" t="s">
        <v>2254</v>
      </c>
      <c r="I5" s="1401"/>
      <c r="J5" s="1402"/>
    </row>
    <row r="7" spans="1:14" ht="13.5" customHeight="1">
      <c r="A7" s="245" t="s">
        <v>178</v>
      </c>
      <c r="B7" s="1400" t="s">
        <v>2255</v>
      </c>
      <c r="C7" s="1401"/>
      <c r="D7" s="1401"/>
      <c r="E7" s="1402"/>
      <c r="F7" s="1403" t="s">
        <v>1696</v>
      </c>
      <c r="G7" s="1403"/>
      <c r="H7" s="1404" t="s">
        <v>2256</v>
      </c>
      <c r="I7" s="1405"/>
      <c r="J7" s="1405"/>
      <c r="K7" s="1406"/>
    </row>
    <row r="8" spans="1:14">
      <c r="F8" s="1403"/>
      <c r="G8" s="1403"/>
      <c r="H8" s="1407"/>
      <c r="I8" s="1408"/>
      <c r="J8" s="1408"/>
      <c r="K8" s="1409"/>
    </row>
    <row r="10" spans="1:14" s="248" customFormat="1" ht="20.100000000000001" customHeight="1">
      <c r="A10" s="247" t="s">
        <v>1697</v>
      </c>
      <c r="B10" s="1410" t="s">
        <v>2241</v>
      </c>
      <c r="C10" s="1410"/>
      <c r="D10" s="1410" t="s">
        <v>2257</v>
      </c>
      <c r="E10" s="1410"/>
      <c r="F10" s="1410"/>
      <c r="G10" s="1410" t="s">
        <v>2258</v>
      </c>
      <c r="H10" s="1410"/>
      <c r="I10" s="1410"/>
      <c r="J10" s="1410" t="s">
        <v>2259</v>
      </c>
      <c r="K10" s="1410"/>
      <c r="L10" s="1410"/>
      <c r="M10" s="1410"/>
    </row>
    <row r="11" spans="1:14" s="248" customFormat="1" ht="20.100000000000001" customHeight="1">
      <c r="A11" s="247" t="s">
        <v>1702</v>
      </c>
      <c r="B11" s="1410" t="s">
        <v>1843</v>
      </c>
      <c r="C11" s="1410"/>
      <c r="D11" s="1410" t="s">
        <v>2260</v>
      </c>
      <c r="E11" s="1410"/>
      <c r="F11" s="1410"/>
      <c r="G11" s="1410" t="s">
        <v>2261</v>
      </c>
      <c r="H11" s="1410"/>
      <c r="I11" s="1410"/>
      <c r="J11" s="1410"/>
      <c r="K11" s="1410"/>
      <c r="L11" s="1410"/>
      <c r="M11" s="1410"/>
    </row>
    <row r="12" spans="1:14" s="248" customFormat="1" ht="26.25" customHeight="1">
      <c r="A12" s="247" t="s">
        <v>1707</v>
      </c>
      <c r="B12" s="1438" t="s">
        <v>2262</v>
      </c>
      <c r="C12" s="1439"/>
      <c r="D12" s="1440" t="s">
        <v>2263</v>
      </c>
      <c r="E12" s="1440"/>
      <c r="F12" s="1440"/>
      <c r="G12" s="1412" t="s">
        <v>2264</v>
      </c>
      <c r="H12" s="1414"/>
      <c r="I12" s="1413"/>
      <c r="J12" s="1404" t="s">
        <v>2265</v>
      </c>
      <c r="K12" s="1405"/>
      <c r="L12" s="1405" t="s">
        <v>2266</v>
      </c>
      <c r="M12" s="1406"/>
    </row>
    <row r="13" spans="1:14" s="248" customFormat="1" ht="20.100000000000001" customHeight="1">
      <c r="A13" s="247" t="s">
        <v>197</v>
      </c>
      <c r="B13" s="1428"/>
      <c r="C13" s="1429"/>
      <c r="D13" s="1410"/>
      <c r="E13" s="1410"/>
      <c r="F13" s="1410"/>
      <c r="G13" s="519"/>
      <c r="H13" s="519"/>
      <c r="I13" s="519"/>
      <c r="J13" s="1410"/>
      <c r="K13" s="1410"/>
      <c r="L13" s="1410"/>
      <c r="M13" s="1410"/>
    </row>
    <row r="14" spans="1:14" s="248" customFormat="1">
      <c r="A14" s="249"/>
      <c r="B14" s="269"/>
      <c r="C14" s="269"/>
    </row>
    <row r="15" spans="1:14" s="248" customFormat="1" ht="13.5" customHeight="1">
      <c r="A15" s="249" t="s">
        <v>1356</v>
      </c>
      <c r="B15" s="518">
        <v>4</v>
      </c>
      <c r="C15" s="1411" t="s">
        <v>1490</v>
      </c>
      <c r="D15" s="1403"/>
      <c r="E15" s="1403"/>
      <c r="F15" s="518">
        <v>3</v>
      </c>
      <c r="G15" s="249" t="s">
        <v>1712</v>
      </c>
      <c r="H15" s="518">
        <v>17</v>
      </c>
      <c r="I15" s="249" t="s">
        <v>1492</v>
      </c>
      <c r="J15" s="518">
        <v>1</v>
      </c>
      <c r="K15" s="249" t="s">
        <v>1386</v>
      </c>
      <c r="L15" s="518">
        <v>15</v>
      </c>
    </row>
    <row r="16" spans="1:14" s="248" customFormat="1">
      <c r="A16" s="249"/>
    </row>
    <row r="17" spans="1:14" s="249" customFormat="1" ht="12" customHeight="1">
      <c r="A17" s="249" t="s">
        <v>203</v>
      </c>
      <c r="B17" s="249" t="s">
        <v>204</v>
      </c>
      <c r="C17" s="218">
        <v>124</v>
      </c>
      <c r="D17" s="249" t="s">
        <v>205</v>
      </c>
      <c r="E17" s="218">
        <v>122</v>
      </c>
      <c r="F17" s="249" t="s">
        <v>206</v>
      </c>
      <c r="G17" s="218">
        <v>18</v>
      </c>
      <c r="H17" s="249" t="s">
        <v>230</v>
      </c>
      <c r="I17" s="247">
        <v>264</v>
      </c>
      <c r="J17" s="249" t="s">
        <v>207</v>
      </c>
      <c r="K17" s="218">
        <v>7</v>
      </c>
      <c r="L17" s="1411" t="s">
        <v>1360</v>
      </c>
      <c r="M17" s="1417"/>
      <c r="N17" s="218">
        <v>32</v>
      </c>
    </row>
    <row r="18" spans="1:14" s="249" customFormat="1">
      <c r="A18" s="249" t="s">
        <v>209</v>
      </c>
      <c r="B18" s="249" t="s">
        <v>210</v>
      </c>
      <c r="C18" s="218">
        <v>355</v>
      </c>
      <c r="D18" s="249" t="s">
        <v>211</v>
      </c>
      <c r="E18" s="218">
        <v>222</v>
      </c>
      <c r="F18" s="249" t="s">
        <v>212</v>
      </c>
      <c r="G18" s="218">
        <v>42</v>
      </c>
      <c r="H18" s="249" t="s">
        <v>411</v>
      </c>
      <c r="I18" s="247">
        <v>619</v>
      </c>
    </row>
    <row r="19" spans="1:14" s="249" customFormat="1" ht="13.5" customHeight="1">
      <c r="B19" s="249" t="s">
        <v>213</v>
      </c>
      <c r="C19" s="218">
        <v>387</v>
      </c>
      <c r="D19" s="249" t="s">
        <v>214</v>
      </c>
      <c r="E19" s="218">
        <v>215</v>
      </c>
      <c r="F19" s="249" t="s">
        <v>215</v>
      </c>
      <c r="G19" s="218">
        <v>43</v>
      </c>
      <c r="H19" s="249" t="s">
        <v>410</v>
      </c>
      <c r="I19" s="247">
        <v>645</v>
      </c>
    </row>
    <row r="20" spans="1:14" s="249" customFormat="1">
      <c r="G20" s="250"/>
    </row>
    <row r="21" spans="1:14" s="248" customFormat="1">
      <c r="A21" s="251" t="s">
        <v>216</v>
      </c>
    </row>
    <row r="22" spans="1:14" s="248" customFormat="1">
      <c r="A22" s="249"/>
    </row>
    <row r="23" spans="1:14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</row>
    <row r="24" spans="1:14" s="248" customFormat="1" ht="11.2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</row>
    <row r="25" spans="1:14" s="248" customFormat="1" ht="15" customHeight="1">
      <c r="A25" s="247" t="s">
        <v>232</v>
      </c>
      <c r="B25" s="218">
        <v>8000</v>
      </c>
      <c r="C25" s="247" t="s">
        <v>233</v>
      </c>
      <c r="D25" s="253">
        <v>38.944000000000003</v>
      </c>
      <c r="E25" s="253">
        <v>10</v>
      </c>
      <c r="F25" s="254">
        <v>0</v>
      </c>
      <c r="G25" s="254">
        <v>0</v>
      </c>
      <c r="H25" s="254">
        <v>0.4</v>
      </c>
      <c r="I25" s="254">
        <v>2.8626399999999999</v>
      </c>
      <c r="J25" s="254">
        <v>0</v>
      </c>
      <c r="K25" s="254">
        <v>0</v>
      </c>
      <c r="L25" s="254">
        <v>0</v>
      </c>
      <c r="M25" s="254">
        <v>3.2626399999999998</v>
      </c>
      <c r="N25" s="254">
        <v>32.626399999999997</v>
      </c>
    </row>
    <row r="26" spans="1:14" s="248" customFormat="1" ht="15" customHeight="1">
      <c r="A26" s="247" t="s">
        <v>1715</v>
      </c>
      <c r="B26" s="218">
        <v>7000</v>
      </c>
      <c r="C26" s="247" t="s">
        <v>233</v>
      </c>
      <c r="D26" s="253">
        <v>2.8234400000000002</v>
      </c>
      <c r="E26" s="253">
        <v>0</v>
      </c>
      <c r="F26" s="254">
        <v>0</v>
      </c>
      <c r="G26" s="254">
        <v>0</v>
      </c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>
        <v>0</v>
      </c>
      <c r="N26" s="254">
        <v>0</v>
      </c>
    </row>
    <row r="27" spans="1:14" s="248" customFormat="1" ht="15" customHeight="1">
      <c r="A27" s="247" t="s">
        <v>235</v>
      </c>
      <c r="B27" s="218">
        <v>43000</v>
      </c>
      <c r="C27" s="247" t="s">
        <v>236</v>
      </c>
      <c r="D27" s="253">
        <v>0.43</v>
      </c>
      <c r="E27" s="253">
        <v>0.18</v>
      </c>
      <c r="F27" s="254">
        <v>0</v>
      </c>
      <c r="G27" s="254">
        <v>0</v>
      </c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</row>
    <row r="28" spans="1:14" s="248" customFormat="1" ht="15" customHeight="1">
      <c r="A28" s="247" t="s">
        <v>396</v>
      </c>
      <c r="B28" s="218">
        <v>34000</v>
      </c>
      <c r="C28" s="247" t="s">
        <v>236</v>
      </c>
      <c r="D28" s="253">
        <v>0.34</v>
      </c>
      <c r="E28" s="253">
        <v>0.16</v>
      </c>
      <c r="F28" s="254">
        <v>0</v>
      </c>
      <c r="G28" s="254">
        <v>0</v>
      </c>
      <c r="H28" s="254">
        <v>0.16</v>
      </c>
      <c r="I28" s="254">
        <v>0</v>
      </c>
      <c r="J28" s="254">
        <v>0</v>
      </c>
      <c r="K28" s="254">
        <v>0</v>
      </c>
      <c r="L28" s="254">
        <v>0</v>
      </c>
      <c r="M28" s="254">
        <v>0.16</v>
      </c>
      <c r="N28" s="254">
        <v>100</v>
      </c>
    </row>
    <row r="29" spans="1:14" s="248" customFormat="1" ht="15" customHeight="1">
      <c r="A29" s="247" t="s">
        <v>238</v>
      </c>
      <c r="B29" s="218">
        <v>1200</v>
      </c>
      <c r="C29" s="247" t="s">
        <v>233</v>
      </c>
      <c r="D29" s="253">
        <v>5.8415999999999997</v>
      </c>
      <c r="E29" s="253">
        <v>2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</row>
    <row r="30" spans="1:14" s="248" customFormat="1" ht="15" customHeight="1">
      <c r="A30" s="247" t="s">
        <v>667</v>
      </c>
      <c r="B30" s="218">
        <v>565</v>
      </c>
      <c r="C30" s="247" t="s">
        <v>233</v>
      </c>
      <c r="D30" s="253">
        <v>2.7504200000000001</v>
      </c>
      <c r="E30" s="253">
        <v>2.6774</v>
      </c>
      <c r="F30" s="254">
        <v>0</v>
      </c>
      <c r="G30" s="254">
        <v>0</v>
      </c>
      <c r="H30" s="254">
        <v>2.6774</v>
      </c>
      <c r="I30" s="254">
        <v>0</v>
      </c>
      <c r="J30" s="254">
        <v>0</v>
      </c>
      <c r="K30" s="254">
        <v>0</v>
      </c>
      <c r="L30" s="254">
        <v>0</v>
      </c>
      <c r="M30" s="254">
        <v>2.6774</v>
      </c>
      <c r="N30" s="254">
        <v>100</v>
      </c>
    </row>
    <row r="31" spans="1:14" s="248" customFormat="1" ht="15" customHeight="1">
      <c r="A31" s="247" t="s">
        <v>240</v>
      </c>
      <c r="B31" s="218">
        <v>1000</v>
      </c>
      <c r="C31" s="247" t="s">
        <v>233</v>
      </c>
      <c r="D31" s="253">
        <v>4.8680000000000003</v>
      </c>
      <c r="E31" s="253">
        <v>0</v>
      </c>
      <c r="F31" s="254">
        <v>0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4">
        <v>0</v>
      </c>
    </row>
    <row r="32" spans="1:14" s="248" customFormat="1" ht="15" customHeight="1">
      <c r="A32" s="247" t="s">
        <v>394</v>
      </c>
      <c r="B32" s="218">
        <v>2750</v>
      </c>
      <c r="C32" s="247" t="s">
        <v>1716</v>
      </c>
      <c r="D32" s="253">
        <v>2.1</v>
      </c>
      <c r="E32" s="253">
        <v>0.41249999999999998</v>
      </c>
      <c r="F32" s="254">
        <v>0</v>
      </c>
      <c r="G32" s="254">
        <v>0</v>
      </c>
      <c r="H32" s="254">
        <v>0.03</v>
      </c>
      <c r="I32" s="254">
        <v>0</v>
      </c>
      <c r="J32" s="254">
        <v>0</v>
      </c>
      <c r="K32" s="254">
        <v>0</v>
      </c>
      <c r="L32" s="254">
        <v>0</v>
      </c>
      <c r="M32" s="254">
        <v>0.03</v>
      </c>
      <c r="N32" s="254">
        <v>7.2727272727272725</v>
      </c>
    </row>
    <row r="33" spans="1:14" s="248" customFormat="1" ht="15" customHeight="1">
      <c r="A33" s="247" t="s">
        <v>1717</v>
      </c>
      <c r="B33" s="218">
        <v>10000</v>
      </c>
      <c r="C33" s="247" t="s">
        <v>244</v>
      </c>
      <c r="D33" s="253">
        <v>0.1</v>
      </c>
      <c r="E33" s="253">
        <v>0.1</v>
      </c>
      <c r="F33" s="254">
        <v>0</v>
      </c>
      <c r="G33" s="254">
        <v>0</v>
      </c>
      <c r="H33" s="254">
        <v>0</v>
      </c>
      <c r="I33" s="254">
        <v>0</v>
      </c>
      <c r="J33" s="254">
        <v>0</v>
      </c>
      <c r="K33" s="254">
        <v>0</v>
      </c>
      <c r="L33" s="254">
        <v>0</v>
      </c>
      <c r="M33" s="254">
        <v>0</v>
      </c>
      <c r="N33" s="254">
        <v>0</v>
      </c>
    </row>
    <row r="34" spans="1:14" s="248" customFormat="1" ht="15" customHeight="1">
      <c r="A34" s="255" t="s">
        <v>230</v>
      </c>
      <c r="B34" s="218"/>
      <c r="C34" s="247"/>
      <c r="D34" s="256">
        <v>58.197460000000007</v>
      </c>
      <c r="E34" s="256">
        <v>15.5299</v>
      </c>
      <c r="F34" s="256">
        <v>0</v>
      </c>
      <c r="G34" s="256">
        <v>0</v>
      </c>
      <c r="H34" s="256">
        <v>3.2673999999999999</v>
      </c>
      <c r="I34" s="256">
        <v>2.8626399999999999</v>
      </c>
      <c r="J34" s="256">
        <v>0</v>
      </c>
      <c r="K34" s="256">
        <v>0</v>
      </c>
      <c r="L34" s="256">
        <v>0</v>
      </c>
      <c r="M34" s="256">
        <v>6.1300400000000002</v>
      </c>
      <c r="N34" s="256"/>
    </row>
    <row r="35" spans="1:14" s="248" customFormat="1">
      <c r="A35" s="249"/>
      <c r="H35" s="257"/>
      <c r="I35" s="257"/>
      <c r="J35" s="257"/>
    </row>
  </sheetData>
  <mergeCells count="34">
    <mergeCell ref="F23:N23"/>
    <mergeCell ref="B13:C13"/>
    <mergeCell ref="D13:F13"/>
    <mergeCell ref="J13:M13"/>
    <mergeCell ref="C15:E15"/>
    <mergeCell ref="L17:M17"/>
    <mergeCell ref="A23:A24"/>
    <mergeCell ref="B23:B24"/>
    <mergeCell ref="C23:C24"/>
    <mergeCell ref="D23:D24"/>
    <mergeCell ref="E23:E24"/>
    <mergeCell ref="B11:C11"/>
    <mergeCell ref="D11:F11"/>
    <mergeCell ref="G11:I11"/>
    <mergeCell ref="J11:M11"/>
    <mergeCell ref="B12:C12"/>
    <mergeCell ref="D12:F12"/>
    <mergeCell ref="G12:I12"/>
    <mergeCell ref="J12:K12"/>
    <mergeCell ref="L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7.7109375" style="244" customWidth="1"/>
    <col min="14" max="14" width="6.7109375" style="244" customWidth="1"/>
    <col min="15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7.710937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7.710937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7.710937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7.710937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7.710937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7.710937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7.710937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7.710937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7.710937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7.710937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7.710937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7.710937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7.710937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7.710937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7.710937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7.710937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7.710937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7.710937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7.710937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7.710937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7.710937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7.710937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7.710937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7.710937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7.710937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7.710937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7.710937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7.710937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7.710937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7.710937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7.710937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7.710937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7.710937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7.710937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7.710937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7.710937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7.710937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7.710937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7.710937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7.710937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7.710937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7.710937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7.710937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7.710937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7.710937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7.710937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7.710937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7.710937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7.710937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7.710937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7.710937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7.710937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7.710937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7.710937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7.710937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7.710937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7.710937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7.710937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7.710937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7.710937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7.710937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7.710937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7.7109375" style="244" customWidth="1"/>
    <col min="16142" max="16142" width="6.7109375" style="244" customWidth="1"/>
    <col min="16143" max="16384" width="9.140625" style="244"/>
  </cols>
  <sheetData>
    <row r="1" spans="1:14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14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14" ht="13.5">
      <c r="A3" s="245" t="s">
        <v>169</v>
      </c>
      <c r="B3" s="1398" t="s">
        <v>147</v>
      </c>
      <c r="C3" s="1398"/>
      <c r="D3" s="1398"/>
      <c r="E3" s="1398"/>
      <c r="F3" s="245" t="s">
        <v>171</v>
      </c>
      <c r="H3" s="1399" t="s">
        <v>2267</v>
      </c>
      <c r="I3" s="1399"/>
      <c r="J3" s="245" t="s">
        <v>172</v>
      </c>
      <c r="K3" s="246">
        <v>425</v>
      </c>
      <c r="L3" s="245" t="s">
        <v>436</v>
      </c>
      <c r="N3" s="246">
        <v>80</v>
      </c>
    </row>
    <row r="4" spans="1:14" ht="15">
      <c r="A4" s="808" t="s">
        <v>4176</v>
      </c>
      <c r="B4" s="808"/>
      <c r="C4" s="808"/>
    </row>
    <row r="5" spans="1:14" ht="13.5">
      <c r="A5" s="245" t="s">
        <v>174</v>
      </c>
      <c r="B5" s="1400" t="s">
        <v>2268</v>
      </c>
      <c r="C5" s="1401"/>
      <c r="D5" s="1401"/>
      <c r="E5" s="1402"/>
      <c r="F5" s="245" t="s">
        <v>176</v>
      </c>
      <c r="H5" s="1400" t="s">
        <v>2269</v>
      </c>
      <c r="I5" s="1401"/>
      <c r="J5" s="1402"/>
    </row>
    <row r="7" spans="1:14" ht="13.5" customHeight="1">
      <c r="A7" s="245" t="s">
        <v>178</v>
      </c>
      <c r="B7" s="1400"/>
      <c r="C7" s="1401"/>
      <c r="D7" s="1401"/>
      <c r="E7" s="1402"/>
      <c r="F7" s="1403" t="s">
        <v>1696</v>
      </c>
      <c r="G7" s="1403"/>
      <c r="H7" s="1404"/>
      <c r="I7" s="1405"/>
      <c r="J7" s="1405"/>
      <c r="K7" s="1406"/>
    </row>
    <row r="8" spans="1:14">
      <c r="F8" s="1403"/>
      <c r="G8" s="1403"/>
      <c r="H8" s="1407"/>
      <c r="I8" s="1408"/>
      <c r="J8" s="1408"/>
      <c r="K8" s="1409"/>
    </row>
    <row r="10" spans="1:14" s="248" customFormat="1" ht="20.100000000000001" customHeight="1">
      <c r="A10" s="247" t="s">
        <v>1697</v>
      </c>
      <c r="B10" s="1410" t="s">
        <v>2270</v>
      </c>
      <c r="C10" s="1410"/>
      <c r="D10" s="1410" t="s">
        <v>2271</v>
      </c>
      <c r="E10" s="1410"/>
      <c r="F10" s="1410"/>
      <c r="G10" s="1410"/>
      <c r="H10" s="1410"/>
      <c r="I10" s="1410"/>
      <c r="J10" s="1410"/>
      <c r="K10" s="1410"/>
      <c r="L10" s="1410"/>
      <c r="M10" s="1410"/>
    </row>
    <row r="11" spans="1:14" s="248" customFormat="1" ht="20.100000000000001" customHeight="1">
      <c r="A11" s="247" t="s">
        <v>1702</v>
      </c>
      <c r="B11" s="1410"/>
      <c r="C11" s="1410"/>
      <c r="D11" s="1410"/>
      <c r="E11" s="1410"/>
      <c r="F11" s="1410"/>
      <c r="G11" s="1410"/>
      <c r="H11" s="1410"/>
      <c r="I11" s="1410"/>
      <c r="J11" s="1410"/>
      <c r="K11" s="1410"/>
      <c r="L11" s="1410"/>
      <c r="M11" s="1410"/>
    </row>
    <row r="12" spans="1:14" s="248" customFormat="1" ht="26.25" customHeight="1">
      <c r="A12" s="247" t="s">
        <v>1707</v>
      </c>
      <c r="B12" s="1410" t="s">
        <v>2272</v>
      </c>
      <c r="C12" s="1410"/>
      <c r="D12" s="1410" t="s">
        <v>2247</v>
      </c>
      <c r="E12" s="1410"/>
      <c r="F12" s="1410"/>
      <c r="G12" s="1410"/>
      <c r="H12" s="1410"/>
      <c r="I12" s="1410"/>
      <c r="J12" s="1410"/>
      <c r="K12" s="1410"/>
      <c r="L12" s="1410"/>
      <c r="M12" s="1410"/>
    </row>
    <row r="13" spans="1:14" s="248" customFormat="1" ht="20.100000000000001" customHeight="1">
      <c r="A13" s="247" t="s">
        <v>197</v>
      </c>
      <c r="B13" s="1410"/>
      <c r="C13" s="1410"/>
      <c r="D13" s="1410"/>
      <c r="E13" s="1410"/>
      <c r="F13" s="1410"/>
      <c r="G13" s="1410"/>
      <c r="H13" s="1410"/>
      <c r="I13" s="1410"/>
      <c r="J13" s="1410"/>
      <c r="K13" s="1410"/>
      <c r="L13" s="1410"/>
      <c r="M13" s="1410"/>
    </row>
    <row r="14" spans="1:14" s="248" customFormat="1">
      <c r="A14" s="249"/>
    </row>
    <row r="15" spans="1:14" s="248" customFormat="1" ht="13.5" customHeight="1">
      <c r="A15" s="249" t="s">
        <v>1356</v>
      </c>
      <c r="B15" s="518">
        <v>2</v>
      </c>
      <c r="C15" s="1411" t="s">
        <v>1490</v>
      </c>
      <c r="D15" s="1403"/>
      <c r="E15" s="1403"/>
      <c r="F15" s="518">
        <v>2</v>
      </c>
      <c r="G15" s="249" t="s">
        <v>1712</v>
      </c>
      <c r="H15" s="518">
        <v>6</v>
      </c>
      <c r="I15" s="249" t="s">
        <v>1492</v>
      </c>
      <c r="J15" s="518">
        <v>1</v>
      </c>
      <c r="K15" s="249" t="s">
        <v>1386</v>
      </c>
      <c r="L15" s="518"/>
    </row>
    <row r="16" spans="1:14" s="248" customFormat="1">
      <c r="A16" s="249"/>
    </row>
    <row r="17" spans="1:14" s="249" customFormat="1" ht="12" customHeight="1">
      <c r="A17" s="249" t="s">
        <v>203</v>
      </c>
      <c r="B17" s="249" t="s">
        <v>204</v>
      </c>
      <c r="C17" s="218">
        <v>41</v>
      </c>
      <c r="D17" s="249" t="s">
        <v>205</v>
      </c>
      <c r="E17" s="218">
        <v>6</v>
      </c>
      <c r="F17" s="249" t="s">
        <v>206</v>
      </c>
      <c r="G17" s="218">
        <v>24</v>
      </c>
      <c r="H17" s="249" t="s">
        <v>230</v>
      </c>
      <c r="I17" s="218">
        <v>71</v>
      </c>
      <c r="J17" s="249" t="s">
        <v>207</v>
      </c>
      <c r="K17" s="218"/>
      <c r="L17" s="1411" t="s">
        <v>1360</v>
      </c>
      <c r="M17" s="1417"/>
      <c r="N17" s="218"/>
    </row>
    <row r="18" spans="1:14" s="249" customFormat="1">
      <c r="A18" s="249" t="s">
        <v>209</v>
      </c>
      <c r="B18" s="249" t="s">
        <v>210</v>
      </c>
      <c r="C18" s="218">
        <v>129</v>
      </c>
      <c r="D18" s="249" t="s">
        <v>211</v>
      </c>
      <c r="E18" s="218">
        <v>45</v>
      </c>
      <c r="F18" s="249" t="s">
        <v>212</v>
      </c>
      <c r="G18" s="218">
        <v>55</v>
      </c>
      <c r="H18" s="249" t="s">
        <v>411</v>
      </c>
      <c r="I18" s="218">
        <v>229</v>
      </c>
    </row>
    <row r="19" spans="1:14" s="249" customFormat="1" ht="13.5" customHeight="1">
      <c r="B19" s="249" t="s">
        <v>213</v>
      </c>
      <c r="C19" s="218">
        <v>122</v>
      </c>
      <c r="D19" s="249" t="s">
        <v>214</v>
      </c>
      <c r="E19" s="218">
        <v>49</v>
      </c>
      <c r="F19" s="249" t="s">
        <v>215</v>
      </c>
      <c r="G19" s="218">
        <v>63</v>
      </c>
      <c r="H19" s="249" t="s">
        <v>410</v>
      </c>
      <c r="I19" s="218">
        <v>234</v>
      </c>
    </row>
    <row r="20" spans="1:14" s="249" customFormat="1">
      <c r="G20" s="250"/>
    </row>
    <row r="21" spans="1:14" s="248" customFormat="1">
      <c r="A21" s="251" t="s">
        <v>216</v>
      </c>
    </row>
    <row r="22" spans="1:14" s="248" customFormat="1">
      <c r="A22" s="249"/>
    </row>
    <row r="23" spans="1:14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</row>
    <row r="24" spans="1:14" s="248" customFormat="1" ht="11.2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</row>
    <row r="25" spans="1:14" s="248" customFormat="1" ht="15" customHeight="1">
      <c r="A25" s="247" t="s">
        <v>232</v>
      </c>
      <c r="B25" s="218">
        <v>8000</v>
      </c>
      <c r="C25" s="247" t="s">
        <v>233</v>
      </c>
      <c r="D25" s="261">
        <v>34</v>
      </c>
      <c r="E25" s="253">
        <v>7.75</v>
      </c>
      <c r="F25" s="254">
        <v>0</v>
      </c>
      <c r="G25" s="254">
        <v>0</v>
      </c>
      <c r="H25" s="254">
        <v>0.5</v>
      </c>
      <c r="I25" s="254">
        <v>2.4051999999999998</v>
      </c>
      <c r="J25" s="254">
        <v>0</v>
      </c>
      <c r="K25" s="254">
        <v>0</v>
      </c>
      <c r="L25" s="254">
        <v>0</v>
      </c>
      <c r="M25" s="254">
        <v>2.9051999999999998</v>
      </c>
      <c r="N25" s="253">
        <v>37.486451612903224</v>
      </c>
    </row>
    <row r="26" spans="1:14" s="248" customFormat="1" ht="15" customHeight="1">
      <c r="A26" s="247" t="s">
        <v>1715</v>
      </c>
      <c r="B26" s="218">
        <v>7000</v>
      </c>
      <c r="C26" s="247" t="s">
        <v>233</v>
      </c>
      <c r="D26" s="261">
        <v>2.4649999999999999</v>
      </c>
      <c r="E26" s="253">
        <v>0</v>
      </c>
      <c r="F26" s="254">
        <v>0</v>
      </c>
      <c r="G26" s="254">
        <v>0</v>
      </c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>
        <v>0</v>
      </c>
      <c r="N26" s="253"/>
    </row>
    <row r="27" spans="1:14" s="248" customFormat="1" ht="15" customHeight="1">
      <c r="A27" s="247" t="s">
        <v>235</v>
      </c>
      <c r="B27" s="218">
        <v>43000</v>
      </c>
      <c r="C27" s="247" t="s">
        <v>236</v>
      </c>
      <c r="D27" s="261">
        <v>0.43</v>
      </c>
      <c r="E27" s="253">
        <v>0.18</v>
      </c>
      <c r="F27" s="254">
        <v>0</v>
      </c>
      <c r="G27" s="254">
        <v>0</v>
      </c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>
        <v>0</v>
      </c>
      <c r="N27" s="253">
        <v>0</v>
      </c>
    </row>
    <row r="28" spans="1:14" s="248" customFormat="1" ht="15" customHeight="1">
      <c r="A28" s="247" t="s">
        <v>396</v>
      </c>
      <c r="B28" s="218">
        <v>34000</v>
      </c>
      <c r="C28" s="247" t="s">
        <v>236</v>
      </c>
      <c r="D28" s="261">
        <v>0.34</v>
      </c>
      <c r="E28" s="253">
        <v>0.16</v>
      </c>
      <c r="F28" s="254">
        <v>0</v>
      </c>
      <c r="G28" s="254">
        <v>0</v>
      </c>
      <c r="H28" s="254">
        <v>0.16</v>
      </c>
      <c r="I28" s="254">
        <v>0</v>
      </c>
      <c r="J28" s="254">
        <v>0</v>
      </c>
      <c r="K28" s="254">
        <v>0</v>
      </c>
      <c r="L28" s="254">
        <v>0</v>
      </c>
      <c r="M28" s="254">
        <v>0.16</v>
      </c>
      <c r="N28" s="253">
        <v>100</v>
      </c>
    </row>
    <row r="29" spans="1:14" s="248" customFormat="1" ht="15" customHeight="1">
      <c r="A29" s="247" t="s">
        <v>238</v>
      </c>
      <c r="B29" s="218">
        <v>1200</v>
      </c>
      <c r="C29" s="247" t="s">
        <v>233</v>
      </c>
      <c r="D29" s="261">
        <v>5.0999999999999996</v>
      </c>
      <c r="E29" s="253">
        <v>2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3">
        <v>0</v>
      </c>
    </row>
    <row r="30" spans="1:14" s="248" customFormat="1" ht="15" customHeight="1">
      <c r="A30" s="247" t="s">
        <v>667</v>
      </c>
      <c r="B30" s="218">
        <v>565</v>
      </c>
      <c r="C30" s="247" t="s">
        <v>233</v>
      </c>
      <c r="D30" s="261">
        <v>2.4012500000000001</v>
      </c>
      <c r="E30" s="253">
        <v>2.3374999999999999</v>
      </c>
      <c r="F30" s="254">
        <v>0</v>
      </c>
      <c r="G30" s="254">
        <v>0</v>
      </c>
      <c r="H30" s="254">
        <v>2.3374999999999999</v>
      </c>
      <c r="I30" s="254">
        <v>0</v>
      </c>
      <c r="J30" s="254">
        <v>0</v>
      </c>
      <c r="K30" s="254">
        <v>0</v>
      </c>
      <c r="L30" s="254">
        <v>0</v>
      </c>
      <c r="M30" s="254">
        <v>2.3374999999999999</v>
      </c>
      <c r="N30" s="253">
        <v>100</v>
      </c>
    </row>
    <row r="31" spans="1:14" s="248" customFormat="1" ht="15" customHeight="1">
      <c r="A31" s="247" t="s">
        <v>240</v>
      </c>
      <c r="B31" s="218">
        <v>1000</v>
      </c>
      <c r="C31" s="247" t="s">
        <v>233</v>
      </c>
      <c r="D31" s="261">
        <v>4.25</v>
      </c>
      <c r="E31" s="253">
        <v>0</v>
      </c>
      <c r="F31" s="254">
        <v>0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3"/>
    </row>
    <row r="32" spans="1:14" s="248" customFormat="1" ht="15" customHeight="1">
      <c r="A32" s="247" t="s">
        <v>394</v>
      </c>
      <c r="B32" s="218">
        <v>2750</v>
      </c>
      <c r="C32" s="247" t="s">
        <v>242</v>
      </c>
      <c r="D32" s="261">
        <v>2.1</v>
      </c>
      <c r="E32" s="253">
        <v>0.41249999999999998</v>
      </c>
      <c r="F32" s="254">
        <v>0</v>
      </c>
      <c r="G32" s="254">
        <v>0</v>
      </c>
      <c r="H32" s="254">
        <v>1.2E-2</v>
      </c>
      <c r="I32" s="254">
        <v>3.3000000000000002E-2</v>
      </c>
      <c r="J32" s="254">
        <v>0</v>
      </c>
      <c r="K32" s="254">
        <v>0</v>
      </c>
      <c r="L32" s="254">
        <v>0</v>
      </c>
      <c r="M32" s="254">
        <v>4.4999999999999998E-2</v>
      </c>
      <c r="N32" s="253">
        <v>10.90909090909091</v>
      </c>
    </row>
    <row r="33" spans="1:14" s="248" customFormat="1" ht="15" customHeight="1">
      <c r="A33" s="247" t="s">
        <v>1717</v>
      </c>
      <c r="B33" s="218">
        <v>10000</v>
      </c>
      <c r="C33" s="247" t="s">
        <v>244</v>
      </c>
      <c r="D33" s="261">
        <v>0.1</v>
      </c>
      <c r="E33" s="253">
        <v>0.1</v>
      </c>
      <c r="F33" s="254">
        <v>0</v>
      </c>
      <c r="G33" s="254">
        <v>0</v>
      </c>
      <c r="H33" s="254">
        <v>0</v>
      </c>
      <c r="I33" s="254">
        <v>0.1</v>
      </c>
      <c r="J33" s="254">
        <v>0</v>
      </c>
      <c r="K33" s="254">
        <v>0</v>
      </c>
      <c r="L33" s="254">
        <v>0</v>
      </c>
      <c r="M33" s="254">
        <v>0.1</v>
      </c>
      <c r="N33" s="253">
        <v>100</v>
      </c>
    </row>
    <row r="34" spans="1:14" s="248" customFormat="1" ht="15" customHeight="1">
      <c r="A34" s="255" t="s">
        <v>230</v>
      </c>
      <c r="B34" s="218"/>
      <c r="C34" s="247"/>
      <c r="D34" s="256">
        <v>51.186250000000008</v>
      </c>
      <c r="E34" s="256">
        <v>12.94</v>
      </c>
      <c r="F34" s="256">
        <v>0</v>
      </c>
      <c r="G34" s="256">
        <v>0</v>
      </c>
      <c r="H34" s="256">
        <v>3.0095000000000001</v>
      </c>
      <c r="I34" s="256">
        <v>2.5381999999999998</v>
      </c>
      <c r="J34" s="256">
        <v>0</v>
      </c>
      <c r="K34" s="256">
        <v>0</v>
      </c>
      <c r="L34" s="256">
        <v>0</v>
      </c>
      <c r="M34" s="256">
        <v>5.547699999999999</v>
      </c>
      <c r="N34" s="256"/>
    </row>
    <row r="35" spans="1:14" s="248" customFormat="1">
      <c r="A35" s="249"/>
      <c r="H35" s="257"/>
      <c r="I35" s="257"/>
      <c r="J35" s="257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7.7109375" style="244" customWidth="1"/>
    <col min="14" max="14" width="6.7109375" style="244" customWidth="1"/>
    <col min="15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7.710937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7.710937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7.710937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7.710937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7.710937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7.710937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7.710937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7.710937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7.710937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7.710937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7.710937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7.710937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7.710937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7.710937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7.710937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7.710937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7.710937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7.710937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7.710937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7.710937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7.710937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7.710937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7.710937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7.710937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7.710937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7.710937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7.710937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7.710937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7.710937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7.710937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7.710937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7.710937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7.710937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7.710937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7.710937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7.710937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7.710937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7.710937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7.710937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7.710937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7.710937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7.710937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7.710937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7.710937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7.710937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7.710937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7.710937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7.710937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7.710937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7.710937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7.710937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7.710937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7.710937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7.710937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7.710937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7.710937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7.710937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7.710937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7.710937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7.710937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7.710937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7.710937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7.7109375" style="244" customWidth="1"/>
    <col min="16142" max="16142" width="6.7109375" style="244" customWidth="1"/>
    <col min="16143" max="16384" width="9.140625" style="244"/>
  </cols>
  <sheetData>
    <row r="1" spans="1:14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14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14" ht="13.5">
      <c r="A3" s="245" t="s">
        <v>169</v>
      </c>
      <c r="B3" s="1398" t="s">
        <v>1892</v>
      </c>
      <c r="C3" s="1398"/>
      <c r="D3" s="1398"/>
      <c r="E3" s="1398"/>
      <c r="F3" s="245" t="s">
        <v>171</v>
      </c>
      <c r="H3" s="1399" t="s">
        <v>2273</v>
      </c>
      <c r="I3" s="1399"/>
      <c r="J3" s="245" t="s">
        <v>172</v>
      </c>
      <c r="K3" s="246">
        <v>502</v>
      </c>
      <c r="L3" s="245" t="s">
        <v>436</v>
      </c>
      <c r="N3" s="246">
        <v>80</v>
      </c>
    </row>
    <row r="4" spans="1:14" ht="15">
      <c r="A4" s="808" t="s">
        <v>4176</v>
      </c>
      <c r="B4" s="808"/>
      <c r="C4" s="808"/>
    </row>
    <row r="5" spans="1:14" ht="13.5">
      <c r="A5" s="245" t="s">
        <v>174</v>
      </c>
      <c r="B5" s="1400" t="s">
        <v>2274</v>
      </c>
      <c r="C5" s="1401"/>
      <c r="D5" s="1401"/>
      <c r="E5" s="1402"/>
      <c r="F5" s="245" t="s">
        <v>176</v>
      </c>
      <c r="H5" s="1400" t="s">
        <v>2275</v>
      </c>
      <c r="I5" s="1401"/>
      <c r="J5" s="1402"/>
    </row>
    <row r="7" spans="1:14" ht="13.5" customHeight="1">
      <c r="A7" s="245" t="s">
        <v>178</v>
      </c>
      <c r="B7" s="1400"/>
      <c r="C7" s="1401"/>
      <c r="D7" s="1401"/>
      <c r="E7" s="1402"/>
      <c r="F7" s="1403" t="s">
        <v>1696</v>
      </c>
      <c r="G7" s="1403"/>
      <c r="H7" s="1404"/>
      <c r="I7" s="1405"/>
      <c r="J7" s="1405"/>
      <c r="K7" s="1406"/>
    </row>
    <row r="8" spans="1:14">
      <c r="F8" s="1403"/>
      <c r="G8" s="1403"/>
      <c r="H8" s="1407"/>
      <c r="I8" s="1408"/>
      <c r="J8" s="1408"/>
      <c r="K8" s="1409"/>
    </row>
    <row r="10" spans="1:14" s="248" customFormat="1" ht="20.100000000000001" customHeight="1">
      <c r="A10" s="247" t="s">
        <v>1697</v>
      </c>
      <c r="B10" s="1410" t="s">
        <v>2276</v>
      </c>
      <c r="C10" s="1410"/>
      <c r="D10" s="1410"/>
      <c r="E10" s="1410"/>
      <c r="F10" s="1410"/>
      <c r="G10" s="1410"/>
      <c r="H10" s="1410"/>
      <c r="I10" s="1410"/>
      <c r="J10" s="1410"/>
      <c r="K10" s="1410"/>
      <c r="L10" s="1410"/>
      <c r="M10" s="1410"/>
    </row>
    <row r="11" spans="1:14" s="248" customFormat="1" ht="20.100000000000001" customHeight="1">
      <c r="A11" s="247" t="s">
        <v>1702</v>
      </c>
      <c r="B11" s="1410" t="s">
        <v>2277</v>
      </c>
      <c r="C11" s="1410"/>
      <c r="D11" s="1410"/>
      <c r="E11" s="1410"/>
      <c r="F11" s="1410"/>
      <c r="G11" s="1410"/>
      <c r="H11" s="1410"/>
      <c r="I11" s="1410"/>
      <c r="J11" s="1410"/>
      <c r="K11" s="1410"/>
      <c r="L11" s="1410"/>
      <c r="M11" s="1410"/>
    </row>
    <row r="12" spans="1:14" s="248" customFormat="1" ht="26.25" customHeight="1">
      <c r="A12" s="247" t="s">
        <v>1707</v>
      </c>
      <c r="B12" s="1441" t="s">
        <v>2278</v>
      </c>
      <c r="C12" s="1442"/>
      <c r="D12" s="1431" t="s">
        <v>2279</v>
      </c>
      <c r="E12" s="1431"/>
      <c r="F12" s="1431"/>
      <c r="G12" s="1431" t="s">
        <v>2280</v>
      </c>
      <c r="H12" s="1431"/>
      <c r="I12" s="1431"/>
      <c r="J12" s="1438" t="s">
        <v>2281</v>
      </c>
      <c r="K12" s="1439"/>
      <c r="L12" s="1438" t="s">
        <v>2282</v>
      </c>
      <c r="M12" s="1439"/>
    </row>
    <row r="13" spans="1:14" s="248" customFormat="1" ht="20.100000000000001" customHeight="1">
      <c r="A13" s="247" t="s">
        <v>197</v>
      </c>
      <c r="B13" s="1428"/>
      <c r="C13" s="1429"/>
      <c r="D13" s="1428"/>
      <c r="E13" s="1430"/>
      <c r="F13" s="1429"/>
      <c r="G13" s="1428"/>
      <c r="H13" s="1430"/>
      <c r="I13" s="1429"/>
      <c r="J13" s="1428"/>
      <c r="K13" s="1430"/>
      <c r="L13" s="1430"/>
      <c r="M13" s="1429"/>
    </row>
    <row r="14" spans="1:14" s="248" customFormat="1">
      <c r="A14" s="249"/>
    </row>
    <row r="15" spans="1:14" s="248" customFormat="1" ht="13.5" customHeight="1">
      <c r="A15" s="249" t="s">
        <v>1356</v>
      </c>
      <c r="B15" s="518">
        <v>1</v>
      </c>
      <c r="C15" s="1411" t="s">
        <v>1490</v>
      </c>
      <c r="D15" s="1403"/>
      <c r="E15" s="1403"/>
      <c r="F15" s="518">
        <v>1</v>
      </c>
      <c r="G15" s="249" t="s">
        <v>1712</v>
      </c>
      <c r="H15" s="518">
        <v>1</v>
      </c>
      <c r="I15" s="249" t="s">
        <v>1492</v>
      </c>
      <c r="J15" s="518"/>
      <c r="K15" s="249" t="s">
        <v>1386</v>
      </c>
      <c r="L15" s="518">
        <v>1</v>
      </c>
    </row>
    <row r="16" spans="1:14" s="248" customFormat="1">
      <c r="A16" s="249"/>
    </row>
    <row r="17" spans="1:14" s="249" customFormat="1" ht="12" customHeight="1">
      <c r="A17" s="249" t="s">
        <v>203</v>
      </c>
      <c r="B17" s="249" t="s">
        <v>204</v>
      </c>
      <c r="C17" s="218">
        <v>17</v>
      </c>
      <c r="D17" s="249" t="s">
        <v>205</v>
      </c>
      <c r="E17" s="218">
        <v>2</v>
      </c>
      <c r="F17" s="249" t="s">
        <v>206</v>
      </c>
      <c r="G17" s="218">
        <v>1</v>
      </c>
      <c r="H17" s="249" t="s">
        <v>230</v>
      </c>
      <c r="I17" s="247">
        <v>20</v>
      </c>
      <c r="J17" s="249" t="s">
        <v>207</v>
      </c>
      <c r="K17" s="218">
        <v>2</v>
      </c>
      <c r="L17" s="1411" t="s">
        <v>1360</v>
      </c>
      <c r="M17" s="1417"/>
      <c r="N17" s="218"/>
    </row>
    <row r="18" spans="1:14" s="249" customFormat="1">
      <c r="A18" s="249" t="s">
        <v>209</v>
      </c>
      <c r="B18" s="249" t="s">
        <v>210</v>
      </c>
      <c r="C18" s="218">
        <v>27</v>
      </c>
      <c r="D18" s="249" t="s">
        <v>211</v>
      </c>
      <c r="E18" s="218">
        <v>6</v>
      </c>
      <c r="F18" s="249" t="s">
        <v>212</v>
      </c>
      <c r="G18" s="218">
        <v>3</v>
      </c>
      <c r="H18" s="249" t="s">
        <v>411</v>
      </c>
      <c r="I18" s="247">
        <v>36</v>
      </c>
    </row>
    <row r="19" spans="1:14" s="249" customFormat="1" ht="13.5" customHeight="1">
      <c r="B19" s="249" t="s">
        <v>213</v>
      </c>
      <c r="C19" s="218">
        <v>42</v>
      </c>
      <c r="D19" s="249" t="s">
        <v>214</v>
      </c>
      <c r="E19" s="218">
        <v>3</v>
      </c>
      <c r="F19" s="249" t="s">
        <v>215</v>
      </c>
      <c r="G19" s="218">
        <v>4</v>
      </c>
      <c r="H19" s="249" t="s">
        <v>410</v>
      </c>
      <c r="I19" s="247">
        <v>49</v>
      </c>
    </row>
    <row r="20" spans="1:14" s="249" customFormat="1">
      <c r="G20" s="250"/>
    </row>
    <row r="21" spans="1:14" s="248" customFormat="1">
      <c r="A21" s="251" t="s">
        <v>216</v>
      </c>
    </row>
    <row r="22" spans="1:14" s="248" customFormat="1">
      <c r="A22" s="249"/>
    </row>
    <row r="23" spans="1:14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</row>
    <row r="24" spans="1:14" s="248" customFormat="1" ht="11.2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</row>
    <row r="25" spans="1:14" s="248" customFormat="1" ht="15" customHeight="1">
      <c r="A25" s="247" t="s">
        <v>232</v>
      </c>
      <c r="B25" s="218">
        <v>8000</v>
      </c>
      <c r="C25" s="247" t="s">
        <v>233</v>
      </c>
      <c r="D25" s="253">
        <v>40.159999999999997</v>
      </c>
      <c r="E25" s="253">
        <v>10</v>
      </c>
      <c r="F25" s="254">
        <v>0</v>
      </c>
      <c r="G25" s="254">
        <v>0</v>
      </c>
      <c r="H25" s="254">
        <v>0</v>
      </c>
      <c r="I25" s="254">
        <v>2.0394000000000001</v>
      </c>
      <c r="J25" s="254">
        <v>0</v>
      </c>
      <c r="K25" s="254">
        <v>0</v>
      </c>
      <c r="L25" s="254">
        <v>0</v>
      </c>
      <c r="M25" s="254">
        <v>2.0394000000000001</v>
      </c>
      <c r="N25" s="254">
        <v>20.394000000000002</v>
      </c>
    </row>
    <row r="26" spans="1:14" s="248" customFormat="1" ht="15" customHeight="1">
      <c r="A26" s="247" t="s">
        <v>1715</v>
      </c>
      <c r="B26" s="218">
        <v>7000</v>
      </c>
      <c r="C26" s="247" t="s">
        <v>233</v>
      </c>
      <c r="D26" s="253">
        <v>2.9116</v>
      </c>
      <c r="E26" s="253">
        <v>0</v>
      </c>
      <c r="F26" s="254">
        <v>0</v>
      </c>
      <c r="G26" s="254">
        <v>0</v>
      </c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>
        <v>0</v>
      </c>
      <c r="N26" s="254">
        <v>0</v>
      </c>
    </row>
    <row r="27" spans="1:14" s="248" customFormat="1" ht="15" customHeight="1">
      <c r="A27" s="247" t="s">
        <v>235</v>
      </c>
      <c r="B27" s="218">
        <v>43000</v>
      </c>
      <c r="C27" s="247" t="s">
        <v>236</v>
      </c>
      <c r="D27" s="253">
        <v>0.43</v>
      </c>
      <c r="E27" s="253">
        <v>0.18</v>
      </c>
      <c r="F27" s="254">
        <v>0</v>
      </c>
      <c r="G27" s="254">
        <v>0</v>
      </c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</row>
    <row r="28" spans="1:14" s="248" customFormat="1" ht="15" customHeight="1">
      <c r="A28" s="247" t="s">
        <v>396</v>
      </c>
      <c r="B28" s="218">
        <v>34000</v>
      </c>
      <c r="C28" s="247" t="s">
        <v>236</v>
      </c>
      <c r="D28" s="253">
        <v>0.34</v>
      </c>
      <c r="E28" s="253">
        <v>0.16</v>
      </c>
      <c r="F28" s="254">
        <v>0</v>
      </c>
      <c r="G28" s="254">
        <v>0</v>
      </c>
      <c r="H28" s="254">
        <v>0.16</v>
      </c>
      <c r="I28" s="254">
        <v>0</v>
      </c>
      <c r="J28" s="254">
        <v>0</v>
      </c>
      <c r="K28" s="254">
        <v>0</v>
      </c>
      <c r="L28" s="254">
        <v>0</v>
      </c>
      <c r="M28" s="254">
        <v>0.16</v>
      </c>
      <c r="N28" s="254">
        <v>100</v>
      </c>
    </row>
    <row r="29" spans="1:14" s="248" customFormat="1" ht="15" customHeight="1">
      <c r="A29" s="247" t="s">
        <v>238</v>
      </c>
      <c r="B29" s="218">
        <v>1200</v>
      </c>
      <c r="C29" s="247" t="s">
        <v>233</v>
      </c>
      <c r="D29" s="253">
        <v>6.024</v>
      </c>
      <c r="E29" s="253">
        <v>2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</row>
    <row r="30" spans="1:14" s="248" customFormat="1" ht="15" customHeight="1">
      <c r="A30" s="247" t="s">
        <v>667</v>
      </c>
      <c r="B30" s="218">
        <v>565</v>
      </c>
      <c r="C30" s="247" t="s">
        <v>233</v>
      </c>
      <c r="D30" s="253">
        <v>2.8363</v>
      </c>
      <c r="E30" s="253">
        <v>2.7610000000000001</v>
      </c>
      <c r="F30" s="254">
        <v>0</v>
      </c>
      <c r="G30" s="254">
        <v>0</v>
      </c>
      <c r="H30" s="254">
        <v>2.7610000000000001</v>
      </c>
      <c r="I30" s="254">
        <v>0</v>
      </c>
      <c r="J30" s="254">
        <v>0</v>
      </c>
      <c r="K30" s="254">
        <v>0</v>
      </c>
      <c r="L30" s="254">
        <v>0</v>
      </c>
      <c r="M30" s="254">
        <v>2.7610000000000001</v>
      </c>
      <c r="N30" s="254">
        <v>100</v>
      </c>
    </row>
    <row r="31" spans="1:14" s="248" customFormat="1" ht="15" customHeight="1">
      <c r="A31" s="247" t="s">
        <v>240</v>
      </c>
      <c r="B31" s="218">
        <v>1000</v>
      </c>
      <c r="C31" s="247" t="s">
        <v>233</v>
      </c>
      <c r="D31" s="253">
        <v>5.0199999999999996</v>
      </c>
      <c r="E31" s="253">
        <v>0</v>
      </c>
      <c r="F31" s="254">
        <v>0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4"/>
    </row>
    <row r="32" spans="1:14" s="248" customFormat="1" ht="15" customHeight="1">
      <c r="A32" s="247" t="s">
        <v>394</v>
      </c>
      <c r="B32" s="218">
        <v>2750</v>
      </c>
      <c r="C32" s="247" t="s">
        <v>1716</v>
      </c>
      <c r="D32" s="253">
        <v>2.1</v>
      </c>
      <c r="E32" s="253">
        <v>0.41249999999999998</v>
      </c>
      <c r="F32" s="254">
        <v>0</v>
      </c>
      <c r="G32" s="254">
        <v>0</v>
      </c>
      <c r="H32" s="254">
        <v>0</v>
      </c>
      <c r="I32" s="254">
        <v>6.7500000000000004E-2</v>
      </c>
      <c r="J32" s="254">
        <v>0</v>
      </c>
      <c r="K32" s="254">
        <v>0</v>
      </c>
      <c r="L32" s="254">
        <v>0</v>
      </c>
      <c r="M32" s="254">
        <v>6.7500000000000004E-2</v>
      </c>
      <c r="N32" s="254">
        <v>16.363636363636367</v>
      </c>
    </row>
    <row r="33" spans="1:14" s="248" customFormat="1" ht="15" customHeight="1">
      <c r="A33" s="247" t="s">
        <v>1717</v>
      </c>
      <c r="B33" s="218">
        <v>10000</v>
      </c>
      <c r="C33" s="247" t="s">
        <v>244</v>
      </c>
      <c r="D33" s="253">
        <v>0.1</v>
      </c>
      <c r="E33" s="253">
        <v>0.1</v>
      </c>
      <c r="F33" s="254">
        <v>0</v>
      </c>
      <c r="G33" s="254">
        <v>0</v>
      </c>
      <c r="H33" s="254">
        <v>0</v>
      </c>
      <c r="I33" s="254">
        <v>0</v>
      </c>
      <c r="J33" s="254">
        <v>0</v>
      </c>
      <c r="K33" s="254">
        <v>0</v>
      </c>
      <c r="L33" s="254">
        <v>0</v>
      </c>
      <c r="M33" s="254">
        <v>0</v>
      </c>
      <c r="N33" s="254">
        <v>0</v>
      </c>
    </row>
    <row r="34" spans="1:14" s="248" customFormat="1" ht="15" customHeight="1">
      <c r="A34" s="255" t="s">
        <v>230</v>
      </c>
      <c r="B34" s="218"/>
      <c r="C34" s="247"/>
      <c r="D34" s="256">
        <v>59.921900000000008</v>
      </c>
      <c r="E34" s="256">
        <v>15.613499999999998</v>
      </c>
      <c r="F34" s="256">
        <v>0</v>
      </c>
      <c r="G34" s="256">
        <v>0</v>
      </c>
      <c r="H34" s="256">
        <v>2.9210000000000003</v>
      </c>
      <c r="I34" s="256">
        <v>2.1069</v>
      </c>
      <c r="J34" s="256">
        <v>0</v>
      </c>
      <c r="K34" s="256">
        <v>0</v>
      </c>
      <c r="L34" s="256">
        <v>0</v>
      </c>
      <c r="M34" s="256">
        <v>5.0278999999999998</v>
      </c>
      <c r="N34" s="256"/>
    </row>
    <row r="35" spans="1:14" s="248" customFormat="1">
      <c r="A35" s="249"/>
      <c r="H35" s="257"/>
      <c r="I35" s="257"/>
      <c r="J35" s="257"/>
    </row>
  </sheetData>
  <mergeCells count="35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K12"/>
    <mergeCell ref="L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  <legacyDrawing r:id="rId2"/>
</worksheet>
</file>

<file path=xl/worksheets/sheet24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U35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7.7109375" style="244" customWidth="1"/>
    <col min="14" max="14" width="6.7109375" style="244" customWidth="1"/>
    <col min="15" max="15" width="9.140625" style="244"/>
    <col min="16" max="21" width="9.140625" style="267"/>
    <col min="22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7.710937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7.710937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7.710937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7.710937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7.710937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7.710937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7.710937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7.710937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7.710937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7.710937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7.710937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7.710937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7.710937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7.710937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7.710937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7.710937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7.710937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7.710937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7.710937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7.710937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7.710937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7.710937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7.710937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7.710937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7.710937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7.710937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7.710937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7.710937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7.710937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7.710937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7.710937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7.710937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7.710937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7.710937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7.710937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7.710937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7.710937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7.710937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7.710937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7.710937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7.710937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7.710937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7.710937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7.710937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7.710937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7.710937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7.710937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7.710937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7.710937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7.710937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7.710937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7.710937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7.710937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7.710937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7.710937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7.710937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7.710937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7.710937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7.710937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7.710937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7.710937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7.710937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7.7109375" style="244" customWidth="1"/>
    <col min="16142" max="16142" width="6.7109375" style="244" customWidth="1"/>
    <col min="16143" max="16384" width="9.140625" style="244"/>
  </cols>
  <sheetData>
    <row r="1" spans="1:21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21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21" ht="13.5">
      <c r="A3" s="245" t="s">
        <v>169</v>
      </c>
      <c r="B3" s="1398" t="s">
        <v>137</v>
      </c>
      <c r="C3" s="1398"/>
      <c r="D3" s="1398"/>
      <c r="E3" s="1398"/>
      <c r="F3" s="245" t="s">
        <v>171</v>
      </c>
      <c r="H3" s="1399" t="s">
        <v>2283</v>
      </c>
      <c r="I3" s="1399"/>
      <c r="J3" s="245" t="s">
        <v>172</v>
      </c>
      <c r="K3" s="246">
        <v>470</v>
      </c>
      <c r="L3" s="245" t="s">
        <v>436</v>
      </c>
      <c r="N3" s="246">
        <v>80</v>
      </c>
    </row>
    <row r="4" spans="1:21" ht="15">
      <c r="A4" s="808" t="s">
        <v>4176</v>
      </c>
      <c r="B4" s="808"/>
      <c r="C4" s="808"/>
    </row>
    <row r="5" spans="1:21" ht="13.5">
      <c r="A5" s="245" t="s">
        <v>174</v>
      </c>
      <c r="B5" s="1400" t="s">
        <v>2284</v>
      </c>
      <c r="C5" s="1401"/>
      <c r="D5" s="1401"/>
      <c r="E5" s="1402"/>
      <c r="F5" s="245" t="s">
        <v>176</v>
      </c>
      <c r="H5" s="1400" t="s">
        <v>2285</v>
      </c>
      <c r="I5" s="1401"/>
      <c r="J5" s="1402"/>
    </row>
    <row r="7" spans="1:21" ht="13.5" customHeight="1">
      <c r="A7" s="245" t="s">
        <v>178</v>
      </c>
      <c r="B7" s="1400" t="s">
        <v>2284</v>
      </c>
      <c r="C7" s="1401"/>
      <c r="D7" s="1401"/>
      <c r="E7" s="1402"/>
      <c r="F7" s="1403" t="s">
        <v>1696</v>
      </c>
      <c r="G7" s="1403"/>
      <c r="H7" s="1404" t="s">
        <v>2286</v>
      </c>
      <c r="I7" s="1405"/>
      <c r="J7" s="1405"/>
      <c r="K7" s="1406"/>
    </row>
    <row r="8" spans="1:21">
      <c r="F8" s="1403"/>
      <c r="G8" s="1403"/>
      <c r="H8" s="1407"/>
      <c r="I8" s="1408"/>
      <c r="J8" s="1408"/>
      <c r="K8" s="1409"/>
    </row>
    <row r="10" spans="1:21" s="248" customFormat="1" ht="20.100000000000001" customHeight="1">
      <c r="A10" s="247" t="s">
        <v>1697</v>
      </c>
      <c r="B10" s="1410" t="s">
        <v>2287</v>
      </c>
      <c r="C10" s="1410"/>
      <c r="D10" s="1410"/>
      <c r="E10" s="1410"/>
      <c r="F10" s="1410"/>
      <c r="G10" s="1410"/>
      <c r="H10" s="1410"/>
      <c r="I10" s="1410"/>
      <c r="J10" s="1410"/>
      <c r="K10" s="1410"/>
      <c r="L10" s="1410"/>
      <c r="M10" s="1410"/>
      <c r="P10" s="263"/>
      <c r="Q10" s="263"/>
      <c r="R10" s="263"/>
      <c r="S10" s="263"/>
      <c r="T10" s="263"/>
      <c r="U10" s="263"/>
    </row>
    <row r="11" spans="1:21" s="248" customFormat="1" ht="20.100000000000001" customHeight="1">
      <c r="A11" s="247" t="s">
        <v>1702</v>
      </c>
      <c r="B11" s="1410" t="s">
        <v>2285</v>
      </c>
      <c r="C11" s="1410"/>
      <c r="D11" s="1410"/>
      <c r="E11" s="1410"/>
      <c r="F11" s="1410"/>
      <c r="G11" s="1410"/>
      <c r="H11" s="1410"/>
      <c r="I11" s="1410"/>
      <c r="J11" s="1410"/>
      <c r="K11" s="1410"/>
      <c r="L11" s="1410"/>
      <c r="M11" s="1410"/>
      <c r="P11" s="263"/>
      <c r="Q11" s="263"/>
      <c r="R11" s="263"/>
      <c r="S11" s="263"/>
      <c r="T11" s="263"/>
      <c r="U11" s="263"/>
    </row>
    <row r="12" spans="1:21" s="270" customFormat="1" ht="26.25" customHeight="1">
      <c r="A12" s="260" t="s">
        <v>1707</v>
      </c>
      <c r="B12" s="1431" t="s">
        <v>2288</v>
      </c>
      <c r="C12" s="1431"/>
      <c r="D12" s="1443" t="s">
        <v>2289</v>
      </c>
      <c r="E12" s="1444"/>
      <c r="F12" s="1445"/>
      <c r="G12" s="1412" t="s">
        <v>2038</v>
      </c>
      <c r="H12" s="1414"/>
      <c r="I12" s="1413"/>
      <c r="J12" s="1412" t="s">
        <v>2290</v>
      </c>
      <c r="K12" s="1446"/>
      <c r="L12" s="1446"/>
      <c r="M12" s="1447"/>
      <c r="N12" s="263"/>
      <c r="O12" s="263"/>
      <c r="P12" s="263"/>
      <c r="Q12" s="263"/>
      <c r="R12" s="263"/>
      <c r="S12" s="263"/>
      <c r="T12" s="263"/>
      <c r="U12" s="263"/>
    </row>
    <row r="13" spans="1:21" s="248" customFormat="1" ht="20.100000000000001" customHeight="1">
      <c r="A13" s="247" t="s">
        <v>197</v>
      </c>
      <c r="B13" s="519"/>
      <c r="C13" s="519"/>
      <c r="D13" s="1410"/>
      <c r="E13" s="1410"/>
      <c r="F13" s="1410"/>
      <c r="G13" s="1416"/>
      <c r="H13" s="1416"/>
      <c r="I13" s="1416"/>
      <c r="J13" s="1428"/>
      <c r="K13" s="1430"/>
      <c r="L13" s="1430"/>
      <c r="M13" s="1429"/>
      <c r="P13" s="263"/>
      <c r="Q13" s="263"/>
      <c r="R13" s="263"/>
      <c r="S13" s="263"/>
      <c r="T13" s="263"/>
      <c r="U13" s="263"/>
    </row>
    <row r="14" spans="1:21" s="248" customFormat="1">
      <c r="A14" s="249"/>
      <c r="P14" s="263"/>
      <c r="Q14" s="263"/>
      <c r="R14" s="263"/>
      <c r="S14" s="263"/>
      <c r="T14" s="263"/>
      <c r="U14" s="263"/>
    </row>
    <row r="15" spans="1:21" s="248" customFormat="1" ht="13.5" customHeight="1">
      <c r="A15" s="249" t="s">
        <v>1356</v>
      </c>
      <c r="B15" s="518">
        <v>1</v>
      </c>
      <c r="C15" s="1411" t="s">
        <v>1490</v>
      </c>
      <c r="D15" s="1403"/>
      <c r="E15" s="1403"/>
      <c r="F15" s="518">
        <v>1</v>
      </c>
      <c r="G15" s="249" t="s">
        <v>1712</v>
      </c>
      <c r="H15" s="518">
        <v>3</v>
      </c>
      <c r="I15" s="249" t="s">
        <v>1492</v>
      </c>
      <c r="J15" s="518"/>
      <c r="K15" s="249" t="s">
        <v>1386</v>
      </c>
      <c r="L15" s="518">
        <v>1</v>
      </c>
      <c r="P15" s="263"/>
      <c r="Q15" s="263"/>
      <c r="R15" s="263"/>
      <c r="S15" s="263"/>
      <c r="T15" s="263"/>
      <c r="U15" s="263"/>
    </row>
    <row r="16" spans="1:21" s="248" customFormat="1">
      <c r="A16" s="249"/>
      <c r="P16" s="263"/>
      <c r="Q16" s="263"/>
      <c r="R16" s="263"/>
      <c r="S16" s="263"/>
      <c r="T16" s="263"/>
      <c r="U16" s="263"/>
    </row>
    <row r="17" spans="1:21" s="249" customFormat="1" ht="12" customHeight="1">
      <c r="A17" s="249" t="s">
        <v>203</v>
      </c>
      <c r="B17" s="249" t="s">
        <v>204</v>
      </c>
      <c r="C17" s="218">
        <v>34</v>
      </c>
      <c r="D17" s="249" t="s">
        <v>205</v>
      </c>
      <c r="E17" s="218">
        <v>0</v>
      </c>
      <c r="F17" s="249" t="s">
        <v>206</v>
      </c>
      <c r="G17" s="218">
        <v>2</v>
      </c>
      <c r="H17" s="249" t="s">
        <v>230</v>
      </c>
      <c r="I17" s="218">
        <v>36</v>
      </c>
      <c r="J17" s="249" t="s">
        <v>207</v>
      </c>
      <c r="K17" s="218">
        <v>2</v>
      </c>
      <c r="L17" s="1411" t="s">
        <v>1360</v>
      </c>
      <c r="M17" s="1417"/>
      <c r="N17" s="218">
        <v>3</v>
      </c>
      <c r="P17" s="271"/>
      <c r="Q17" s="271"/>
      <c r="R17" s="271"/>
      <c r="S17" s="271"/>
      <c r="T17" s="271"/>
      <c r="U17" s="271"/>
    </row>
    <row r="18" spans="1:21" s="249" customFormat="1">
      <c r="A18" s="249" t="s">
        <v>209</v>
      </c>
      <c r="B18" s="249" t="s">
        <v>210</v>
      </c>
      <c r="C18" s="218">
        <v>92</v>
      </c>
      <c r="D18" s="249" t="s">
        <v>211</v>
      </c>
      <c r="E18" s="218">
        <v>0</v>
      </c>
      <c r="F18" s="249" t="s">
        <v>212</v>
      </c>
      <c r="G18" s="218">
        <v>5</v>
      </c>
      <c r="H18" s="249" t="s">
        <v>411</v>
      </c>
      <c r="I18" s="218">
        <v>97</v>
      </c>
      <c r="P18" s="271"/>
      <c r="Q18" s="271"/>
      <c r="R18" s="271"/>
      <c r="S18" s="271"/>
      <c r="T18" s="271"/>
      <c r="U18" s="271"/>
    </row>
    <row r="19" spans="1:21" s="249" customFormat="1" ht="13.5" customHeight="1">
      <c r="B19" s="249" t="s">
        <v>213</v>
      </c>
      <c r="C19" s="218">
        <v>95</v>
      </c>
      <c r="D19" s="249" t="s">
        <v>214</v>
      </c>
      <c r="E19" s="218">
        <v>0</v>
      </c>
      <c r="F19" s="249" t="s">
        <v>215</v>
      </c>
      <c r="G19" s="218">
        <v>6</v>
      </c>
      <c r="H19" s="249" t="s">
        <v>410</v>
      </c>
      <c r="I19" s="218">
        <v>101</v>
      </c>
      <c r="P19" s="271"/>
      <c r="Q19" s="271"/>
      <c r="R19" s="271"/>
      <c r="S19" s="271"/>
      <c r="T19" s="271"/>
      <c r="U19" s="271"/>
    </row>
    <row r="20" spans="1:21" s="249" customFormat="1">
      <c r="G20" s="250"/>
      <c r="P20" s="271"/>
      <c r="Q20" s="271"/>
      <c r="R20" s="271"/>
      <c r="S20" s="271"/>
      <c r="T20" s="271"/>
      <c r="U20" s="271"/>
    </row>
    <row r="21" spans="1:21" s="248" customFormat="1">
      <c r="A21" s="251" t="s">
        <v>216</v>
      </c>
      <c r="P21" s="263"/>
      <c r="Q21" s="263"/>
      <c r="R21" s="263"/>
      <c r="S21" s="263"/>
      <c r="T21" s="263"/>
      <c r="U21" s="263"/>
    </row>
    <row r="22" spans="1:21" s="248" customFormat="1">
      <c r="A22" s="249"/>
      <c r="P22" s="263"/>
      <c r="Q22" s="263"/>
      <c r="R22" s="263"/>
      <c r="S22" s="263"/>
      <c r="T22" s="263"/>
      <c r="U22" s="263"/>
    </row>
    <row r="23" spans="1:21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  <c r="P23" s="263"/>
      <c r="Q23" s="263"/>
      <c r="R23" s="263"/>
      <c r="S23" s="263"/>
      <c r="T23" s="263"/>
      <c r="U23" s="263"/>
    </row>
    <row r="24" spans="1:21" s="248" customFormat="1" ht="11.2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  <c r="P24" s="263"/>
      <c r="Q24" s="263"/>
      <c r="R24" s="263"/>
      <c r="S24" s="263"/>
      <c r="T24" s="263"/>
      <c r="U24" s="263"/>
    </row>
    <row r="25" spans="1:21" s="248" customFormat="1" ht="15" customHeight="1">
      <c r="A25" s="247" t="s">
        <v>232</v>
      </c>
      <c r="B25" s="218">
        <v>8000</v>
      </c>
      <c r="C25" s="247" t="s">
        <v>233</v>
      </c>
      <c r="D25" s="253">
        <v>37.6</v>
      </c>
      <c r="E25" s="253">
        <v>10</v>
      </c>
      <c r="F25" s="254">
        <v>0.5</v>
      </c>
      <c r="G25" s="254">
        <v>1.2907999999999999</v>
      </c>
      <c r="H25" s="254">
        <v>0</v>
      </c>
      <c r="I25" s="254">
        <v>0</v>
      </c>
      <c r="J25" s="254">
        <v>0</v>
      </c>
      <c r="K25" s="254">
        <v>0</v>
      </c>
      <c r="L25" s="254">
        <v>0</v>
      </c>
      <c r="M25" s="253">
        <v>1.7907999999999999</v>
      </c>
      <c r="N25" s="253">
        <v>17.907999999999998</v>
      </c>
      <c r="P25" s="263"/>
      <c r="Q25" s="263"/>
      <c r="R25" s="263"/>
      <c r="S25" s="263"/>
      <c r="T25" s="263"/>
      <c r="U25" s="263"/>
    </row>
    <row r="26" spans="1:21" s="248" customFormat="1" ht="15" customHeight="1">
      <c r="A26" s="247" t="s">
        <v>1715</v>
      </c>
      <c r="B26" s="218">
        <v>7000</v>
      </c>
      <c r="C26" s="247" t="s">
        <v>233</v>
      </c>
      <c r="D26" s="253">
        <v>2.726</v>
      </c>
      <c r="E26" s="253">
        <v>0</v>
      </c>
      <c r="F26" s="254">
        <v>0</v>
      </c>
      <c r="G26" s="254">
        <v>0</v>
      </c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>
        <v>0</v>
      </c>
      <c r="N26" s="254">
        <v>0</v>
      </c>
      <c r="P26" s="263"/>
      <c r="Q26" s="263"/>
      <c r="R26" s="263"/>
      <c r="S26" s="263"/>
      <c r="T26" s="263"/>
      <c r="U26" s="263"/>
    </row>
    <row r="27" spans="1:21" s="248" customFormat="1" ht="15" customHeight="1">
      <c r="A27" s="247" t="s">
        <v>235</v>
      </c>
      <c r="B27" s="218">
        <v>43000</v>
      </c>
      <c r="C27" s="247" t="s">
        <v>236</v>
      </c>
      <c r="D27" s="253">
        <v>0.43</v>
      </c>
      <c r="E27" s="253">
        <v>0.18</v>
      </c>
      <c r="F27" s="254">
        <v>0</v>
      </c>
      <c r="G27" s="254">
        <v>0</v>
      </c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  <c r="P27" s="263"/>
      <c r="Q27" s="263"/>
      <c r="R27" s="263"/>
      <c r="S27" s="263"/>
      <c r="T27" s="263"/>
      <c r="U27" s="263"/>
    </row>
    <row r="28" spans="1:21" s="248" customFormat="1" ht="15" customHeight="1">
      <c r="A28" s="247" t="s">
        <v>396</v>
      </c>
      <c r="B28" s="218">
        <v>34000</v>
      </c>
      <c r="C28" s="247" t="s">
        <v>236</v>
      </c>
      <c r="D28" s="253">
        <v>0.34</v>
      </c>
      <c r="E28" s="253">
        <v>0.16</v>
      </c>
      <c r="F28" s="254">
        <v>0.16</v>
      </c>
      <c r="G28" s="254">
        <v>0</v>
      </c>
      <c r="H28" s="254">
        <v>0</v>
      </c>
      <c r="I28" s="254">
        <v>0</v>
      </c>
      <c r="J28" s="254">
        <v>0</v>
      </c>
      <c r="K28" s="254">
        <v>0</v>
      </c>
      <c r="L28" s="254">
        <v>0</v>
      </c>
      <c r="M28" s="254">
        <v>0.16</v>
      </c>
      <c r="N28" s="254">
        <v>100</v>
      </c>
      <c r="P28" s="263"/>
      <c r="Q28" s="263"/>
      <c r="R28" s="263"/>
      <c r="S28" s="263"/>
      <c r="T28" s="263"/>
      <c r="U28" s="263"/>
    </row>
    <row r="29" spans="1:21" s="248" customFormat="1" ht="15" customHeight="1">
      <c r="A29" s="247" t="s">
        <v>238</v>
      </c>
      <c r="B29" s="218">
        <v>1200</v>
      </c>
      <c r="C29" s="247" t="s">
        <v>233</v>
      </c>
      <c r="D29" s="253">
        <v>5.64</v>
      </c>
      <c r="E29" s="253">
        <v>2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  <c r="P29" s="263"/>
      <c r="Q29" s="263"/>
      <c r="R29" s="263"/>
      <c r="S29" s="263"/>
      <c r="T29" s="263"/>
      <c r="U29" s="263"/>
    </row>
    <row r="30" spans="1:21" s="248" customFormat="1" ht="15" customHeight="1">
      <c r="A30" s="247" t="s">
        <v>667</v>
      </c>
      <c r="B30" s="218">
        <v>565</v>
      </c>
      <c r="C30" s="247" t="s">
        <v>233</v>
      </c>
      <c r="D30" s="253">
        <v>2.6555</v>
      </c>
      <c r="E30" s="253">
        <v>2.585</v>
      </c>
      <c r="F30" s="254">
        <v>2.585</v>
      </c>
      <c r="G30" s="254">
        <v>0</v>
      </c>
      <c r="H30" s="254">
        <v>0</v>
      </c>
      <c r="I30" s="254">
        <v>0</v>
      </c>
      <c r="J30" s="254">
        <v>0</v>
      </c>
      <c r="K30" s="254">
        <v>0</v>
      </c>
      <c r="L30" s="254">
        <v>0</v>
      </c>
      <c r="M30" s="254">
        <v>2.585</v>
      </c>
      <c r="N30" s="254">
        <v>100</v>
      </c>
      <c r="P30" s="263"/>
      <c r="Q30" s="263"/>
      <c r="R30" s="263"/>
      <c r="S30" s="263"/>
      <c r="T30" s="263"/>
      <c r="U30" s="263"/>
    </row>
    <row r="31" spans="1:21" s="248" customFormat="1" ht="15" customHeight="1">
      <c r="A31" s="247" t="s">
        <v>240</v>
      </c>
      <c r="B31" s="218">
        <v>1000</v>
      </c>
      <c r="C31" s="247" t="s">
        <v>233</v>
      </c>
      <c r="D31" s="253">
        <v>4.7</v>
      </c>
      <c r="E31" s="253">
        <v>0</v>
      </c>
      <c r="F31" s="254">
        <v>0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4">
        <v>0</v>
      </c>
      <c r="P31" s="263"/>
      <c r="Q31" s="263"/>
      <c r="R31" s="263"/>
      <c r="S31" s="263"/>
      <c r="T31" s="263"/>
      <c r="U31" s="263"/>
    </row>
    <row r="32" spans="1:21" s="263" customFormat="1" ht="15" customHeight="1">
      <c r="A32" s="260" t="s">
        <v>394</v>
      </c>
      <c r="B32" s="231">
        <v>2750</v>
      </c>
      <c r="C32" s="260" t="s">
        <v>242</v>
      </c>
      <c r="D32" s="261">
        <v>2.1</v>
      </c>
      <c r="E32" s="261">
        <v>0.41249999999999998</v>
      </c>
      <c r="F32" s="262">
        <v>0</v>
      </c>
      <c r="G32" s="262">
        <v>3.1E-2</v>
      </c>
      <c r="H32" s="262">
        <v>0</v>
      </c>
      <c r="I32" s="262">
        <v>0</v>
      </c>
      <c r="J32" s="262">
        <v>0</v>
      </c>
      <c r="K32" s="262">
        <v>0</v>
      </c>
      <c r="L32" s="262">
        <v>0</v>
      </c>
      <c r="M32" s="262">
        <v>3.1E-2</v>
      </c>
      <c r="N32" s="254">
        <v>7.5151515151515147</v>
      </c>
    </row>
    <row r="33" spans="1:21" s="248" customFormat="1" ht="15" customHeight="1">
      <c r="A33" s="247" t="s">
        <v>1717</v>
      </c>
      <c r="B33" s="218">
        <v>10000</v>
      </c>
      <c r="C33" s="247" t="s">
        <v>244</v>
      </c>
      <c r="D33" s="253">
        <v>0.1</v>
      </c>
      <c r="E33" s="253">
        <v>0.1</v>
      </c>
      <c r="F33" s="254">
        <v>0</v>
      </c>
      <c r="G33" s="254">
        <v>0.1</v>
      </c>
      <c r="H33" s="254">
        <v>0</v>
      </c>
      <c r="I33" s="254">
        <v>0</v>
      </c>
      <c r="J33" s="254">
        <v>0</v>
      </c>
      <c r="K33" s="254">
        <v>0</v>
      </c>
      <c r="L33" s="254">
        <v>0</v>
      </c>
      <c r="M33" s="254">
        <v>0.1</v>
      </c>
      <c r="N33" s="254">
        <v>100</v>
      </c>
      <c r="P33" s="263"/>
      <c r="Q33" s="263"/>
      <c r="R33" s="263"/>
      <c r="S33" s="263"/>
      <c r="T33" s="263"/>
      <c r="U33" s="263"/>
    </row>
    <row r="34" spans="1:21" s="248" customFormat="1" ht="15" customHeight="1">
      <c r="A34" s="255" t="s">
        <v>230</v>
      </c>
      <c r="B34" s="218"/>
      <c r="C34" s="247"/>
      <c r="D34" s="256">
        <v>56.291500000000013</v>
      </c>
      <c r="E34" s="256">
        <v>15.4375</v>
      </c>
      <c r="F34" s="256">
        <v>3.2450000000000001</v>
      </c>
      <c r="G34" s="256">
        <v>1.4218</v>
      </c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>
        <v>4.6667999999999994</v>
      </c>
      <c r="N34" s="256"/>
      <c r="P34" s="263"/>
      <c r="Q34" s="263"/>
      <c r="R34" s="263"/>
      <c r="S34" s="263"/>
      <c r="T34" s="263"/>
      <c r="U34" s="263"/>
    </row>
    <row r="35" spans="1:21" s="248" customFormat="1">
      <c r="A35" s="249"/>
      <c r="H35" s="257"/>
      <c r="I35" s="257"/>
      <c r="J35" s="257"/>
      <c r="P35" s="263"/>
      <c r="Q35" s="263"/>
      <c r="R35" s="263"/>
      <c r="S35" s="263"/>
      <c r="T35" s="263"/>
      <c r="U35" s="263"/>
    </row>
  </sheetData>
  <mergeCells count="33">
    <mergeCell ref="F23:N23"/>
    <mergeCell ref="D13:F13"/>
    <mergeCell ref="G13:I13"/>
    <mergeCell ref="J13:M13"/>
    <mergeCell ref="C15:E15"/>
    <mergeCell ref="L17:M17"/>
    <mergeCell ref="A23:A24"/>
    <mergeCell ref="B23:B24"/>
    <mergeCell ref="C23:C24"/>
    <mergeCell ref="D23:D24"/>
    <mergeCell ref="E23:E24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35"/>
  <sheetViews>
    <sheetView workbookViewId="0">
      <selection activeCell="A4" sqref="A4:C4"/>
    </sheetView>
  </sheetViews>
  <sheetFormatPr defaultRowHeight="12.75"/>
  <cols>
    <col min="1" max="1" width="24.140625" style="244" customWidth="1"/>
    <col min="2" max="2" width="10.85546875" style="244" customWidth="1"/>
    <col min="3" max="3" width="9.85546875" style="244" customWidth="1"/>
    <col min="4" max="4" width="9.5703125" style="244" customWidth="1"/>
    <col min="5" max="5" width="9" style="244" customWidth="1"/>
    <col min="6" max="6" width="9.85546875" style="244" customWidth="1"/>
    <col min="7" max="7" width="8.28515625" style="244" customWidth="1"/>
    <col min="8" max="8" width="8.5703125" style="244" customWidth="1"/>
    <col min="9" max="9" width="8.28515625" style="244" customWidth="1"/>
    <col min="10" max="10" width="8.85546875" style="244" customWidth="1"/>
    <col min="11" max="11" width="6.85546875" style="244" customWidth="1"/>
    <col min="12" max="12" width="7.28515625" style="244" customWidth="1"/>
    <col min="13" max="13" width="7.7109375" style="244" customWidth="1"/>
    <col min="14" max="14" width="6.7109375" style="244" customWidth="1"/>
    <col min="15" max="256" width="9.140625" style="244"/>
    <col min="257" max="257" width="24.140625" style="244" customWidth="1"/>
    <col min="258" max="258" width="10.85546875" style="244" customWidth="1"/>
    <col min="259" max="259" width="9.85546875" style="244" customWidth="1"/>
    <col min="260" max="260" width="9.5703125" style="244" customWidth="1"/>
    <col min="261" max="261" width="9" style="244" customWidth="1"/>
    <col min="262" max="262" width="9.85546875" style="244" customWidth="1"/>
    <col min="263" max="263" width="8.28515625" style="244" customWidth="1"/>
    <col min="264" max="264" width="8.5703125" style="244" customWidth="1"/>
    <col min="265" max="265" width="8.28515625" style="244" customWidth="1"/>
    <col min="266" max="266" width="8.85546875" style="244" customWidth="1"/>
    <col min="267" max="267" width="6.85546875" style="244" customWidth="1"/>
    <col min="268" max="268" width="7.28515625" style="244" customWidth="1"/>
    <col min="269" max="269" width="7.7109375" style="244" customWidth="1"/>
    <col min="270" max="270" width="6.7109375" style="244" customWidth="1"/>
    <col min="271" max="512" width="9.140625" style="244"/>
    <col min="513" max="513" width="24.140625" style="244" customWidth="1"/>
    <col min="514" max="514" width="10.85546875" style="244" customWidth="1"/>
    <col min="515" max="515" width="9.85546875" style="244" customWidth="1"/>
    <col min="516" max="516" width="9.5703125" style="244" customWidth="1"/>
    <col min="517" max="517" width="9" style="244" customWidth="1"/>
    <col min="518" max="518" width="9.85546875" style="244" customWidth="1"/>
    <col min="519" max="519" width="8.28515625" style="244" customWidth="1"/>
    <col min="520" max="520" width="8.5703125" style="244" customWidth="1"/>
    <col min="521" max="521" width="8.28515625" style="244" customWidth="1"/>
    <col min="522" max="522" width="8.85546875" style="244" customWidth="1"/>
    <col min="523" max="523" width="6.85546875" style="244" customWidth="1"/>
    <col min="524" max="524" width="7.28515625" style="244" customWidth="1"/>
    <col min="525" max="525" width="7.7109375" style="244" customWidth="1"/>
    <col min="526" max="526" width="6.7109375" style="244" customWidth="1"/>
    <col min="527" max="768" width="9.140625" style="244"/>
    <col min="769" max="769" width="24.140625" style="244" customWidth="1"/>
    <col min="770" max="770" width="10.85546875" style="244" customWidth="1"/>
    <col min="771" max="771" width="9.85546875" style="244" customWidth="1"/>
    <col min="772" max="772" width="9.5703125" style="244" customWidth="1"/>
    <col min="773" max="773" width="9" style="244" customWidth="1"/>
    <col min="774" max="774" width="9.85546875" style="244" customWidth="1"/>
    <col min="775" max="775" width="8.28515625" style="244" customWidth="1"/>
    <col min="776" max="776" width="8.5703125" style="244" customWidth="1"/>
    <col min="777" max="777" width="8.28515625" style="244" customWidth="1"/>
    <col min="778" max="778" width="8.85546875" style="244" customWidth="1"/>
    <col min="779" max="779" width="6.85546875" style="244" customWidth="1"/>
    <col min="780" max="780" width="7.28515625" style="244" customWidth="1"/>
    <col min="781" max="781" width="7.7109375" style="244" customWidth="1"/>
    <col min="782" max="782" width="6.7109375" style="244" customWidth="1"/>
    <col min="783" max="1024" width="9.140625" style="244"/>
    <col min="1025" max="1025" width="24.140625" style="244" customWidth="1"/>
    <col min="1026" max="1026" width="10.85546875" style="244" customWidth="1"/>
    <col min="1027" max="1027" width="9.85546875" style="244" customWidth="1"/>
    <col min="1028" max="1028" width="9.5703125" style="244" customWidth="1"/>
    <col min="1029" max="1029" width="9" style="244" customWidth="1"/>
    <col min="1030" max="1030" width="9.85546875" style="244" customWidth="1"/>
    <col min="1031" max="1031" width="8.28515625" style="244" customWidth="1"/>
    <col min="1032" max="1032" width="8.5703125" style="244" customWidth="1"/>
    <col min="1033" max="1033" width="8.28515625" style="244" customWidth="1"/>
    <col min="1034" max="1034" width="8.85546875" style="244" customWidth="1"/>
    <col min="1035" max="1035" width="6.85546875" style="244" customWidth="1"/>
    <col min="1036" max="1036" width="7.28515625" style="244" customWidth="1"/>
    <col min="1037" max="1037" width="7.7109375" style="244" customWidth="1"/>
    <col min="1038" max="1038" width="6.7109375" style="244" customWidth="1"/>
    <col min="1039" max="1280" width="9.140625" style="244"/>
    <col min="1281" max="1281" width="24.140625" style="244" customWidth="1"/>
    <col min="1282" max="1282" width="10.85546875" style="244" customWidth="1"/>
    <col min="1283" max="1283" width="9.85546875" style="244" customWidth="1"/>
    <col min="1284" max="1284" width="9.5703125" style="244" customWidth="1"/>
    <col min="1285" max="1285" width="9" style="244" customWidth="1"/>
    <col min="1286" max="1286" width="9.85546875" style="244" customWidth="1"/>
    <col min="1287" max="1287" width="8.28515625" style="244" customWidth="1"/>
    <col min="1288" max="1288" width="8.5703125" style="244" customWidth="1"/>
    <col min="1289" max="1289" width="8.28515625" style="244" customWidth="1"/>
    <col min="1290" max="1290" width="8.85546875" style="244" customWidth="1"/>
    <col min="1291" max="1291" width="6.85546875" style="244" customWidth="1"/>
    <col min="1292" max="1292" width="7.28515625" style="244" customWidth="1"/>
    <col min="1293" max="1293" width="7.7109375" style="244" customWidth="1"/>
    <col min="1294" max="1294" width="6.7109375" style="244" customWidth="1"/>
    <col min="1295" max="1536" width="9.140625" style="244"/>
    <col min="1537" max="1537" width="24.140625" style="244" customWidth="1"/>
    <col min="1538" max="1538" width="10.85546875" style="244" customWidth="1"/>
    <col min="1539" max="1539" width="9.85546875" style="244" customWidth="1"/>
    <col min="1540" max="1540" width="9.5703125" style="244" customWidth="1"/>
    <col min="1541" max="1541" width="9" style="244" customWidth="1"/>
    <col min="1542" max="1542" width="9.85546875" style="244" customWidth="1"/>
    <col min="1543" max="1543" width="8.28515625" style="244" customWidth="1"/>
    <col min="1544" max="1544" width="8.5703125" style="244" customWidth="1"/>
    <col min="1545" max="1545" width="8.28515625" style="244" customWidth="1"/>
    <col min="1546" max="1546" width="8.85546875" style="244" customWidth="1"/>
    <col min="1547" max="1547" width="6.85546875" style="244" customWidth="1"/>
    <col min="1548" max="1548" width="7.28515625" style="244" customWidth="1"/>
    <col min="1549" max="1549" width="7.7109375" style="244" customWidth="1"/>
    <col min="1550" max="1550" width="6.7109375" style="244" customWidth="1"/>
    <col min="1551" max="1792" width="9.140625" style="244"/>
    <col min="1793" max="1793" width="24.140625" style="244" customWidth="1"/>
    <col min="1794" max="1794" width="10.85546875" style="244" customWidth="1"/>
    <col min="1795" max="1795" width="9.85546875" style="244" customWidth="1"/>
    <col min="1796" max="1796" width="9.5703125" style="244" customWidth="1"/>
    <col min="1797" max="1797" width="9" style="244" customWidth="1"/>
    <col min="1798" max="1798" width="9.85546875" style="244" customWidth="1"/>
    <col min="1799" max="1799" width="8.28515625" style="244" customWidth="1"/>
    <col min="1800" max="1800" width="8.5703125" style="244" customWidth="1"/>
    <col min="1801" max="1801" width="8.28515625" style="244" customWidth="1"/>
    <col min="1802" max="1802" width="8.85546875" style="244" customWidth="1"/>
    <col min="1803" max="1803" width="6.85546875" style="244" customWidth="1"/>
    <col min="1804" max="1804" width="7.28515625" style="244" customWidth="1"/>
    <col min="1805" max="1805" width="7.7109375" style="244" customWidth="1"/>
    <col min="1806" max="1806" width="6.7109375" style="244" customWidth="1"/>
    <col min="1807" max="2048" width="9.140625" style="244"/>
    <col min="2049" max="2049" width="24.140625" style="244" customWidth="1"/>
    <col min="2050" max="2050" width="10.85546875" style="244" customWidth="1"/>
    <col min="2051" max="2051" width="9.85546875" style="244" customWidth="1"/>
    <col min="2052" max="2052" width="9.5703125" style="244" customWidth="1"/>
    <col min="2053" max="2053" width="9" style="244" customWidth="1"/>
    <col min="2054" max="2054" width="9.85546875" style="244" customWidth="1"/>
    <col min="2055" max="2055" width="8.28515625" style="244" customWidth="1"/>
    <col min="2056" max="2056" width="8.5703125" style="244" customWidth="1"/>
    <col min="2057" max="2057" width="8.28515625" style="244" customWidth="1"/>
    <col min="2058" max="2058" width="8.85546875" style="244" customWidth="1"/>
    <col min="2059" max="2059" width="6.85546875" style="244" customWidth="1"/>
    <col min="2060" max="2060" width="7.28515625" style="244" customWidth="1"/>
    <col min="2061" max="2061" width="7.7109375" style="244" customWidth="1"/>
    <col min="2062" max="2062" width="6.7109375" style="244" customWidth="1"/>
    <col min="2063" max="2304" width="9.140625" style="244"/>
    <col min="2305" max="2305" width="24.140625" style="244" customWidth="1"/>
    <col min="2306" max="2306" width="10.85546875" style="244" customWidth="1"/>
    <col min="2307" max="2307" width="9.85546875" style="244" customWidth="1"/>
    <col min="2308" max="2308" width="9.5703125" style="244" customWidth="1"/>
    <col min="2309" max="2309" width="9" style="244" customWidth="1"/>
    <col min="2310" max="2310" width="9.85546875" style="244" customWidth="1"/>
    <col min="2311" max="2311" width="8.28515625" style="244" customWidth="1"/>
    <col min="2312" max="2312" width="8.5703125" style="244" customWidth="1"/>
    <col min="2313" max="2313" width="8.28515625" style="244" customWidth="1"/>
    <col min="2314" max="2314" width="8.85546875" style="244" customWidth="1"/>
    <col min="2315" max="2315" width="6.85546875" style="244" customWidth="1"/>
    <col min="2316" max="2316" width="7.28515625" style="244" customWidth="1"/>
    <col min="2317" max="2317" width="7.7109375" style="244" customWidth="1"/>
    <col min="2318" max="2318" width="6.7109375" style="244" customWidth="1"/>
    <col min="2319" max="2560" width="9.140625" style="244"/>
    <col min="2561" max="2561" width="24.140625" style="244" customWidth="1"/>
    <col min="2562" max="2562" width="10.85546875" style="244" customWidth="1"/>
    <col min="2563" max="2563" width="9.85546875" style="244" customWidth="1"/>
    <col min="2564" max="2564" width="9.5703125" style="244" customWidth="1"/>
    <col min="2565" max="2565" width="9" style="244" customWidth="1"/>
    <col min="2566" max="2566" width="9.85546875" style="244" customWidth="1"/>
    <col min="2567" max="2567" width="8.28515625" style="244" customWidth="1"/>
    <col min="2568" max="2568" width="8.5703125" style="244" customWidth="1"/>
    <col min="2569" max="2569" width="8.28515625" style="244" customWidth="1"/>
    <col min="2570" max="2570" width="8.85546875" style="244" customWidth="1"/>
    <col min="2571" max="2571" width="6.85546875" style="244" customWidth="1"/>
    <col min="2572" max="2572" width="7.28515625" style="244" customWidth="1"/>
    <col min="2573" max="2573" width="7.7109375" style="244" customWidth="1"/>
    <col min="2574" max="2574" width="6.7109375" style="244" customWidth="1"/>
    <col min="2575" max="2816" width="9.140625" style="244"/>
    <col min="2817" max="2817" width="24.140625" style="244" customWidth="1"/>
    <col min="2818" max="2818" width="10.85546875" style="244" customWidth="1"/>
    <col min="2819" max="2819" width="9.85546875" style="244" customWidth="1"/>
    <col min="2820" max="2820" width="9.5703125" style="244" customWidth="1"/>
    <col min="2821" max="2821" width="9" style="244" customWidth="1"/>
    <col min="2822" max="2822" width="9.85546875" style="244" customWidth="1"/>
    <col min="2823" max="2823" width="8.28515625" style="244" customWidth="1"/>
    <col min="2824" max="2824" width="8.5703125" style="244" customWidth="1"/>
    <col min="2825" max="2825" width="8.28515625" style="244" customWidth="1"/>
    <col min="2826" max="2826" width="8.85546875" style="244" customWidth="1"/>
    <col min="2827" max="2827" width="6.85546875" style="244" customWidth="1"/>
    <col min="2828" max="2828" width="7.28515625" style="244" customWidth="1"/>
    <col min="2829" max="2829" width="7.7109375" style="244" customWidth="1"/>
    <col min="2830" max="2830" width="6.7109375" style="244" customWidth="1"/>
    <col min="2831" max="3072" width="9.140625" style="244"/>
    <col min="3073" max="3073" width="24.140625" style="244" customWidth="1"/>
    <col min="3074" max="3074" width="10.85546875" style="244" customWidth="1"/>
    <col min="3075" max="3075" width="9.85546875" style="244" customWidth="1"/>
    <col min="3076" max="3076" width="9.5703125" style="244" customWidth="1"/>
    <col min="3077" max="3077" width="9" style="244" customWidth="1"/>
    <col min="3078" max="3078" width="9.85546875" style="244" customWidth="1"/>
    <col min="3079" max="3079" width="8.28515625" style="244" customWidth="1"/>
    <col min="3080" max="3080" width="8.5703125" style="244" customWidth="1"/>
    <col min="3081" max="3081" width="8.28515625" style="244" customWidth="1"/>
    <col min="3082" max="3082" width="8.85546875" style="244" customWidth="1"/>
    <col min="3083" max="3083" width="6.85546875" style="244" customWidth="1"/>
    <col min="3084" max="3084" width="7.28515625" style="244" customWidth="1"/>
    <col min="3085" max="3085" width="7.7109375" style="244" customWidth="1"/>
    <col min="3086" max="3086" width="6.7109375" style="244" customWidth="1"/>
    <col min="3087" max="3328" width="9.140625" style="244"/>
    <col min="3329" max="3329" width="24.140625" style="244" customWidth="1"/>
    <col min="3330" max="3330" width="10.85546875" style="244" customWidth="1"/>
    <col min="3331" max="3331" width="9.85546875" style="244" customWidth="1"/>
    <col min="3332" max="3332" width="9.5703125" style="244" customWidth="1"/>
    <col min="3333" max="3333" width="9" style="244" customWidth="1"/>
    <col min="3334" max="3334" width="9.85546875" style="244" customWidth="1"/>
    <col min="3335" max="3335" width="8.28515625" style="244" customWidth="1"/>
    <col min="3336" max="3336" width="8.5703125" style="244" customWidth="1"/>
    <col min="3337" max="3337" width="8.28515625" style="244" customWidth="1"/>
    <col min="3338" max="3338" width="8.85546875" style="244" customWidth="1"/>
    <col min="3339" max="3339" width="6.85546875" style="244" customWidth="1"/>
    <col min="3340" max="3340" width="7.28515625" style="244" customWidth="1"/>
    <col min="3341" max="3341" width="7.7109375" style="244" customWidth="1"/>
    <col min="3342" max="3342" width="6.7109375" style="244" customWidth="1"/>
    <col min="3343" max="3584" width="9.140625" style="244"/>
    <col min="3585" max="3585" width="24.140625" style="244" customWidth="1"/>
    <col min="3586" max="3586" width="10.85546875" style="244" customWidth="1"/>
    <col min="3587" max="3587" width="9.85546875" style="244" customWidth="1"/>
    <col min="3588" max="3588" width="9.5703125" style="244" customWidth="1"/>
    <col min="3589" max="3589" width="9" style="244" customWidth="1"/>
    <col min="3590" max="3590" width="9.85546875" style="244" customWidth="1"/>
    <col min="3591" max="3591" width="8.28515625" style="244" customWidth="1"/>
    <col min="3592" max="3592" width="8.5703125" style="244" customWidth="1"/>
    <col min="3593" max="3593" width="8.28515625" style="244" customWidth="1"/>
    <col min="3594" max="3594" width="8.85546875" style="244" customWidth="1"/>
    <col min="3595" max="3595" width="6.85546875" style="244" customWidth="1"/>
    <col min="3596" max="3596" width="7.28515625" style="244" customWidth="1"/>
    <col min="3597" max="3597" width="7.7109375" style="244" customWidth="1"/>
    <col min="3598" max="3598" width="6.7109375" style="244" customWidth="1"/>
    <col min="3599" max="3840" width="9.140625" style="244"/>
    <col min="3841" max="3841" width="24.140625" style="244" customWidth="1"/>
    <col min="3842" max="3842" width="10.85546875" style="244" customWidth="1"/>
    <col min="3843" max="3843" width="9.85546875" style="244" customWidth="1"/>
    <col min="3844" max="3844" width="9.5703125" style="244" customWidth="1"/>
    <col min="3845" max="3845" width="9" style="244" customWidth="1"/>
    <col min="3846" max="3846" width="9.85546875" style="244" customWidth="1"/>
    <col min="3847" max="3847" width="8.28515625" style="244" customWidth="1"/>
    <col min="3848" max="3848" width="8.5703125" style="244" customWidth="1"/>
    <col min="3849" max="3849" width="8.28515625" style="244" customWidth="1"/>
    <col min="3850" max="3850" width="8.85546875" style="244" customWidth="1"/>
    <col min="3851" max="3851" width="6.85546875" style="244" customWidth="1"/>
    <col min="3852" max="3852" width="7.28515625" style="244" customWidth="1"/>
    <col min="3853" max="3853" width="7.7109375" style="244" customWidth="1"/>
    <col min="3854" max="3854" width="6.7109375" style="244" customWidth="1"/>
    <col min="3855" max="4096" width="9.140625" style="244"/>
    <col min="4097" max="4097" width="24.140625" style="244" customWidth="1"/>
    <col min="4098" max="4098" width="10.85546875" style="244" customWidth="1"/>
    <col min="4099" max="4099" width="9.85546875" style="244" customWidth="1"/>
    <col min="4100" max="4100" width="9.5703125" style="244" customWidth="1"/>
    <col min="4101" max="4101" width="9" style="244" customWidth="1"/>
    <col min="4102" max="4102" width="9.85546875" style="244" customWidth="1"/>
    <col min="4103" max="4103" width="8.28515625" style="244" customWidth="1"/>
    <col min="4104" max="4104" width="8.5703125" style="244" customWidth="1"/>
    <col min="4105" max="4105" width="8.28515625" style="244" customWidth="1"/>
    <col min="4106" max="4106" width="8.85546875" style="244" customWidth="1"/>
    <col min="4107" max="4107" width="6.85546875" style="244" customWidth="1"/>
    <col min="4108" max="4108" width="7.28515625" style="244" customWidth="1"/>
    <col min="4109" max="4109" width="7.7109375" style="244" customWidth="1"/>
    <col min="4110" max="4110" width="6.7109375" style="244" customWidth="1"/>
    <col min="4111" max="4352" width="9.140625" style="244"/>
    <col min="4353" max="4353" width="24.140625" style="244" customWidth="1"/>
    <col min="4354" max="4354" width="10.85546875" style="244" customWidth="1"/>
    <col min="4355" max="4355" width="9.85546875" style="244" customWidth="1"/>
    <col min="4356" max="4356" width="9.5703125" style="244" customWidth="1"/>
    <col min="4357" max="4357" width="9" style="244" customWidth="1"/>
    <col min="4358" max="4358" width="9.85546875" style="244" customWidth="1"/>
    <col min="4359" max="4359" width="8.28515625" style="244" customWidth="1"/>
    <col min="4360" max="4360" width="8.5703125" style="244" customWidth="1"/>
    <col min="4361" max="4361" width="8.28515625" style="244" customWidth="1"/>
    <col min="4362" max="4362" width="8.85546875" style="244" customWidth="1"/>
    <col min="4363" max="4363" width="6.85546875" style="244" customWidth="1"/>
    <col min="4364" max="4364" width="7.28515625" style="244" customWidth="1"/>
    <col min="4365" max="4365" width="7.7109375" style="244" customWidth="1"/>
    <col min="4366" max="4366" width="6.7109375" style="244" customWidth="1"/>
    <col min="4367" max="4608" width="9.140625" style="244"/>
    <col min="4609" max="4609" width="24.140625" style="244" customWidth="1"/>
    <col min="4610" max="4610" width="10.85546875" style="244" customWidth="1"/>
    <col min="4611" max="4611" width="9.85546875" style="244" customWidth="1"/>
    <col min="4612" max="4612" width="9.5703125" style="244" customWidth="1"/>
    <col min="4613" max="4613" width="9" style="244" customWidth="1"/>
    <col min="4614" max="4614" width="9.85546875" style="244" customWidth="1"/>
    <col min="4615" max="4615" width="8.28515625" style="244" customWidth="1"/>
    <col min="4616" max="4616" width="8.5703125" style="244" customWidth="1"/>
    <col min="4617" max="4617" width="8.28515625" style="244" customWidth="1"/>
    <col min="4618" max="4618" width="8.85546875" style="244" customWidth="1"/>
    <col min="4619" max="4619" width="6.85546875" style="244" customWidth="1"/>
    <col min="4620" max="4620" width="7.28515625" style="244" customWidth="1"/>
    <col min="4621" max="4621" width="7.7109375" style="244" customWidth="1"/>
    <col min="4622" max="4622" width="6.7109375" style="244" customWidth="1"/>
    <col min="4623" max="4864" width="9.140625" style="244"/>
    <col min="4865" max="4865" width="24.140625" style="244" customWidth="1"/>
    <col min="4866" max="4866" width="10.85546875" style="244" customWidth="1"/>
    <col min="4867" max="4867" width="9.85546875" style="244" customWidth="1"/>
    <col min="4868" max="4868" width="9.5703125" style="244" customWidth="1"/>
    <col min="4869" max="4869" width="9" style="244" customWidth="1"/>
    <col min="4870" max="4870" width="9.85546875" style="244" customWidth="1"/>
    <col min="4871" max="4871" width="8.28515625" style="244" customWidth="1"/>
    <col min="4872" max="4872" width="8.5703125" style="244" customWidth="1"/>
    <col min="4873" max="4873" width="8.28515625" style="244" customWidth="1"/>
    <col min="4874" max="4874" width="8.85546875" style="244" customWidth="1"/>
    <col min="4875" max="4875" width="6.85546875" style="244" customWidth="1"/>
    <col min="4876" max="4876" width="7.28515625" style="244" customWidth="1"/>
    <col min="4877" max="4877" width="7.7109375" style="244" customWidth="1"/>
    <col min="4878" max="4878" width="6.7109375" style="244" customWidth="1"/>
    <col min="4879" max="5120" width="9.140625" style="244"/>
    <col min="5121" max="5121" width="24.140625" style="244" customWidth="1"/>
    <col min="5122" max="5122" width="10.85546875" style="244" customWidth="1"/>
    <col min="5123" max="5123" width="9.85546875" style="244" customWidth="1"/>
    <col min="5124" max="5124" width="9.5703125" style="244" customWidth="1"/>
    <col min="5125" max="5125" width="9" style="244" customWidth="1"/>
    <col min="5126" max="5126" width="9.85546875" style="244" customWidth="1"/>
    <col min="5127" max="5127" width="8.28515625" style="244" customWidth="1"/>
    <col min="5128" max="5128" width="8.5703125" style="244" customWidth="1"/>
    <col min="5129" max="5129" width="8.28515625" style="244" customWidth="1"/>
    <col min="5130" max="5130" width="8.85546875" style="244" customWidth="1"/>
    <col min="5131" max="5131" width="6.85546875" style="244" customWidth="1"/>
    <col min="5132" max="5132" width="7.28515625" style="244" customWidth="1"/>
    <col min="5133" max="5133" width="7.7109375" style="244" customWidth="1"/>
    <col min="5134" max="5134" width="6.7109375" style="244" customWidth="1"/>
    <col min="5135" max="5376" width="9.140625" style="244"/>
    <col min="5377" max="5377" width="24.140625" style="244" customWidth="1"/>
    <col min="5378" max="5378" width="10.85546875" style="244" customWidth="1"/>
    <col min="5379" max="5379" width="9.85546875" style="244" customWidth="1"/>
    <col min="5380" max="5380" width="9.5703125" style="244" customWidth="1"/>
    <col min="5381" max="5381" width="9" style="244" customWidth="1"/>
    <col min="5382" max="5382" width="9.85546875" style="244" customWidth="1"/>
    <col min="5383" max="5383" width="8.28515625" style="244" customWidth="1"/>
    <col min="5384" max="5384" width="8.5703125" style="244" customWidth="1"/>
    <col min="5385" max="5385" width="8.28515625" style="244" customWidth="1"/>
    <col min="5386" max="5386" width="8.85546875" style="244" customWidth="1"/>
    <col min="5387" max="5387" width="6.85546875" style="244" customWidth="1"/>
    <col min="5388" max="5388" width="7.28515625" style="244" customWidth="1"/>
    <col min="5389" max="5389" width="7.7109375" style="244" customWidth="1"/>
    <col min="5390" max="5390" width="6.7109375" style="244" customWidth="1"/>
    <col min="5391" max="5632" width="9.140625" style="244"/>
    <col min="5633" max="5633" width="24.140625" style="244" customWidth="1"/>
    <col min="5634" max="5634" width="10.85546875" style="244" customWidth="1"/>
    <col min="5635" max="5635" width="9.85546875" style="244" customWidth="1"/>
    <col min="5636" max="5636" width="9.5703125" style="244" customWidth="1"/>
    <col min="5637" max="5637" width="9" style="244" customWidth="1"/>
    <col min="5638" max="5638" width="9.85546875" style="244" customWidth="1"/>
    <col min="5639" max="5639" width="8.28515625" style="244" customWidth="1"/>
    <col min="5640" max="5640" width="8.5703125" style="244" customWidth="1"/>
    <col min="5641" max="5641" width="8.28515625" style="244" customWidth="1"/>
    <col min="5642" max="5642" width="8.85546875" style="244" customWidth="1"/>
    <col min="5643" max="5643" width="6.85546875" style="244" customWidth="1"/>
    <col min="5644" max="5644" width="7.28515625" style="244" customWidth="1"/>
    <col min="5645" max="5645" width="7.7109375" style="244" customWidth="1"/>
    <col min="5646" max="5646" width="6.7109375" style="244" customWidth="1"/>
    <col min="5647" max="5888" width="9.140625" style="244"/>
    <col min="5889" max="5889" width="24.140625" style="244" customWidth="1"/>
    <col min="5890" max="5890" width="10.85546875" style="244" customWidth="1"/>
    <col min="5891" max="5891" width="9.85546875" style="244" customWidth="1"/>
    <col min="5892" max="5892" width="9.5703125" style="244" customWidth="1"/>
    <col min="5893" max="5893" width="9" style="244" customWidth="1"/>
    <col min="5894" max="5894" width="9.85546875" style="244" customWidth="1"/>
    <col min="5895" max="5895" width="8.28515625" style="244" customWidth="1"/>
    <col min="5896" max="5896" width="8.5703125" style="244" customWidth="1"/>
    <col min="5897" max="5897" width="8.28515625" style="244" customWidth="1"/>
    <col min="5898" max="5898" width="8.85546875" style="244" customWidth="1"/>
    <col min="5899" max="5899" width="6.85546875" style="244" customWidth="1"/>
    <col min="5900" max="5900" width="7.28515625" style="244" customWidth="1"/>
    <col min="5901" max="5901" width="7.7109375" style="244" customWidth="1"/>
    <col min="5902" max="5902" width="6.7109375" style="244" customWidth="1"/>
    <col min="5903" max="6144" width="9.140625" style="244"/>
    <col min="6145" max="6145" width="24.140625" style="244" customWidth="1"/>
    <col min="6146" max="6146" width="10.85546875" style="244" customWidth="1"/>
    <col min="6147" max="6147" width="9.85546875" style="244" customWidth="1"/>
    <col min="6148" max="6148" width="9.5703125" style="244" customWidth="1"/>
    <col min="6149" max="6149" width="9" style="244" customWidth="1"/>
    <col min="6150" max="6150" width="9.85546875" style="244" customWidth="1"/>
    <col min="6151" max="6151" width="8.28515625" style="244" customWidth="1"/>
    <col min="6152" max="6152" width="8.5703125" style="244" customWidth="1"/>
    <col min="6153" max="6153" width="8.28515625" style="244" customWidth="1"/>
    <col min="6154" max="6154" width="8.85546875" style="244" customWidth="1"/>
    <col min="6155" max="6155" width="6.85546875" style="244" customWidth="1"/>
    <col min="6156" max="6156" width="7.28515625" style="244" customWidth="1"/>
    <col min="6157" max="6157" width="7.7109375" style="244" customWidth="1"/>
    <col min="6158" max="6158" width="6.7109375" style="244" customWidth="1"/>
    <col min="6159" max="6400" width="9.140625" style="244"/>
    <col min="6401" max="6401" width="24.140625" style="244" customWidth="1"/>
    <col min="6402" max="6402" width="10.85546875" style="244" customWidth="1"/>
    <col min="6403" max="6403" width="9.85546875" style="244" customWidth="1"/>
    <col min="6404" max="6404" width="9.5703125" style="244" customWidth="1"/>
    <col min="6405" max="6405" width="9" style="244" customWidth="1"/>
    <col min="6406" max="6406" width="9.85546875" style="244" customWidth="1"/>
    <col min="6407" max="6407" width="8.28515625" style="244" customWidth="1"/>
    <col min="6408" max="6408" width="8.5703125" style="244" customWidth="1"/>
    <col min="6409" max="6409" width="8.28515625" style="244" customWidth="1"/>
    <col min="6410" max="6410" width="8.85546875" style="244" customWidth="1"/>
    <col min="6411" max="6411" width="6.85546875" style="244" customWidth="1"/>
    <col min="6412" max="6412" width="7.28515625" style="244" customWidth="1"/>
    <col min="6413" max="6413" width="7.7109375" style="244" customWidth="1"/>
    <col min="6414" max="6414" width="6.7109375" style="244" customWidth="1"/>
    <col min="6415" max="6656" width="9.140625" style="244"/>
    <col min="6657" max="6657" width="24.140625" style="244" customWidth="1"/>
    <col min="6658" max="6658" width="10.85546875" style="244" customWidth="1"/>
    <col min="6659" max="6659" width="9.85546875" style="244" customWidth="1"/>
    <col min="6660" max="6660" width="9.5703125" style="244" customWidth="1"/>
    <col min="6661" max="6661" width="9" style="244" customWidth="1"/>
    <col min="6662" max="6662" width="9.85546875" style="244" customWidth="1"/>
    <col min="6663" max="6663" width="8.28515625" style="244" customWidth="1"/>
    <col min="6664" max="6664" width="8.5703125" style="244" customWidth="1"/>
    <col min="6665" max="6665" width="8.28515625" style="244" customWidth="1"/>
    <col min="6666" max="6666" width="8.85546875" style="244" customWidth="1"/>
    <col min="6667" max="6667" width="6.85546875" style="244" customWidth="1"/>
    <col min="6668" max="6668" width="7.28515625" style="244" customWidth="1"/>
    <col min="6669" max="6669" width="7.7109375" style="244" customWidth="1"/>
    <col min="6670" max="6670" width="6.7109375" style="244" customWidth="1"/>
    <col min="6671" max="6912" width="9.140625" style="244"/>
    <col min="6913" max="6913" width="24.140625" style="244" customWidth="1"/>
    <col min="6914" max="6914" width="10.85546875" style="244" customWidth="1"/>
    <col min="6915" max="6915" width="9.85546875" style="244" customWidth="1"/>
    <col min="6916" max="6916" width="9.5703125" style="244" customWidth="1"/>
    <col min="6917" max="6917" width="9" style="244" customWidth="1"/>
    <col min="6918" max="6918" width="9.85546875" style="244" customWidth="1"/>
    <col min="6919" max="6919" width="8.28515625" style="244" customWidth="1"/>
    <col min="6920" max="6920" width="8.5703125" style="244" customWidth="1"/>
    <col min="6921" max="6921" width="8.28515625" style="244" customWidth="1"/>
    <col min="6922" max="6922" width="8.85546875" style="244" customWidth="1"/>
    <col min="6923" max="6923" width="6.85546875" style="244" customWidth="1"/>
    <col min="6924" max="6924" width="7.28515625" style="244" customWidth="1"/>
    <col min="6925" max="6925" width="7.7109375" style="244" customWidth="1"/>
    <col min="6926" max="6926" width="6.7109375" style="244" customWidth="1"/>
    <col min="6927" max="7168" width="9.140625" style="244"/>
    <col min="7169" max="7169" width="24.140625" style="244" customWidth="1"/>
    <col min="7170" max="7170" width="10.85546875" style="244" customWidth="1"/>
    <col min="7171" max="7171" width="9.85546875" style="244" customWidth="1"/>
    <col min="7172" max="7172" width="9.5703125" style="244" customWidth="1"/>
    <col min="7173" max="7173" width="9" style="244" customWidth="1"/>
    <col min="7174" max="7174" width="9.85546875" style="244" customWidth="1"/>
    <col min="7175" max="7175" width="8.28515625" style="244" customWidth="1"/>
    <col min="7176" max="7176" width="8.5703125" style="244" customWidth="1"/>
    <col min="7177" max="7177" width="8.28515625" style="244" customWidth="1"/>
    <col min="7178" max="7178" width="8.85546875" style="244" customWidth="1"/>
    <col min="7179" max="7179" width="6.85546875" style="244" customWidth="1"/>
    <col min="7180" max="7180" width="7.28515625" style="244" customWidth="1"/>
    <col min="7181" max="7181" width="7.7109375" style="244" customWidth="1"/>
    <col min="7182" max="7182" width="6.7109375" style="244" customWidth="1"/>
    <col min="7183" max="7424" width="9.140625" style="244"/>
    <col min="7425" max="7425" width="24.140625" style="244" customWidth="1"/>
    <col min="7426" max="7426" width="10.85546875" style="244" customWidth="1"/>
    <col min="7427" max="7427" width="9.85546875" style="244" customWidth="1"/>
    <col min="7428" max="7428" width="9.5703125" style="244" customWidth="1"/>
    <col min="7429" max="7429" width="9" style="244" customWidth="1"/>
    <col min="7430" max="7430" width="9.85546875" style="244" customWidth="1"/>
    <col min="7431" max="7431" width="8.28515625" style="244" customWidth="1"/>
    <col min="7432" max="7432" width="8.5703125" style="244" customWidth="1"/>
    <col min="7433" max="7433" width="8.28515625" style="244" customWidth="1"/>
    <col min="7434" max="7434" width="8.85546875" style="244" customWidth="1"/>
    <col min="7435" max="7435" width="6.85546875" style="244" customWidth="1"/>
    <col min="7436" max="7436" width="7.28515625" style="244" customWidth="1"/>
    <col min="7437" max="7437" width="7.7109375" style="244" customWidth="1"/>
    <col min="7438" max="7438" width="6.7109375" style="244" customWidth="1"/>
    <col min="7439" max="7680" width="9.140625" style="244"/>
    <col min="7681" max="7681" width="24.140625" style="244" customWidth="1"/>
    <col min="7682" max="7682" width="10.85546875" style="244" customWidth="1"/>
    <col min="7683" max="7683" width="9.85546875" style="244" customWidth="1"/>
    <col min="7684" max="7684" width="9.5703125" style="244" customWidth="1"/>
    <col min="7685" max="7685" width="9" style="244" customWidth="1"/>
    <col min="7686" max="7686" width="9.85546875" style="244" customWidth="1"/>
    <col min="7687" max="7687" width="8.28515625" style="244" customWidth="1"/>
    <col min="7688" max="7688" width="8.5703125" style="244" customWidth="1"/>
    <col min="7689" max="7689" width="8.28515625" style="244" customWidth="1"/>
    <col min="7690" max="7690" width="8.85546875" style="244" customWidth="1"/>
    <col min="7691" max="7691" width="6.85546875" style="244" customWidth="1"/>
    <col min="7692" max="7692" width="7.28515625" style="244" customWidth="1"/>
    <col min="7693" max="7693" width="7.7109375" style="244" customWidth="1"/>
    <col min="7694" max="7694" width="6.7109375" style="244" customWidth="1"/>
    <col min="7695" max="7936" width="9.140625" style="244"/>
    <col min="7937" max="7937" width="24.140625" style="244" customWidth="1"/>
    <col min="7938" max="7938" width="10.85546875" style="244" customWidth="1"/>
    <col min="7939" max="7939" width="9.85546875" style="244" customWidth="1"/>
    <col min="7940" max="7940" width="9.5703125" style="244" customWidth="1"/>
    <col min="7941" max="7941" width="9" style="244" customWidth="1"/>
    <col min="7942" max="7942" width="9.85546875" style="244" customWidth="1"/>
    <col min="7943" max="7943" width="8.28515625" style="244" customWidth="1"/>
    <col min="7944" max="7944" width="8.5703125" style="244" customWidth="1"/>
    <col min="7945" max="7945" width="8.28515625" style="244" customWidth="1"/>
    <col min="7946" max="7946" width="8.85546875" style="244" customWidth="1"/>
    <col min="7947" max="7947" width="6.85546875" style="244" customWidth="1"/>
    <col min="7948" max="7948" width="7.28515625" style="244" customWidth="1"/>
    <col min="7949" max="7949" width="7.7109375" style="244" customWidth="1"/>
    <col min="7950" max="7950" width="6.7109375" style="244" customWidth="1"/>
    <col min="7951" max="8192" width="9.140625" style="244"/>
    <col min="8193" max="8193" width="24.140625" style="244" customWidth="1"/>
    <col min="8194" max="8194" width="10.85546875" style="244" customWidth="1"/>
    <col min="8195" max="8195" width="9.85546875" style="244" customWidth="1"/>
    <col min="8196" max="8196" width="9.5703125" style="244" customWidth="1"/>
    <col min="8197" max="8197" width="9" style="244" customWidth="1"/>
    <col min="8198" max="8198" width="9.85546875" style="244" customWidth="1"/>
    <col min="8199" max="8199" width="8.28515625" style="244" customWidth="1"/>
    <col min="8200" max="8200" width="8.5703125" style="244" customWidth="1"/>
    <col min="8201" max="8201" width="8.28515625" style="244" customWidth="1"/>
    <col min="8202" max="8202" width="8.85546875" style="244" customWidth="1"/>
    <col min="8203" max="8203" width="6.85546875" style="244" customWidth="1"/>
    <col min="8204" max="8204" width="7.28515625" style="244" customWidth="1"/>
    <col min="8205" max="8205" width="7.7109375" style="244" customWidth="1"/>
    <col min="8206" max="8206" width="6.7109375" style="244" customWidth="1"/>
    <col min="8207" max="8448" width="9.140625" style="244"/>
    <col min="8449" max="8449" width="24.140625" style="244" customWidth="1"/>
    <col min="8450" max="8450" width="10.85546875" style="244" customWidth="1"/>
    <col min="8451" max="8451" width="9.85546875" style="244" customWidth="1"/>
    <col min="8452" max="8452" width="9.5703125" style="244" customWidth="1"/>
    <col min="8453" max="8453" width="9" style="244" customWidth="1"/>
    <col min="8454" max="8454" width="9.85546875" style="244" customWidth="1"/>
    <col min="8455" max="8455" width="8.28515625" style="244" customWidth="1"/>
    <col min="8456" max="8456" width="8.5703125" style="244" customWidth="1"/>
    <col min="8457" max="8457" width="8.28515625" style="244" customWidth="1"/>
    <col min="8458" max="8458" width="8.85546875" style="244" customWidth="1"/>
    <col min="8459" max="8459" width="6.85546875" style="244" customWidth="1"/>
    <col min="8460" max="8460" width="7.28515625" style="244" customWidth="1"/>
    <col min="8461" max="8461" width="7.7109375" style="244" customWidth="1"/>
    <col min="8462" max="8462" width="6.7109375" style="244" customWidth="1"/>
    <col min="8463" max="8704" width="9.140625" style="244"/>
    <col min="8705" max="8705" width="24.140625" style="244" customWidth="1"/>
    <col min="8706" max="8706" width="10.85546875" style="244" customWidth="1"/>
    <col min="8707" max="8707" width="9.85546875" style="244" customWidth="1"/>
    <col min="8708" max="8708" width="9.5703125" style="244" customWidth="1"/>
    <col min="8709" max="8709" width="9" style="244" customWidth="1"/>
    <col min="8710" max="8710" width="9.85546875" style="244" customWidth="1"/>
    <col min="8711" max="8711" width="8.28515625" style="244" customWidth="1"/>
    <col min="8712" max="8712" width="8.5703125" style="244" customWidth="1"/>
    <col min="8713" max="8713" width="8.28515625" style="244" customWidth="1"/>
    <col min="8714" max="8714" width="8.85546875" style="244" customWidth="1"/>
    <col min="8715" max="8715" width="6.85546875" style="244" customWidth="1"/>
    <col min="8716" max="8716" width="7.28515625" style="244" customWidth="1"/>
    <col min="8717" max="8717" width="7.7109375" style="244" customWidth="1"/>
    <col min="8718" max="8718" width="6.7109375" style="244" customWidth="1"/>
    <col min="8719" max="8960" width="9.140625" style="244"/>
    <col min="8961" max="8961" width="24.140625" style="244" customWidth="1"/>
    <col min="8962" max="8962" width="10.85546875" style="244" customWidth="1"/>
    <col min="8963" max="8963" width="9.85546875" style="244" customWidth="1"/>
    <col min="8964" max="8964" width="9.5703125" style="244" customWidth="1"/>
    <col min="8965" max="8965" width="9" style="244" customWidth="1"/>
    <col min="8966" max="8966" width="9.85546875" style="244" customWidth="1"/>
    <col min="8967" max="8967" width="8.28515625" style="244" customWidth="1"/>
    <col min="8968" max="8968" width="8.5703125" style="244" customWidth="1"/>
    <col min="8969" max="8969" width="8.28515625" style="244" customWidth="1"/>
    <col min="8970" max="8970" width="8.85546875" style="244" customWidth="1"/>
    <col min="8971" max="8971" width="6.85546875" style="244" customWidth="1"/>
    <col min="8972" max="8972" width="7.28515625" style="244" customWidth="1"/>
    <col min="8973" max="8973" width="7.7109375" style="244" customWidth="1"/>
    <col min="8974" max="8974" width="6.7109375" style="244" customWidth="1"/>
    <col min="8975" max="9216" width="9.140625" style="244"/>
    <col min="9217" max="9217" width="24.140625" style="244" customWidth="1"/>
    <col min="9218" max="9218" width="10.85546875" style="244" customWidth="1"/>
    <col min="9219" max="9219" width="9.85546875" style="244" customWidth="1"/>
    <col min="9220" max="9220" width="9.5703125" style="244" customWidth="1"/>
    <col min="9221" max="9221" width="9" style="244" customWidth="1"/>
    <col min="9222" max="9222" width="9.85546875" style="244" customWidth="1"/>
    <col min="9223" max="9223" width="8.28515625" style="244" customWidth="1"/>
    <col min="9224" max="9224" width="8.5703125" style="244" customWidth="1"/>
    <col min="9225" max="9225" width="8.28515625" style="244" customWidth="1"/>
    <col min="9226" max="9226" width="8.85546875" style="244" customWidth="1"/>
    <col min="9227" max="9227" width="6.85546875" style="244" customWidth="1"/>
    <col min="9228" max="9228" width="7.28515625" style="244" customWidth="1"/>
    <col min="9229" max="9229" width="7.7109375" style="244" customWidth="1"/>
    <col min="9230" max="9230" width="6.7109375" style="244" customWidth="1"/>
    <col min="9231" max="9472" width="9.140625" style="244"/>
    <col min="9473" max="9473" width="24.140625" style="244" customWidth="1"/>
    <col min="9474" max="9474" width="10.85546875" style="244" customWidth="1"/>
    <col min="9475" max="9475" width="9.85546875" style="244" customWidth="1"/>
    <col min="9476" max="9476" width="9.5703125" style="244" customWidth="1"/>
    <col min="9477" max="9477" width="9" style="244" customWidth="1"/>
    <col min="9478" max="9478" width="9.85546875" style="244" customWidth="1"/>
    <col min="9479" max="9479" width="8.28515625" style="244" customWidth="1"/>
    <col min="9480" max="9480" width="8.5703125" style="244" customWidth="1"/>
    <col min="9481" max="9481" width="8.28515625" style="244" customWidth="1"/>
    <col min="9482" max="9482" width="8.85546875" style="244" customWidth="1"/>
    <col min="9483" max="9483" width="6.85546875" style="244" customWidth="1"/>
    <col min="9484" max="9484" width="7.28515625" style="244" customWidth="1"/>
    <col min="9485" max="9485" width="7.7109375" style="244" customWidth="1"/>
    <col min="9486" max="9486" width="6.7109375" style="244" customWidth="1"/>
    <col min="9487" max="9728" width="9.140625" style="244"/>
    <col min="9729" max="9729" width="24.140625" style="244" customWidth="1"/>
    <col min="9730" max="9730" width="10.85546875" style="244" customWidth="1"/>
    <col min="9731" max="9731" width="9.85546875" style="244" customWidth="1"/>
    <col min="9732" max="9732" width="9.5703125" style="244" customWidth="1"/>
    <col min="9733" max="9733" width="9" style="244" customWidth="1"/>
    <col min="9734" max="9734" width="9.85546875" style="244" customWidth="1"/>
    <col min="9735" max="9735" width="8.28515625" style="244" customWidth="1"/>
    <col min="9736" max="9736" width="8.5703125" style="244" customWidth="1"/>
    <col min="9737" max="9737" width="8.28515625" style="244" customWidth="1"/>
    <col min="9738" max="9738" width="8.85546875" style="244" customWidth="1"/>
    <col min="9739" max="9739" width="6.85546875" style="244" customWidth="1"/>
    <col min="9740" max="9740" width="7.28515625" style="244" customWidth="1"/>
    <col min="9741" max="9741" width="7.7109375" style="244" customWidth="1"/>
    <col min="9742" max="9742" width="6.7109375" style="244" customWidth="1"/>
    <col min="9743" max="9984" width="9.140625" style="244"/>
    <col min="9985" max="9985" width="24.140625" style="244" customWidth="1"/>
    <col min="9986" max="9986" width="10.85546875" style="244" customWidth="1"/>
    <col min="9987" max="9987" width="9.85546875" style="244" customWidth="1"/>
    <col min="9988" max="9988" width="9.5703125" style="244" customWidth="1"/>
    <col min="9989" max="9989" width="9" style="244" customWidth="1"/>
    <col min="9990" max="9990" width="9.85546875" style="244" customWidth="1"/>
    <col min="9991" max="9991" width="8.28515625" style="244" customWidth="1"/>
    <col min="9992" max="9992" width="8.5703125" style="244" customWidth="1"/>
    <col min="9993" max="9993" width="8.28515625" style="244" customWidth="1"/>
    <col min="9994" max="9994" width="8.85546875" style="244" customWidth="1"/>
    <col min="9995" max="9995" width="6.85546875" style="244" customWidth="1"/>
    <col min="9996" max="9996" width="7.28515625" style="244" customWidth="1"/>
    <col min="9997" max="9997" width="7.7109375" style="244" customWidth="1"/>
    <col min="9998" max="9998" width="6.7109375" style="244" customWidth="1"/>
    <col min="9999" max="10240" width="9.140625" style="244"/>
    <col min="10241" max="10241" width="24.140625" style="244" customWidth="1"/>
    <col min="10242" max="10242" width="10.85546875" style="244" customWidth="1"/>
    <col min="10243" max="10243" width="9.85546875" style="244" customWidth="1"/>
    <col min="10244" max="10244" width="9.5703125" style="244" customWidth="1"/>
    <col min="10245" max="10245" width="9" style="244" customWidth="1"/>
    <col min="10246" max="10246" width="9.85546875" style="244" customWidth="1"/>
    <col min="10247" max="10247" width="8.28515625" style="244" customWidth="1"/>
    <col min="10248" max="10248" width="8.5703125" style="244" customWidth="1"/>
    <col min="10249" max="10249" width="8.28515625" style="244" customWidth="1"/>
    <col min="10250" max="10250" width="8.85546875" style="244" customWidth="1"/>
    <col min="10251" max="10251" width="6.85546875" style="244" customWidth="1"/>
    <col min="10252" max="10252" width="7.28515625" style="244" customWidth="1"/>
    <col min="10253" max="10253" width="7.7109375" style="244" customWidth="1"/>
    <col min="10254" max="10254" width="6.7109375" style="244" customWidth="1"/>
    <col min="10255" max="10496" width="9.140625" style="244"/>
    <col min="10497" max="10497" width="24.140625" style="244" customWidth="1"/>
    <col min="10498" max="10498" width="10.85546875" style="244" customWidth="1"/>
    <col min="10499" max="10499" width="9.85546875" style="244" customWidth="1"/>
    <col min="10500" max="10500" width="9.5703125" style="244" customWidth="1"/>
    <col min="10501" max="10501" width="9" style="244" customWidth="1"/>
    <col min="10502" max="10502" width="9.85546875" style="244" customWidth="1"/>
    <col min="10503" max="10503" width="8.28515625" style="244" customWidth="1"/>
    <col min="10504" max="10504" width="8.5703125" style="244" customWidth="1"/>
    <col min="10505" max="10505" width="8.28515625" style="244" customWidth="1"/>
    <col min="10506" max="10506" width="8.85546875" style="244" customWidth="1"/>
    <col min="10507" max="10507" width="6.85546875" style="244" customWidth="1"/>
    <col min="10508" max="10508" width="7.28515625" style="244" customWidth="1"/>
    <col min="10509" max="10509" width="7.7109375" style="244" customWidth="1"/>
    <col min="10510" max="10510" width="6.7109375" style="244" customWidth="1"/>
    <col min="10511" max="10752" width="9.140625" style="244"/>
    <col min="10753" max="10753" width="24.140625" style="244" customWidth="1"/>
    <col min="10754" max="10754" width="10.85546875" style="244" customWidth="1"/>
    <col min="10755" max="10755" width="9.85546875" style="244" customWidth="1"/>
    <col min="10756" max="10756" width="9.5703125" style="244" customWidth="1"/>
    <col min="10757" max="10757" width="9" style="244" customWidth="1"/>
    <col min="10758" max="10758" width="9.85546875" style="244" customWidth="1"/>
    <col min="10759" max="10759" width="8.28515625" style="244" customWidth="1"/>
    <col min="10760" max="10760" width="8.5703125" style="244" customWidth="1"/>
    <col min="10761" max="10761" width="8.28515625" style="244" customWidth="1"/>
    <col min="10762" max="10762" width="8.85546875" style="244" customWidth="1"/>
    <col min="10763" max="10763" width="6.85546875" style="244" customWidth="1"/>
    <col min="10764" max="10764" width="7.28515625" style="244" customWidth="1"/>
    <col min="10765" max="10765" width="7.7109375" style="244" customWidth="1"/>
    <col min="10766" max="10766" width="6.7109375" style="244" customWidth="1"/>
    <col min="10767" max="11008" width="9.140625" style="244"/>
    <col min="11009" max="11009" width="24.140625" style="244" customWidth="1"/>
    <col min="11010" max="11010" width="10.85546875" style="244" customWidth="1"/>
    <col min="11011" max="11011" width="9.85546875" style="244" customWidth="1"/>
    <col min="11012" max="11012" width="9.5703125" style="244" customWidth="1"/>
    <col min="11013" max="11013" width="9" style="244" customWidth="1"/>
    <col min="11014" max="11014" width="9.85546875" style="244" customWidth="1"/>
    <col min="11015" max="11015" width="8.28515625" style="244" customWidth="1"/>
    <col min="11016" max="11016" width="8.5703125" style="244" customWidth="1"/>
    <col min="11017" max="11017" width="8.28515625" style="244" customWidth="1"/>
    <col min="11018" max="11018" width="8.85546875" style="244" customWidth="1"/>
    <col min="11019" max="11019" width="6.85546875" style="244" customWidth="1"/>
    <col min="11020" max="11020" width="7.28515625" style="244" customWidth="1"/>
    <col min="11021" max="11021" width="7.7109375" style="244" customWidth="1"/>
    <col min="11022" max="11022" width="6.7109375" style="244" customWidth="1"/>
    <col min="11023" max="11264" width="9.140625" style="244"/>
    <col min="11265" max="11265" width="24.140625" style="244" customWidth="1"/>
    <col min="11266" max="11266" width="10.85546875" style="244" customWidth="1"/>
    <col min="11267" max="11267" width="9.85546875" style="244" customWidth="1"/>
    <col min="11268" max="11268" width="9.5703125" style="244" customWidth="1"/>
    <col min="11269" max="11269" width="9" style="244" customWidth="1"/>
    <col min="11270" max="11270" width="9.85546875" style="244" customWidth="1"/>
    <col min="11271" max="11271" width="8.28515625" style="244" customWidth="1"/>
    <col min="11272" max="11272" width="8.5703125" style="244" customWidth="1"/>
    <col min="11273" max="11273" width="8.28515625" style="244" customWidth="1"/>
    <col min="11274" max="11274" width="8.85546875" style="244" customWidth="1"/>
    <col min="11275" max="11275" width="6.85546875" style="244" customWidth="1"/>
    <col min="11276" max="11276" width="7.28515625" style="244" customWidth="1"/>
    <col min="11277" max="11277" width="7.7109375" style="244" customWidth="1"/>
    <col min="11278" max="11278" width="6.7109375" style="244" customWidth="1"/>
    <col min="11279" max="11520" width="9.140625" style="244"/>
    <col min="11521" max="11521" width="24.140625" style="244" customWidth="1"/>
    <col min="11522" max="11522" width="10.85546875" style="244" customWidth="1"/>
    <col min="11523" max="11523" width="9.85546875" style="244" customWidth="1"/>
    <col min="11524" max="11524" width="9.5703125" style="244" customWidth="1"/>
    <col min="11525" max="11525" width="9" style="244" customWidth="1"/>
    <col min="11526" max="11526" width="9.85546875" style="244" customWidth="1"/>
    <col min="11527" max="11527" width="8.28515625" style="244" customWidth="1"/>
    <col min="11528" max="11528" width="8.5703125" style="244" customWidth="1"/>
    <col min="11529" max="11529" width="8.28515625" style="244" customWidth="1"/>
    <col min="11530" max="11530" width="8.85546875" style="244" customWidth="1"/>
    <col min="11531" max="11531" width="6.85546875" style="244" customWidth="1"/>
    <col min="11532" max="11532" width="7.28515625" style="244" customWidth="1"/>
    <col min="11533" max="11533" width="7.7109375" style="244" customWidth="1"/>
    <col min="11534" max="11534" width="6.7109375" style="244" customWidth="1"/>
    <col min="11535" max="11776" width="9.140625" style="244"/>
    <col min="11777" max="11777" width="24.140625" style="244" customWidth="1"/>
    <col min="11778" max="11778" width="10.85546875" style="244" customWidth="1"/>
    <col min="11779" max="11779" width="9.85546875" style="244" customWidth="1"/>
    <col min="11780" max="11780" width="9.5703125" style="244" customWidth="1"/>
    <col min="11781" max="11781" width="9" style="244" customWidth="1"/>
    <col min="11782" max="11782" width="9.85546875" style="244" customWidth="1"/>
    <col min="11783" max="11783" width="8.28515625" style="244" customWidth="1"/>
    <col min="11784" max="11784" width="8.5703125" style="244" customWidth="1"/>
    <col min="11785" max="11785" width="8.28515625" style="244" customWidth="1"/>
    <col min="11786" max="11786" width="8.85546875" style="244" customWidth="1"/>
    <col min="11787" max="11787" width="6.85546875" style="244" customWidth="1"/>
    <col min="11788" max="11788" width="7.28515625" style="244" customWidth="1"/>
    <col min="11789" max="11789" width="7.7109375" style="244" customWidth="1"/>
    <col min="11790" max="11790" width="6.7109375" style="244" customWidth="1"/>
    <col min="11791" max="12032" width="9.140625" style="244"/>
    <col min="12033" max="12033" width="24.140625" style="244" customWidth="1"/>
    <col min="12034" max="12034" width="10.85546875" style="244" customWidth="1"/>
    <col min="12035" max="12035" width="9.85546875" style="244" customWidth="1"/>
    <col min="12036" max="12036" width="9.5703125" style="244" customWidth="1"/>
    <col min="12037" max="12037" width="9" style="244" customWidth="1"/>
    <col min="12038" max="12038" width="9.85546875" style="244" customWidth="1"/>
    <col min="12039" max="12039" width="8.28515625" style="244" customWidth="1"/>
    <col min="12040" max="12040" width="8.5703125" style="244" customWidth="1"/>
    <col min="12041" max="12041" width="8.28515625" style="244" customWidth="1"/>
    <col min="12042" max="12042" width="8.85546875" style="244" customWidth="1"/>
    <col min="12043" max="12043" width="6.85546875" style="244" customWidth="1"/>
    <col min="12044" max="12044" width="7.28515625" style="244" customWidth="1"/>
    <col min="12045" max="12045" width="7.7109375" style="244" customWidth="1"/>
    <col min="12046" max="12046" width="6.7109375" style="244" customWidth="1"/>
    <col min="12047" max="12288" width="9.140625" style="244"/>
    <col min="12289" max="12289" width="24.140625" style="244" customWidth="1"/>
    <col min="12290" max="12290" width="10.85546875" style="244" customWidth="1"/>
    <col min="12291" max="12291" width="9.85546875" style="244" customWidth="1"/>
    <col min="12292" max="12292" width="9.5703125" style="244" customWidth="1"/>
    <col min="12293" max="12293" width="9" style="244" customWidth="1"/>
    <col min="12294" max="12294" width="9.85546875" style="244" customWidth="1"/>
    <col min="12295" max="12295" width="8.28515625" style="244" customWidth="1"/>
    <col min="12296" max="12296" width="8.5703125" style="244" customWidth="1"/>
    <col min="12297" max="12297" width="8.28515625" style="244" customWidth="1"/>
    <col min="12298" max="12298" width="8.85546875" style="244" customWidth="1"/>
    <col min="12299" max="12299" width="6.85546875" style="244" customWidth="1"/>
    <col min="12300" max="12300" width="7.28515625" style="244" customWidth="1"/>
    <col min="12301" max="12301" width="7.7109375" style="244" customWidth="1"/>
    <col min="12302" max="12302" width="6.7109375" style="244" customWidth="1"/>
    <col min="12303" max="12544" width="9.140625" style="244"/>
    <col min="12545" max="12545" width="24.140625" style="244" customWidth="1"/>
    <col min="12546" max="12546" width="10.85546875" style="244" customWidth="1"/>
    <col min="12547" max="12547" width="9.85546875" style="244" customWidth="1"/>
    <col min="12548" max="12548" width="9.5703125" style="244" customWidth="1"/>
    <col min="12549" max="12549" width="9" style="244" customWidth="1"/>
    <col min="12550" max="12550" width="9.85546875" style="244" customWidth="1"/>
    <col min="12551" max="12551" width="8.28515625" style="244" customWidth="1"/>
    <col min="12552" max="12552" width="8.5703125" style="244" customWidth="1"/>
    <col min="12553" max="12553" width="8.28515625" style="244" customWidth="1"/>
    <col min="12554" max="12554" width="8.85546875" style="244" customWidth="1"/>
    <col min="12555" max="12555" width="6.85546875" style="244" customWidth="1"/>
    <col min="12556" max="12556" width="7.28515625" style="244" customWidth="1"/>
    <col min="12557" max="12557" width="7.7109375" style="244" customWidth="1"/>
    <col min="12558" max="12558" width="6.7109375" style="244" customWidth="1"/>
    <col min="12559" max="12800" width="9.140625" style="244"/>
    <col min="12801" max="12801" width="24.140625" style="244" customWidth="1"/>
    <col min="12802" max="12802" width="10.85546875" style="244" customWidth="1"/>
    <col min="12803" max="12803" width="9.85546875" style="244" customWidth="1"/>
    <col min="12804" max="12804" width="9.5703125" style="244" customWidth="1"/>
    <col min="12805" max="12805" width="9" style="244" customWidth="1"/>
    <col min="12806" max="12806" width="9.85546875" style="244" customWidth="1"/>
    <col min="12807" max="12807" width="8.28515625" style="244" customWidth="1"/>
    <col min="12808" max="12808" width="8.5703125" style="244" customWidth="1"/>
    <col min="12809" max="12809" width="8.28515625" style="244" customWidth="1"/>
    <col min="12810" max="12810" width="8.85546875" style="244" customWidth="1"/>
    <col min="12811" max="12811" width="6.85546875" style="244" customWidth="1"/>
    <col min="12812" max="12812" width="7.28515625" style="244" customWidth="1"/>
    <col min="12813" max="12813" width="7.7109375" style="244" customWidth="1"/>
    <col min="12814" max="12814" width="6.7109375" style="244" customWidth="1"/>
    <col min="12815" max="13056" width="9.140625" style="244"/>
    <col min="13057" max="13057" width="24.140625" style="244" customWidth="1"/>
    <col min="13058" max="13058" width="10.85546875" style="244" customWidth="1"/>
    <col min="13059" max="13059" width="9.85546875" style="244" customWidth="1"/>
    <col min="13060" max="13060" width="9.5703125" style="244" customWidth="1"/>
    <col min="13061" max="13061" width="9" style="244" customWidth="1"/>
    <col min="13062" max="13062" width="9.85546875" style="244" customWidth="1"/>
    <col min="13063" max="13063" width="8.28515625" style="244" customWidth="1"/>
    <col min="13064" max="13064" width="8.5703125" style="244" customWidth="1"/>
    <col min="13065" max="13065" width="8.28515625" style="244" customWidth="1"/>
    <col min="13066" max="13066" width="8.85546875" style="244" customWidth="1"/>
    <col min="13067" max="13067" width="6.85546875" style="244" customWidth="1"/>
    <col min="13068" max="13068" width="7.28515625" style="244" customWidth="1"/>
    <col min="13069" max="13069" width="7.7109375" style="244" customWidth="1"/>
    <col min="13070" max="13070" width="6.7109375" style="244" customWidth="1"/>
    <col min="13071" max="13312" width="9.140625" style="244"/>
    <col min="13313" max="13313" width="24.140625" style="244" customWidth="1"/>
    <col min="13314" max="13314" width="10.85546875" style="244" customWidth="1"/>
    <col min="13315" max="13315" width="9.85546875" style="244" customWidth="1"/>
    <col min="13316" max="13316" width="9.5703125" style="244" customWidth="1"/>
    <col min="13317" max="13317" width="9" style="244" customWidth="1"/>
    <col min="13318" max="13318" width="9.85546875" style="244" customWidth="1"/>
    <col min="13319" max="13319" width="8.28515625" style="244" customWidth="1"/>
    <col min="13320" max="13320" width="8.5703125" style="244" customWidth="1"/>
    <col min="13321" max="13321" width="8.28515625" style="244" customWidth="1"/>
    <col min="13322" max="13322" width="8.85546875" style="244" customWidth="1"/>
    <col min="13323" max="13323" width="6.85546875" style="244" customWidth="1"/>
    <col min="13324" max="13324" width="7.28515625" style="244" customWidth="1"/>
    <col min="13325" max="13325" width="7.7109375" style="244" customWidth="1"/>
    <col min="13326" max="13326" width="6.7109375" style="244" customWidth="1"/>
    <col min="13327" max="13568" width="9.140625" style="244"/>
    <col min="13569" max="13569" width="24.140625" style="244" customWidth="1"/>
    <col min="13570" max="13570" width="10.85546875" style="244" customWidth="1"/>
    <col min="13571" max="13571" width="9.85546875" style="244" customWidth="1"/>
    <col min="13572" max="13572" width="9.5703125" style="244" customWidth="1"/>
    <col min="13573" max="13573" width="9" style="244" customWidth="1"/>
    <col min="13574" max="13574" width="9.85546875" style="244" customWidth="1"/>
    <col min="13575" max="13575" width="8.28515625" style="244" customWidth="1"/>
    <col min="13576" max="13576" width="8.5703125" style="244" customWidth="1"/>
    <col min="13577" max="13577" width="8.28515625" style="244" customWidth="1"/>
    <col min="13578" max="13578" width="8.85546875" style="244" customWidth="1"/>
    <col min="13579" max="13579" width="6.85546875" style="244" customWidth="1"/>
    <col min="13580" max="13580" width="7.28515625" style="244" customWidth="1"/>
    <col min="13581" max="13581" width="7.7109375" style="244" customWidth="1"/>
    <col min="13582" max="13582" width="6.7109375" style="244" customWidth="1"/>
    <col min="13583" max="13824" width="9.140625" style="244"/>
    <col min="13825" max="13825" width="24.140625" style="244" customWidth="1"/>
    <col min="13826" max="13826" width="10.85546875" style="244" customWidth="1"/>
    <col min="13827" max="13827" width="9.85546875" style="244" customWidth="1"/>
    <col min="13828" max="13828" width="9.5703125" style="244" customWidth="1"/>
    <col min="13829" max="13829" width="9" style="244" customWidth="1"/>
    <col min="13830" max="13830" width="9.85546875" style="244" customWidth="1"/>
    <col min="13831" max="13831" width="8.28515625" style="244" customWidth="1"/>
    <col min="13832" max="13832" width="8.5703125" style="244" customWidth="1"/>
    <col min="13833" max="13833" width="8.28515625" style="244" customWidth="1"/>
    <col min="13834" max="13834" width="8.85546875" style="244" customWidth="1"/>
    <col min="13835" max="13835" width="6.85546875" style="244" customWidth="1"/>
    <col min="13836" max="13836" width="7.28515625" style="244" customWidth="1"/>
    <col min="13837" max="13837" width="7.7109375" style="244" customWidth="1"/>
    <col min="13838" max="13838" width="6.7109375" style="244" customWidth="1"/>
    <col min="13839" max="14080" width="9.140625" style="244"/>
    <col min="14081" max="14081" width="24.140625" style="244" customWidth="1"/>
    <col min="14082" max="14082" width="10.85546875" style="244" customWidth="1"/>
    <col min="14083" max="14083" width="9.85546875" style="244" customWidth="1"/>
    <col min="14084" max="14084" width="9.5703125" style="244" customWidth="1"/>
    <col min="14085" max="14085" width="9" style="244" customWidth="1"/>
    <col min="14086" max="14086" width="9.85546875" style="244" customWidth="1"/>
    <col min="14087" max="14087" width="8.28515625" style="244" customWidth="1"/>
    <col min="14088" max="14088" width="8.5703125" style="244" customWidth="1"/>
    <col min="14089" max="14089" width="8.28515625" style="244" customWidth="1"/>
    <col min="14090" max="14090" width="8.85546875" style="244" customWidth="1"/>
    <col min="14091" max="14091" width="6.85546875" style="244" customWidth="1"/>
    <col min="14092" max="14092" width="7.28515625" style="244" customWidth="1"/>
    <col min="14093" max="14093" width="7.7109375" style="244" customWidth="1"/>
    <col min="14094" max="14094" width="6.7109375" style="244" customWidth="1"/>
    <col min="14095" max="14336" width="9.140625" style="244"/>
    <col min="14337" max="14337" width="24.140625" style="244" customWidth="1"/>
    <col min="14338" max="14338" width="10.85546875" style="244" customWidth="1"/>
    <col min="14339" max="14339" width="9.85546875" style="244" customWidth="1"/>
    <col min="14340" max="14340" width="9.5703125" style="244" customWidth="1"/>
    <col min="14341" max="14341" width="9" style="244" customWidth="1"/>
    <col min="14342" max="14342" width="9.85546875" style="244" customWidth="1"/>
    <col min="14343" max="14343" width="8.28515625" style="244" customWidth="1"/>
    <col min="14344" max="14344" width="8.5703125" style="244" customWidth="1"/>
    <col min="14345" max="14345" width="8.28515625" style="244" customWidth="1"/>
    <col min="14346" max="14346" width="8.85546875" style="244" customWidth="1"/>
    <col min="14347" max="14347" width="6.85546875" style="244" customWidth="1"/>
    <col min="14348" max="14348" width="7.28515625" style="244" customWidth="1"/>
    <col min="14349" max="14349" width="7.7109375" style="244" customWidth="1"/>
    <col min="14350" max="14350" width="6.7109375" style="244" customWidth="1"/>
    <col min="14351" max="14592" width="9.140625" style="244"/>
    <col min="14593" max="14593" width="24.140625" style="244" customWidth="1"/>
    <col min="14594" max="14594" width="10.85546875" style="244" customWidth="1"/>
    <col min="14595" max="14595" width="9.85546875" style="244" customWidth="1"/>
    <col min="14596" max="14596" width="9.5703125" style="244" customWidth="1"/>
    <col min="14597" max="14597" width="9" style="244" customWidth="1"/>
    <col min="14598" max="14598" width="9.85546875" style="244" customWidth="1"/>
    <col min="14599" max="14599" width="8.28515625" style="244" customWidth="1"/>
    <col min="14600" max="14600" width="8.5703125" style="244" customWidth="1"/>
    <col min="14601" max="14601" width="8.28515625" style="244" customWidth="1"/>
    <col min="14602" max="14602" width="8.85546875" style="244" customWidth="1"/>
    <col min="14603" max="14603" width="6.85546875" style="244" customWidth="1"/>
    <col min="14604" max="14604" width="7.28515625" style="244" customWidth="1"/>
    <col min="14605" max="14605" width="7.7109375" style="244" customWidth="1"/>
    <col min="14606" max="14606" width="6.7109375" style="244" customWidth="1"/>
    <col min="14607" max="14848" width="9.140625" style="244"/>
    <col min="14849" max="14849" width="24.140625" style="244" customWidth="1"/>
    <col min="14850" max="14850" width="10.85546875" style="244" customWidth="1"/>
    <col min="14851" max="14851" width="9.85546875" style="244" customWidth="1"/>
    <col min="14852" max="14852" width="9.5703125" style="244" customWidth="1"/>
    <col min="14853" max="14853" width="9" style="244" customWidth="1"/>
    <col min="14854" max="14854" width="9.85546875" style="244" customWidth="1"/>
    <col min="14855" max="14855" width="8.28515625" style="244" customWidth="1"/>
    <col min="14856" max="14856" width="8.5703125" style="244" customWidth="1"/>
    <col min="14857" max="14857" width="8.28515625" style="244" customWidth="1"/>
    <col min="14858" max="14858" width="8.85546875" style="244" customWidth="1"/>
    <col min="14859" max="14859" width="6.85546875" style="244" customWidth="1"/>
    <col min="14860" max="14860" width="7.28515625" style="244" customWidth="1"/>
    <col min="14861" max="14861" width="7.7109375" style="244" customWidth="1"/>
    <col min="14862" max="14862" width="6.7109375" style="244" customWidth="1"/>
    <col min="14863" max="15104" width="9.140625" style="244"/>
    <col min="15105" max="15105" width="24.140625" style="244" customWidth="1"/>
    <col min="15106" max="15106" width="10.85546875" style="244" customWidth="1"/>
    <col min="15107" max="15107" width="9.85546875" style="244" customWidth="1"/>
    <col min="15108" max="15108" width="9.5703125" style="244" customWidth="1"/>
    <col min="15109" max="15109" width="9" style="244" customWidth="1"/>
    <col min="15110" max="15110" width="9.85546875" style="244" customWidth="1"/>
    <col min="15111" max="15111" width="8.28515625" style="244" customWidth="1"/>
    <col min="15112" max="15112" width="8.5703125" style="244" customWidth="1"/>
    <col min="15113" max="15113" width="8.28515625" style="244" customWidth="1"/>
    <col min="15114" max="15114" width="8.85546875" style="244" customWidth="1"/>
    <col min="15115" max="15115" width="6.85546875" style="244" customWidth="1"/>
    <col min="15116" max="15116" width="7.28515625" style="244" customWidth="1"/>
    <col min="15117" max="15117" width="7.7109375" style="244" customWidth="1"/>
    <col min="15118" max="15118" width="6.7109375" style="244" customWidth="1"/>
    <col min="15119" max="15360" width="9.140625" style="244"/>
    <col min="15361" max="15361" width="24.140625" style="244" customWidth="1"/>
    <col min="15362" max="15362" width="10.85546875" style="244" customWidth="1"/>
    <col min="15363" max="15363" width="9.85546875" style="244" customWidth="1"/>
    <col min="15364" max="15364" width="9.5703125" style="244" customWidth="1"/>
    <col min="15365" max="15365" width="9" style="244" customWidth="1"/>
    <col min="15366" max="15366" width="9.85546875" style="244" customWidth="1"/>
    <col min="15367" max="15367" width="8.28515625" style="244" customWidth="1"/>
    <col min="15368" max="15368" width="8.5703125" style="244" customWidth="1"/>
    <col min="15369" max="15369" width="8.28515625" style="244" customWidth="1"/>
    <col min="15370" max="15370" width="8.85546875" style="244" customWidth="1"/>
    <col min="15371" max="15371" width="6.85546875" style="244" customWidth="1"/>
    <col min="15372" max="15372" width="7.28515625" style="244" customWidth="1"/>
    <col min="15373" max="15373" width="7.7109375" style="244" customWidth="1"/>
    <col min="15374" max="15374" width="6.7109375" style="244" customWidth="1"/>
    <col min="15375" max="15616" width="9.140625" style="244"/>
    <col min="15617" max="15617" width="24.140625" style="244" customWidth="1"/>
    <col min="15618" max="15618" width="10.85546875" style="244" customWidth="1"/>
    <col min="15619" max="15619" width="9.85546875" style="244" customWidth="1"/>
    <col min="15620" max="15620" width="9.5703125" style="244" customWidth="1"/>
    <col min="15621" max="15621" width="9" style="244" customWidth="1"/>
    <col min="15622" max="15622" width="9.85546875" style="244" customWidth="1"/>
    <col min="15623" max="15623" width="8.28515625" style="244" customWidth="1"/>
    <col min="15624" max="15624" width="8.5703125" style="244" customWidth="1"/>
    <col min="15625" max="15625" width="8.28515625" style="244" customWidth="1"/>
    <col min="15626" max="15626" width="8.85546875" style="244" customWidth="1"/>
    <col min="15627" max="15627" width="6.85546875" style="244" customWidth="1"/>
    <col min="15628" max="15628" width="7.28515625" style="244" customWidth="1"/>
    <col min="15629" max="15629" width="7.7109375" style="244" customWidth="1"/>
    <col min="15630" max="15630" width="6.7109375" style="244" customWidth="1"/>
    <col min="15631" max="15872" width="9.140625" style="244"/>
    <col min="15873" max="15873" width="24.140625" style="244" customWidth="1"/>
    <col min="15874" max="15874" width="10.85546875" style="244" customWidth="1"/>
    <col min="15875" max="15875" width="9.85546875" style="244" customWidth="1"/>
    <col min="15876" max="15876" width="9.5703125" style="244" customWidth="1"/>
    <col min="15877" max="15877" width="9" style="244" customWidth="1"/>
    <col min="15878" max="15878" width="9.85546875" style="244" customWidth="1"/>
    <col min="15879" max="15879" width="8.28515625" style="244" customWidth="1"/>
    <col min="15880" max="15880" width="8.5703125" style="244" customWidth="1"/>
    <col min="15881" max="15881" width="8.28515625" style="244" customWidth="1"/>
    <col min="15882" max="15882" width="8.85546875" style="244" customWidth="1"/>
    <col min="15883" max="15883" width="6.85546875" style="244" customWidth="1"/>
    <col min="15884" max="15884" width="7.28515625" style="244" customWidth="1"/>
    <col min="15885" max="15885" width="7.7109375" style="244" customWidth="1"/>
    <col min="15886" max="15886" width="6.7109375" style="244" customWidth="1"/>
    <col min="15887" max="16128" width="9.140625" style="244"/>
    <col min="16129" max="16129" width="24.140625" style="244" customWidth="1"/>
    <col min="16130" max="16130" width="10.85546875" style="244" customWidth="1"/>
    <col min="16131" max="16131" width="9.85546875" style="244" customWidth="1"/>
    <col min="16132" max="16132" width="9.5703125" style="244" customWidth="1"/>
    <col min="16133" max="16133" width="9" style="244" customWidth="1"/>
    <col min="16134" max="16134" width="9.85546875" style="244" customWidth="1"/>
    <col min="16135" max="16135" width="8.28515625" style="244" customWidth="1"/>
    <col min="16136" max="16136" width="8.5703125" style="244" customWidth="1"/>
    <col min="16137" max="16137" width="8.28515625" style="244" customWidth="1"/>
    <col min="16138" max="16138" width="8.85546875" style="244" customWidth="1"/>
    <col min="16139" max="16139" width="6.85546875" style="244" customWidth="1"/>
    <col min="16140" max="16140" width="7.28515625" style="244" customWidth="1"/>
    <col min="16141" max="16141" width="7.7109375" style="244" customWidth="1"/>
    <col min="16142" max="16142" width="6.7109375" style="244" customWidth="1"/>
    <col min="16143" max="16384" width="9.140625" style="244"/>
  </cols>
  <sheetData>
    <row r="1" spans="1:14" ht="16.5">
      <c r="A1" s="1397" t="s">
        <v>1692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</row>
    <row r="2" spans="1:14" ht="16.5">
      <c r="A2" s="1397" t="s">
        <v>827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  <c r="M2" s="1397"/>
      <c r="N2" s="1397"/>
    </row>
    <row r="3" spans="1:14" ht="13.5">
      <c r="A3" s="245" t="s">
        <v>169</v>
      </c>
      <c r="B3" s="1398" t="s">
        <v>1959</v>
      </c>
      <c r="C3" s="1398"/>
      <c r="D3" s="1398"/>
      <c r="E3" s="1398"/>
      <c r="F3" s="245" t="s">
        <v>171</v>
      </c>
      <c r="H3" s="1399" t="s">
        <v>2291</v>
      </c>
      <c r="I3" s="1399"/>
      <c r="J3" s="245" t="s">
        <v>172</v>
      </c>
      <c r="K3" s="246">
        <v>662.2</v>
      </c>
      <c r="L3" s="245" t="s">
        <v>436</v>
      </c>
      <c r="N3" s="246">
        <v>80</v>
      </c>
    </row>
    <row r="4" spans="1:14" ht="15">
      <c r="A4" s="808" t="s">
        <v>4176</v>
      </c>
      <c r="B4" s="808"/>
      <c r="C4" s="808"/>
    </row>
    <row r="5" spans="1:14" ht="13.5">
      <c r="A5" s="245" t="s">
        <v>174</v>
      </c>
      <c r="B5" s="1400" t="s">
        <v>2292</v>
      </c>
      <c r="C5" s="1401"/>
      <c r="D5" s="1401"/>
      <c r="E5" s="1402"/>
      <c r="F5" s="245" t="s">
        <v>176</v>
      </c>
      <c r="H5" s="1400" t="s">
        <v>2293</v>
      </c>
      <c r="I5" s="1401"/>
      <c r="J5" s="1402"/>
    </row>
    <row r="7" spans="1:14" ht="13.5" customHeight="1">
      <c r="A7" s="245" t="s">
        <v>178</v>
      </c>
      <c r="B7" s="1400" t="s">
        <v>2294</v>
      </c>
      <c r="C7" s="1401"/>
      <c r="D7" s="1401"/>
      <c r="E7" s="1402"/>
      <c r="F7" s="1403" t="s">
        <v>1696</v>
      </c>
      <c r="G7" s="1403"/>
      <c r="H7" s="1404" t="s">
        <v>2295</v>
      </c>
      <c r="I7" s="1405"/>
      <c r="J7" s="1405"/>
      <c r="K7" s="1406"/>
    </row>
    <row r="8" spans="1:14">
      <c r="F8" s="1403"/>
      <c r="G8" s="1403"/>
      <c r="H8" s="1407"/>
      <c r="I8" s="1408"/>
      <c r="J8" s="1408"/>
      <c r="K8" s="1409"/>
    </row>
    <row r="10" spans="1:14" s="248" customFormat="1" ht="20.100000000000001" customHeight="1">
      <c r="A10" s="247" t="s">
        <v>1697</v>
      </c>
      <c r="B10" s="1410" t="s">
        <v>2296</v>
      </c>
      <c r="C10" s="1410"/>
      <c r="D10" s="1410" t="s">
        <v>2297</v>
      </c>
      <c r="E10" s="1410"/>
      <c r="F10" s="1410"/>
      <c r="G10" s="1410" t="s">
        <v>2298</v>
      </c>
      <c r="H10" s="1410"/>
      <c r="I10" s="1410"/>
      <c r="J10" s="1410" t="s">
        <v>2299</v>
      </c>
      <c r="K10" s="1410"/>
      <c r="L10" s="1410"/>
      <c r="M10" s="1410"/>
    </row>
    <row r="11" spans="1:14" s="248" customFormat="1" ht="20.100000000000001" customHeight="1">
      <c r="A11" s="247" t="s">
        <v>1702</v>
      </c>
      <c r="B11" s="1410" t="s">
        <v>2300</v>
      </c>
      <c r="C11" s="1410"/>
      <c r="D11" s="1410"/>
      <c r="E11" s="1410"/>
      <c r="F11" s="1410"/>
      <c r="G11" s="1410" t="s">
        <v>2301</v>
      </c>
      <c r="H11" s="1410"/>
      <c r="I11" s="1410"/>
      <c r="J11" s="1410" t="s">
        <v>2293</v>
      </c>
      <c r="K11" s="1410"/>
      <c r="L11" s="1410"/>
      <c r="M11" s="1410"/>
    </row>
    <row r="12" spans="1:14" s="248" customFormat="1" ht="26.25" customHeight="1">
      <c r="A12" s="247" t="s">
        <v>1707</v>
      </c>
      <c r="B12" s="1410"/>
      <c r="C12" s="1410"/>
      <c r="D12" s="1410"/>
      <c r="E12" s="1410"/>
      <c r="F12" s="1410"/>
      <c r="G12" s="1410"/>
      <c r="H12" s="1410"/>
      <c r="I12" s="1410"/>
      <c r="J12" s="1410"/>
      <c r="K12" s="1410"/>
      <c r="L12" s="1410"/>
      <c r="M12" s="1410"/>
    </row>
    <row r="13" spans="1:14" s="248" customFormat="1" ht="20.100000000000001" customHeight="1">
      <c r="A13" s="247" t="s">
        <v>197</v>
      </c>
      <c r="B13" s="1410"/>
      <c r="C13" s="1410"/>
      <c r="D13" s="1410"/>
      <c r="E13" s="1410"/>
      <c r="F13" s="1410"/>
      <c r="G13" s="1410"/>
      <c r="H13" s="1410"/>
      <c r="I13" s="1410"/>
      <c r="J13" s="1410"/>
      <c r="K13" s="1410"/>
      <c r="L13" s="1410"/>
      <c r="M13" s="1410"/>
    </row>
    <row r="14" spans="1:14" s="248" customFormat="1">
      <c r="A14" s="249"/>
    </row>
    <row r="15" spans="1:14" s="248" customFormat="1" ht="13.5" customHeight="1">
      <c r="A15" s="249" t="s">
        <v>1356</v>
      </c>
      <c r="B15" s="518">
        <v>4</v>
      </c>
      <c r="C15" s="1411" t="s">
        <v>1490</v>
      </c>
      <c r="D15" s="1403"/>
      <c r="E15" s="1403"/>
      <c r="F15" s="518">
        <v>3</v>
      </c>
      <c r="G15" s="249" t="s">
        <v>1712</v>
      </c>
      <c r="H15" s="518">
        <v>6</v>
      </c>
      <c r="I15" s="249" t="s">
        <v>1492</v>
      </c>
      <c r="J15" s="518">
        <v>1</v>
      </c>
      <c r="K15" s="249" t="s">
        <v>1386</v>
      </c>
      <c r="L15" s="518">
        <v>3</v>
      </c>
    </row>
    <row r="16" spans="1:14" s="248" customFormat="1">
      <c r="A16" s="249"/>
    </row>
    <row r="17" spans="1:14" s="249" customFormat="1" ht="12" customHeight="1">
      <c r="A17" s="249" t="s">
        <v>203</v>
      </c>
      <c r="B17" s="249" t="s">
        <v>204</v>
      </c>
      <c r="C17" s="218">
        <v>114</v>
      </c>
      <c r="D17" s="249" t="s">
        <v>205</v>
      </c>
      <c r="E17" s="218">
        <v>3</v>
      </c>
      <c r="F17" s="249" t="s">
        <v>206</v>
      </c>
      <c r="G17" s="218">
        <v>7</v>
      </c>
      <c r="H17" s="249" t="s">
        <v>230</v>
      </c>
      <c r="I17" s="218">
        <v>124</v>
      </c>
      <c r="J17" s="249" t="s">
        <v>207</v>
      </c>
      <c r="K17" s="218">
        <v>1</v>
      </c>
      <c r="L17" s="1411" t="s">
        <v>1360</v>
      </c>
      <c r="M17" s="1417"/>
      <c r="N17" s="218"/>
    </row>
    <row r="18" spans="1:14" s="249" customFormat="1">
      <c r="A18" s="249" t="s">
        <v>209</v>
      </c>
      <c r="B18" s="249" t="s">
        <v>210</v>
      </c>
      <c r="C18" s="218">
        <v>195</v>
      </c>
      <c r="D18" s="249" t="s">
        <v>211</v>
      </c>
      <c r="E18" s="218">
        <v>15</v>
      </c>
      <c r="F18" s="249" t="s">
        <v>212</v>
      </c>
      <c r="G18" s="218">
        <v>34</v>
      </c>
      <c r="H18" s="249" t="s">
        <v>411</v>
      </c>
      <c r="I18" s="218">
        <v>244</v>
      </c>
    </row>
    <row r="19" spans="1:14" s="249" customFormat="1" ht="13.5" customHeight="1">
      <c r="B19" s="249" t="s">
        <v>213</v>
      </c>
      <c r="C19" s="218">
        <v>202</v>
      </c>
      <c r="D19" s="249" t="s">
        <v>214</v>
      </c>
      <c r="E19" s="218">
        <v>14</v>
      </c>
      <c r="F19" s="249" t="s">
        <v>215</v>
      </c>
      <c r="G19" s="218">
        <v>27</v>
      </c>
      <c r="H19" s="249" t="s">
        <v>410</v>
      </c>
      <c r="I19" s="218">
        <v>243</v>
      </c>
    </row>
    <row r="20" spans="1:14" s="249" customFormat="1">
      <c r="G20" s="250"/>
    </row>
    <row r="21" spans="1:14" s="248" customFormat="1">
      <c r="A21" s="251" t="s">
        <v>216</v>
      </c>
    </row>
    <row r="22" spans="1:14" s="248" customFormat="1">
      <c r="A22" s="249"/>
    </row>
    <row r="23" spans="1:14" s="248" customFormat="1" ht="12" customHeight="1">
      <c r="A23" s="1418" t="s">
        <v>217</v>
      </c>
      <c r="B23" s="1418" t="s">
        <v>218</v>
      </c>
      <c r="C23" s="1418" t="s">
        <v>219</v>
      </c>
      <c r="D23" s="1418" t="s">
        <v>1363</v>
      </c>
      <c r="E23" s="1418" t="s">
        <v>1713</v>
      </c>
      <c r="F23" s="1420" t="s">
        <v>1714</v>
      </c>
      <c r="G23" s="1421"/>
      <c r="H23" s="1421"/>
      <c r="I23" s="1421"/>
      <c r="J23" s="1421"/>
      <c r="K23" s="1421"/>
      <c r="L23" s="1421"/>
      <c r="M23" s="1421"/>
      <c r="N23" s="1422"/>
    </row>
    <row r="24" spans="1:14" s="248" customFormat="1" ht="11.25" customHeight="1">
      <c r="A24" s="1419"/>
      <c r="B24" s="1419"/>
      <c r="C24" s="1419"/>
      <c r="D24" s="1419"/>
      <c r="E24" s="1419"/>
      <c r="F24" s="517" t="s">
        <v>226</v>
      </c>
      <c r="G24" s="517" t="s">
        <v>227</v>
      </c>
      <c r="H24" s="517" t="s">
        <v>228</v>
      </c>
      <c r="I24" s="517" t="s">
        <v>229</v>
      </c>
      <c r="J24" s="252"/>
      <c r="K24" s="252"/>
      <c r="L24" s="252"/>
      <c r="M24" s="252" t="s">
        <v>230</v>
      </c>
      <c r="N24" s="252" t="s">
        <v>231</v>
      </c>
    </row>
    <row r="25" spans="1:14" s="248" customFormat="1" ht="15" customHeight="1">
      <c r="A25" s="247" t="s">
        <v>232</v>
      </c>
      <c r="B25" s="218">
        <v>8000</v>
      </c>
      <c r="C25" s="247" t="s">
        <v>233</v>
      </c>
      <c r="D25" s="262">
        <v>52.975999999999999</v>
      </c>
      <c r="E25" s="254">
        <v>11.5</v>
      </c>
      <c r="F25" s="254">
        <v>0</v>
      </c>
      <c r="G25" s="254">
        <v>0</v>
      </c>
      <c r="H25" s="254">
        <v>1.1599999999999999</v>
      </c>
      <c r="I25" s="254">
        <v>2.6134499999999998</v>
      </c>
      <c r="J25" s="254">
        <v>0</v>
      </c>
      <c r="K25" s="254">
        <v>0</v>
      </c>
      <c r="L25" s="254">
        <v>0</v>
      </c>
      <c r="M25" s="254">
        <v>3.7734499999999995</v>
      </c>
      <c r="N25" s="254">
        <v>32.812608695652166</v>
      </c>
    </row>
    <row r="26" spans="1:14" s="248" customFormat="1" ht="15" customHeight="1">
      <c r="A26" s="247" t="s">
        <v>1715</v>
      </c>
      <c r="B26" s="218">
        <v>7000</v>
      </c>
      <c r="C26" s="247" t="s">
        <v>233</v>
      </c>
      <c r="D26" s="262">
        <v>3.84076</v>
      </c>
      <c r="E26" s="254">
        <v>0</v>
      </c>
      <c r="F26" s="254">
        <v>0</v>
      </c>
      <c r="G26" s="254">
        <v>0</v>
      </c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>
        <v>0</v>
      </c>
      <c r="N26" s="254"/>
    </row>
    <row r="27" spans="1:14" s="248" customFormat="1" ht="15" customHeight="1">
      <c r="A27" s="247" t="s">
        <v>235</v>
      </c>
      <c r="B27" s="218">
        <v>43000</v>
      </c>
      <c r="C27" s="247" t="s">
        <v>236</v>
      </c>
      <c r="D27" s="262">
        <v>0.43</v>
      </c>
      <c r="E27" s="254">
        <v>0.18</v>
      </c>
      <c r="F27" s="254">
        <v>0</v>
      </c>
      <c r="G27" s="254">
        <v>0</v>
      </c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</row>
    <row r="28" spans="1:14" s="248" customFormat="1" ht="15" customHeight="1">
      <c r="A28" s="247" t="s">
        <v>396</v>
      </c>
      <c r="B28" s="218">
        <v>34000</v>
      </c>
      <c r="C28" s="247" t="s">
        <v>236</v>
      </c>
      <c r="D28" s="262">
        <v>0.34</v>
      </c>
      <c r="E28" s="254">
        <v>0.16</v>
      </c>
      <c r="F28" s="254">
        <v>0</v>
      </c>
      <c r="G28" s="254">
        <v>0</v>
      </c>
      <c r="H28" s="254">
        <v>0.16</v>
      </c>
      <c r="I28" s="254">
        <v>0</v>
      </c>
      <c r="J28" s="254">
        <v>0</v>
      </c>
      <c r="K28" s="254">
        <v>0</v>
      </c>
      <c r="L28" s="254">
        <v>0</v>
      </c>
      <c r="M28" s="254">
        <v>0.16</v>
      </c>
      <c r="N28" s="254">
        <v>100</v>
      </c>
    </row>
    <row r="29" spans="1:14" s="248" customFormat="1" ht="15" customHeight="1">
      <c r="A29" s="247" t="s">
        <v>238</v>
      </c>
      <c r="B29" s="218">
        <v>1200</v>
      </c>
      <c r="C29" s="247" t="s">
        <v>233</v>
      </c>
      <c r="D29" s="262">
        <v>7.9463999999999997</v>
      </c>
      <c r="E29" s="254">
        <v>2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</row>
    <row r="30" spans="1:14" s="248" customFormat="1" ht="15" customHeight="1">
      <c r="A30" s="247" t="s">
        <v>667</v>
      </c>
      <c r="B30" s="218">
        <v>565</v>
      </c>
      <c r="C30" s="247" t="s">
        <v>233</v>
      </c>
      <c r="D30" s="262">
        <v>3.7414299999999998</v>
      </c>
      <c r="E30" s="254">
        <v>3.6421000000000001</v>
      </c>
      <c r="F30" s="254">
        <v>0</v>
      </c>
      <c r="G30" s="254">
        <v>0</v>
      </c>
      <c r="H30" s="254">
        <v>3.6421000000000001</v>
      </c>
      <c r="I30" s="254">
        <v>0</v>
      </c>
      <c r="J30" s="254">
        <v>0</v>
      </c>
      <c r="K30" s="254">
        <v>0</v>
      </c>
      <c r="L30" s="254">
        <v>0</v>
      </c>
      <c r="M30" s="254">
        <v>3.6421000000000001</v>
      </c>
      <c r="N30" s="254">
        <v>100</v>
      </c>
    </row>
    <row r="31" spans="1:14" s="248" customFormat="1" ht="15" customHeight="1">
      <c r="A31" s="247" t="s">
        <v>240</v>
      </c>
      <c r="B31" s="218">
        <v>1000</v>
      </c>
      <c r="C31" s="247" t="s">
        <v>233</v>
      </c>
      <c r="D31" s="262">
        <v>6.6219999999999999</v>
      </c>
      <c r="E31" s="254">
        <v>0</v>
      </c>
      <c r="F31" s="254">
        <v>0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0</v>
      </c>
      <c r="M31" s="254">
        <v>0</v>
      </c>
      <c r="N31" s="254"/>
    </row>
    <row r="32" spans="1:14" s="248" customFormat="1" ht="15" customHeight="1">
      <c r="A32" s="247" t="s">
        <v>394</v>
      </c>
      <c r="B32" s="218">
        <v>2750</v>
      </c>
      <c r="C32" s="247" t="s">
        <v>1716</v>
      </c>
      <c r="D32" s="262">
        <v>2.1</v>
      </c>
      <c r="E32" s="254">
        <v>0.41249999999999998</v>
      </c>
      <c r="F32" s="254">
        <v>0</v>
      </c>
      <c r="G32" s="254">
        <v>0</v>
      </c>
      <c r="H32" s="254">
        <v>0</v>
      </c>
      <c r="I32" s="254">
        <v>2.4499999999999994E-2</v>
      </c>
      <c r="J32" s="254">
        <v>0</v>
      </c>
      <c r="K32" s="254">
        <v>0</v>
      </c>
      <c r="L32" s="254">
        <v>0</v>
      </c>
      <c r="M32" s="254">
        <v>2.4499999999999994E-2</v>
      </c>
      <c r="N32" s="254">
        <v>5.9393939393939377</v>
      </c>
    </row>
    <row r="33" spans="1:14" s="248" customFormat="1" ht="15" customHeight="1">
      <c r="A33" s="247" t="s">
        <v>1717</v>
      </c>
      <c r="B33" s="218">
        <v>10000</v>
      </c>
      <c r="C33" s="247" t="s">
        <v>244</v>
      </c>
      <c r="D33" s="262">
        <v>0.1</v>
      </c>
      <c r="E33" s="254">
        <v>0.1</v>
      </c>
      <c r="F33" s="254">
        <v>0</v>
      </c>
      <c r="G33" s="254">
        <v>0</v>
      </c>
      <c r="H33" s="254">
        <v>0</v>
      </c>
      <c r="I33" s="254">
        <v>0.1</v>
      </c>
      <c r="J33" s="254">
        <v>0</v>
      </c>
      <c r="K33" s="254">
        <v>0</v>
      </c>
      <c r="L33" s="254">
        <v>0</v>
      </c>
      <c r="M33" s="254">
        <v>0.1</v>
      </c>
      <c r="N33" s="254">
        <v>100</v>
      </c>
    </row>
    <row r="34" spans="1:14" s="248" customFormat="1" ht="15" customHeight="1">
      <c r="A34" s="255" t="s">
        <v>230</v>
      </c>
      <c r="B34" s="218"/>
      <c r="C34" s="247"/>
      <c r="D34" s="258">
        <v>78.096589999999992</v>
      </c>
      <c r="E34" s="258">
        <v>17.994600000000002</v>
      </c>
      <c r="F34" s="259">
        <v>0</v>
      </c>
      <c r="G34" s="259">
        <v>0</v>
      </c>
      <c r="H34" s="258">
        <v>4.9620999999999995</v>
      </c>
      <c r="I34" s="258">
        <v>2.7379500000000001</v>
      </c>
      <c r="J34" s="259">
        <v>0</v>
      </c>
      <c r="K34" s="259">
        <v>0</v>
      </c>
      <c r="L34" s="259">
        <v>0</v>
      </c>
      <c r="M34" s="258">
        <v>7.7000499999999992</v>
      </c>
      <c r="N34" s="258"/>
    </row>
    <row r="35" spans="1:14" s="248" customFormat="1">
      <c r="A35" s="249"/>
      <c r="H35" s="257"/>
      <c r="I35" s="257"/>
      <c r="J35" s="257"/>
    </row>
  </sheetData>
  <mergeCells count="34">
    <mergeCell ref="A23:A24"/>
    <mergeCell ref="B23:B24"/>
    <mergeCell ref="C23:C24"/>
    <mergeCell ref="D23:D24"/>
    <mergeCell ref="E23:E24"/>
    <mergeCell ref="F23:N23"/>
    <mergeCell ref="B13:C13"/>
    <mergeCell ref="D13:F13"/>
    <mergeCell ref="G13:I13"/>
    <mergeCell ref="J13:M13"/>
    <mergeCell ref="C15:E15"/>
    <mergeCell ref="L17:M17"/>
    <mergeCell ref="B11:C11"/>
    <mergeCell ref="D11:F11"/>
    <mergeCell ref="G11:I11"/>
    <mergeCell ref="J11:M11"/>
    <mergeCell ref="B12:C12"/>
    <mergeCell ref="D12:F12"/>
    <mergeCell ref="G12:I12"/>
    <mergeCell ref="J12:M12"/>
    <mergeCell ref="B7:E7"/>
    <mergeCell ref="F7:G8"/>
    <mergeCell ref="H7:K8"/>
    <mergeCell ref="B10:C10"/>
    <mergeCell ref="D10:F10"/>
    <mergeCell ref="G10:I10"/>
    <mergeCell ref="J10:M10"/>
    <mergeCell ref="A1:N1"/>
    <mergeCell ref="A2:N2"/>
    <mergeCell ref="B3:E3"/>
    <mergeCell ref="H3:I3"/>
    <mergeCell ref="B5:E5"/>
    <mergeCell ref="H5:J5"/>
    <mergeCell ref="A4:C4"/>
  </mergeCells>
  <hyperlinks>
    <hyperlink ref="A4" location="'Fact Sheet of VDC'!A1" display="&lt;&lt;Back"/>
  </hyperlink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5"/>
  <sheetViews>
    <sheetView workbookViewId="0">
      <selection activeCell="K2" sqref="K2:M2"/>
    </sheetView>
  </sheetViews>
  <sheetFormatPr defaultRowHeight="15"/>
  <sheetData>
    <row r="1" spans="1:16">
      <c r="A1" t="s">
        <v>608</v>
      </c>
    </row>
    <row r="2" spans="1:16">
      <c r="A2" t="s">
        <v>609</v>
      </c>
      <c r="B2" t="s">
        <v>610</v>
      </c>
      <c r="C2" t="s">
        <v>611</v>
      </c>
      <c r="D2" t="s">
        <v>5722</v>
      </c>
      <c r="F2" t="s">
        <v>612</v>
      </c>
      <c r="G2">
        <v>502</v>
      </c>
      <c r="H2" t="s">
        <v>613</v>
      </c>
      <c r="I2">
        <v>40</v>
      </c>
      <c r="K2" s="808" t="s">
        <v>4176</v>
      </c>
      <c r="L2" s="808"/>
      <c r="M2" s="808"/>
    </row>
    <row r="3" spans="1:16">
      <c r="A3" t="s">
        <v>614</v>
      </c>
      <c r="B3" t="s">
        <v>615</v>
      </c>
      <c r="E3" t="s">
        <v>616</v>
      </c>
      <c r="G3" t="s">
        <v>617</v>
      </c>
    </row>
    <row r="4" spans="1:16">
      <c r="A4" t="s">
        <v>618</v>
      </c>
      <c r="B4" t="s">
        <v>619</v>
      </c>
      <c r="G4" t="s">
        <v>620</v>
      </c>
      <c r="I4" t="s">
        <v>621</v>
      </c>
    </row>
    <row r="5" spans="1:16">
      <c r="A5" t="s">
        <v>622</v>
      </c>
      <c r="B5" t="s">
        <v>623</v>
      </c>
      <c r="E5" t="s">
        <v>624</v>
      </c>
      <c r="I5" t="s">
        <v>625</v>
      </c>
      <c r="M5" t="s">
        <v>626</v>
      </c>
      <c r="P5" t="s">
        <v>627</v>
      </c>
    </row>
    <row r="6" spans="1:16">
      <c r="A6" t="s">
        <v>628</v>
      </c>
      <c r="B6" t="s">
        <v>629</v>
      </c>
      <c r="E6" t="s">
        <v>630</v>
      </c>
      <c r="I6" t="s">
        <v>631</v>
      </c>
      <c r="M6" t="s">
        <v>632</v>
      </c>
      <c r="P6" t="s">
        <v>633</v>
      </c>
    </row>
    <row r="7" spans="1:16">
      <c r="A7" t="s">
        <v>634</v>
      </c>
      <c r="B7">
        <v>0</v>
      </c>
      <c r="E7" t="s">
        <v>635</v>
      </c>
      <c r="I7" t="s">
        <v>636</v>
      </c>
      <c r="M7" t="s">
        <v>637</v>
      </c>
      <c r="P7" t="s">
        <v>638</v>
      </c>
    </row>
    <row r="8" spans="1:16">
      <c r="A8" t="s">
        <v>639</v>
      </c>
      <c r="M8" t="s">
        <v>640</v>
      </c>
    </row>
    <row r="9" spans="1:16">
      <c r="A9" t="s">
        <v>641</v>
      </c>
      <c r="B9">
        <v>6</v>
      </c>
      <c r="C9" t="s">
        <v>642</v>
      </c>
      <c r="D9">
        <v>5</v>
      </c>
      <c r="E9" t="s">
        <v>643</v>
      </c>
      <c r="F9">
        <v>9</v>
      </c>
      <c r="G9" t="s">
        <v>644</v>
      </c>
      <c r="H9">
        <v>1</v>
      </c>
      <c r="I9" t="s">
        <v>645</v>
      </c>
      <c r="J9">
        <v>9</v>
      </c>
    </row>
    <row r="10" spans="1:16">
      <c r="A10" t="s">
        <v>646</v>
      </c>
      <c r="B10" t="s">
        <v>204</v>
      </c>
      <c r="C10">
        <v>98</v>
      </c>
      <c r="D10" t="s">
        <v>205</v>
      </c>
      <c r="E10">
        <v>10</v>
      </c>
      <c r="F10" t="s">
        <v>206</v>
      </c>
      <c r="G10">
        <v>17</v>
      </c>
      <c r="H10" t="s">
        <v>230</v>
      </c>
      <c r="I10">
        <v>125</v>
      </c>
      <c r="J10" t="s">
        <v>647</v>
      </c>
      <c r="K10">
        <v>41</v>
      </c>
      <c r="L10" t="s">
        <v>648</v>
      </c>
      <c r="M10">
        <v>34</v>
      </c>
    </row>
    <row r="11" spans="1:16">
      <c r="A11" t="s">
        <v>209</v>
      </c>
      <c r="B11" t="s">
        <v>210</v>
      </c>
      <c r="C11">
        <v>215</v>
      </c>
      <c r="D11" t="s">
        <v>649</v>
      </c>
      <c r="E11">
        <v>22</v>
      </c>
      <c r="F11" t="s">
        <v>212</v>
      </c>
      <c r="G11">
        <v>45</v>
      </c>
      <c r="H11" t="s">
        <v>411</v>
      </c>
      <c r="I11">
        <v>282</v>
      </c>
    </row>
    <row r="12" spans="1:16">
      <c r="B12" t="s">
        <v>213</v>
      </c>
      <c r="C12">
        <v>232</v>
      </c>
      <c r="D12" t="s">
        <v>650</v>
      </c>
      <c r="E12">
        <v>31</v>
      </c>
      <c r="F12" t="s">
        <v>215</v>
      </c>
      <c r="G12">
        <v>47</v>
      </c>
      <c r="H12" t="s">
        <v>410</v>
      </c>
      <c r="I12">
        <v>310</v>
      </c>
    </row>
    <row r="13" spans="1:16">
      <c r="A13" t="s">
        <v>216</v>
      </c>
    </row>
    <row r="14" spans="1:16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6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6">
      <c r="A16" t="s">
        <v>663</v>
      </c>
      <c r="C16">
        <v>8000</v>
      </c>
      <c r="D16" t="s">
        <v>664</v>
      </c>
      <c r="E16">
        <v>40.159999999999997</v>
      </c>
      <c r="F16">
        <v>4016000</v>
      </c>
      <c r="G16">
        <v>0</v>
      </c>
      <c r="H16">
        <v>127907</v>
      </c>
      <c r="I16">
        <v>1259377</v>
      </c>
      <c r="J16">
        <v>1716790</v>
      </c>
      <c r="K16">
        <v>514795</v>
      </c>
      <c r="L16">
        <v>39262</v>
      </c>
      <c r="N16">
        <f>G16+H16+I16+J16+K16+L16+M16</f>
        <v>3658131</v>
      </c>
    </row>
    <row r="17" spans="1:15">
      <c r="A17" t="s">
        <v>665</v>
      </c>
      <c r="C17">
        <v>7000</v>
      </c>
      <c r="D17" t="s">
        <v>664</v>
      </c>
      <c r="E17">
        <v>2.8</v>
      </c>
      <c r="F17">
        <v>200000</v>
      </c>
      <c r="G17">
        <v>0</v>
      </c>
      <c r="H17">
        <v>0</v>
      </c>
      <c r="I17">
        <v>0</v>
      </c>
      <c r="J17">
        <v>42900</v>
      </c>
      <c r="K17">
        <v>102031</v>
      </c>
      <c r="L17">
        <v>138095</v>
      </c>
      <c r="N17">
        <f t="shared" ref="N17:N23" si="0">G17+H17+I17+J17+K17+L17+M17</f>
        <v>283026</v>
      </c>
    </row>
    <row r="18" spans="1:15">
      <c r="A18" t="s">
        <v>235</v>
      </c>
      <c r="C18">
        <v>86</v>
      </c>
      <c r="D18" t="s">
        <v>664</v>
      </c>
      <c r="E18">
        <v>0.43</v>
      </c>
      <c r="F18">
        <v>43000</v>
      </c>
      <c r="L18">
        <v>59066</v>
      </c>
      <c r="N18">
        <f t="shared" si="0"/>
        <v>59066</v>
      </c>
    </row>
    <row r="19" spans="1:15">
      <c r="A19" t="s">
        <v>666</v>
      </c>
      <c r="C19">
        <v>68</v>
      </c>
      <c r="D19" t="s">
        <v>664</v>
      </c>
      <c r="E19">
        <v>0.34</v>
      </c>
      <c r="F19">
        <v>34000</v>
      </c>
      <c r="G19">
        <v>0</v>
      </c>
      <c r="H19">
        <v>0</v>
      </c>
      <c r="I19">
        <v>0</v>
      </c>
      <c r="J19">
        <v>0</v>
      </c>
      <c r="K19">
        <v>12937</v>
      </c>
      <c r="L19">
        <v>1500</v>
      </c>
      <c r="N19">
        <f t="shared" si="0"/>
        <v>14437</v>
      </c>
    </row>
    <row r="20" spans="1:15">
      <c r="A20" t="s">
        <v>238</v>
      </c>
      <c r="C20">
        <v>1200</v>
      </c>
      <c r="D20" t="s">
        <v>664</v>
      </c>
      <c r="E20">
        <v>6.02</v>
      </c>
      <c r="F20">
        <v>200000</v>
      </c>
      <c r="G20">
        <v>0</v>
      </c>
      <c r="H20">
        <v>0</v>
      </c>
      <c r="I20">
        <v>0</v>
      </c>
      <c r="J20">
        <v>0</v>
      </c>
      <c r="K20">
        <v>0</v>
      </c>
      <c r="L20">
        <v>72820</v>
      </c>
      <c r="N20">
        <f t="shared" si="0"/>
        <v>72820</v>
      </c>
    </row>
    <row r="21" spans="1:15">
      <c r="A21" t="s">
        <v>667</v>
      </c>
      <c r="C21">
        <v>565</v>
      </c>
      <c r="D21" t="s">
        <v>664</v>
      </c>
      <c r="E21">
        <v>2.83</v>
      </c>
      <c r="F21">
        <v>245000</v>
      </c>
      <c r="G21">
        <v>0</v>
      </c>
      <c r="H21">
        <v>0</v>
      </c>
      <c r="I21">
        <v>0</v>
      </c>
      <c r="J21">
        <v>0</v>
      </c>
      <c r="K21">
        <v>245000</v>
      </c>
      <c r="N21">
        <f t="shared" si="0"/>
        <v>245000</v>
      </c>
    </row>
    <row r="22" spans="1:15">
      <c r="A22" t="s">
        <v>668</v>
      </c>
      <c r="C22">
        <v>1000</v>
      </c>
      <c r="D22" t="s">
        <v>664</v>
      </c>
      <c r="E22">
        <v>5.0199999999999996</v>
      </c>
      <c r="F22">
        <v>502000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N22">
        <f t="shared" si="0"/>
        <v>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v>132000</v>
      </c>
      <c r="G23">
        <v>0</v>
      </c>
      <c r="H23">
        <v>38703</v>
      </c>
      <c r="I23">
        <v>27777</v>
      </c>
      <c r="J23">
        <v>23272</v>
      </c>
      <c r="K23">
        <v>31153</v>
      </c>
      <c r="L23">
        <v>27120</v>
      </c>
      <c r="N23">
        <f t="shared" si="0"/>
        <v>148025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60.01</v>
      </c>
      <c r="F25">
        <f t="shared" ref="F25:O25" si="1">SUM(F16:F24)</f>
        <v>5372000</v>
      </c>
      <c r="G25">
        <f t="shared" si="1"/>
        <v>0</v>
      </c>
      <c r="H25">
        <f t="shared" si="1"/>
        <v>166610</v>
      </c>
      <c r="I25">
        <f t="shared" si="1"/>
        <v>1287154</v>
      </c>
      <c r="J25">
        <f t="shared" si="1"/>
        <v>1782962</v>
      </c>
      <c r="K25">
        <f t="shared" si="1"/>
        <v>905916</v>
      </c>
      <c r="L25">
        <f t="shared" si="1"/>
        <v>337863</v>
      </c>
      <c r="M25">
        <f t="shared" si="1"/>
        <v>0</v>
      </c>
      <c r="N25">
        <f t="shared" si="1"/>
        <v>4480505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250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5.7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2459</v>
      </c>
      <c r="C4" s="1456"/>
      <c r="D4" s="1456"/>
      <c r="E4" s="650" t="s">
        <v>2458</v>
      </c>
      <c r="F4" s="649"/>
      <c r="G4" s="1467" t="s">
        <v>2457</v>
      </c>
      <c r="H4" s="1468"/>
      <c r="I4" s="1448" t="s">
        <v>2456</v>
      </c>
      <c r="J4" s="1459"/>
      <c r="K4" s="291">
        <v>476.55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2454</v>
      </c>
      <c r="C6" s="1458"/>
      <c r="D6" s="1458"/>
      <c r="E6" s="1458"/>
      <c r="F6" s="1448" t="s">
        <v>176</v>
      </c>
      <c r="G6" s="1459"/>
      <c r="H6" s="1458" t="s">
        <v>2453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60" t="s">
        <v>2452</v>
      </c>
      <c r="C8" s="1461"/>
      <c r="D8" s="1461"/>
      <c r="E8" s="1462"/>
      <c r="F8" s="1463" t="s">
        <v>2451</v>
      </c>
      <c r="G8" s="1464"/>
      <c r="H8" s="1458" t="s">
        <v>2450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2450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1455" t="s">
        <v>2445</v>
      </c>
      <c r="C12" s="1456"/>
      <c r="D12" s="1457"/>
      <c r="E12" s="1455" t="s">
        <v>2448</v>
      </c>
      <c r="F12" s="1457"/>
      <c r="G12" s="1455" t="s">
        <v>2447</v>
      </c>
      <c r="H12" s="1457"/>
      <c r="I12" s="1455" t="s">
        <v>2446</v>
      </c>
      <c r="J12" s="1456"/>
      <c r="K12" s="1457"/>
      <c r="L12" s="1455" t="s">
        <v>2445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25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196</v>
      </c>
      <c r="D18" s="650" t="s">
        <v>205</v>
      </c>
      <c r="E18" s="80">
        <v>41</v>
      </c>
      <c r="F18" s="650" t="s">
        <v>206</v>
      </c>
      <c r="G18" s="648">
        <v>120</v>
      </c>
      <c r="H18" s="650" t="s">
        <v>230</v>
      </c>
      <c r="I18" s="80">
        <f>+C18+E18+G18</f>
        <v>357</v>
      </c>
      <c r="J18" s="285" t="s">
        <v>414</v>
      </c>
      <c r="K18" s="651">
        <v>187</v>
      </c>
      <c r="L18" s="1449" t="s">
        <v>2439</v>
      </c>
      <c r="M18" s="1449"/>
      <c r="N18" s="651" t="s">
        <v>2438</v>
      </c>
    </row>
    <row r="19" spans="1:14" s="282" customFormat="1" ht="15" customHeight="1">
      <c r="A19" s="284" t="s">
        <v>209</v>
      </c>
      <c r="B19" s="650" t="s">
        <v>210</v>
      </c>
      <c r="C19" s="80">
        <v>281</v>
      </c>
      <c r="D19" s="650" t="s">
        <v>2437</v>
      </c>
      <c r="E19" s="80">
        <v>53</v>
      </c>
      <c r="F19" s="650" t="s">
        <v>212</v>
      </c>
      <c r="G19" s="648">
        <v>64</v>
      </c>
      <c r="H19" s="650" t="s">
        <v>411</v>
      </c>
      <c r="I19" s="80">
        <f>+C19+E19+G19</f>
        <v>398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376</v>
      </c>
      <c r="D20" s="650" t="s">
        <v>214</v>
      </c>
      <c r="E20" s="80">
        <v>86</v>
      </c>
      <c r="F20" s="650" t="s">
        <v>215</v>
      </c>
      <c r="G20" s="648">
        <v>58</v>
      </c>
      <c r="H20" s="650" t="s">
        <v>410</v>
      </c>
      <c r="I20" s="80">
        <f>+C20+E20+G20</f>
        <v>520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43.891176000000002</v>
      </c>
      <c r="E26" s="278">
        <v>2.08</v>
      </c>
      <c r="F26" s="278"/>
      <c r="G26" s="278">
        <v>0.8</v>
      </c>
      <c r="H26" s="278"/>
      <c r="I26" s="278"/>
      <c r="J26" s="278"/>
      <c r="K26" s="278"/>
      <c r="L26" s="278"/>
      <c r="M26" s="278">
        <v>0.8</v>
      </c>
      <c r="N26" s="278">
        <v>38.461538461538467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38.401204799999995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78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9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78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9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78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6.5860592000000002</v>
      </c>
      <c r="E30" s="278">
        <v>2</v>
      </c>
      <c r="F30" s="278"/>
      <c r="G30" s="278"/>
      <c r="H30" s="278"/>
      <c r="I30" s="278"/>
      <c r="J30" s="278"/>
      <c r="K30" s="278"/>
      <c r="L30" s="278"/>
      <c r="M30" s="278"/>
      <c r="N30" s="278">
        <v>0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3.0976399999999997</v>
      </c>
      <c r="E31" s="278">
        <v>0.47</v>
      </c>
      <c r="F31" s="278"/>
      <c r="G31" s="278">
        <v>0.16</v>
      </c>
      <c r="H31" s="278"/>
      <c r="I31" s="278"/>
      <c r="J31" s="278"/>
      <c r="K31" s="278"/>
      <c r="L31" s="278"/>
      <c r="M31" s="278">
        <v>0.16</v>
      </c>
      <c r="N31" s="278">
        <v>34.042553191489368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5.4899711999999994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78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0.14000000000000001</v>
      </c>
      <c r="H33" s="278"/>
      <c r="I33" s="278"/>
      <c r="J33" s="278"/>
      <c r="K33" s="278"/>
      <c r="L33" s="278"/>
      <c r="M33" s="278">
        <v>0.14000000000000001</v>
      </c>
      <c r="N33" s="278">
        <v>87.500000000000014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78"/>
    </row>
    <row r="35" spans="1:14" ht="21" customHeight="1">
      <c r="A35" s="276" t="s">
        <v>245</v>
      </c>
      <c r="B35" s="274"/>
      <c r="C35" s="274"/>
      <c r="D35" s="275">
        <v>100.64605119999999</v>
      </c>
      <c r="E35" s="274">
        <v>5.25</v>
      </c>
      <c r="F35" s="274">
        <v>0</v>
      </c>
      <c r="G35" s="274">
        <v>1.44</v>
      </c>
      <c r="H35" s="274">
        <v>0</v>
      </c>
      <c r="I35" s="274">
        <v>0</v>
      </c>
      <c r="J35" s="274">
        <v>0</v>
      </c>
      <c r="K35" s="274">
        <v>0</v>
      </c>
      <c r="L35" s="274">
        <v>0</v>
      </c>
      <c r="M35" s="274">
        <v>1.44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rintOptions horizontalCentered="1"/>
  <pageMargins left="0.1" right="0.1" top="0.25" bottom="0.25" header="0.3" footer="0.3"/>
  <pageSetup paperSize="9" scale="95" orientation="landscape" r:id="rId1"/>
</worksheet>
</file>

<file path=xl/worksheets/sheet251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0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2474</v>
      </c>
      <c r="C4" s="1456"/>
      <c r="D4" s="1456"/>
      <c r="E4" s="650" t="s">
        <v>2458</v>
      </c>
      <c r="F4" s="649"/>
      <c r="G4" s="1467" t="s">
        <v>2473</v>
      </c>
      <c r="H4" s="1468"/>
      <c r="I4" s="1448" t="s">
        <v>2456</v>
      </c>
      <c r="J4" s="1459"/>
      <c r="K4" s="291">
        <v>881.6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2472</v>
      </c>
      <c r="C6" s="1458"/>
      <c r="D6" s="1458"/>
      <c r="E6" s="1458"/>
      <c r="F6" s="1448" t="s">
        <v>176</v>
      </c>
      <c r="G6" s="1459"/>
      <c r="H6" s="1458" t="s">
        <v>2471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5" t="s">
        <v>2470</v>
      </c>
      <c r="C8" s="1456"/>
      <c r="D8" s="1456"/>
      <c r="E8" s="1457"/>
      <c r="F8" s="1463" t="s">
        <v>2451</v>
      </c>
      <c r="G8" s="1464"/>
      <c r="H8" s="1455" t="s">
        <v>2438</v>
      </c>
      <c r="I8" s="1456"/>
      <c r="J8" s="1456"/>
      <c r="K8" s="1457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2469</v>
      </c>
      <c r="C10" s="1458"/>
      <c r="D10" s="1458"/>
      <c r="E10" s="1458" t="s">
        <v>2468</v>
      </c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 t="s">
        <v>2467</v>
      </c>
      <c r="C11" s="1458"/>
      <c r="D11" s="1458"/>
      <c r="E11" s="1458" t="s">
        <v>804</v>
      </c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2466</v>
      </c>
      <c r="C12" s="995"/>
      <c r="D12" s="995"/>
      <c r="E12" s="995" t="s">
        <v>2465</v>
      </c>
      <c r="F12" s="995"/>
      <c r="G12" s="995" t="s">
        <v>2464</v>
      </c>
      <c r="H12" s="995"/>
      <c r="I12" s="995" t="s">
        <v>2463</v>
      </c>
      <c r="J12" s="995"/>
      <c r="K12" s="995"/>
      <c r="L12" s="1455" t="s">
        <v>2462</v>
      </c>
      <c r="M12" s="1456"/>
      <c r="N12" s="1457"/>
    </row>
    <row r="13" spans="1:14" s="282" customFormat="1" ht="15" customHeight="1">
      <c r="A13" s="282" t="s">
        <v>2444</v>
      </c>
      <c r="B13" s="1458" t="s">
        <v>2438</v>
      </c>
      <c r="C13" s="1458"/>
      <c r="D13" s="1458"/>
      <c r="E13" s="1458" t="s">
        <v>2438</v>
      </c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2</v>
      </c>
      <c r="C16" s="1448" t="s">
        <v>2442</v>
      </c>
      <c r="D16" s="1449"/>
      <c r="E16" s="1449"/>
      <c r="F16" s="651">
        <v>2</v>
      </c>
      <c r="G16" s="285" t="s">
        <v>1712</v>
      </c>
      <c r="H16" s="651">
        <v>25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149</v>
      </c>
      <c r="D18" s="650" t="s">
        <v>205</v>
      </c>
      <c r="E18" s="80">
        <v>36</v>
      </c>
      <c r="F18" s="650" t="s">
        <v>206</v>
      </c>
      <c r="G18" s="648">
        <v>55</v>
      </c>
      <c r="H18" s="650" t="s">
        <v>230</v>
      </c>
      <c r="I18" s="80">
        <f>+C18+E18+G18</f>
        <v>240</v>
      </c>
      <c r="J18" s="285" t="s">
        <v>414</v>
      </c>
      <c r="K18" s="651">
        <v>52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249</v>
      </c>
      <c r="D19" s="650" t="s">
        <v>2437</v>
      </c>
      <c r="E19" s="80">
        <v>59</v>
      </c>
      <c r="F19" s="650" t="s">
        <v>212</v>
      </c>
      <c r="G19" s="648">
        <v>89</v>
      </c>
      <c r="H19" s="650" t="s">
        <v>411</v>
      </c>
      <c r="I19" s="80">
        <f>+C19+E19+G19</f>
        <v>397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280</v>
      </c>
      <c r="D20" s="650" t="s">
        <v>214</v>
      </c>
      <c r="E20" s="80">
        <v>66</v>
      </c>
      <c r="F20" s="650" t="s">
        <v>215</v>
      </c>
      <c r="G20" s="648">
        <v>99</v>
      </c>
      <c r="H20" s="650" t="s">
        <v>410</v>
      </c>
      <c r="I20" s="80">
        <f>+C20+E20+G20</f>
        <v>445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81.195359999999994</v>
      </c>
      <c r="E26" s="278">
        <v>3.43</v>
      </c>
      <c r="F26" s="278"/>
      <c r="G26" s="278">
        <v>1.89</v>
      </c>
      <c r="H26" s="278"/>
      <c r="I26" s="278"/>
      <c r="J26" s="278"/>
      <c r="K26" s="278"/>
      <c r="L26" s="278"/>
      <c r="M26" s="278">
        <v>1.89</v>
      </c>
      <c r="N26" s="292">
        <v>55.102040816326522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71.039327999999998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12.183712000000002</v>
      </c>
      <c r="E30" s="278">
        <v>2</v>
      </c>
      <c r="F30" s="278"/>
      <c r="G30" s="278">
        <v>1.22</v>
      </c>
      <c r="H30" s="278"/>
      <c r="I30" s="278"/>
      <c r="J30" s="278"/>
      <c r="K30" s="278"/>
      <c r="L30" s="278"/>
      <c r="M30" s="278">
        <v>1.22</v>
      </c>
      <c r="N30" s="292">
        <v>61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5.7304000000000004</v>
      </c>
      <c r="E31" s="278">
        <v>0.88</v>
      </c>
      <c r="F31" s="278"/>
      <c r="G31" s="278">
        <v>0.3</v>
      </c>
      <c r="H31" s="278"/>
      <c r="I31" s="278"/>
      <c r="J31" s="278"/>
      <c r="K31" s="278"/>
      <c r="L31" s="278"/>
      <c r="M31" s="278">
        <v>0.3</v>
      </c>
      <c r="N31" s="292">
        <v>34.090909090909086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10.156032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183.48483200000004</v>
      </c>
      <c r="E35" s="275">
        <v>7.01</v>
      </c>
      <c r="F35" s="275">
        <v>0</v>
      </c>
      <c r="G35" s="275">
        <v>3.91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3.91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5.7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2490</v>
      </c>
      <c r="C4" s="1456"/>
      <c r="D4" s="1456"/>
      <c r="E4" s="650" t="s">
        <v>2458</v>
      </c>
      <c r="F4" s="649"/>
      <c r="G4" s="1467" t="s">
        <v>2489</v>
      </c>
      <c r="H4" s="1468"/>
      <c r="I4" s="1448" t="s">
        <v>2456</v>
      </c>
      <c r="J4" s="1459"/>
      <c r="K4" s="291">
        <v>407.91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2488</v>
      </c>
      <c r="C6" s="1458"/>
      <c r="D6" s="1458"/>
      <c r="E6" s="1458"/>
      <c r="F6" s="1448" t="s">
        <v>176</v>
      </c>
      <c r="G6" s="1459"/>
      <c r="H6" s="1458" t="s">
        <v>2487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2486</v>
      </c>
      <c r="C8" s="1458"/>
      <c r="D8" s="1458"/>
      <c r="E8" s="1458"/>
      <c r="F8" s="1463" t="s">
        <v>2451</v>
      </c>
      <c r="G8" s="1464"/>
      <c r="H8" s="1458" t="s">
        <v>2485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2484</v>
      </c>
      <c r="C10" s="1458"/>
      <c r="D10" s="1458"/>
      <c r="E10" s="1458" t="s">
        <v>2483</v>
      </c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 t="s">
        <v>2482</v>
      </c>
      <c r="C11" s="1458"/>
      <c r="D11" s="1458"/>
      <c r="E11" s="1458" t="s">
        <v>2481</v>
      </c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1455" t="s">
        <v>2480</v>
      </c>
      <c r="C12" s="1456"/>
      <c r="D12" s="1457"/>
      <c r="E12" s="1455" t="s">
        <v>2479</v>
      </c>
      <c r="F12" s="1457"/>
      <c r="G12" s="1455" t="s">
        <v>2478</v>
      </c>
      <c r="H12" s="1457"/>
      <c r="I12" s="1455" t="s">
        <v>2477</v>
      </c>
      <c r="J12" s="1456"/>
      <c r="K12" s="1457"/>
      <c r="L12" s="1455" t="s">
        <v>2476</v>
      </c>
      <c r="M12" s="1456"/>
      <c r="N12" s="1457"/>
    </row>
    <row r="13" spans="1:14" s="282" customFormat="1" ht="15" customHeight="1">
      <c r="A13" s="282" t="s">
        <v>2444</v>
      </c>
      <c r="B13" s="1458" t="s">
        <v>2475</v>
      </c>
      <c r="C13" s="1458"/>
      <c r="D13" s="1458"/>
      <c r="E13" s="1458" t="s">
        <v>2438</v>
      </c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2</v>
      </c>
      <c r="C16" s="1448" t="s">
        <v>2442</v>
      </c>
      <c r="D16" s="1449"/>
      <c r="E16" s="1449"/>
      <c r="F16" s="651">
        <v>2</v>
      </c>
      <c r="G16" s="285" t="s">
        <v>1712</v>
      </c>
      <c r="H16" s="651">
        <v>31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313</v>
      </c>
      <c r="D18" s="650" t="s">
        <v>205</v>
      </c>
      <c r="E18" s="80">
        <v>163</v>
      </c>
      <c r="F18" s="650" t="s">
        <v>206</v>
      </c>
      <c r="G18" s="648">
        <v>33</v>
      </c>
      <c r="H18" s="650" t="s">
        <v>230</v>
      </c>
      <c r="I18" s="80">
        <f>+C18+E18+G18</f>
        <v>509</v>
      </c>
      <c r="J18" s="285" t="s">
        <v>414</v>
      </c>
      <c r="K18" s="651">
        <v>339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685</v>
      </c>
      <c r="D19" s="650" t="s">
        <v>2437</v>
      </c>
      <c r="E19" s="80">
        <v>389</v>
      </c>
      <c r="F19" s="650" t="s">
        <v>212</v>
      </c>
      <c r="G19" s="648">
        <v>72</v>
      </c>
      <c r="H19" s="650" t="s">
        <v>411</v>
      </c>
      <c r="I19" s="80">
        <f>+C19+E19+G19</f>
        <v>1146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731</v>
      </c>
      <c r="D20" s="650" t="s">
        <v>214</v>
      </c>
      <c r="E20" s="80">
        <v>388</v>
      </c>
      <c r="F20" s="650" t="s">
        <v>215</v>
      </c>
      <c r="G20" s="648">
        <v>64</v>
      </c>
      <c r="H20" s="650" t="s">
        <v>410</v>
      </c>
      <c r="I20" s="80">
        <f>+C20+E20+G20</f>
        <v>1183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37.568511000000001</v>
      </c>
      <c r="E26" s="278">
        <v>2.35</v>
      </c>
      <c r="F26" s="278"/>
      <c r="G26" s="278">
        <v>1.22</v>
      </c>
      <c r="H26" s="278"/>
      <c r="I26" s="278"/>
      <c r="J26" s="278"/>
      <c r="K26" s="278"/>
      <c r="L26" s="278"/>
      <c r="M26" s="278">
        <v>1.22</v>
      </c>
      <c r="N26" s="292">
        <v>51.914893617021271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32.869387800000005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5.6373162000000008</v>
      </c>
      <c r="E30" s="278">
        <v>2</v>
      </c>
      <c r="F30" s="278"/>
      <c r="G30" s="278">
        <v>1.45</v>
      </c>
      <c r="H30" s="278"/>
      <c r="I30" s="278"/>
      <c r="J30" s="278"/>
      <c r="K30" s="278"/>
      <c r="L30" s="278"/>
      <c r="M30" s="278">
        <v>1.45</v>
      </c>
      <c r="N30" s="292">
        <v>72.5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2.6514150000000005</v>
      </c>
      <c r="E31" s="278">
        <v>0.4</v>
      </c>
      <c r="F31" s="278"/>
      <c r="G31" s="278">
        <v>0.4</v>
      </c>
      <c r="H31" s="278"/>
      <c r="I31" s="278"/>
      <c r="J31" s="278"/>
      <c r="K31" s="278"/>
      <c r="L31" s="278"/>
      <c r="M31" s="278">
        <v>0.4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4.6991232000000007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86.605753200000009</v>
      </c>
      <c r="E35" s="275">
        <v>5.45</v>
      </c>
      <c r="F35" s="275">
        <v>0</v>
      </c>
      <c r="G35" s="275">
        <v>3.57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3.57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8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2501</v>
      </c>
      <c r="C4" s="1456"/>
      <c r="D4" s="1456"/>
      <c r="E4" s="650" t="s">
        <v>2458</v>
      </c>
      <c r="F4" s="649"/>
      <c r="G4" s="1467" t="s">
        <v>2500</v>
      </c>
      <c r="H4" s="1468"/>
      <c r="I4" s="1448" t="s">
        <v>2456</v>
      </c>
      <c r="J4" s="1459"/>
      <c r="K4" s="291">
        <v>204.46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5" t="s">
        <v>2499</v>
      </c>
      <c r="C6" s="1456"/>
      <c r="D6" s="1456"/>
      <c r="E6" s="1457"/>
      <c r="F6" s="1448" t="s">
        <v>176</v>
      </c>
      <c r="G6" s="1459"/>
      <c r="H6" s="1455" t="s">
        <v>2498</v>
      </c>
      <c r="I6" s="1456"/>
      <c r="J6" s="1456"/>
      <c r="K6" s="1457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2497</v>
      </c>
      <c r="C8" s="1458"/>
      <c r="D8" s="1458"/>
      <c r="E8" s="1458"/>
      <c r="F8" s="1463" t="s">
        <v>2451</v>
      </c>
      <c r="G8" s="1464"/>
      <c r="H8" s="1458" t="s">
        <v>2496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2496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1455" t="s">
        <v>2495</v>
      </c>
      <c r="C12" s="1456"/>
      <c r="D12" s="1457"/>
      <c r="E12" s="1455" t="s">
        <v>2494</v>
      </c>
      <c r="F12" s="1457"/>
      <c r="G12" s="1455" t="s">
        <v>2493</v>
      </c>
      <c r="H12" s="1457"/>
      <c r="I12" s="1455" t="s">
        <v>2492</v>
      </c>
      <c r="J12" s="1456"/>
      <c r="K12" s="1457"/>
      <c r="L12" s="1455" t="s">
        <v>2491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12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163</v>
      </c>
      <c r="D18" s="650" t="s">
        <v>205</v>
      </c>
      <c r="E18" s="80">
        <v>8</v>
      </c>
      <c r="F18" s="650" t="s">
        <v>206</v>
      </c>
      <c r="G18" s="648">
        <v>5</v>
      </c>
      <c r="H18" s="650" t="s">
        <v>230</v>
      </c>
      <c r="I18" s="80">
        <f>+C18+E18+G18</f>
        <v>176</v>
      </c>
      <c r="J18" s="285" t="s">
        <v>414</v>
      </c>
      <c r="K18" s="651">
        <v>20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259</v>
      </c>
      <c r="D19" s="650" t="s">
        <v>2437</v>
      </c>
      <c r="E19" s="80">
        <v>17</v>
      </c>
      <c r="F19" s="650" t="s">
        <v>212</v>
      </c>
      <c r="G19" s="648">
        <v>10</v>
      </c>
      <c r="H19" s="650" t="s">
        <v>411</v>
      </c>
      <c r="I19" s="80">
        <f>+C19+E19+G19</f>
        <v>286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355</v>
      </c>
      <c r="D20" s="650" t="s">
        <v>214</v>
      </c>
      <c r="E20" s="80">
        <v>18</v>
      </c>
      <c r="F20" s="650" t="s">
        <v>215</v>
      </c>
      <c r="G20" s="648">
        <v>14</v>
      </c>
      <c r="H20" s="650" t="s">
        <v>410</v>
      </c>
      <c r="I20" s="80">
        <f>+C20+E20+G20</f>
        <v>387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18.830766000000001</v>
      </c>
      <c r="E26" s="278">
        <v>2.1800000000000002</v>
      </c>
      <c r="F26" s="278"/>
      <c r="G26" s="278">
        <v>0.85</v>
      </c>
      <c r="H26" s="278"/>
      <c r="I26" s="278"/>
      <c r="J26" s="278"/>
      <c r="K26" s="278"/>
      <c r="L26" s="278"/>
      <c r="M26" s="278">
        <v>0.85</v>
      </c>
      <c r="N26" s="292">
        <v>38.990825688073386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16.475386799999999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2.8256372000000001</v>
      </c>
      <c r="E30" s="278">
        <v>2</v>
      </c>
      <c r="F30" s="278"/>
      <c r="G30" s="278">
        <v>0.5</v>
      </c>
      <c r="H30" s="278"/>
      <c r="I30" s="278"/>
      <c r="J30" s="278"/>
      <c r="K30" s="278"/>
      <c r="L30" s="278"/>
      <c r="M30" s="278">
        <v>0.5</v>
      </c>
      <c r="N30" s="292">
        <v>25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1.3289900000000001</v>
      </c>
      <c r="E31" s="278">
        <v>0.2</v>
      </c>
      <c r="F31" s="278"/>
      <c r="G31" s="278">
        <v>0.1</v>
      </c>
      <c r="H31" s="278"/>
      <c r="I31" s="278"/>
      <c r="J31" s="278"/>
      <c r="K31" s="278"/>
      <c r="L31" s="278"/>
      <c r="M31" s="278">
        <v>0.1</v>
      </c>
      <c r="N31" s="292">
        <v>50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2.3553791999999998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44.996159200000008</v>
      </c>
      <c r="E35" s="275">
        <v>5.08</v>
      </c>
      <c r="F35" s="275">
        <v>0</v>
      </c>
      <c r="G35" s="275">
        <v>1.95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1.95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0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2310</v>
      </c>
      <c r="C4" s="1456"/>
      <c r="D4" s="1456"/>
      <c r="E4" s="650" t="s">
        <v>2458</v>
      </c>
      <c r="F4" s="649"/>
      <c r="G4" s="1467" t="s">
        <v>2500</v>
      </c>
      <c r="H4" s="1468"/>
      <c r="I4" s="1448" t="s">
        <v>2456</v>
      </c>
      <c r="J4" s="1459"/>
      <c r="K4" s="291">
        <v>360.86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5" t="s">
        <v>2510</v>
      </c>
      <c r="C6" s="1456"/>
      <c r="D6" s="1456"/>
      <c r="E6" s="1457"/>
      <c r="F6" s="1448" t="s">
        <v>176</v>
      </c>
      <c r="G6" s="1459"/>
      <c r="H6" s="1455" t="s">
        <v>2509</v>
      </c>
      <c r="I6" s="1456"/>
      <c r="J6" s="1456"/>
      <c r="K6" s="1457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5" t="s">
        <v>2508</v>
      </c>
      <c r="C8" s="1456"/>
      <c r="D8" s="1456"/>
      <c r="E8" s="1457"/>
      <c r="F8" s="1463" t="s">
        <v>2451</v>
      </c>
      <c r="G8" s="1464"/>
      <c r="H8" s="1455" t="s">
        <v>2507</v>
      </c>
      <c r="I8" s="1456"/>
      <c r="J8" s="1456"/>
      <c r="K8" s="1457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2507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1455" t="s">
        <v>2506</v>
      </c>
      <c r="C12" s="1456"/>
      <c r="D12" s="1457"/>
      <c r="E12" s="1455" t="s">
        <v>2505</v>
      </c>
      <c r="F12" s="1457"/>
      <c r="G12" s="1455" t="s">
        <v>2504</v>
      </c>
      <c r="H12" s="1457"/>
      <c r="I12" s="1455" t="s">
        <v>2503</v>
      </c>
      <c r="J12" s="1456"/>
      <c r="K12" s="1457"/>
      <c r="L12" s="1455" t="s">
        <v>2502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14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144</v>
      </c>
      <c r="D18" s="650" t="s">
        <v>205</v>
      </c>
      <c r="E18" s="80">
        <v>14</v>
      </c>
      <c r="F18" s="650" t="s">
        <v>206</v>
      </c>
      <c r="G18" s="648">
        <v>42</v>
      </c>
      <c r="H18" s="650" t="s">
        <v>230</v>
      </c>
      <c r="I18" s="80">
        <f>+G18+E18+C18</f>
        <v>200</v>
      </c>
      <c r="J18" s="285" t="s">
        <v>414</v>
      </c>
      <c r="K18" s="651">
        <v>84</v>
      </c>
      <c r="L18" s="1449" t="s">
        <v>2439</v>
      </c>
      <c r="M18" s="1449"/>
      <c r="N18" s="651" t="s">
        <v>2438</v>
      </c>
    </row>
    <row r="19" spans="1:14" s="282" customFormat="1" ht="15" customHeight="1">
      <c r="A19" s="284" t="s">
        <v>209</v>
      </c>
      <c r="B19" s="650" t="s">
        <v>210</v>
      </c>
      <c r="C19" s="80">
        <v>187</v>
      </c>
      <c r="D19" s="650" t="s">
        <v>2437</v>
      </c>
      <c r="E19" s="80">
        <v>27</v>
      </c>
      <c r="F19" s="650" t="s">
        <v>212</v>
      </c>
      <c r="G19" s="648">
        <v>72</v>
      </c>
      <c r="H19" s="650" t="s">
        <v>411</v>
      </c>
      <c r="I19" s="80">
        <f>+G19+E19+C19</f>
        <v>286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288</v>
      </c>
      <c r="D20" s="650" t="s">
        <v>214</v>
      </c>
      <c r="E20" s="80">
        <v>29</v>
      </c>
      <c r="F20" s="650" t="s">
        <v>215</v>
      </c>
      <c r="G20" s="648">
        <v>94</v>
      </c>
      <c r="H20" s="650" t="s">
        <v>410</v>
      </c>
      <c r="I20" s="80">
        <f>+G20+E20+C20</f>
        <v>411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33.236127000000003</v>
      </c>
      <c r="E26" s="278">
        <v>2.7</v>
      </c>
      <c r="F26" s="278"/>
      <c r="G26" s="278">
        <v>0.51</v>
      </c>
      <c r="H26" s="278"/>
      <c r="I26" s="278"/>
      <c r="J26" s="278"/>
      <c r="K26" s="278"/>
      <c r="L26" s="278"/>
      <c r="M26" s="278">
        <v>0.51</v>
      </c>
      <c r="N26" s="292">
        <v>18.888888888888889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29.078904600000001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0.19</v>
      </c>
      <c r="H28" s="278"/>
      <c r="I28" s="278"/>
      <c r="J28" s="278"/>
      <c r="K28" s="278"/>
      <c r="L28" s="278"/>
      <c r="M28" s="278">
        <v>0.19</v>
      </c>
      <c r="N28" s="292">
        <v>67.857142857142847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4.9872234000000004</v>
      </c>
      <c r="E30" s="278">
        <v>2</v>
      </c>
      <c r="F30" s="278"/>
      <c r="G30" s="278">
        <v>0.69</v>
      </c>
      <c r="H30" s="278"/>
      <c r="I30" s="278"/>
      <c r="J30" s="278"/>
      <c r="K30" s="278"/>
      <c r="L30" s="278"/>
      <c r="M30" s="278">
        <v>0.69</v>
      </c>
      <c r="N30" s="292">
        <v>34.5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2.3456550000000003</v>
      </c>
      <c r="E31" s="278">
        <v>0.36</v>
      </c>
      <c r="F31" s="278"/>
      <c r="G31" s="278">
        <v>0.28000000000000003</v>
      </c>
      <c r="H31" s="278"/>
      <c r="I31" s="278"/>
      <c r="J31" s="278"/>
      <c r="K31" s="278"/>
      <c r="L31" s="278"/>
      <c r="M31" s="278">
        <v>0.28000000000000003</v>
      </c>
      <c r="N31" s="292">
        <v>77.777777777777786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4.1572224000000002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76.985132399999998</v>
      </c>
      <c r="E35" s="275">
        <v>5.7600000000000007</v>
      </c>
      <c r="F35" s="275">
        <v>0</v>
      </c>
      <c r="G35" s="275">
        <v>1.9899999999999998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1.9899999999999998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8.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2521</v>
      </c>
      <c r="C4" s="1456"/>
      <c r="D4" s="1456"/>
      <c r="E4" s="650" t="s">
        <v>2458</v>
      </c>
      <c r="F4" s="649"/>
      <c r="G4" s="1467" t="s">
        <v>2520</v>
      </c>
      <c r="H4" s="1468"/>
      <c r="I4" s="1448" t="s">
        <v>2456</v>
      </c>
      <c r="J4" s="1459"/>
      <c r="K4" s="291">
        <v>493.81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2519</v>
      </c>
      <c r="C6" s="1458"/>
      <c r="D6" s="1458"/>
      <c r="E6" s="1458"/>
      <c r="F6" s="1448" t="s">
        <v>176</v>
      </c>
      <c r="G6" s="1459"/>
      <c r="H6" s="1458" t="s">
        <v>2518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5" t="s">
        <v>2517</v>
      </c>
      <c r="C8" s="1456"/>
      <c r="D8" s="1456"/>
      <c r="E8" s="1457"/>
      <c r="F8" s="1463" t="s">
        <v>2451</v>
      </c>
      <c r="G8" s="1464"/>
      <c r="H8" s="1455" t="s">
        <v>2516</v>
      </c>
      <c r="I8" s="1456"/>
      <c r="J8" s="1456"/>
      <c r="K8" s="1457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2516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1455" t="s">
        <v>2515</v>
      </c>
      <c r="C12" s="1456"/>
      <c r="D12" s="1457"/>
      <c r="E12" s="1455" t="s">
        <v>2514</v>
      </c>
      <c r="F12" s="1457"/>
      <c r="G12" s="1455" t="s">
        <v>2513</v>
      </c>
      <c r="H12" s="1457"/>
      <c r="I12" s="1455" t="s">
        <v>2512</v>
      </c>
      <c r="J12" s="1456"/>
      <c r="K12" s="1457"/>
      <c r="L12" s="1455" t="s">
        <v>2511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25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368</v>
      </c>
      <c r="D18" s="650" t="s">
        <v>205</v>
      </c>
      <c r="E18" s="80">
        <v>0</v>
      </c>
      <c r="F18" s="650" t="s">
        <v>206</v>
      </c>
      <c r="G18" s="648">
        <v>19</v>
      </c>
      <c r="H18" s="650" t="s">
        <v>230</v>
      </c>
      <c r="I18" s="80">
        <f>+C18+E18+G18</f>
        <v>387</v>
      </c>
      <c r="J18" s="285" t="s">
        <v>414</v>
      </c>
      <c r="K18" s="651">
        <v>88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555</v>
      </c>
      <c r="D19" s="650" t="s">
        <v>2437</v>
      </c>
      <c r="E19" s="80">
        <v>0</v>
      </c>
      <c r="F19" s="650" t="s">
        <v>212</v>
      </c>
      <c r="G19" s="648">
        <v>18</v>
      </c>
      <c r="H19" s="650" t="s">
        <v>411</v>
      </c>
      <c r="I19" s="80">
        <f>+C19+E19+G19</f>
        <v>573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832</v>
      </c>
      <c r="D20" s="650" t="s">
        <v>214</v>
      </c>
      <c r="E20" s="80">
        <v>0</v>
      </c>
      <c r="F20" s="650" t="s">
        <v>215</v>
      </c>
      <c r="G20" s="648">
        <v>34</v>
      </c>
      <c r="H20" s="650" t="s">
        <v>410</v>
      </c>
      <c r="I20" s="80">
        <f>+C20+E20+G20</f>
        <v>866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45.480821999999996</v>
      </c>
      <c r="E26" s="278">
        <v>3.14</v>
      </c>
      <c r="F26" s="278"/>
      <c r="G26" s="278">
        <v>2.38</v>
      </c>
      <c r="H26" s="278"/>
      <c r="I26" s="278"/>
      <c r="J26" s="278"/>
      <c r="K26" s="278"/>
      <c r="L26" s="278"/>
      <c r="M26" s="278">
        <v>2.38</v>
      </c>
      <c r="N26" s="292">
        <v>75.796178343949038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39.792015599999999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6.8245924000000002</v>
      </c>
      <c r="E30" s="278">
        <v>2</v>
      </c>
      <c r="F30" s="278"/>
      <c r="G30" s="278">
        <v>0.56000000000000005</v>
      </c>
      <c r="H30" s="278"/>
      <c r="I30" s="278"/>
      <c r="J30" s="278"/>
      <c r="K30" s="278"/>
      <c r="L30" s="278"/>
      <c r="M30" s="278">
        <v>0.56000000000000005</v>
      </c>
      <c r="N30" s="292">
        <v>28.000000000000004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3.2098299999999997</v>
      </c>
      <c r="E31" s="278">
        <v>0.49</v>
      </c>
      <c r="F31" s="278"/>
      <c r="G31" s="278">
        <v>0.36</v>
      </c>
      <c r="H31" s="278"/>
      <c r="I31" s="278"/>
      <c r="J31" s="278"/>
      <c r="K31" s="278"/>
      <c r="L31" s="278"/>
      <c r="M31" s="278">
        <v>0.36</v>
      </c>
      <c r="N31" s="292">
        <v>73.469387755102048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5.6888063999999998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104.17606640000001</v>
      </c>
      <c r="E35" s="275">
        <v>6.33</v>
      </c>
      <c r="F35" s="275">
        <v>0</v>
      </c>
      <c r="G35" s="275">
        <v>3.8000000000000003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3.8000000000000003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9.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2532</v>
      </c>
      <c r="C4" s="1456"/>
      <c r="D4" s="1456"/>
      <c r="E4" s="650" t="s">
        <v>2458</v>
      </c>
      <c r="F4" s="649"/>
      <c r="G4" s="1467" t="s">
        <v>2531</v>
      </c>
      <c r="H4" s="1468"/>
      <c r="I4" s="1448" t="s">
        <v>2456</v>
      </c>
      <c r="J4" s="1459"/>
      <c r="K4" s="291">
        <v>882.26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5" t="s">
        <v>2530</v>
      </c>
      <c r="C6" s="1456"/>
      <c r="D6" s="1456"/>
      <c r="E6" s="1457"/>
      <c r="F6" s="1448" t="s">
        <v>176</v>
      </c>
      <c r="G6" s="1459"/>
      <c r="H6" s="1455" t="s">
        <v>2529</v>
      </c>
      <c r="I6" s="1456"/>
      <c r="J6" s="1456"/>
      <c r="K6" s="1457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5" t="s">
        <v>2528</v>
      </c>
      <c r="C8" s="1456"/>
      <c r="D8" s="1456"/>
      <c r="E8" s="1457"/>
      <c r="F8" s="1463" t="s">
        <v>2451</v>
      </c>
      <c r="G8" s="1464"/>
      <c r="H8" s="1455" t="s">
        <v>2527</v>
      </c>
      <c r="I8" s="1456"/>
      <c r="J8" s="1456"/>
      <c r="K8" s="1457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2527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2526</v>
      </c>
      <c r="C12" s="995"/>
      <c r="D12" s="995"/>
      <c r="E12" s="995" t="s">
        <v>2525</v>
      </c>
      <c r="F12" s="995"/>
      <c r="G12" s="995" t="s">
        <v>2524</v>
      </c>
      <c r="H12" s="995"/>
      <c r="I12" s="995" t="s">
        <v>2523</v>
      </c>
      <c r="J12" s="995"/>
      <c r="K12" s="995"/>
      <c r="L12" s="1455" t="s">
        <v>2522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25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196</v>
      </c>
      <c r="D18" s="650" t="s">
        <v>205</v>
      </c>
      <c r="E18" s="80">
        <v>6</v>
      </c>
      <c r="F18" s="650" t="s">
        <v>206</v>
      </c>
      <c r="G18" s="648">
        <v>42</v>
      </c>
      <c r="H18" s="650" t="s">
        <v>230</v>
      </c>
      <c r="I18" s="80">
        <f>+C18+E18+G18</f>
        <v>244</v>
      </c>
      <c r="J18" s="285" t="s">
        <v>414</v>
      </c>
      <c r="K18" s="651">
        <v>79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489</v>
      </c>
      <c r="D19" s="650" t="s">
        <v>2437</v>
      </c>
      <c r="E19" s="80">
        <v>16</v>
      </c>
      <c r="F19" s="650" t="s">
        <v>212</v>
      </c>
      <c r="G19" s="648">
        <v>63</v>
      </c>
      <c r="H19" s="650" t="s">
        <v>411</v>
      </c>
      <c r="I19" s="80">
        <f>+C19+E19+G19</f>
        <v>568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579</v>
      </c>
      <c r="D20" s="650" t="s">
        <v>214</v>
      </c>
      <c r="E20" s="80">
        <v>14</v>
      </c>
      <c r="F20" s="650" t="s">
        <v>215</v>
      </c>
      <c r="G20" s="648">
        <v>87</v>
      </c>
      <c r="H20" s="650" t="s">
        <v>410</v>
      </c>
      <c r="I20" s="80">
        <f>+C20+E20+G20</f>
        <v>680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81.256146000000001</v>
      </c>
      <c r="E26" s="278">
        <v>2.93</v>
      </c>
      <c r="F26" s="278"/>
      <c r="G26" s="278">
        <v>2.92</v>
      </c>
      <c r="H26" s="278"/>
      <c r="I26" s="278"/>
      <c r="J26" s="278"/>
      <c r="K26" s="278"/>
      <c r="L26" s="278"/>
      <c r="M26" s="278">
        <v>2.92</v>
      </c>
      <c r="N26" s="292">
        <v>99.658703071672349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71.092510799999999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12.192833200000001</v>
      </c>
      <c r="E30" s="278">
        <v>2</v>
      </c>
      <c r="F30" s="278"/>
      <c r="G30" s="278">
        <v>0.53</v>
      </c>
      <c r="H30" s="278"/>
      <c r="I30" s="278"/>
      <c r="J30" s="278"/>
      <c r="K30" s="278"/>
      <c r="L30" s="278"/>
      <c r="M30" s="278">
        <v>0.53</v>
      </c>
      <c r="N30" s="292">
        <v>26.5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5.7346900000000005</v>
      </c>
      <c r="E31" s="278">
        <v>0.88</v>
      </c>
      <c r="F31" s="278"/>
      <c r="G31" s="278">
        <v>0.25</v>
      </c>
      <c r="H31" s="278"/>
      <c r="I31" s="278"/>
      <c r="J31" s="278"/>
      <c r="K31" s="278"/>
      <c r="L31" s="278"/>
      <c r="M31" s="278">
        <v>0.25</v>
      </c>
      <c r="N31" s="292">
        <v>28.40909090909091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10.1636352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183.61981520000001</v>
      </c>
      <c r="E35" s="275">
        <v>6.51</v>
      </c>
      <c r="F35" s="275">
        <v>0</v>
      </c>
      <c r="G35" s="275">
        <v>4.2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4.2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1.7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2549</v>
      </c>
      <c r="C4" s="1456"/>
      <c r="D4" s="1456"/>
      <c r="E4" s="650" t="s">
        <v>2458</v>
      </c>
      <c r="F4" s="649"/>
      <c r="G4" s="1467" t="s">
        <v>2548</v>
      </c>
      <c r="H4" s="1468"/>
      <c r="I4" s="1448" t="s">
        <v>2456</v>
      </c>
      <c r="J4" s="1459"/>
      <c r="K4" s="291">
        <v>385.61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2547</v>
      </c>
      <c r="C6" s="1458"/>
      <c r="D6" s="1458"/>
      <c r="E6" s="1458"/>
      <c r="F6" s="1448" t="s">
        <v>176</v>
      </c>
      <c r="G6" s="1459"/>
      <c r="H6" s="1458" t="s">
        <v>2546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5" t="s">
        <v>2545</v>
      </c>
      <c r="C8" s="1456"/>
      <c r="D8" s="1456"/>
      <c r="E8" s="1457"/>
      <c r="F8" s="1463" t="s">
        <v>2451</v>
      </c>
      <c r="G8" s="1464"/>
      <c r="H8" s="1455" t="s">
        <v>2438</v>
      </c>
      <c r="I8" s="1456"/>
      <c r="J8" s="1456"/>
      <c r="K8" s="1457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2544</v>
      </c>
      <c r="C10" s="1458"/>
      <c r="D10" s="1458"/>
      <c r="E10" s="1458" t="s">
        <v>2543</v>
      </c>
      <c r="F10" s="1458"/>
      <c r="G10" s="1458" t="s">
        <v>2542</v>
      </c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 t="s">
        <v>2541</v>
      </c>
      <c r="C11" s="1458"/>
      <c r="D11" s="1458"/>
      <c r="E11" s="1458" t="s">
        <v>2540</v>
      </c>
      <c r="F11" s="1458"/>
      <c r="G11" s="1458" t="s">
        <v>2533</v>
      </c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2539</v>
      </c>
      <c r="C12" s="995"/>
      <c r="D12" s="995"/>
      <c r="E12" s="995" t="s">
        <v>2538</v>
      </c>
      <c r="F12" s="995"/>
      <c r="G12" s="995" t="s">
        <v>2537</v>
      </c>
      <c r="H12" s="995"/>
      <c r="I12" s="995" t="s">
        <v>2536</v>
      </c>
      <c r="J12" s="995"/>
      <c r="K12" s="995"/>
      <c r="L12" s="1455" t="s">
        <v>2535</v>
      </c>
      <c r="M12" s="1456"/>
      <c r="N12" s="1457"/>
    </row>
    <row r="13" spans="1:14" s="282" customFormat="1" ht="15" customHeight="1">
      <c r="A13" s="282" t="s">
        <v>2444</v>
      </c>
      <c r="B13" s="1458" t="s">
        <v>2534</v>
      </c>
      <c r="C13" s="1458"/>
      <c r="D13" s="1458"/>
      <c r="E13" s="1458" t="s">
        <v>2438</v>
      </c>
      <c r="F13" s="1458"/>
      <c r="G13" s="1458" t="s">
        <v>2533</v>
      </c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3</v>
      </c>
      <c r="C16" s="1448" t="s">
        <v>2442</v>
      </c>
      <c r="D16" s="1449"/>
      <c r="E16" s="1449"/>
      <c r="F16" s="651">
        <v>3</v>
      </c>
      <c r="G16" s="285" t="s">
        <v>1712</v>
      </c>
      <c r="H16" s="651">
        <v>25</v>
      </c>
      <c r="I16" s="650" t="s">
        <v>2441</v>
      </c>
      <c r="J16" s="651">
        <v>2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179</v>
      </c>
      <c r="D18" s="650" t="s">
        <v>205</v>
      </c>
      <c r="E18" s="80">
        <v>20</v>
      </c>
      <c r="F18" s="650" t="s">
        <v>206</v>
      </c>
      <c r="G18" s="648">
        <v>90</v>
      </c>
      <c r="H18" s="650" t="s">
        <v>230</v>
      </c>
      <c r="I18" s="80">
        <v>289</v>
      </c>
      <c r="J18" s="285" t="s">
        <v>414</v>
      </c>
      <c r="K18" s="651">
        <v>120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428</v>
      </c>
      <c r="D19" s="650" t="s">
        <v>2437</v>
      </c>
      <c r="E19" s="80">
        <v>51</v>
      </c>
      <c r="F19" s="650" t="s">
        <v>212</v>
      </c>
      <c r="G19" s="648">
        <v>224</v>
      </c>
      <c r="H19" s="650" t="s">
        <v>411</v>
      </c>
      <c r="I19" s="80">
        <v>703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424</v>
      </c>
      <c r="D20" s="650" t="s">
        <v>214</v>
      </c>
      <c r="E20" s="80">
        <v>44</v>
      </c>
      <c r="F20" s="650" t="s">
        <v>215</v>
      </c>
      <c r="G20" s="648">
        <v>203</v>
      </c>
      <c r="H20" s="650" t="s">
        <v>410</v>
      </c>
      <c r="I20" s="80">
        <v>671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35.514680999999996</v>
      </c>
      <c r="E26" s="278">
        <v>2.77</v>
      </c>
      <c r="F26" s="278"/>
      <c r="G26" s="278">
        <v>1.24</v>
      </c>
      <c r="H26" s="278"/>
      <c r="I26" s="278"/>
      <c r="J26" s="278"/>
      <c r="K26" s="278"/>
      <c r="L26" s="278"/>
      <c r="M26" s="278">
        <v>1.24</v>
      </c>
      <c r="N26" s="292">
        <v>44.765342960288805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31.072453800000002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5.3291301999999998</v>
      </c>
      <c r="E30" s="278">
        <v>2</v>
      </c>
      <c r="F30" s="278"/>
      <c r="G30" s="278">
        <v>0.76</v>
      </c>
      <c r="H30" s="278"/>
      <c r="I30" s="278"/>
      <c r="J30" s="278"/>
      <c r="K30" s="278"/>
      <c r="L30" s="278"/>
      <c r="M30" s="278">
        <v>0.76</v>
      </c>
      <c r="N30" s="292">
        <v>38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2.5064649999999999</v>
      </c>
      <c r="E31" s="278">
        <v>0.38</v>
      </c>
      <c r="F31" s="278"/>
      <c r="G31" s="278">
        <v>0.3</v>
      </c>
      <c r="H31" s="278"/>
      <c r="I31" s="278"/>
      <c r="J31" s="278"/>
      <c r="K31" s="278"/>
      <c r="L31" s="278"/>
      <c r="M31" s="278">
        <v>0.3</v>
      </c>
      <c r="N31" s="292">
        <v>78.94736842105263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4.4422271999999996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/>
      <c r="H33" s="278"/>
      <c r="I33" s="278"/>
      <c r="J33" s="278"/>
      <c r="K33" s="278"/>
      <c r="L33" s="278"/>
      <c r="M33" s="278"/>
      <c r="N33" s="292">
        <v>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78"/>
    </row>
    <row r="35" spans="1:14" ht="21" customHeight="1">
      <c r="A35" s="276" t="s">
        <v>245</v>
      </c>
      <c r="B35" s="274"/>
      <c r="C35" s="274"/>
      <c r="D35" s="275">
        <v>82.044957200000013</v>
      </c>
      <c r="E35" s="275">
        <v>5.85</v>
      </c>
      <c r="F35" s="275">
        <v>0</v>
      </c>
      <c r="G35" s="275">
        <v>2.6399999999999997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2.6399999999999997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8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453</v>
      </c>
      <c r="C4" s="1456"/>
      <c r="D4" s="1456"/>
      <c r="E4" s="650" t="s">
        <v>2458</v>
      </c>
      <c r="F4" s="649"/>
      <c r="G4" s="1467" t="s">
        <v>2562</v>
      </c>
      <c r="H4" s="1468"/>
      <c r="I4" s="1448" t="s">
        <v>2456</v>
      </c>
      <c r="J4" s="1459"/>
      <c r="K4" s="291">
        <v>630.46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2561</v>
      </c>
      <c r="C6" s="1458"/>
      <c r="D6" s="1458"/>
      <c r="E6" s="1458"/>
      <c r="F6" s="1448" t="s">
        <v>176</v>
      </c>
      <c r="G6" s="1459"/>
      <c r="H6" s="1458" t="s">
        <v>2560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5" t="s">
        <v>2559</v>
      </c>
      <c r="C8" s="1456"/>
      <c r="D8" s="1456"/>
      <c r="E8" s="1457"/>
      <c r="F8" s="1463" t="s">
        <v>2451</v>
      </c>
      <c r="G8" s="1464"/>
      <c r="H8" s="1455" t="s">
        <v>2438</v>
      </c>
      <c r="I8" s="1456"/>
      <c r="J8" s="1456"/>
      <c r="K8" s="1457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2558</v>
      </c>
      <c r="C10" s="1458"/>
      <c r="D10" s="1458"/>
      <c r="E10" s="1458" t="s">
        <v>2557</v>
      </c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 t="s">
        <v>2556</v>
      </c>
      <c r="C11" s="1458"/>
      <c r="D11" s="1458"/>
      <c r="E11" s="1458" t="s">
        <v>2555</v>
      </c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2554</v>
      </c>
      <c r="C12" s="995"/>
      <c r="D12" s="995"/>
      <c r="E12" s="995" t="s">
        <v>2553</v>
      </c>
      <c r="F12" s="995"/>
      <c r="G12" s="995" t="s">
        <v>2552</v>
      </c>
      <c r="H12" s="995"/>
      <c r="I12" s="995" t="s">
        <v>2551</v>
      </c>
      <c r="J12" s="995"/>
      <c r="K12" s="995"/>
      <c r="L12" s="1455" t="s">
        <v>2550</v>
      </c>
      <c r="M12" s="1456"/>
      <c r="N12" s="1457"/>
    </row>
    <row r="13" spans="1:14" s="282" customFormat="1" ht="15" customHeight="1">
      <c r="A13" s="282" t="s">
        <v>2444</v>
      </c>
      <c r="B13" s="1458" t="s">
        <v>2438</v>
      </c>
      <c r="C13" s="1458"/>
      <c r="D13" s="1458"/>
      <c r="E13" s="1458" t="s">
        <v>2438</v>
      </c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2</v>
      </c>
      <c r="C16" s="1448" t="s">
        <v>2442</v>
      </c>
      <c r="D16" s="1449"/>
      <c r="E16" s="1449"/>
      <c r="F16" s="651">
        <v>2</v>
      </c>
      <c r="G16" s="285" t="s">
        <v>1712</v>
      </c>
      <c r="H16" s="651">
        <v>25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266</v>
      </c>
      <c r="D18" s="650" t="s">
        <v>205</v>
      </c>
      <c r="E18" s="80">
        <v>51</v>
      </c>
      <c r="F18" s="650" t="s">
        <v>206</v>
      </c>
      <c r="G18" s="648">
        <v>209</v>
      </c>
      <c r="H18" s="650" t="s">
        <v>230</v>
      </c>
      <c r="I18" s="80">
        <f>+C18+E18+G18</f>
        <v>526</v>
      </c>
      <c r="J18" s="285" t="s">
        <v>414</v>
      </c>
      <c r="K18" s="651">
        <v>309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651</v>
      </c>
      <c r="D19" s="650" t="s">
        <v>2437</v>
      </c>
      <c r="E19" s="80">
        <v>128</v>
      </c>
      <c r="F19" s="650" t="s">
        <v>212</v>
      </c>
      <c r="G19" s="648">
        <v>470</v>
      </c>
      <c r="H19" s="650" t="s">
        <v>411</v>
      </c>
      <c r="I19" s="80">
        <f>+C19+E19+G19</f>
        <v>1249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594</v>
      </c>
      <c r="D20" s="650" t="s">
        <v>214</v>
      </c>
      <c r="E20" s="80">
        <v>114</v>
      </c>
      <c r="F20" s="650" t="s">
        <v>215</v>
      </c>
      <c r="G20" s="648">
        <v>451</v>
      </c>
      <c r="H20" s="650" t="s">
        <v>410</v>
      </c>
      <c r="I20" s="80">
        <f>+C20+E20+G20</f>
        <v>1159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58.065365999999997</v>
      </c>
      <c r="E26" s="278">
        <v>2.09</v>
      </c>
      <c r="F26" s="278"/>
      <c r="G26" s="278">
        <v>2.5099999999999998</v>
      </c>
      <c r="H26" s="278"/>
      <c r="I26" s="278"/>
      <c r="J26" s="278"/>
      <c r="K26" s="278"/>
      <c r="L26" s="278"/>
      <c r="M26" s="278">
        <v>2.5099999999999998</v>
      </c>
      <c r="N26" s="292">
        <v>120.09569377990429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50.802466799999998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8.7129572</v>
      </c>
      <c r="E30" s="278">
        <v>2</v>
      </c>
      <c r="F30" s="278"/>
      <c r="G30" s="278">
        <v>0.83</v>
      </c>
      <c r="H30" s="278"/>
      <c r="I30" s="278"/>
      <c r="J30" s="278"/>
      <c r="K30" s="278"/>
      <c r="L30" s="278"/>
      <c r="M30" s="278">
        <v>0.83</v>
      </c>
      <c r="N30" s="292">
        <v>41.5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4.0979900000000002</v>
      </c>
      <c r="E31" s="278">
        <v>0.63</v>
      </c>
      <c r="F31" s="278"/>
      <c r="G31" s="278">
        <v>0.36</v>
      </c>
      <c r="H31" s="278"/>
      <c r="I31" s="278"/>
      <c r="J31" s="278"/>
      <c r="K31" s="278"/>
      <c r="L31" s="278"/>
      <c r="M31" s="278">
        <v>0.36</v>
      </c>
      <c r="N31" s="292">
        <v>57.142857142857139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7.2628991999999997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132.12167920000002</v>
      </c>
      <c r="E35" s="275">
        <v>5.42</v>
      </c>
      <c r="F35" s="275">
        <v>0</v>
      </c>
      <c r="G35" s="275">
        <v>4.2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4.2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8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2579</v>
      </c>
      <c r="C4" s="1456"/>
      <c r="D4" s="1456"/>
      <c r="E4" s="650" t="s">
        <v>2458</v>
      </c>
      <c r="F4" s="649"/>
      <c r="G4" s="1467" t="s">
        <v>2578</v>
      </c>
      <c r="H4" s="1468"/>
      <c r="I4" s="1448" t="s">
        <v>2456</v>
      </c>
      <c r="J4" s="1459"/>
      <c r="K4" s="291">
        <v>399.63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2577</v>
      </c>
      <c r="C6" s="1458"/>
      <c r="D6" s="1458"/>
      <c r="E6" s="1458"/>
      <c r="F6" s="1448" t="s">
        <v>176</v>
      </c>
      <c r="G6" s="1459"/>
      <c r="H6" s="1458" t="s">
        <v>2576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2575</v>
      </c>
      <c r="C8" s="1458"/>
      <c r="D8" s="1458"/>
      <c r="E8" s="1458"/>
      <c r="F8" s="1463" t="s">
        <v>2451</v>
      </c>
      <c r="G8" s="1464"/>
      <c r="H8" s="1458" t="s">
        <v>2438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2574</v>
      </c>
      <c r="C10" s="1458"/>
      <c r="D10" s="1458"/>
      <c r="E10" s="1458" t="s">
        <v>2573</v>
      </c>
      <c r="F10" s="1458"/>
      <c r="G10" s="1458" t="s">
        <v>2572</v>
      </c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 t="s">
        <v>2571</v>
      </c>
      <c r="C11" s="1458"/>
      <c r="D11" s="1458"/>
      <c r="E11" s="1458" t="s">
        <v>2538</v>
      </c>
      <c r="F11" s="1458"/>
      <c r="G11" s="1458" t="s">
        <v>2563</v>
      </c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2570</v>
      </c>
      <c r="C12" s="995"/>
      <c r="D12" s="995"/>
      <c r="E12" s="995" t="s">
        <v>2569</v>
      </c>
      <c r="F12" s="995"/>
      <c r="G12" s="995" t="s">
        <v>2568</v>
      </c>
      <c r="H12" s="995"/>
      <c r="I12" s="995" t="s">
        <v>2567</v>
      </c>
      <c r="J12" s="995"/>
      <c r="K12" s="995"/>
      <c r="L12" s="1455" t="s">
        <v>2566</v>
      </c>
      <c r="M12" s="1456"/>
      <c r="N12" s="1457"/>
    </row>
    <row r="13" spans="1:14" s="282" customFormat="1" ht="15" customHeight="1">
      <c r="A13" s="282" t="s">
        <v>2444</v>
      </c>
      <c r="B13" s="1458" t="s">
        <v>2565</v>
      </c>
      <c r="C13" s="1458"/>
      <c r="D13" s="1458"/>
      <c r="E13" s="1458" t="s">
        <v>2564</v>
      </c>
      <c r="F13" s="1458"/>
      <c r="G13" s="1458" t="s">
        <v>2563</v>
      </c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3</v>
      </c>
      <c r="C16" s="1448" t="s">
        <v>2442</v>
      </c>
      <c r="D16" s="1449"/>
      <c r="E16" s="1449"/>
      <c r="F16" s="651">
        <v>3</v>
      </c>
      <c r="G16" s="285" t="s">
        <v>1712</v>
      </c>
      <c r="H16" s="651">
        <v>25</v>
      </c>
      <c r="I16" s="650" t="s">
        <v>2441</v>
      </c>
      <c r="J16" s="651">
        <v>3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310</v>
      </c>
      <c r="D18" s="650" t="s">
        <v>205</v>
      </c>
      <c r="E18" s="80">
        <v>52</v>
      </c>
      <c r="F18" s="650" t="s">
        <v>206</v>
      </c>
      <c r="G18" s="648">
        <v>77</v>
      </c>
      <c r="H18" s="650" t="s">
        <v>230</v>
      </c>
      <c r="I18" s="80">
        <f>+C18+E18+G18</f>
        <v>439</v>
      </c>
      <c r="J18" s="285" t="s">
        <v>414</v>
      </c>
      <c r="K18" s="651">
        <v>243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653</v>
      </c>
      <c r="D19" s="650" t="s">
        <v>2437</v>
      </c>
      <c r="E19" s="80">
        <v>121</v>
      </c>
      <c r="F19" s="650" t="s">
        <v>212</v>
      </c>
      <c r="G19" s="648">
        <v>159</v>
      </c>
      <c r="H19" s="650" t="s">
        <v>411</v>
      </c>
      <c r="I19" s="80">
        <f>+C19+E19+G19</f>
        <v>933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765</v>
      </c>
      <c r="D20" s="650" t="s">
        <v>214</v>
      </c>
      <c r="E20" s="80">
        <v>125</v>
      </c>
      <c r="F20" s="650" t="s">
        <v>215</v>
      </c>
      <c r="G20" s="648">
        <v>163</v>
      </c>
      <c r="H20" s="650" t="s">
        <v>410</v>
      </c>
      <c r="I20" s="80">
        <f>+C20+E20+G20</f>
        <v>1053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36.806843999999998</v>
      </c>
      <c r="E26" s="278">
        <v>2.33</v>
      </c>
      <c r="F26" s="278"/>
      <c r="G26" s="278">
        <v>1.62</v>
      </c>
      <c r="H26" s="278"/>
      <c r="I26" s="278"/>
      <c r="J26" s="278"/>
      <c r="K26" s="278"/>
      <c r="L26" s="278"/>
      <c r="M26" s="278">
        <v>1.62</v>
      </c>
      <c r="N26" s="292">
        <v>69.527896995708161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32.2029912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5.5230248</v>
      </c>
      <c r="E30" s="278">
        <v>2</v>
      </c>
      <c r="F30" s="278"/>
      <c r="G30" s="278">
        <v>1.01</v>
      </c>
      <c r="H30" s="278"/>
      <c r="I30" s="278"/>
      <c r="J30" s="278"/>
      <c r="K30" s="278"/>
      <c r="L30" s="278"/>
      <c r="M30" s="278">
        <v>1.01</v>
      </c>
      <c r="N30" s="292">
        <v>50.5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2.5976599999999999</v>
      </c>
      <c r="E31" s="278">
        <v>0.39</v>
      </c>
      <c r="F31" s="278"/>
      <c r="G31" s="278">
        <v>0.3</v>
      </c>
      <c r="H31" s="278"/>
      <c r="I31" s="278"/>
      <c r="J31" s="278"/>
      <c r="K31" s="278"/>
      <c r="L31" s="278"/>
      <c r="M31" s="278">
        <v>0.3</v>
      </c>
      <c r="N31" s="292">
        <v>76.92307692307692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4.6038527999999994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84.91437280000001</v>
      </c>
      <c r="E35" s="275">
        <v>5.42</v>
      </c>
      <c r="F35" s="275">
        <v>0</v>
      </c>
      <c r="G35" s="275">
        <v>3.4299999999999997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3.4299999999999997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671</v>
      </c>
      <c r="C2" t="s">
        <v>611</v>
      </c>
      <c r="D2" t="s">
        <v>5723</v>
      </c>
      <c r="F2" t="s">
        <v>612</v>
      </c>
      <c r="G2">
        <v>346</v>
      </c>
      <c r="H2" t="s">
        <v>613</v>
      </c>
      <c r="I2">
        <v>40</v>
      </c>
      <c r="K2" s="808" t="s">
        <v>4176</v>
      </c>
      <c r="L2" s="808"/>
      <c r="M2" s="808"/>
    </row>
    <row r="3" spans="1:15">
      <c r="A3" t="s">
        <v>614</v>
      </c>
      <c r="B3" t="s">
        <v>672</v>
      </c>
      <c r="E3" t="s">
        <v>616</v>
      </c>
      <c r="G3" t="s">
        <v>673</v>
      </c>
    </row>
    <row r="4" spans="1:15">
      <c r="A4" t="s">
        <v>618</v>
      </c>
      <c r="B4" t="s">
        <v>674</v>
      </c>
      <c r="G4" t="s">
        <v>620</v>
      </c>
      <c r="I4" t="s">
        <v>675</v>
      </c>
    </row>
    <row r="5" spans="1:15">
      <c r="A5" t="s">
        <v>622</v>
      </c>
      <c r="B5" t="s">
        <v>676</v>
      </c>
      <c r="E5" t="s">
        <v>372</v>
      </c>
      <c r="I5" t="s">
        <v>677</v>
      </c>
    </row>
    <row r="6" spans="1:15">
      <c r="A6" t="s">
        <v>628</v>
      </c>
      <c r="B6" t="s">
        <v>678</v>
      </c>
      <c r="E6" t="s">
        <v>679</v>
      </c>
      <c r="I6" t="s">
        <v>680</v>
      </c>
    </row>
    <row r="7" spans="1:15">
      <c r="A7" t="s">
        <v>634</v>
      </c>
      <c r="B7" t="s">
        <v>681</v>
      </c>
      <c r="E7" t="s">
        <v>682</v>
      </c>
      <c r="I7" t="s">
        <v>683</v>
      </c>
    </row>
    <row r="8" spans="1:15">
      <c r="A8" t="s">
        <v>639</v>
      </c>
      <c r="B8" t="s">
        <v>684</v>
      </c>
      <c r="E8" t="s">
        <v>684</v>
      </c>
      <c r="I8" t="s">
        <v>684</v>
      </c>
    </row>
    <row r="9" spans="1:15">
      <c r="A9" t="s">
        <v>641</v>
      </c>
      <c r="B9">
        <v>3</v>
      </c>
      <c r="C9" t="s">
        <v>642</v>
      </c>
      <c r="D9">
        <v>3</v>
      </c>
      <c r="E9" t="s">
        <v>643</v>
      </c>
      <c r="F9">
        <v>6</v>
      </c>
      <c r="G9" t="s">
        <v>644</v>
      </c>
      <c r="H9">
        <v>1</v>
      </c>
      <c r="I9" t="s">
        <v>645</v>
      </c>
      <c r="J9">
        <v>5</v>
      </c>
    </row>
    <row r="10" spans="1:15">
      <c r="A10" t="s">
        <v>646</v>
      </c>
      <c r="B10" t="s">
        <v>204</v>
      </c>
      <c r="C10">
        <v>91</v>
      </c>
      <c r="D10" t="s">
        <v>205</v>
      </c>
      <c r="E10">
        <v>13</v>
      </c>
      <c r="F10" t="s">
        <v>206</v>
      </c>
      <c r="G10">
        <v>0</v>
      </c>
      <c r="H10" t="s">
        <v>230</v>
      </c>
      <c r="I10">
        <v>104</v>
      </c>
      <c r="J10" t="s">
        <v>647</v>
      </c>
      <c r="K10">
        <v>32</v>
      </c>
      <c r="L10" t="s">
        <v>648</v>
      </c>
      <c r="M10">
        <v>30</v>
      </c>
    </row>
    <row r="11" spans="1:15">
      <c r="A11" t="s">
        <v>209</v>
      </c>
      <c r="B11" t="s">
        <v>210</v>
      </c>
      <c r="C11">
        <v>194</v>
      </c>
      <c r="D11" t="s">
        <v>649</v>
      </c>
      <c r="E11">
        <v>30</v>
      </c>
      <c r="F11" t="s">
        <v>212</v>
      </c>
      <c r="G11">
        <v>0</v>
      </c>
      <c r="H11" t="s">
        <v>411</v>
      </c>
      <c r="I11">
        <v>224</v>
      </c>
    </row>
    <row r="12" spans="1:15">
      <c r="B12" t="s">
        <v>213</v>
      </c>
      <c r="C12">
        <v>203</v>
      </c>
      <c r="D12" t="s">
        <v>650</v>
      </c>
      <c r="E12">
        <v>29</v>
      </c>
      <c r="F12" t="s">
        <v>215</v>
      </c>
      <c r="G12">
        <v>0</v>
      </c>
      <c r="H12" t="s">
        <v>410</v>
      </c>
      <c r="I12">
        <v>232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27.68</v>
      </c>
      <c r="F16">
        <v>2768000</v>
      </c>
      <c r="G16">
        <v>0</v>
      </c>
      <c r="H16">
        <v>125865</v>
      </c>
      <c r="I16">
        <v>1234758</v>
      </c>
      <c r="J16">
        <v>1143415</v>
      </c>
      <c r="K16">
        <v>215585</v>
      </c>
      <c r="L16">
        <v>8950</v>
      </c>
      <c r="N16">
        <f>G16+H16+I16+J16+K16+L16+M16</f>
        <v>2728573</v>
      </c>
    </row>
    <row r="17" spans="1:15">
      <c r="A17" t="s">
        <v>665</v>
      </c>
      <c r="C17">
        <v>7000</v>
      </c>
      <c r="D17" t="s">
        <v>664</v>
      </c>
      <c r="E17">
        <v>2.8</v>
      </c>
      <c r="F17">
        <v>250000</v>
      </c>
      <c r="G17">
        <v>0</v>
      </c>
      <c r="H17">
        <v>0</v>
      </c>
      <c r="I17">
        <v>92158</v>
      </c>
      <c r="J17">
        <v>81553</v>
      </c>
      <c r="K17">
        <v>1500</v>
      </c>
      <c r="L17">
        <v>110867</v>
      </c>
      <c r="N17">
        <f t="shared" ref="N17:N23" si="0">G17+H17+I17+J17+K17+L17+M17</f>
        <v>286078</v>
      </c>
    </row>
    <row r="18" spans="1:15">
      <c r="A18" t="s">
        <v>235</v>
      </c>
      <c r="C18">
        <v>86</v>
      </c>
      <c r="D18" t="s">
        <v>664</v>
      </c>
      <c r="E18">
        <v>0.3</v>
      </c>
      <c r="F18">
        <v>43000</v>
      </c>
      <c r="G18">
        <v>0</v>
      </c>
      <c r="H18">
        <v>0</v>
      </c>
      <c r="I18">
        <v>11407</v>
      </c>
      <c r="J18">
        <v>17755</v>
      </c>
      <c r="K18">
        <v>2250</v>
      </c>
      <c r="L18">
        <v>55227</v>
      </c>
      <c r="N18">
        <f t="shared" si="0"/>
        <v>86639</v>
      </c>
    </row>
    <row r="19" spans="1:15">
      <c r="A19" t="s">
        <v>666</v>
      </c>
      <c r="C19">
        <v>68</v>
      </c>
      <c r="D19" t="s">
        <v>664</v>
      </c>
      <c r="E19">
        <v>0.24</v>
      </c>
      <c r="F19">
        <v>34000</v>
      </c>
      <c r="G19">
        <v>0</v>
      </c>
      <c r="H19">
        <v>0</v>
      </c>
      <c r="I19">
        <v>0</v>
      </c>
      <c r="J19">
        <v>12630</v>
      </c>
      <c r="K19">
        <v>14437</v>
      </c>
      <c r="L19">
        <v>0</v>
      </c>
      <c r="N19">
        <f t="shared" si="0"/>
        <v>27067</v>
      </c>
    </row>
    <row r="20" spans="1:15">
      <c r="A20" t="s">
        <v>238</v>
      </c>
      <c r="C20">
        <v>1200</v>
      </c>
      <c r="D20" t="s">
        <v>664</v>
      </c>
      <c r="E20">
        <v>4.1500000000000004</v>
      </c>
      <c r="F20">
        <v>130000</v>
      </c>
      <c r="G20">
        <v>0</v>
      </c>
      <c r="H20">
        <v>0</v>
      </c>
      <c r="I20">
        <v>0</v>
      </c>
      <c r="J20">
        <v>0</v>
      </c>
      <c r="K20">
        <v>50000</v>
      </c>
      <c r="L20">
        <v>120699</v>
      </c>
      <c r="N20">
        <f t="shared" si="0"/>
        <v>170699</v>
      </c>
    </row>
    <row r="21" spans="1:15">
      <c r="A21" t="s">
        <v>667</v>
      </c>
      <c r="C21">
        <v>565</v>
      </c>
      <c r="D21" t="s">
        <v>664</v>
      </c>
      <c r="E21">
        <v>1.84</v>
      </c>
      <c r="F21">
        <v>158750</v>
      </c>
      <c r="G21">
        <v>0</v>
      </c>
      <c r="H21">
        <v>0</v>
      </c>
      <c r="I21">
        <v>0</v>
      </c>
      <c r="J21">
        <v>0</v>
      </c>
      <c r="K21">
        <v>158750</v>
      </c>
      <c r="L21">
        <v>0</v>
      </c>
      <c r="N21">
        <f t="shared" si="0"/>
        <v>158750</v>
      </c>
    </row>
    <row r="22" spans="1:15">
      <c r="A22" t="s">
        <v>668</v>
      </c>
      <c r="C22">
        <v>1000</v>
      </c>
      <c r="D22" t="s">
        <v>664</v>
      </c>
      <c r="E22">
        <v>3.46</v>
      </c>
      <c r="F22">
        <v>346000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N22">
        <f t="shared" si="0"/>
        <v>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G23">
        <v>0</v>
      </c>
      <c r="H23">
        <v>35840</v>
      </c>
      <c r="I23">
        <v>29773</v>
      </c>
      <c r="J23">
        <v>31704</v>
      </c>
      <c r="K23">
        <v>22874</v>
      </c>
      <c r="L23">
        <v>24000</v>
      </c>
      <c r="N23">
        <f t="shared" si="0"/>
        <v>144191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42.88000000000001</v>
      </c>
      <c r="F25">
        <f t="shared" ref="F25:O25" si="1">SUM(F16:F24)</f>
        <v>3861750</v>
      </c>
      <c r="G25">
        <f t="shared" si="1"/>
        <v>0</v>
      </c>
      <c r="H25">
        <f t="shared" si="1"/>
        <v>161705</v>
      </c>
      <c r="I25">
        <f t="shared" si="1"/>
        <v>1368096</v>
      </c>
      <c r="J25">
        <f t="shared" si="1"/>
        <v>1287057</v>
      </c>
      <c r="K25">
        <f t="shared" si="1"/>
        <v>465396</v>
      </c>
      <c r="L25">
        <f t="shared" si="1"/>
        <v>319743</v>
      </c>
      <c r="M25">
        <f t="shared" si="1"/>
        <v>0</v>
      </c>
      <c r="N25">
        <f t="shared" si="1"/>
        <v>3601997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260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7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2686</v>
      </c>
      <c r="C4" s="1456"/>
      <c r="D4" s="1456"/>
      <c r="E4" s="650" t="s">
        <v>2458</v>
      </c>
      <c r="F4" s="649"/>
      <c r="G4" s="1467" t="s">
        <v>2687</v>
      </c>
      <c r="H4" s="1468"/>
      <c r="I4" s="1448" t="s">
        <v>2456</v>
      </c>
      <c r="J4" s="1459"/>
      <c r="K4" s="291">
        <v>607.79999999999995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2688</v>
      </c>
      <c r="C6" s="1458"/>
      <c r="D6" s="1458"/>
      <c r="E6" s="1458"/>
      <c r="F6" s="1448" t="s">
        <v>176</v>
      </c>
      <c r="G6" s="1459"/>
      <c r="H6" s="1458" t="s">
        <v>2689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2690</v>
      </c>
      <c r="C8" s="1458"/>
      <c r="D8" s="1458"/>
      <c r="E8" s="1458"/>
      <c r="F8" s="1463" t="s">
        <v>2451</v>
      </c>
      <c r="G8" s="1464"/>
      <c r="H8" s="1458" t="s">
        <v>2691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2691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2692</v>
      </c>
      <c r="C12" s="995"/>
      <c r="D12" s="995"/>
      <c r="E12" s="995" t="s">
        <v>2693</v>
      </c>
      <c r="F12" s="995"/>
      <c r="G12" s="1455" t="s">
        <v>2694</v>
      </c>
      <c r="H12" s="1457"/>
      <c r="I12" s="995" t="s">
        <v>2695</v>
      </c>
      <c r="J12" s="995"/>
      <c r="K12" s="995"/>
      <c r="L12" s="1455" t="s">
        <v>2696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13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103</v>
      </c>
      <c r="D18" s="650" t="s">
        <v>205</v>
      </c>
      <c r="E18" s="80">
        <v>2</v>
      </c>
      <c r="F18" s="650" t="s">
        <v>206</v>
      </c>
      <c r="G18" s="648">
        <v>20</v>
      </c>
      <c r="H18" s="650" t="s">
        <v>230</v>
      </c>
      <c r="I18" s="80">
        <f>+C18+E18+G18</f>
        <v>125</v>
      </c>
      <c r="J18" s="285" t="s">
        <v>414</v>
      </c>
      <c r="K18" s="651">
        <v>19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269</v>
      </c>
      <c r="D19" s="650" t="s">
        <v>2437</v>
      </c>
      <c r="E19" s="80">
        <v>6</v>
      </c>
      <c r="F19" s="650" t="s">
        <v>212</v>
      </c>
      <c r="G19" s="648">
        <v>49</v>
      </c>
      <c r="H19" s="650" t="s">
        <v>411</v>
      </c>
      <c r="I19" s="80">
        <f>+C19+E19+G19</f>
        <v>324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292</v>
      </c>
      <c r="D20" s="650" t="s">
        <v>214</v>
      </c>
      <c r="E20" s="80">
        <v>3</v>
      </c>
      <c r="F20" s="650" t="s">
        <v>215</v>
      </c>
      <c r="G20" s="648">
        <v>53</v>
      </c>
      <c r="H20" s="650" t="s">
        <v>410</v>
      </c>
      <c r="I20" s="80">
        <f>+C20+E20+G20</f>
        <v>348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55.978379999999994</v>
      </c>
      <c r="E26" s="278">
        <v>2.02</v>
      </c>
      <c r="F26" s="278"/>
      <c r="G26" s="278">
        <v>1.27</v>
      </c>
      <c r="H26" s="278"/>
      <c r="I26" s="278"/>
      <c r="J26" s="278"/>
      <c r="K26" s="278"/>
      <c r="L26" s="278"/>
      <c r="M26" s="278">
        <v>1.27</v>
      </c>
      <c r="N26" s="293">
        <v>62.871287128712872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48.976523999999998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3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0.21</v>
      </c>
      <c r="H28" s="278"/>
      <c r="I28" s="278"/>
      <c r="J28" s="278"/>
      <c r="K28" s="278"/>
      <c r="L28" s="278"/>
      <c r="M28" s="278">
        <v>0.21</v>
      </c>
      <c r="N28" s="293">
        <v>74.999999999999986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3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8.3997960000000003</v>
      </c>
      <c r="E30" s="278">
        <v>2</v>
      </c>
      <c r="F30" s="278"/>
      <c r="G30" s="278">
        <v>1.1399999999999999</v>
      </c>
      <c r="H30" s="278"/>
      <c r="I30" s="278"/>
      <c r="J30" s="278"/>
      <c r="K30" s="278"/>
      <c r="L30" s="278"/>
      <c r="M30" s="278">
        <v>1.1399999999999999</v>
      </c>
      <c r="N30" s="293">
        <v>56.999999999999993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3.9506999999999999</v>
      </c>
      <c r="E31" s="278">
        <v>0.6</v>
      </c>
      <c r="F31" s="278"/>
      <c r="G31" s="278">
        <v>0.6</v>
      </c>
      <c r="H31" s="278"/>
      <c r="I31" s="278"/>
      <c r="J31" s="278"/>
      <c r="K31" s="278"/>
      <c r="L31" s="278"/>
      <c r="M31" s="278">
        <v>0.6</v>
      </c>
      <c r="N31" s="293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7.0018560000000001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3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3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3"/>
    </row>
    <row r="35" spans="1:14" ht="21" customHeight="1">
      <c r="A35" s="276" t="s">
        <v>245</v>
      </c>
      <c r="B35" s="274"/>
      <c r="C35" s="274"/>
      <c r="D35" s="275">
        <v>127.487256</v>
      </c>
      <c r="E35" s="275">
        <v>5.3199999999999994</v>
      </c>
      <c r="F35" s="275">
        <v>0</v>
      </c>
      <c r="G35" s="275">
        <v>3.54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3.54</v>
      </c>
      <c r="N35" s="275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4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5688</v>
      </c>
      <c r="C4" s="1456"/>
      <c r="D4" s="1456"/>
      <c r="E4" s="650" t="s">
        <v>2458</v>
      </c>
      <c r="F4" s="649"/>
      <c r="G4" s="1467" t="s">
        <v>2697</v>
      </c>
      <c r="H4" s="1468"/>
      <c r="I4" s="1448" t="s">
        <v>2456</v>
      </c>
      <c r="J4" s="1459"/>
      <c r="K4" s="291">
        <v>389.56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2698</v>
      </c>
      <c r="C6" s="1458"/>
      <c r="D6" s="1458"/>
      <c r="E6" s="1458"/>
      <c r="F6" s="1448" t="s">
        <v>176</v>
      </c>
      <c r="G6" s="1459"/>
      <c r="H6" s="1458" t="s">
        <v>2699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2700</v>
      </c>
      <c r="C8" s="1458"/>
      <c r="D8" s="1458"/>
      <c r="E8" s="1458"/>
      <c r="F8" s="1463" t="s">
        <v>2451</v>
      </c>
      <c r="G8" s="1464"/>
      <c r="H8" s="1458" t="s">
        <v>2701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995" t="s">
        <v>2702</v>
      </c>
      <c r="C10" s="995"/>
      <c r="D10" s="995"/>
      <c r="E10" s="995" t="s">
        <v>2703</v>
      </c>
      <c r="F10" s="995"/>
      <c r="G10" s="1458" t="s">
        <v>2704</v>
      </c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995" t="s">
        <v>2705</v>
      </c>
      <c r="C11" s="995"/>
      <c r="D11" s="995"/>
      <c r="E11" s="995" t="s">
        <v>2706</v>
      </c>
      <c r="F11" s="995"/>
      <c r="G11" s="1458" t="s">
        <v>2707</v>
      </c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2708</v>
      </c>
      <c r="C12" s="995"/>
      <c r="D12" s="995"/>
      <c r="E12" s="995" t="s">
        <v>2709</v>
      </c>
      <c r="F12" s="995"/>
      <c r="G12" s="1455" t="s">
        <v>2709</v>
      </c>
      <c r="H12" s="1457"/>
      <c r="I12" s="1455" t="s">
        <v>2710</v>
      </c>
      <c r="J12" s="1456"/>
      <c r="K12" s="1457"/>
      <c r="L12" s="1455" t="s">
        <v>2711</v>
      </c>
      <c r="M12" s="1456"/>
      <c r="N12" s="1457"/>
    </row>
    <row r="13" spans="1:14" s="282" customFormat="1" ht="15" customHeight="1">
      <c r="A13" s="282" t="s">
        <v>2444</v>
      </c>
      <c r="B13" s="1458" t="s">
        <v>2438</v>
      </c>
      <c r="C13" s="1458"/>
      <c r="D13" s="1458"/>
      <c r="E13" s="1458" t="s">
        <v>2438</v>
      </c>
      <c r="F13" s="1458"/>
      <c r="G13" s="1458" t="s">
        <v>2438</v>
      </c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3</v>
      </c>
      <c r="C16" s="1448" t="s">
        <v>2442</v>
      </c>
      <c r="D16" s="1449"/>
      <c r="E16" s="1449"/>
      <c r="F16" s="651">
        <v>3</v>
      </c>
      <c r="G16" s="285" t="s">
        <v>1712</v>
      </c>
      <c r="H16" s="651">
        <v>20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140</v>
      </c>
      <c r="D18" s="650" t="s">
        <v>205</v>
      </c>
      <c r="E18" s="80">
        <v>37</v>
      </c>
      <c r="F18" s="650" t="s">
        <v>206</v>
      </c>
      <c r="G18" s="648">
        <v>60</v>
      </c>
      <c r="H18" s="650" t="s">
        <v>230</v>
      </c>
      <c r="I18" s="80">
        <f>+C18+E18+G18</f>
        <v>237</v>
      </c>
      <c r="J18" s="285" t="s">
        <v>414</v>
      </c>
      <c r="K18" s="651">
        <v>26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369</v>
      </c>
      <c r="D19" s="650" t="s">
        <v>2437</v>
      </c>
      <c r="E19" s="80">
        <v>90</v>
      </c>
      <c r="F19" s="650" t="s">
        <v>212</v>
      </c>
      <c r="G19" s="648">
        <v>163</v>
      </c>
      <c r="H19" s="650" t="s">
        <v>411</v>
      </c>
      <c r="I19" s="80">
        <f>+C19+E19+G19</f>
        <v>622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368</v>
      </c>
      <c r="D20" s="650" t="s">
        <v>214</v>
      </c>
      <c r="E20" s="80">
        <v>97</v>
      </c>
      <c r="F20" s="650" t="s">
        <v>215</v>
      </c>
      <c r="G20" s="648">
        <v>159</v>
      </c>
      <c r="H20" s="650" t="s">
        <v>410</v>
      </c>
      <c r="I20" s="80">
        <f>+C20+E20+G20</f>
        <v>624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35.878475999999999</v>
      </c>
      <c r="E26" s="278">
        <v>2.79</v>
      </c>
      <c r="F26" s="278"/>
      <c r="G26" s="278">
        <v>0.79</v>
      </c>
      <c r="H26" s="278"/>
      <c r="I26" s="278"/>
      <c r="J26" s="278"/>
      <c r="K26" s="278"/>
      <c r="L26" s="278"/>
      <c r="M26" s="278">
        <v>0.79</v>
      </c>
      <c r="N26" s="293">
        <v>28.31541218637993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31.3907448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3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3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3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5.3837192000000007</v>
      </c>
      <c r="E30" s="278">
        <v>2</v>
      </c>
      <c r="F30" s="278"/>
      <c r="G30" s="278">
        <v>0.24</v>
      </c>
      <c r="H30" s="278"/>
      <c r="I30" s="278"/>
      <c r="J30" s="278"/>
      <c r="K30" s="278"/>
      <c r="L30" s="278"/>
      <c r="M30" s="278">
        <v>0.24</v>
      </c>
      <c r="N30" s="293">
        <v>12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2.5321400000000001</v>
      </c>
      <c r="E31" s="278">
        <v>0.39</v>
      </c>
      <c r="F31" s="278"/>
      <c r="G31" s="278">
        <v>0.39</v>
      </c>
      <c r="H31" s="278"/>
      <c r="I31" s="278"/>
      <c r="J31" s="278"/>
      <c r="K31" s="278"/>
      <c r="L31" s="278"/>
      <c r="M31" s="278">
        <v>0.39</v>
      </c>
      <c r="N31" s="293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4.4877311999999998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3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3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3"/>
    </row>
    <row r="35" spans="1:14" ht="21" customHeight="1">
      <c r="A35" s="276" t="s">
        <v>245</v>
      </c>
      <c r="B35" s="274"/>
      <c r="C35" s="274"/>
      <c r="D35" s="275">
        <v>82.852811200000005</v>
      </c>
      <c r="E35" s="275">
        <v>5.88</v>
      </c>
      <c r="F35" s="275">
        <v>0</v>
      </c>
      <c r="G35" s="275">
        <v>1.9199999999999997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1.9199999999999997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1.7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2712</v>
      </c>
      <c r="C4" s="1456"/>
      <c r="D4" s="1456"/>
      <c r="E4" s="650" t="s">
        <v>2458</v>
      </c>
      <c r="F4" s="649"/>
      <c r="G4" s="1467" t="s">
        <v>2713</v>
      </c>
      <c r="H4" s="1468"/>
      <c r="I4" s="1448" t="s">
        <v>2456</v>
      </c>
      <c r="J4" s="1459"/>
      <c r="K4" s="291">
        <v>502.06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2714</v>
      </c>
      <c r="C6" s="1458"/>
      <c r="D6" s="1458"/>
      <c r="E6" s="1458"/>
      <c r="F6" s="1448" t="s">
        <v>176</v>
      </c>
      <c r="G6" s="1459"/>
      <c r="H6" s="1458" t="s">
        <v>2715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2716</v>
      </c>
      <c r="C8" s="1458"/>
      <c r="D8" s="1458"/>
      <c r="E8" s="1458"/>
      <c r="F8" s="1463" t="s">
        <v>2451</v>
      </c>
      <c r="G8" s="1464"/>
      <c r="H8" s="1458" t="s">
        <v>2717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995" t="s">
        <v>2718</v>
      </c>
      <c r="C10" s="995"/>
      <c r="D10" s="995"/>
      <c r="E10" s="995" t="s">
        <v>2717</v>
      </c>
      <c r="F10" s="995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995" t="s">
        <v>2719</v>
      </c>
      <c r="C11" s="995"/>
      <c r="D11" s="995"/>
      <c r="E11" s="995" t="s">
        <v>2695</v>
      </c>
      <c r="F11" s="995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2720</v>
      </c>
      <c r="C12" s="995"/>
      <c r="D12" s="995"/>
      <c r="E12" s="995" t="s">
        <v>2721</v>
      </c>
      <c r="F12" s="995"/>
      <c r="G12" s="995" t="s">
        <v>2722</v>
      </c>
      <c r="H12" s="995"/>
      <c r="I12" s="995" t="s">
        <v>2723</v>
      </c>
      <c r="J12" s="995"/>
      <c r="K12" s="995"/>
      <c r="L12" s="1455" t="s">
        <v>2724</v>
      </c>
      <c r="M12" s="1456"/>
      <c r="N12" s="1457"/>
    </row>
    <row r="13" spans="1:14" s="282" customFormat="1" ht="15" customHeight="1">
      <c r="A13" s="282" t="s">
        <v>2444</v>
      </c>
      <c r="B13" s="1458" t="s">
        <v>2438</v>
      </c>
      <c r="C13" s="1458"/>
      <c r="D13" s="1458"/>
      <c r="E13" s="1458" t="s">
        <v>2725</v>
      </c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2</v>
      </c>
      <c r="C16" s="1448" t="s">
        <v>2442</v>
      </c>
      <c r="D16" s="1449"/>
      <c r="E16" s="1449"/>
      <c r="F16" s="651">
        <v>2</v>
      </c>
      <c r="G16" s="285" t="s">
        <v>1712</v>
      </c>
      <c r="H16" s="651">
        <v>12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274</v>
      </c>
      <c r="D18" s="650" t="s">
        <v>205</v>
      </c>
      <c r="E18" s="80">
        <v>1</v>
      </c>
      <c r="F18" s="650" t="s">
        <v>206</v>
      </c>
      <c r="G18" s="648">
        <v>29</v>
      </c>
      <c r="H18" s="650" t="s">
        <v>230</v>
      </c>
      <c r="I18" s="80">
        <f>+C18+E18+G18</f>
        <v>304</v>
      </c>
      <c r="J18" s="285" t="s">
        <v>414</v>
      </c>
      <c r="K18" s="651">
        <v>55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686</v>
      </c>
      <c r="D19" s="650" t="s">
        <v>2437</v>
      </c>
      <c r="E19" s="80">
        <v>2</v>
      </c>
      <c r="F19" s="650" t="s">
        <v>212</v>
      </c>
      <c r="G19" s="648">
        <v>75</v>
      </c>
      <c r="H19" s="650" t="s">
        <v>411</v>
      </c>
      <c r="I19" s="80">
        <v>655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672</v>
      </c>
      <c r="D20" s="650" t="s">
        <v>214</v>
      </c>
      <c r="E20" s="80">
        <v>1</v>
      </c>
      <c r="F20" s="650" t="s">
        <v>215</v>
      </c>
      <c r="G20" s="648">
        <v>80</v>
      </c>
      <c r="H20" s="650" t="s">
        <v>410</v>
      </c>
      <c r="I20" s="80">
        <v>610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46.23972599999999</v>
      </c>
      <c r="E26" s="278">
        <v>3.17</v>
      </c>
      <c r="F26" s="278"/>
      <c r="G26" s="278">
        <v>1.07</v>
      </c>
      <c r="H26" s="278"/>
      <c r="I26" s="278"/>
      <c r="J26" s="278"/>
      <c r="K26" s="278"/>
      <c r="L26" s="278"/>
      <c r="M26" s="278">
        <v>1.07</v>
      </c>
      <c r="N26" s="292">
        <v>33.753943217665615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40.455994799999992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6.9384691999999992</v>
      </c>
      <c r="E30" s="278">
        <v>2</v>
      </c>
      <c r="F30" s="278"/>
      <c r="G30" s="278">
        <v>0.63</v>
      </c>
      <c r="H30" s="278"/>
      <c r="I30" s="278"/>
      <c r="J30" s="278"/>
      <c r="K30" s="278"/>
      <c r="L30" s="278"/>
      <c r="M30" s="278">
        <v>0.63</v>
      </c>
      <c r="N30" s="292">
        <v>31.5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3.2633899999999998</v>
      </c>
      <c r="E31" s="278">
        <v>0.5</v>
      </c>
      <c r="F31" s="278"/>
      <c r="G31" s="278">
        <v>0.5</v>
      </c>
      <c r="H31" s="278"/>
      <c r="I31" s="278"/>
      <c r="J31" s="278"/>
      <c r="K31" s="278"/>
      <c r="L31" s="278"/>
      <c r="M31" s="278">
        <v>0.5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5.7837311999999992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105.86131119999999</v>
      </c>
      <c r="E35" s="275">
        <v>6.37</v>
      </c>
      <c r="F35" s="275">
        <v>0</v>
      </c>
      <c r="G35" s="275">
        <v>2.7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2.7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7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2726</v>
      </c>
      <c r="C4" s="1456"/>
      <c r="D4" s="1456"/>
      <c r="E4" s="650" t="s">
        <v>2458</v>
      </c>
      <c r="F4" s="649"/>
      <c r="G4" s="1467" t="s">
        <v>2727</v>
      </c>
      <c r="H4" s="1468"/>
      <c r="I4" s="1448" t="s">
        <v>2456</v>
      </c>
      <c r="J4" s="1459"/>
      <c r="K4" s="291">
        <v>572.07000000000005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2728</v>
      </c>
      <c r="C6" s="1458"/>
      <c r="D6" s="1458"/>
      <c r="E6" s="1458"/>
      <c r="F6" s="1448" t="s">
        <v>176</v>
      </c>
      <c r="G6" s="1459"/>
      <c r="H6" s="1458" t="s">
        <v>2729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2438</v>
      </c>
      <c r="C8" s="1458"/>
      <c r="D8" s="1458"/>
      <c r="E8" s="1458"/>
      <c r="F8" s="1463" t="s">
        <v>2451</v>
      </c>
      <c r="G8" s="1464"/>
      <c r="H8" s="1458" t="s">
        <v>2730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2730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1455" t="s">
        <v>2731</v>
      </c>
      <c r="C12" s="1456"/>
      <c r="D12" s="1457"/>
      <c r="E12" s="1455" t="s">
        <v>2732</v>
      </c>
      <c r="F12" s="1457"/>
      <c r="G12" s="1455" t="s">
        <v>2733</v>
      </c>
      <c r="H12" s="1457"/>
      <c r="I12" s="1455" t="s">
        <v>2734</v>
      </c>
      <c r="J12" s="1456"/>
      <c r="K12" s="1457"/>
      <c r="L12" s="1455" t="s">
        <v>2735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12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91</v>
      </c>
      <c r="D18" s="650" t="s">
        <v>205</v>
      </c>
      <c r="E18" s="80">
        <v>90</v>
      </c>
      <c r="F18" s="650" t="s">
        <v>206</v>
      </c>
      <c r="G18" s="648">
        <v>50</v>
      </c>
      <c r="H18" s="650" t="s">
        <v>230</v>
      </c>
      <c r="I18" s="80">
        <f>+C18+E18+G18</f>
        <v>231</v>
      </c>
      <c r="J18" s="285" t="s">
        <v>414</v>
      </c>
      <c r="K18" s="651">
        <v>23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212</v>
      </c>
      <c r="D19" s="650" t="s">
        <v>2437</v>
      </c>
      <c r="E19" s="80">
        <v>207</v>
      </c>
      <c r="F19" s="650" t="s">
        <v>212</v>
      </c>
      <c r="G19" s="648">
        <v>123</v>
      </c>
      <c r="H19" s="650" t="s">
        <v>411</v>
      </c>
      <c r="I19" s="80">
        <f>+C19+E19+G19</f>
        <v>542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184</v>
      </c>
      <c r="D20" s="650" t="s">
        <v>214</v>
      </c>
      <c r="E20" s="80">
        <v>195</v>
      </c>
      <c r="F20" s="650" t="s">
        <v>215</v>
      </c>
      <c r="G20" s="648">
        <v>94</v>
      </c>
      <c r="H20" s="650" t="s">
        <v>410</v>
      </c>
      <c r="I20" s="80">
        <f>+C20+E20+G20</f>
        <v>473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52.687647000000005</v>
      </c>
      <c r="E26" s="278">
        <v>3.4</v>
      </c>
      <c r="F26" s="278"/>
      <c r="G26" s="278">
        <v>3</v>
      </c>
      <c r="H26" s="278"/>
      <c r="I26" s="278"/>
      <c r="J26" s="278"/>
      <c r="K26" s="278"/>
      <c r="L26" s="278"/>
      <c r="M26" s="278">
        <v>3</v>
      </c>
      <c r="N26" s="292">
        <v>88.235294117647058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46.097400600000007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7.9060074000000009</v>
      </c>
      <c r="E30" s="278">
        <v>2</v>
      </c>
      <c r="F30" s="278"/>
      <c r="G30" s="278">
        <v>1.84</v>
      </c>
      <c r="H30" s="278"/>
      <c r="I30" s="278"/>
      <c r="J30" s="278"/>
      <c r="K30" s="278"/>
      <c r="L30" s="278"/>
      <c r="M30" s="278">
        <v>1.84</v>
      </c>
      <c r="N30" s="292">
        <v>92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3.7184550000000005</v>
      </c>
      <c r="E31" s="278">
        <v>0.56999999999999995</v>
      </c>
      <c r="F31" s="278"/>
      <c r="G31" s="278">
        <v>0.56999999999999995</v>
      </c>
      <c r="H31" s="278"/>
      <c r="I31" s="278"/>
      <c r="J31" s="278"/>
      <c r="K31" s="278"/>
      <c r="L31" s="278"/>
      <c r="M31" s="278">
        <v>0.56999999999999995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6.5902464000000007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120.17975640000003</v>
      </c>
      <c r="E35" s="275">
        <v>6.67</v>
      </c>
      <c r="F35" s="275">
        <v>0</v>
      </c>
      <c r="G35" s="275">
        <v>5.910000000000001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5.910000000000001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2.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2736</v>
      </c>
      <c r="C4" s="1456"/>
      <c r="D4" s="1456"/>
      <c r="E4" s="650" t="s">
        <v>2458</v>
      </c>
      <c r="F4" s="649"/>
      <c r="G4" s="1469" t="s">
        <v>2737</v>
      </c>
      <c r="H4" s="1469"/>
      <c r="I4" s="1448" t="s">
        <v>2456</v>
      </c>
      <c r="J4" s="1459"/>
      <c r="K4" s="291">
        <v>601.28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2738</v>
      </c>
      <c r="C6" s="1458"/>
      <c r="D6" s="1458"/>
      <c r="E6" s="1458"/>
      <c r="F6" s="1448" t="s">
        <v>176</v>
      </c>
      <c r="G6" s="1459"/>
      <c r="H6" s="1458" t="s">
        <v>2739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2740</v>
      </c>
      <c r="C8" s="1458"/>
      <c r="D8" s="1458"/>
      <c r="E8" s="1458"/>
      <c r="F8" s="1463" t="s">
        <v>2451</v>
      </c>
      <c r="G8" s="1464"/>
      <c r="H8" s="1458" t="s">
        <v>2741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995" t="s">
        <v>2742</v>
      </c>
      <c r="C10" s="995"/>
      <c r="D10" s="995"/>
      <c r="E10" s="995" t="s">
        <v>2743</v>
      </c>
      <c r="F10" s="995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995" t="s">
        <v>2744</v>
      </c>
      <c r="C11" s="995"/>
      <c r="D11" s="995"/>
      <c r="E11" s="995" t="s">
        <v>2745</v>
      </c>
      <c r="F11" s="995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2746</v>
      </c>
      <c r="C12" s="995"/>
      <c r="D12" s="995"/>
      <c r="E12" s="995" t="s">
        <v>2747</v>
      </c>
      <c r="F12" s="995"/>
      <c r="G12" s="995" t="s">
        <v>2748</v>
      </c>
      <c r="H12" s="995"/>
      <c r="I12" s="995" t="s">
        <v>2749</v>
      </c>
      <c r="J12" s="995"/>
      <c r="K12" s="995"/>
      <c r="L12" s="1455" t="s">
        <v>2750</v>
      </c>
      <c r="M12" s="1456"/>
      <c r="N12" s="1457"/>
    </row>
    <row r="13" spans="1:14" s="282" customFormat="1" ht="15" customHeight="1">
      <c r="A13" s="282" t="s">
        <v>2444</v>
      </c>
      <c r="B13" s="1458" t="s">
        <v>2438</v>
      </c>
      <c r="C13" s="1458"/>
      <c r="D13" s="1458"/>
      <c r="E13" s="1458" t="s">
        <v>2751</v>
      </c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2</v>
      </c>
      <c r="C16" s="1448" t="s">
        <v>2442</v>
      </c>
      <c r="D16" s="1449"/>
      <c r="E16" s="1449"/>
      <c r="F16" s="651">
        <v>2</v>
      </c>
      <c r="G16" s="285" t="s">
        <v>1712</v>
      </c>
      <c r="H16" s="651">
        <v>20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177</v>
      </c>
      <c r="D18" s="650" t="s">
        <v>205</v>
      </c>
      <c r="E18" s="80">
        <v>84</v>
      </c>
      <c r="F18" s="650" t="s">
        <v>206</v>
      </c>
      <c r="G18" s="648">
        <v>134</v>
      </c>
      <c r="H18" s="650" t="s">
        <v>230</v>
      </c>
      <c r="I18" s="80">
        <f>+C18+E18+G18</f>
        <v>395</v>
      </c>
      <c r="J18" s="285" t="s">
        <v>414</v>
      </c>
      <c r="K18" s="651">
        <v>87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358</v>
      </c>
      <c r="D19" s="650" t="s">
        <v>2437</v>
      </c>
      <c r="E19" s="80">
        <v>174</v>
      </c>
      <c r="F19" s="650" t="s">
        <v>212</v>
      </c>
      <c r="G19" s="648">
        <v>266</v>
      </c>
      <c r="H19" s="650" t="s">
        <v>411</v>
      </c>
      <c r="I19" s="80">
        <f>+C19+E19+G19</f>
        <v>798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377</v>
      </c>
      <c r="D20" s="650" t="s">
        <v>214</v>
      </c>
      <c r="E20" s="80">
        <v>212</v>
      </c>
      <c r="F20" s="650" t="s">
        <v>215</v>
      </c>
      <c r="G20" s="648">
        <v>262</v>
      </c>
      <c r="H20" s="650" t="s">
        <v>410</v>
      </c>
      <c r="I20" s="80">
        <f>+C20+E20+G20</f>
        <v>851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55.377887999999992</v>
      </c>
      <c r="E26" s="278">
        <v>4</v>
      </c>
      <c r="F26" s="278"/>
      <c r="G26" s="278">
        <v>0.56000000000000005</v>
      </c>
      <c r="H26" s="278"/>
      <c r="I26" s="278"/>
      <c r="J26" s="278"/>
      <c r="K26" s="278"/>
      <c r="L26" s="278"/>
      <c r="M26" s="278">
        <v>0.56000000000000005</v>
      </c>
      <c r="N26" s="292">
        <v>14.000000000000002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48.451142399999995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8.3096895999999987</v>
      </c>
      <c r="E30" s="278">
        <v>2</v>
      </c>
      <c r="F30" s="278"/>
      <c r="G30" s="278">
        <v>0.78</v>
      </c>
      <c r="H30" s="278"/>
      <c r="I30" s="278"/>
      <c r="J30" s="278"/>
      <c r="K30" s="278"/>
      <c r="L30" s="278"/>
      <c r="M30" s="278">
        <v>0.78</v>
      </c>
      <c r="N30" s="292">
        <v>39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3.9083199999999994</v>
      </c>
      <c r="E31" s="278">
        <v>0.6</v>
      </c>
      <c r="F31" s="278"/>
      <c r="G31" s="278">
        <v>0.6</v>
      </c>
      <c r="H31" s="278"/>
      <c r="I31" s="278"/>
      <c r="J31" s="278"/>
      <c r="K31" s="278"/>
      <c r="L31" s="278"/>
      <c r="M31" s="278">
        <v>0.6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6.9267455999999985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126.15378560000001</v>
      </c>
      <c r="E35" s="275">
        <v>7.3</v>
      </c>
      <c r="F35" s="275">
        <v>0</v>
      </c>
      <c r="G35" s="275">
        <v>2.4400000000000004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2.4400000000000004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2323</v>
      </c>
      <c r="C4" s="1456"/>
      <c r="D4" s="1456"/>
      <c r="E4" s="650" t="s">
        <v>2458</v>
      </c>
      <c r="F4" s="649"/>
      <c r="G4" s="1467" t="s">
        <v>2752</v>
      </c>
      <c r="H4" s="1468"/>
      <c r="I4" s="1448" t="s">
        <v>2456</v>
      </c>
      <c r="J4" s="1459"/>
      <c r="K4" s="291">
        <v>563.99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2753</v>
      </c>
      <c r="C6" s="1458"/>
      <c r="D6" s="1458"/>
      <c r="E6" s="1458"/>
      <c r="F6" s="1448" t="s">
        <v>176</v>
      </c>
      <c r="G6" s="1459"/>
      <c r="H6" s="1458" t="s">
        <v>2754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2755</v>
      </c>
      <c r="C8" s="1458"/>
      <c r="D8" s="1458"/>
      <c r="E8" s="1458"/>
      <c r="F8" s="1463" t="s">
        <v>2451</v>
      </c>
      <c r="G8" s="1464"/>
      <c r="H8" s="1458" t="s">
        <v>2756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2756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2757</v>
      </c>
      <c r="C12" s="995"/>
      <c r="D12" s="995"/>
      <c r="E12" s="1455" t="s">
        <v>2758</v>
      </c>
      <c r="F12" s="1457"/>
      <c r="G12" s="995" t="s">
        <v>2759</v>
      </c>
      <c r="H12" s="995"/>
      <c r="I12" s="1455" t="s">
        <v>2760</v>
      </c>
      <c r="J12" s="1456"/>
      <c r="K12" s="1457"/>
      <c r="L12" s="995" t="s">
        <v>2757</v>
      </c>
      <c r="M12" s="995"/>
      <c r="N12" s="995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1</v>
      </c>
      <c r="G16" s="285" t="s">
        <v>1712</v>
      </c>
      <c r="H16" s="651">
        <v>6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131</v>
      </c>
      <c r="D18" s="650" t="s">
        <v>205</v>
      </c>
      <c r="E18" s="80">
        <v>5</v>
      </c>
      <c r="F18" s="650" t="s">
        <v>206</v>
      </c>
      <c r="G18" s="648">
        <v>17</v>
      </c>
      <c r="H18" s="650" t="s">
        <v>230</v>
      </c>
      <c r="I18" s="80">
        <f>+C18+E18+G18</f>
        <v>153</v>
      </c>
      <c r="J18" s="285" t="s">
        <v>414</v>
      </c>
      <c r="K18" s="651">
        <v>63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319</v>
      </c>
      <c r="D19" s="650" t="s">
        <v>2437</v>
      </c>
      <c r="E19" s="80">
        <v>8</v>
      </c>
      <c r="F19" s="650" t="s">
        <v>212</v>
      </c>
      <c r="G19" s="648">
        <v>35</v>
      </c>
      <c r="H19" s="650" t="s">
        <v>411</v>
      </c>
      <c r="I19" s="80">
        <f>+C19+E19+G19</f>
        <v>362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298</v>
      </c>
      <c r="D20" s="650" t="s">
        <v>214</v>
      </c>
      <c r="E20" s="80">
        <v>12</v>
      </c>
      <c r="F20" s="650" t="s">
        <v>215</v>
      </c>
      <c r="G20" s="648">
        <v>39</v>
      </c>
      <c r="H20" s="650" t="s">
        <v>410</v>
      </c>
      <c r="I20" s="80">
        <f>+C20+E20+G20</f>
        <v>349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51.943478999999996</v>
      </c>
      <c r="E26" s="278">
        <v>1.88</v>
      </c>
      <c r="F26" s="278"/>
      <c r="G26" s="278">
        <v>1.6</v>
      </c>
      <c r="H26" s="278"/>
      <c r="I26" s="278"/>
      <c r="J26" s="278"/>
      <c r="K26" s="278"/>
      <c r="L26" s="278"/>
      <c r="M26" s="278">
        <v>1.6</v>
      </c>
      <c r="N26" s="292">
        <v>85.106382978723417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45.446314199999996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7.7943417999999998</v>
      </c>
      <c r="E30" s="278">
        <v>2</v>
      </c>
      <c r="F30" s="278"/>
      <c r="G30" s="278">
        <v>0.62</v>
      </c>
      <c r="H30" s="278"/>
      <c r="I30" s="278"/>
      <c r="J30" s="278"/>
      <c r="K30" s="278"/>
      <c r="L30" s="278"/>
      <c r="M30" s="278">
        <v>0.62</v>
      </c>
      <c r="N30" s="292">
        <v>31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3.6659350000000002</v>
      </c>
      <c r="E31" s="278">
        <v>0.56000000000000005</v>
      </c>
      <c r="F31" s="278"/>
      <c r="G31" s="278">
        <v>0.56000000000000005</v>
      </c>
      <c r="H31" s="278"/>
      <c r="I31" s="278"/>
      <c r="J31" s="278"/>
      <c r="K31" s="278"/>
      <c r="L31" s="278"/>
      <c r="M31" s="278">
        <v>0.56000000000000005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6.4971647999999993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1.6</v>
      </c>
      <c r="F33" s="278"/>
      <c r="G33" s="278">
        <v>0.12</v>
      </c>
      <c r="H33" s="278"/>
      <c r="I33" s="278"/>
      <c r="J33" s="278"/>
      <c r="K33" s="278"/>
      <c r="L33" s="278"/>
      <c r="M33" s="278">
        <v>0.12</v>
      </c>
      <c r="N33" s="292">
        <v>7.5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118.52723479999999</v>
      </c>
      <c r="E35" s="275">
        <v>6.58</v>
      </c>
      <c r="F35" s="275">
        <v>0</v>
      </c>
      <c r="G35" s="275">
        <v>3.24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3.24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6.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2761</v>
      </c>
      <c r="C4" s="1456"/>
      <c r="D4" s="1456"/>
      <c r="E4" s="650" t="s">
        <v>2458</v>
      </c>
      <c r="F4" s="649"/>
      <c r="G4" s="1469" t="s">
        <v>2762</v>
      </c>
      <c r="H4" s="1469"/>
      <c r="I4" s="1448" t="s">
        <v>2456</v>
      </c>
      <c r="J4" s="1459"/>
      <c r="K4" s="291">
        <v>424.02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2763</v>
      </c>
      <c r="C6" s="1458"/>
      <c r="D6" s="1458"/>
      <c r="E6" s="1458"/>
      <c r="F6" s="1448" t="s">
        <v>176</v>
      </c>
      <c r="G6" s="1459"/>
      <c r="H6" s="1458" t="s">
        <v>1590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5689</v>
      </c>
      <c r="C8" s="1458"/>
      <c r="D8" s="1458"/>
      <c r="E8" s="1458"/>
      <c r="F8" s="1463" t="s">
        <v>2451</v>
      </c>
      <c r="G8" s="1464"/>
      <c r="H8" s="1458" t="s">
        <v>5690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995" t="s">
        <v>2764</v>
      </c>
      <c r="C10" s="995"/>
      <c r="D10" s="995"/>
      <c r="E10" s="995" t="s">
        <v>2765</v>
      </c>
      <c r="F10" s="995"/>
      <c r="G10" s="1458" t="s">
        <v>2766</v>
      </c>
      <c r="H10" s="1458"/>
      <c r="I10" s="995" t="s">
        <v>2767</v>
      </c>
      <c r="J10" s="995"/>
      <c r="K10" s="995"/>
      <c r="L10" s="1458"/>
      <c r="M10" s="1458"/>
      <c r="N10" s="1458"/>
    </row>
    <row r="11" spans="1:14" s="282" customFormat="1" ht="15" customHeight="1">
      <c r="A11" s="282" t="s">
        <v>187</v>
      </c>
      <c r="B11" s="995" t="s">
        <v>2768</v>
      </c>
      <c r="C11" s="995"/>
      <c r="D11" s="995"/>
      <c r="E11" s="995" t="s">
        <v>2769</v>
      </c>
      <c r="F11" s="995"/>
      <c r="G11" s="1458" t="s">
        <v>2770</v>
      </c>
      <c r="H11" s="1458"/>
      <c r="I11" s="995" t="s">
        <v>2771</v>
      </c>
      <c r="J11" s="995"/>
      <c r="K11" s="995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2772</v>
      </c>
      <c r="C12" s="995"/>
      <c r="D12" s="995"/>
      <c r="E12" s="995" t="s">
        <v>2773</v>
      </c>
      <c r="F12" s="995"/>
      <c r="G12" s="1455" t="s">
        <v>2774</v>
      </c>
      <c r="H12" s="1457"/>
      <c r="I12" s="995" t="s">
        <v>2775</v>
      </c>
      <c r="J12" s="995"/>
      <c r="K12" s="995"/>
      <c r="L12" s="1455" t="s">
        <v>2776</v>
      </c>
      <c r="M12" s="1456"/>
      <c r="N12" s="1457"/>
    </row>
    <row r="13" spans="1:14" s="282" customFormat="1" ht="15" customHeight="1">
      <c r="A13" s="282" t="s">
        <v>2444</v>
      </c>
      <c r="B13" s="1458" t="s">
        <v>2777</v>
      </c>
      <c r="C13" s="1458"/>
      <c r="D13" s="1458"/>
      <c r="E13" s="1458" t="s">
        <v>2438</v>
      </c>
      <c r="F13" s="1458"/>
      <c r="G13" s="1458" t="s">
        <v>2778</v>
      </c>
      <c r="H13" s="1458"/>
      <c r="I13" s="1458" t="s">
        <v>2779</v>
      </c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4</v>
      </c>
      <c r="C16" s="1448" t="s">
        <v>2442</v>
      </c>
      <c r="D16" s="1449"/>
      <c r="E16" s="1449"/>
      <c r="F16" s="651">
        <v>4</v>
      </c>
      <c r="G16" s="285" t="s">
        <v>1712</v>
      </c>
      <c r="H16" s="651">
        <v>16</v>
      </c>
      <c r="I16" s="650" t="s">
        <v>2441</v>
      </c>
      <c r="J16" s="651">
        <v>2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165</v>
      </c>
      <c r="D18" s="650" t="s">
        <v>205</v>
      </c>
      <c r="E18" s="80">
        <v>42</v>
      </c>
      <c r="F18" s="650" t="s">
        <v>206</v>
      </c>
      <c r="G18" s="648">
        <v>55</v>
      </c>
      <c r="H18" s="650" t="s">
        <v>230</v>
      </c>
      <c r="I18" s="80">
        <f>+C18+E18+G18</f>
        <v>262</v>
      </c>
      <c r="J18" s="285" t="s">
        <v>414</v>
      </c>
      <c r="K18" s="651">
        <v>76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377</v>
      </c>
      <c r="D19" s="650" t="s">
        <v>2437</v>
      </c>
      <c r="E19" s="80">
        <v>116</v>
      </c>
      <c r="F19" s="650" t="s">
        <v>212</v>
      </c>
      <c r="G19" s="648">
        <v>114</v>
      </c>
      <c r="H19" s="650" t="s">
        <v>411</v>
      </c>
      <c r="I19" s="80">
        <f>+C19+E19+G19</f>
        <v>607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332</v>
      </c>
      <c r="D20" s="650" t="s">
        <v>214</v>
      </c>
      <c r="E20" s="80">
        <v>96</v>
      </c>
      <c r="F20" s="650" t="s">
        <v>215</v>
      </c>
      <c r="G20" s="648">
        <v>119</v>
      </c>
      <c r="H20" s="650" t="s">
        <v>410</v>
      </c>
      <c r="I20" s="80">
        <f>+C20+E20+G20</f>
        <v>547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39.052242</v>
      </c>
      <c r="E26" s="278">
        <v>3.42</v>
      </c>
      <c r="F26" s="278"/>
      <c r="G26" s="278">
        <v>1.35</v>
      </c>
      <c r="H26" s="278"/>
      <c r="I26" s="278"/>
      <c r="J26" s="278"/>
      <c r="K26" s="278"/>
      <c r="L26" s="278"/>
      <c r="M26" s="278">
        <v>1.35</v>
      </c>
      <c r="N26" s="292">
        <v>39.473684210526322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34.167531599999997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0.21</v>
      </c>
      <c r="H28" s="278"/>
      <c r="I28" s="278"/>
      <c r="J28" s="278"/>
      <c r="K28" s="278"/>
      <c r="L28" s="278"/>
      <c r="M28" s="278">
        <v>0.21</v>
      </c>
      <c r="N28" s="292">
        <v>74.999999999999986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5.8599564000000006</v>
      </c>
      <c r="E30" s="278">
        <v>2</v>
      </c>
      <c r="F30" s="278"/>
      <c r="G30" s="278">
        <v>1.63</v>
      </c>
      <c r="H30" s="278"/>
      <c r="I30" s="278"/>
      <c r="J30" s="278"/>
      <c r="K30" s="278"/>
      <c r="L30" s="278"/>
      <c r="M30" s="278">
        <v>1.63</v>
      </c>
      <c r="N30" s="292">
        <v>81.5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2.7561300000000002</v>
      </c>
      <c r="E31" s="278">
        <v>0.42</v>
      </c>
      <c r="F31" s="278"/>
      <c r="G31" s="278">
        <v>0.42</v>
      </c>
      <c r="H31" s="278"/>
      <c r="I31" s="278"/>
      <c r="J31" s="278"/>
      <c r="K31" s="278"/>
      <c r="L31" s="278"/>
      <c r="M31" s="278">
        <v>0.42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4.8847104000000003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0.14000000000000001</v>
      </c>
      <c r="H33" s="278"/>
      <c r="I33" s="278"/>
      <c r="J33" s="278"/>
      <c r="K33" s="278"/>
      <c r="L33" s="278"/>
      <c r="M33" s="278">
        <v>0.14000000000000001</v>
      </c>
      <c r="N33" s="292">
        <v>87.500000000000014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89.900570400000007</v>
      </c>
      <c r="E35" s="275">
        <v>6.54</v>
      </c>
      <c r="F35" s="275">
        <v>0</v>
      </c>
      <c r="G35" s="275">
        <v>3.9099999999999997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3.9099999999999997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4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2325</v>
      </c>
      <c r="C4" s="1456"/>
      <c r="D4" s="1456"/>
      <c r="E4" s="650" t="s">
        <v>2458</v>
      </c>
      <c r="F4" s="649"/>
      <c r="G4" s="1467" t="s">
        <v>2780</v>
      </c>
      <c r="H4" s="1468"/>
      <c r="I4" s="1448" t="s">
        <v>2456</v>
      </c>
      <c r="J4" s="1459"/>
      <c r="K4" s="291">
        <v>532.4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2781</v>
      </c>
      <c r="C6" s="1458"/>
      <c r="D6" s="1458"/>
      <c r="E6" s="1458"/>
      <c r="F6" s="1448" t="s">
        <v>176</v>
      </c>
      <c r="G6" s="1459"/>
      <c r="H6" s="1458" t="s">
        <v>2782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2783</v>
      </c>
      <c r="C8" s="1458"/>
      <c r="D8" s="1458"/>
      <c r="E8" s="1458"/>
      <c r="F8" s="1463" t="s">
        <v>2451</v>
      </c>
      <c r="G8" s="1464"/>
      <c r="H8" s="1458" t="s">
        <v>2784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995" t="s">
        <v>2785</v>
      </c>
      <c r="C10" s="995"/>
      <c r="D10" s="995"/>
      <c r="E10" s="995" t="s">
        <v>2786</v>
      </c>
      <c r="F10" s="995"/>
      <c r="G10" s="1458"/>
      <c r="H10" s="1458"/>
      <c r="I10" s="995" t="s">
        <v>2787</v>
      </c>
      <c r="J10" s="995"/>
      <c r="K10" s="995"/>
      <c r="L10" s="1458"/>
      <c r="M10" s="1458"/>
      <c r="N10" s="1458"/>
    </row>
    <row r="11" spans="1:14" s="282" customFormat="1" ht="15" customHeight="1">
      <c r="A11" s="282" t="s">
        <v>187</v>
      </c>
      <c r="B11" s="995" t="s">
        <v>2788</v>
      </c>
      <c r="C11" s="995"/>
      <c r="D11" s="995"/>
      <c r="E11" s="995" t="s">
        <v>2789</v>
      </c>
      <c r="F11" s="995"/>
      <c r="G11" s="1458"/>
      <c r="H11" s="1458"/>
      <c r="I11" s="995" t="s">
        <v>2790</v>
      </c>
      <c r="J11" s="995"/>
      <c r="K11" s="995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2791</v>
      </c>
      <c r="C12" s="995"/>
      <c r="D12" s="995"/>
      <c r="E12" s="995" t="s">
        <v>2792</v>
      </c>
      <c r="F12" s="995"/>
      <c r="G12" s="1455" t="s">
        <v>2793</v>
      </c>
      <c r="H12" s="1457"/>
      <c r="I12" s="995" t="s">
        <v>2794</v>
      </c>
      <c r="J12" s="995"/>
      <c r="K12" s="995"/>
      <c r="L12" s="1455" t="s">
        <v>2795</v>
      </c>
      <c r="M12" s="1456"/>
      <c r="N12" s="1457"/>
    </row>
    <row r="13" spans="1:14" s="282" customFormat="1" ht="15" customHeight="1">
      <c r="A13" s="282" t="s">
        <v>2444</v>
      </c>
      <c r="B13" s="1458" t="s">
        <v>2438</v>
      </c>
      <c r="C13" s="1458"/>
      <c r="D13" s="1458"/>
      <c r="E13" s="1458" t="s">
        <v>2796</v>
      </c>
      <c r="F13" s="1458"/>
      <c r="G13" s="1458"/>
      <c r="H13" s="1458"/>
      <c r="I13" s="1458" t="s">
        <v>2797</v>
      </c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3</v>
      </c>
      <c r="C16" s="1448" t="s">
        <v>2442</v>
      </c>
      <c r="D16" s="1449"/>
      <c r="E16" s="1449"/>
      <c r="F16" s="651">
        <v>3</v>
      </c>
      <c r="G16" s="285" t="s">
        <v>1712</v>
      </c>
      <c r="H16" s="651">
        <v>14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319</v>
      </c>
      <c r="D18" s="650" t="s">
        <v>205</v>
      </c>
      <c r="E18" s="80">
        <v>30</v>
      </c>
      <c r="F18" s="650" t="s">
        <v>206</v>
      </c>
      <c r="G18" s="648">
        <v>92</v>
      </c>
      <c r="H18" s="650" t="s">
        <v>230</v>
      </c>
      <c r="I18" s="80">
        <f>+C18+E18+G18</f>
        <v>441</v>
      </c>
      <c r="J18" s="285" t="s">
        <v>414</v>
      </c>
      <c r="K18" s="651">
        <v>147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502</v>
      </c>
      <c r="D19" s="650" t="s">
        <v>2437</v>
      </c>
      <c r="E19" s="80">
        <v>56</v>
      </c>
      <c r="F19" s="650" t="s">
        <v>212</v>
      </c>
      <c r="G19" s="648">
        <v>153</v>
      </c>
      <c r="H19" s="650" t="s">
        <v>411</v>
      </c>
      <c r="I19" s="80">
        <f>+C19+E19+G19</f>
        <v>711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570</v>
      </c>
      <c r="D20" s="650" t="s">
        <v>214</v>
      </c>
      <c r="E20" s="80">
        <v>59</v>
      </c>
      <c r="F20" s="650" t="s">
        <v>215</v>
      </c>
      <c r="G20" s="648">
        <v>164</v>
      </c>
      <c r="H20" s="650" t="s">
        <v>410</v>
      </c>
      <c r="I20" s="80">
        <f>+C20+E20+G20</f>
        <v>793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49.034039999999997</v>
      </c>
      <c r="E26" s="278">
        <v>3.77</v>
      </c>
      <c r="F26" s="278"/>
      <c r="G26" s="278">
        <v>1.64</v>
      </c>
      <c r="H26" s="278"/>
      <c r="I26" s="278"/>
      <c r="J26" s="278"/>
      <c r="K26" s="278"/>
      <c r="L26" s="278"/>
      <c r="M26" s="278">
        <v>1.64</v>
      </c>
      <c r="N26" s="292">
        <v>43.50132625994695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42.900791999999996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7.3577680000000001</v>
      </c>
      <c r="E30" s="278">
        <v>2</v>
      </c>
      <c r="F30" s="278"/>
      <c r="G30" s="278">
        <v>0.72</v>
      </c>
      <c r="H30" s="278"/>
      <c r="I30" s="278"/>
      <c r="J30" s="278"/>
      <c r="K30" s="278"/>
      <c r="L30" s="278"/>
      <c r="M30" s="278">
        <v>0.72</v>
      </c>
      <c r="N30" s="292">
        <v>36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3.4605999999999999</v>
      </c>
      <c r="E31" s="278">
        <v>0.53</v>
      </c>
      <c r="F31" s="278"/>
      <c r="G31" s="278">
        <v>0.53</v>
      </c>
      <c r="H31" s="278"/>
      <c r="I31" s="278"/>
      <c r="J31" s="278"/>
      <c r="K31" s="278"/>
      <c r="L31" s="278"/>
      <c r="M31" s="278">
        <v>0.53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6.133248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0.13</v>
      </c>
      <c r="H33" s="278"/>
      <c r="I33" s="278"/>
      <c r="J33" s="278"/>
      <c r="K33" s="278"/>
      <c r="L33" s="278"/>
      <c r="M33" s="278">
        <v>0.13</v>
      </c>
      <c r="N33" s="292">
        <v>81.25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112.06644799999999</v>
      </c>
      <c r="E35" s="275">
        <v>7</v>
      </c>
      <c r="F35" s="275">
        <v>0</v>
      </c>
      <c r="G35" s="275">
        <v>3.3599999999999994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3.3599999999999994</v>
      </c>
      <c r="N35" s="29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5.7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2662</v>
      </c>
      <c r="C4" s="1456"/>
      <c r="D4" s="1456"/>
      <c r="E4" s="650" t="s">
        <v>2458</v>
      </c>
      <c r="F4" s="649"/>
      <c r="G4" s="1467" t="s">
        <v>2798</v>
      </c>
      <c r="H4" s="1468"/>
      <c r="I4" s="1448" t="s">
        <v>2456</v>
      </c>
      <c r="J4" s="1459"/>
      <c r="K4" s="291">
        <v>484.9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5691</v>
      </c>
      <c r="C6" s="1458"/>
      <c r="D6" s="1458"/>
      <c r="E6" s="1458"/>
      <c r="F6" s="1448" t="s">
        <v>176</v>
      </c>
      <c r="G6" s="1459"/>
      <c r="H6" s="1458" t="s">
        <v>2551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2799</v>
      </c>
      <c r="C8" s="1458"/>
      <c r="D8" s="1458"/>
      <c r="E8" s="1458"/>
      <c r="F8" s="1463" t="s">
        <v>2451</v>
      </c>
      <c r="G8" s="1464"/>
      <c r="H8" s="1458" t="s">
        <v>2800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995" t="s">
        <v>2801</v>
      </c>
      <c r="C10" s="995"/>
      <c r="D10" s="995"/>
      <c r="E10" s="995" t="s">
        <v>2802</v>
      </c>
      <c r="F10" s="995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995" t="s">
        <v>2803</v>
      </c>
      <c r="C11" s="995"/>
      <c r="D11" s="995"/>
      <c r="E11" s="995" t="s">
        <v>2804</v>
      </c>
      <c r="F11" s="995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2805</v>
      </c>
      <c r="C12" s="995"/>
      <c r="D12" s="995"/>
      <c r="E12" s="995" t="s">
        <v>2806</v>
      </c>
      <c r="F12" s="995"/>
      <c r="G12" s="995" t="s">
        <v>2807</v>
      </c>
      <c r="H12" s="995"/>
      <c r="I12" s="995" t="s">
        <v>2808</v>
      </c>
      <c r="J12" s="995"/>
      <c r="K12" s="995"/>
      <c r="L12" s="1455" t="s">
        <v>2809</v>
      </c>
      <c r="M12" s="1456"/>
      <c r="N12" s="1457"/>
    </row>
    <row r="13" spans="1:14" s="282" customFormat="1" ht="15" customHeight="1">
      <c r="A13" s="282" t="s">
        <v>2444</v>
      </c>
      <c r="B13" s="1458" t="s">
        <v>2810</v>
      </c>
      <c r="C13" s="1458"/>
      <c r="D13" s="1458"/>
      <c r="E13" s="1458" t="s">
        <v>2811</v>
      </c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2</v>
      </c>
      <c r="C16" s="1448" t="s">
        <v>2442</v>
      </c>
      <c r="D16" s="1449"/>
      <c r="E16" s="1449"/>
      <c r="F16" s="651">
        <v>2</v>
      </c>
      <c r="G16" s="285" t="s">
        <v>1712</v>
      </c>
      <c r="H16" s="651">
        <v>13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109</v>
      </c>
      <c r="D18" s="650" t="s">
        <v>205</v>
      </c>
      <c r="E18" s="80">
        <v>9</v>
      </c>
      <c r="F18" s="650" t="s">
        <v>206</v>
      </c>
      <c r="G18" s="648">
        <v>56</v>
      </c>
      <c r="H18" s="650" t="s">
        <v>230</v>
      </c>
      <c r="I18" s="80">
        <f>+C18+E18+G18</f>
        <v>174</v>
      </c>
      <c r="J18" s="285" t="s">
        <v>414</v>
      </c>
      <c r="K18" s="651">
        <v>44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235</v>
      </c>
      <c r="D19" s="650" t="s">
        <v>2437</v>
      </c>
      <c r="E19" s="80">
        <v>20</v>
      </c>
      <c r="F19" s="650" t="s">
        <v>212</v>
      </c>
      <c r="G19" s="648">
        <v>121</v>
      </c>
      <c r="H19" s="650" t="s">
        <v>411</v>
      </c>
      <c r="I19" s="80">
        <f>+C19+E19+G19</f>
        <v>376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237</v>
      </c>
      <c r="D20" s="650" t="s">
        <v>214</v>
      </c>
      <c r="E20" s="80">
        <v>29</v>
      </c>
      <c r="F20" s="650" t="s">
        <v>215</v>
      </c>
      <c r="G20" s="648">
        <v>130</v>
      </c>
      <c r="H20" s="650" t="s">
        <v>410</v>
      </c>
      <c r="I20" s="80">
        <f>+C20+E20+G20</f>
        <v>396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44.659289999999999</v>
      </c>
      <c r="E26" s="278">
        <v>3.11</v>
      </c>
      <c r="F26" s="278"/>
      <c r="G26" s="278">
        <v>0.9</v>
      </c>
      <c r="H26" s="278"/>
      <c r="I26" s="278"/>
      <c r="J26" s="278"/>
      <c r="K26" s="278"/>
      <c r="L26" s="278"/>
      <c r="M26" s="278">
        <v>0.9</v>
      </c>
      <c r="N26" s="292">
        <v>28.938906752411576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39.073242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6.7013179999999997</v>
      </c>
      <c r="E30" s="278">
        <v>2</v>
      </c>
      <c r="F30" s="278"/>
      <c r="G30" s="278">
        <v>0.73</v>
      </c>
      <c r="H30" s="278"/>
      <c r="I30" s="278"/>
      <c r="J30" s="278"/>
      <c r="K30" s="278"/>
      <c r="L30" s="278"/>
      <c r="M30" s="278">
        <v>0.73</v>
      </c>
      <c r="N30" s="292">
        <v>36.5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3.15185</v>
      </c>
      <c r="E31" s="278">
        <v>0.48</v>
      </c>
      <c r="F31" s="278"/>
      <c r="G31" s="278">
        <v>0.48</v>
      </c>
      <c r="H31" s="278"/>
      <c r="I31" s="278"/>
      <c r="J31" s="278"/>
      <c r="K31" s="278"/>
      <c r="L31" s="278"/>
      <c r="M31" s="278">
        <v>0.48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5.5860479999999999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102.351748</v>
      </c>
      <c r="E35" s="275">
        <v>6.2899999999999991</v>
      </c>
      <c r="F35" s="275">
        <v>0</v>
      </c>
      <c r="G35" s="275">
        <v>2.6100000000000003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2.6100000000000003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7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2327</v>
      </c>
      <c r="C4" s="1456"/>
      <c r="D4" s="1456"/>
      <c r="E4" s="650" t="s">
        <v>2458</v>
      </c>
      <c r="F4" s="649"/>
      <c r="G4" s="1469" t="s">
        <v>2812</v>
      </c>
      <c r="H4" s="1469"/>
      <c r="I4" s="1448" t="s">
        <v>2456</v>
      </c>
      <c r="J4" s="1459"/>
      <c r="K4" s="291">
        <v>432.21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2813</v>
      </c>
      <c r="C6" s="1458"/>
      <c r="D6" s="1458"/>
      <c r="E6" s="1458"/>
      <c r="F6" s="1448" t="s">
        <v>176</v>
      </c>
      <c r="G6" s="1459"/>
      <c r="H6" s="1458" t="s">
        <v>2814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2815</v>
      </c>
      <c r="C8" s="1458"/>
      <c r="D8" s="1458"/>
      <c r="E8" s="1458"/>
      <c r="F8" s="1463" t="s">
        <v>2451</v>
      </c>
      <c r="G8" s="1464"/>
      <c r="H8" s="1458" t="s">
        <v>2816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2816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2817</v>
      </c>
      <c r="C12" s="995"/>
      <c r="D12" s="995"/>
      <c r="E12" s="995" t="s">
        <v>2818</v>
      </c>
      <c r="F12" s="995"/>
      <c r="G12" s="995" t="s">
        <v>2819</v>
      </c>
      <c r="H12" s="995"/>
      <c r="I12" s="995" t="s">
        <v>2820</v>
      </c>
      <c r="J12" s="995"/>
      <c r="K12" s="995"/>
      <c r="L12" s="1455" t="s">
        <v>2821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14</v>
      </c>
      <c r="I16" s="650" t="s">
        <v>2441</v>
      </c>
      <c r="J16" s="651">
        <v>2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390</v>
      </c>
      <c r="D18" s="650" t="s">
        <v>205</v>
      </c>
      <c r="E18" s="80">
        <v>39</v>
      </c>
      <c r="F18" s="650" t="s">
        <v>206</v>
      </c>
      <c r="G18" s="648">
        <v>124</v>
      </c>
      <c r="H18" s="650" t="s">
        <v>230</v>
      </c>
      <c r="I18" s="80">
        <f>+C18+E18+G18</f>
        <v>553</v>
      </c>
      <c r="J18" s="285" t="s">
        <v>414</v>
      </c>
      <c r="K18" s="651">
        <v>75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887</v>
      </c>
      <c r="D19" s="650" t="s">
        <v>2437</v>
      </c>
      <c r="E19" s="80">
        <v>64</v>
      </c>
      <c r="F19" s="650" t="s">
        <v>212</v>
      </c>
      <c r="G19" s="648">
        <v>273</v>
      </c>
      <c r="H19" s="650" t="s">
        <v>411</v>
      </c>
      <c r="I19" s="80">
        <f>+C19+E19+G19</f>
        <v>1224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961</v>
      </c>
      <c r="D20" s="650" t="s">
        <v>214</v>
      </c>
      <c r="E20" s="80">
        <v>95</v>
      </c>
      <c r="F20" s="650" t="s">
        <v>215</v>
      </c>
      <c r="G20" s="648">
        <v>251</v>
      </c>
      <c r="H20" s="650" t="s">
        <v>410</v>
      </c>
      <c r="I20" s="80">
        <f>+C20+E20+G20</f>
        <v>1307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39.806540999999996</v>
      </c>
      <c r="E26" s="278">
        <v>2.44</v>
      </c>
      <c r="F26" s="278"/>
      <c r="G26" s="278">
        <v>1.1499999999999999</v>
      </c>
      <c r="H26" s="278"/>
      <c r="I26" s="278"/>
      <c r="J26" s="278"/>
      <c r="K26" s="278"/>
      <c r="L26" s="278"/>
      <c r="M26" s="278">
        <v>1.1499999999999999</v>
      </c>
      <c r="N26" s="292">
        <v>47.131147540983605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34.827481800000001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0.18</v>
      </c>
      <c r="H28" s="278"/>
      <c r="I28" s="278"/>
      <c r="J28" s="278"/>
      <c r="K28" s="278"/>
      <c r="L28" s="278"/>
      <c r="M28" s="278">
        <v>0.18</v>
      </c>
      <c r="N28" s="292">
        <v>64.285714285714278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5.9731421999999998</v>
      </c>
      <c r="E30" s="278">
        <v>2</v>
      </c>
      <c r="F30" s="278"/>
      <c r="G30" s="278">
        <v>1.39</v>
      </c>
      <c r="H30" s="278"/>
      <c r="I30" s="278"/>
      <c r="J30" s="278"/>
      <c r="K30" s="278"/>
      <c r="L30" s="278"/>
      <c r="M30" s="278">
        <v>1.39</v>
      </c>
      <c r="N30" s="292">
        <v>69.5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2.8093649999999997</v>
      </c>
      <c r="E31" s="278">
        <v>0.43</v>
      </c>
      <c r="F31" s="278"/>
      <c r="G31" s="278">
        <v>0.43</v>
      </c>
      <c r="H31" s="278"/>
      <c r="I31" s="278"/>
      <c r="J31" s="278"/>
      <c r="K31" s="278"/>
      <c r="L31" s="278"/>
      <c r="M31" s="278">
        <v>0.43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4.9790592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0.14000000000000001</v>
      </c>
      <c r="H33" s="278"/>
      <c r="I33" s="278"/>
      <c r="J33" s="278"/>
      <c r="K33" s="278"/>
      <c r="L33" s="278"/>
      <c r="M33" s="278">
        <v>0.14000000000000001</v>
      </c>
      <c r="N33" s="292">
        <v>87.500000000000014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91.575589199999996</v>
      </c>
      <c r="E35" s="275">
        <v>5.5699999999999994</v>
      </c>
      <c r="F35" s="275">
        <v>0</v>
      </c>
      <c r="G35" s="275">
        <v>3.45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3.45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685</v>
      </c>
      <c r="C2" t="s">
        <v>611</v>
      </c>
      <c r="D2" t="s">
        <v>5723</v>
      </c>
      <c r="F2" t="s">
        <v>612</v>
      </c>
      <c r="G2">
        <v>348</v>
      </c>
      <c r="H2" t="s">
        <v>613</v>
      </c>
      <c r="I2">
        <v>40</v>
      </c>
      <c r="K2" s="808" t="s">
        <v>4176</v>
      </c>
      <c r="L2" s="808"/>
      <c r="M2" s="808"/>
    </row>
    <row r="3" spans="1:15">
      <c r="A3" t="s">
        <v>614</v>
      </c>
      <c r="B3" t="s">
        <v>631</v>
      </c>
      <c r="E3" t="s">
        <v>616</v>
      </c>
      <c r="G3" t="s">
        <v>686</v>
      </c>
    </row>
    <row r="4" spans="1:15">
      <c r="A4" t="s">
        <v>618</v>
      </c>
      <c r="B4" t="s">
        <v>687</v>
      </c>
      <c r="G4" t="s">
        <v>620</v>
      </c>
      <c r="I4" t="s">
        <v>688</v>
      </c>
    </row>
    <row r="5" spans="1:15">
      <c r="A5" t="s">
        <v>622</v>
      </c>
      <c r="B5" t="s">
        <v>689</v>
      </c>
      <c r="E5" t="s">
        <v>690</v>
      </c>
      <c r="I5" t="s">
        <v>691</v>
      </c>
      <c r="M5" t="s">
        <v>692</v>
      </c>
    </row>
    <row r="6" spans="1:15">
      <c r="A6" t="s">
        <v>628</v>
      </c>
      <c r="B6" t="s">
        <v>693</v>
      </c>
      <c r="E6" t="s">
        <v>694</v>
      </c>
      <c r="I6" t="s">
        <v>695</v>
      </c>
      <c r="M6" t="s">
        <v>696</v>
      </c>
    </row>
    <row r="7" spans="1:15">
      <c r="A7" t="s">
        <v>634</v>
      </c>
      <c r="B7" t="s">
        <v>697</v>
      </c>
      <c r="E7" t="s">
        <v>698</v>
      </c>
      <c r="I7" t="s">
        <v>699</v>
      </c>
      <c r="M7" t="s">
        <v>700</v>
      </c>
    </row>
    <row r="8" spans="1:15">
      <c r="A8" t="s">
        <v>639</v>
      </c>
      <c r="B8" t="s">
        <v>701</v>
      </c>
    </row>
    <row r="9" spans="1:15">
      <c r="A9" t="s">
        <v>641</v>
      </c>
      <c r="B9">
        <v>4</v>
      </c>
      <c r="C9" t="s">
        <v>642</v>
      </c>
      <c r="D9">
        <v>4</v>
      </c>
      <c r="E9" t="s">
        <v>643</v>
      </c>
      <c r="F9">
        <v>20</v>
      </c>
      <c r="G9" t="s">
        <v>644</v>
      </c>
      <c r="H9">
        <v>1</v>
      </c>
      <c r="I9" t="s">
        <v>645</v>
      </c>
      <c r="J9">
        <v>11</v>
      </c>
    </row>
    <row r="10" spans="1:15">
      <c r="A10" t="s">
        <v>646</v>
      </c>
      <c r="B10" t="s">
        <v>204</v>
      </c>
      <c r="C10">
        <v>49</v>
      </c>
      <c r="D10" t="s">
        <v>205</v>
      </c>
      <c r="E10">
        <v>81</v>
      </c>
      <c r="F10" t="s">
        <v>206</v>
      </c>
      <c r="G10">
        <v>79</v>
      </c>
      <c r="H10" t="s">
        <v>230</v>
      </c>
      <c r="I10">
        <v>209</v>
      </c>
      <c r="J10" t="s">
        <v>647</v>
      </c>
      <c r="K10">
        <v>91</v>
      </c>
      <c r="L10" t="s">
        <v>648</v>
      </c>
      <c r="M10">
        <v>31</v>
      </c>
    </row>
    <row r="11" spans="1:15">
      <c r="A11" t="s">
        <v>209</v>
      </c>
      <c r="B11" t="s">
        <v>210</v>
      </c>
      <c r="C11">
        <v>99</v>
      </c>
      <c r="D11" t="s">
        <v>649</v>
      </c>
      <c r="E11">
        <v>179</v>
      </c>
      <c r="F11" t="s">
        <v>212</v>
      </c>
      <c r="G11">
        <v>157</v>
      </c>
      <c r="H11" t="s">
        <v>411</v>
      </c>
      <c r="I11">
        <v>435</v>
      </c>
    </row>
    <row r="12" spans="1:15">
      <c r="B12" t="s">
        <v>213</v>
      </c>
      <c r="C12">
        <v>91</v>
      </c>
      <c r="D12" t="s">
        <v>650</v>
      </c>
      <c r="E12">
        <v>174</v>
      </c>
      <c r="F12" t="s">
        <v>215</v>
      </c>
      <c r="G12">
        <v>173</v>
      </c>
      <c r="H12" t="s">
        <v>410</v>
      </c>
      <c r="I12">
        <v>438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27.84</v>
      </c>
      <c r="F16">
        <v>2764000</v>
      </c>
      <c r="G16">
        <v>0</v>
      </c>
      <c r="H16">
        <v>265579</v>
      </c>
      <c r="I16">
        <v>767974</v>
      </c>
      <c r="J16">
        <v>954062</v>
      </c>
      <c r="K16">
        <v>24045</v>
      </c>
      <c r="L16">
        <v>100394</v>
      </c>
      <c r="N16">
        <f>G16+H16+I16+J16+K16+L16+M16</f>
        <v>2112054</v>
      </c>
    </row>
    <row r="17" spans="1:15">
      <c r="A17" t="s">
        <v>665</v>
      </c>
      <c r="C17">
        <v>7000</v>
      </c>
      <c r="D17" t="s">
        <v>664</v>
      </c>
      <c r="E17">
        <v>2.8</v>
      </c>
      <c r="F17">
        <v>300000</v>
      </c>
      <c r="G17">
        <v>0</v>
      </c>
      <c r="H17">
        <v>0</v>
      </c>
      <c r="I17">
        <v>0</v>
      </c>
      <c r="J17">
        <v>129788</v>
      </c>
      <c r="K17">
        <v>0</v>
      </c>
      <c r="L17">
        <v>165801</v>
      </c>
      <c r="N17">
        <f t="shared" ref="N17:N23" si="0">G17+H17+I17+J17+K17+L17+M17</f>
        <v>295589</v>
      </c>
    </row>
    <row r="18" spans="1:15">
      <c r="A18" t="s">
        <v>235</v>
      </c>
      <c r="C18">
        <v>86</v>
      </c>
      <c r="D18" t="s">
        <v>664</v>
      </c>
      <c r="E18">
        <v>0.3</v>
      </c>
      <c r="F18">
        <v>43000</v>
      </c>
      <c r="G18">
        <v>0</v>
      </c>
      <c r="H18">
        <v>0</v>
      </c>
      <c r="I18">
        <v>18762</v>
      </c>
      <c r="J18">
        <v>0</v>
      </c>
      <c r="K18">
        <v>0</v>
      </c>
      <c r="L18">
        <v>61541</v>
      </c>
      <c r="N18">
        <f t="shared" si="0"/>
        <v>80303</v>
      </c>
    </row>
    <row r="19" spans="1:15">
      <c r="A19" t="s">
        <v>666</v>
      </c>
      <c r="C19">
        <v>68</v>
      </c>
      <c r="D19" t="s">
        <v>664</v>
      </c>
      <c r="E19">
        <v>0.24</v>
      </c>
      <c r="F19">
        <v>34000</v>
      </c>
      <c r="G19">
        <v>0</v>
      </c>
      <c r="H19">
        <v>0</v>
      </c>
      <c r="I19">
        <v>0</v>
      </c>
      <c r="J19">
        <v>12629</v>
      </c>
      <c r="K19">
        <v>14437</v>
      </c>
      <c r="L19">
        <v>0</v>
      </c>
      <c r="N19">
        <f t="shared" si="0"/>
        <v>27066</v>
      </c>
    </row>
    <row r="20" spans="1:15">
      <c r="A20" t="s">
        <v>238</v>
      </c>
      <c r="C20">
        <v>1200</v>
      </c>
      <c r="D20" t="s">
        <v>664</v>
      </c>
      <c r="E20">
        <v>4.18</v>
      </c>
      <c r="F20">
        <v>110000</v>
      </c>
      <c r="G20">
        <v>0</v>
      </c>
      <c r="H20">
        <v>0</v>
      </c>
      <c r="I20">
        <v>0</v>
      </c>
      <c r="J20">
        <v>38600</v>
      </c>
      <c r="K20">
        <v>93930</v>
      </c>
      <c r="L20">
        <v>108220</v>
      </c>
      <c r="N20">
        <f t="shared" si="0"/>
        <v>240750</v>
      </c>
    </row>
    <row r="21" spans="1:15">
      <c r="A21" t="s">
        <v>667</v>
      </c>
      <c r="C21">
        <v>565</v>
      </c>
      <c r="D21" t="s">
        <v>664</v>
      </c>
      <c r="E21">
        <v>1.55</v>
      </c>
      <c r="F21">
        <v>101250</v>
      </c>
      <c r="K21">
        <v>101250</v>
      </c>
      <c r="N21">
        <f t="shared" si="0"/>
        <v>101250</v>
      </c>
    </row>
    <row r="22" spans="1:15">
      <c r="A22" t="s">
        <v>668</v>
      </c>
      <c r="C22">
        <v>1000</v>
      </c>
      <c r="D22" t="s">
        <v>664</v>
      </c>
      <c r="E22">
        <v>3.48</v>
      </c>
      <c r="F22">
        <v>348000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N22">
        <f t="shared" si="0"/>
        <v>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H23">
        <v>35008</v>
      </c>
      <c r="I23">
        <v>20782</v>
      </c>
      <c r="J23">
        <v>37421</v>
      </c>
      <c r="K23">
        <v>21403</v>
      </c>
      <c r="L23">
        <v>19804</v>
      </c>
      <c r="N23">
        <f t="shared" si="0"/>
        <v>134418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42.8</v>
      </c>
      <c r="F25">
        <f t="shared" ref="F25:O25" si="1">SUM(F16:F24)</f>
        <v>3832250</v>
      </c>
      <c r="G25">
        <f t="shared" si="1"/>
        <v>0</v>
      </c>
      <c r="H25">
        <f t="shared" si="1"/>
        <v>300587</v>
      </c>
      <c r="I25">
        <f t="shared" si="1"/>
        <v>807518</v>
      </c>
      <c r="J25">
        <f t="shared" si="1"/>
        <v>1172500</v>
      </c>
      <c r="K25">
        <f t="shared" si="1"/>
        <v>255065</v>
      </c>
      <c r="L25">
        <f t="shared" si="1"/>
        <v>455760</v>
      </c>
      <c r="M25">
        <f t="shared" si="1"/>
        <v>0</v>
      </c>
      <c r="N25">
        <f t="shared" si="1"/>
        <v>2991430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2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7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2330</v>
      </c>
      <c r="C4" s="1456"/>
      <c r="D4" s="1456"/>
      <c r="E4" s="650" t="s">
        <v>2458</v>
      </c>
      <c r="F4" s="649"/>
      <c r="G4" s="1467" t="s">
        <v>2580</v>
      </c>
      <c r="H4" s="1468"/>
      <c r="I4" s="1448" t="s">
        <v>2456</v>
      </c>
      <c r="J4" s="1459"/>
      <c r="K4" s="291">
        <v>974.13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2581</v>
      </c>
      <c r="C6" s="1458"/>
      <c r="D6" s="1458"/>
      <c r="E6" s="1458"/>
      <c r="F6" s="1448" t="s">
        <v>176</v>
      </c>
      <c r="G6" s="1459"/>
      <c r="H6" s="1458" t="s">
        <v>2582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5682</v>
      </c>
      <c r="C8" s="1458"/>
      <c r="D8" s="1458"/>
      <c r="E8" s="1458"/>
      <c r="F8" s="1463" t="s">
        <v>2451</v>
      </c>
      <c r="G8" s="1464"/>
      <c r="H8" s="1458" t="s">
        <v>5683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2583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2584</v>
      </c>
      <c r="C12" s="995"/>
      <c r="D12" s="995"/>
      <c r="E12" s="995" t="s">
        <v>2585</v>
      </c>
      <c r="F12" s="995"/>
      <c r="G12" s="995" t="s">
        <v>2586</v>
      </c>
      <c r="H12" s="995"/>
      <c r="I12" s="995" t="s">
        <v>2587</v>
      </c>
      <c r="J12" s="995"/>
      <c r="K12" s="995"/>
      <c r="L12" s="1455" t="s">
        <v>2588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39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366</v>
      </c>
      <c r="D18" s="650" t="s">
        <v>205</v>
      </c>
      <c r="E18" s="80">
        <v>5</v>
      </c>
      <c r="F18" s="650" t="s">
        <v>206</v>
      </c>
      <c r="G18" s="648">
        <v>104</v>
      </c>
      <c r="H18" s="650" t="s">
        <v>230</v>
      </c>
      <c r="I18" s="80">
        <f>+C18+E18+G18</f>
        <v>475</v>
      </c>
      <c r="J18" s="285" t="s">
        <v>414</v>
      </c>
      <c r="K18" s="651">
        <v>44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944</v>
      </c>
      <c r="D19" s="650" t="s">
        <v>2437</v>
      </c>
      <c r="E19" s="80">
        <v>10</v>
      </c>
      <c r="F19" s="650" t="s">
        <v>212</v>
      </c>
      <c r="G19" s="648">
        <v>233</v>
      </c>
      <c r="H19" s="650" t="s">
        <v>411</v>
      </c>
      <c r="I19" s="80">
        <f>+C19+E19+G19</f>
        <v>1187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877</v>
      </c>
      <c r="D20" s="650" t="s">
        <v>214</v>
      </c>
      <c r="E20" s="80">
        <v>12</v>
      </c>
      <c r="F20" s="650" t="s">
        <v>215</v>
      </c>
      <c r="G20" s="648">
        <v>255</v>
      </c>
      <c r="H20" s="650" t="s">
        <v>410</v>
      </c>
      <c r="I20" s="80">
        <f>+C20+E20+G20</f>
        <v>1144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89.717372999999995</v>
      </c>
      <c r="E26" s="278">
        <v>7.42</v>
      </c>
      <c r="F26" s="278">
        <v>0</v>
      </c>
      <c r="G26" s="278">
        <v>5.64</v>
      </c>
      <c r="H26" s="278"/>
      <c r="I26" s="278"/>
      <c r="J26" s="278"/>
      <c r="K26" s="278"/>
      <c r="L26" s="278"/>
      <c r="M26" s="278">
        <v>5.64</v>
      </c>
      <c r="N26" s="292">
        <v>76.010781671159023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78.495395399999992</v>
      </c>
      <c r="E27" s="278"/>
      <c r="F27" s="278">
        <v>0</v>
      </c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>
        <v>0</v>
      </c>
      <c r="G28" s="278">
        <v>0.2</v>
      </c>
      <c r="H28" s="278"/>
      <c r="I28" s="278"/>
      <c r="J28" s="278"/>
      <c r="K28" s="278"/>
      <c r="L28" s="278"/>
      <c r="M28" s="278">
        <v>0.2</v>
      </c>
      <c r="N28" s="292">
        <v>71.428571428571431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>
        <v>0</v>
      </c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13.462476599999999</v>
      </c>
      <c r="E30" s="278">
        <v>2</v>
      </c>
      <c r="F30" s="278">
        <v>0</v>
      </c>
      <c r="G30" s="278">
        <v>1.08</v>
      </c>
      <c r="H30" s="278"/>
      <c r="I30" s="278"/>
      <c r="J30" s="278"/>
      <c r="K30" s="278"/>
      <c r="L30" s="278"/>
      <c r="M30" s="278">
        <v>1.08</v>
      </c>
      <c r="N30" s="292">
        <v>54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6.3318449999999995</v>
      </c>
      <c r="E31" s="278">
        <v>0.97</v>
      </c>
      <c r="F31" s="278">
        <v>0</v>
      </c>
      <c r="G31" s="278">
        <v>0.97</v>
      </c>
      <c r="H31" s="278"/>
      <c r="I31" s="278"/>
      <c r="J31" s="278"/>
      <c r="K31" s="278"/>
      <c r="L31" s="278"/>
      <c r="M31" s="278">
        <v>0.97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11.221977599999999</v>
      </c>
      <c r="E32" s="278"/>
      <c r="F32" s="278">
        <v>0</v>
      </c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>
        <v>0</v>
      </c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>
        <v>0</v>
      </c>
      <c r="G34" s="278"/>
      <c r="H34" s="278"/>
      <c r="I34" s="278"/>
      <c r="J34" s="278"/>
      <c r="K34" s="278"/>
      <c r="L34" s="278"/>
      <c r="M34" s="278"/>
      <c r="N34" s="293"/>
    </row>
    <row r="35" spans="1:14" ht="21" customHeight="1">
      <c r="A35" s="276" t="s">
        <v>245</v>
      </c>
      <c r="B35" s="274"/>
      <c r="C35" s="274"/>
      <c r="D35" s="275">
        <v>202.40906759999999</v>
      </c>
      <c r="E35" s="275">
        <v>11.090000000000002</v>
      </c>
      <c r="F35" s="275">
        <v>0</v>
      </c>
      <c r="G35" s="275">
        <v>8.2100000000000009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8.2100000000000009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2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2.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2589</v>
      </c>
      <c r="C4" s="1456"/>
      <c r="D4" s="1456"/>
      <c r="E4" s="650" t="s">
        <v>2458</v>
      </c>
      <c r="F4" s="649"/>
      <c r="G4" s="1467" t="s">
        <v>2590</v>
      </c>
      <c r="H4" s="1468"/>
      <c r="I4" s="1448" t="s">
        <v>2456</v>
      </c>
      <c r="J4" s="1459"/>
      <c r="K4" s="291">
        <v>276.26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2591</v>
      </c>
      <c r="C6" s="1458"/>
      <c r="D6" s="1458"/>
      <c r="E6" s="1458"/>
      <c r="F6" s="1448" t="s">
        <v>176</v>
      </c>
      <c r="G6" s="1459"/>
      <c r="H6" s="1458" t="s">
        <v>2592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5" t="s">
        <v>2593</v>
      </c>
      <c r="C8" s="1456"/>
      <c r="D8" s="1456"/>
      <c r="E8" s="1457"/>
      <c r="F8" s="1463" t="s">
        <v>2451</v>
      </c>
      <c r="G8" s="1464"/>
      <c r="H8" s="1455" t="s">
        <v>2594</v>
      </c>
      <c r="I8" s="1456"/>
      <c r="J8" s="1456"/>
      <c r="K8" s="1457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2595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2596</v>
      </c>
      <c r="C12" s="995"/>
      <c r="D12" s="995"/>
      <c r="E12" s="995" t="s">
        <v>2597</v>
      </c>
      <c r="F12" s="995"/>
      <c r="G12" s="1455" t="s">
        <v>2598</v>
      </c>
      <c r="H12" s="1457"/>
      <c r="I12" s="995" t="s">
        <v>2599</v>
      </c>
      <c r="J12" s="995"/>
      <c r="K12" s="995"/>
      <c r="L12" s="1455" t="s">
        <v>2600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18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125</v>
      </c>
      <c r="D18" s="650" t="s">
        <v>205</v>
      </c>
      <c r="E18" s="80">
        <v>34</v>
      </c>
      <c r="F18" s="650" t="s">
        <v>206</v>
      </c>
      <c r="G18" s="648">
        <v>40</v>
      </c>
      <c r="H18" s="650" t="s">
        <v>230</v>
      </c>
      <c r="I18" s="80">
        <f>+C18+E18+G18</f>
        <v>199</v>
      </c>
      <c r="J18" s="285" t="s">
        <v>414</v>
      </c>
      <c r="K18" s="651">
        <v>89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250</v>
      </c>
      <c r="D19" s="650" t="s">
        <v>2437</v>
      </c>
      <c r="E19" s="80">
        <v>70</v>
      </c>
      <c r="F19" s="650" t="s">
        <v>212</v>
      </c>
      <c r="G19" s="648">
        <v>80</v>
      </c>
      <c r="H19" s="650" t="s">
        <v>411</v>
      </c>
      <c r="I19" s="80">
        <f>+C19+E19+G19</f>
        <v>400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259</v>
      </c>
      <c r="D20" s="650" t="s">
        <v>214</v>
      </c>
      <c r="E20" s="80">
        <v>71</v>
      </c>
      <c r="F20" s="650" t="s">
        <v>215</v>
      </c>
      <c r="G20" s="648">
        <v>125</v>
      </c>
      <c r="H20" s="650" t="s">
        <v>410</v>
      </c>
      <c r="I20" s="80">
        <f>+C20+E20+G20</f>
        <v>455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25.443545999999998</v>
      </c>
      <c r="E26" s="278">
        <v>4.37</v>
      </c>
      <c r="F26" s="278"/>
      <c r="G26" s="278">
        <v>0.5</v>
      </c>
      <c r="H26" s="278"/>
      <c r="I26" s="278"/>
      <c r="J26" s="278"/>
      <c r="K26" s="278"/>
      <c r="L26" s="278"/>
      <c r="M26" s="278">
        <v>0.5</v>
      </c>
      <c r="N26" s="292">
        <v>11.441647597254004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22.2610308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0.19</v>
      </c>
      <c r="H28" s="278"/>
      <c r="I28" s="278"/>
      <c r="J28" s="278"/>
      <c r="K28" s="278"/>
      <c r="L28" s="278"/>
      <c r="M28" s="278">
        <v>0.19</v>
      </c>
      <c r="N28" s="292">
        <v>67.857142857142847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3.8179132</v>
      </c>
      <c r="E30" s="278">
        <v>2</v>
      </c>
      <c r="F30" s="278"/>
      <c r="G30" s="278">
        <v>0.52</v>
      </c>
      <c r="H30" s="278"/>
      <c r="I30" s="278"/>
      <c r="J30" s="278"/>
      <c r="K30" s="278"/>
      <c r="L30" s="278"/>
      <c r="M30" s="278">
        <v>0.52</v>
      </c>
      <c r="N30" s="292">
        <v>26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1.79569</v>
      </c>
      <c r="E31" s="278">
        <v>0.27</v>
      </c>
      <c r="F31" s="278"/>
      <c r="G31" s="278">
        <v>0.27</v>
      </c>
      <c r="H31" s="278"/>
      <c r="I31" s="278"/>
      <c r="J31" s="278"/>
      <c r="K31" s="278"/>
      <c r="L31" s="278"/>
      <c r="M31" s="278">
        <v>0.27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3.1825152000000001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59.680695200000002</v>
      </c>
      <c r="E35" s="275">
        <v>7.34</v>
      </c>
      <c r="F35" s="275">
        <v>0</v>
      </c>
      <c r="G35" s="275">
        <v>1.8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1.8</v>
      </c>
      <c r="N35" s="275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272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8.7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2332</v>
      </c>
      <c r="C4" s="1456"/>
      <c r="D4" s="1456"/>
      <c r="E4" s="650" t="s">
        <v>2458</v>
      </c>
      <c r="F4" s="649"/>
      <c r="G4" s="1467" t="s">
        <v>2601</v>
      </c>
      <c r="H4" s="1468"/>
      <c r="I4" s="1448" t="s">
        <v>2456</v>
      </c>
      <c r="J4" s="1459"/>
      <c r="K4" s="291">
        <v>590.89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2602</v>
      </c>
      <c r="C6" s="1458"/>
      <c r="D6" s="1458"/>
      <c r="E6" s="1458"/>
      <c r="F6" s="1448" t="s">
        <v>176</v>
      </c>
      <c r="G6" s="1459"/>
      <c r="H6" s="1458" t="s">
        <v>2603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5684</v>
      </c>
      <c r="C8" s="1458"/>
      <c r="D8" s="1458"/>
      <c r="E8" s="1458"/>
      <c r="F8" s="1463" t="s">
        <v>2451</v>
      </c>
      <c r="G8" s="1464"/>
      <c r="H8" s="1458" t="s">
        <v>2604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2604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2605</v>
      </c>
      <c r="C12" s="995"/>
      <c r="D12" s="995"/>
      <c r="E12" s="995" t="s">
        <v>2606</v>
      </c>
      <c r="F12" s="995"/>
      <c r="G12" s="995" t="s">
        <v>2607</v>
      </c>
      <c r="H12" s="995"/>
      <c r="I12" s="995" t="s">
        <v>2608</v>
      </c>
      <c r="J12" s="995"/>
      <c r="K12" s="995"/>
      <c r="L12" s="1455" t="s">
        <v>2609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21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171</v>
      </c>
      <c r="D18" s="650" t="s">
        <v>205</v>
      </c>
      <c r="E18" s="80">
        <v>41</v>
      </c>
      <c r="F18" s="650" t="s">
        <v>206</v>
      </c>
      <c r="G18" s="648">
        <v>47</v>
      </c>
      <c r="H18" s="650" t="s">
        <v>230</v>
      </c>
      <c r="I18" s="80">
        <f>+C18+E18+G18</f>
        <v>259</v>
      </c>
      <c r="J18" s="285" t="s">
        <v>414</v>
      </c>
      <c r="K18" s="651">
        <v>21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447</v>
      </c>
      <c r="D19" s="650" t="s">
        <v>2437</v>
      </c>
      <c r="E19" s="80">
        <v>95</v>
      </c>
      <c r="F19" s="650" t="s">
        <v>212</v>
      </c>
      <c r="G19" s="648">
        <v>108</v>
      </c>
      <c r="H19" s="650" t="s">
        <v>411</v>
      </c>
      <c r="I19" s="80">
        <f>+C19+E19+G19</f>
        <v>650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445</v>
      </c>
      <c r="D20" s="650" t="s">
        <v>214</v>
      </c>
      <c r="E20" s="80">
        <v>90</v>
      </c>
      <c r="F20" s="650" t="s">
        <v>215</v>
      </c>
      <c r="G20" s="648">
        <v>95</v>
      </c>
      <c r="H20" s="650" t="s">
        <v>410</v>
      </c>
      <c r="I20" s="80">
        <f>+C20+E20+G20</f>
        <v>630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54.420968999999999</v>
      </c>
      <c r="E26" s="278">
        <v>4.57</v>
      </c>
      <c r="F26" s="278"/>
      <c r="G26" s="278">
        <v>3.47</v>
      </c>
      <c r="H26" s="278"/>
      <c r="I26" s="278"/>
      <c r="J26" s="278"/>
      <c r="K26" s="278"/>
      <c r="L26" s="278"/>
      <c r="M26" s="278">
        <v>3.47</v>
      </c>
      <c r="N26" s="292">
        <v>75.929978118161927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47.613916199999998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0.19</v>
      </c>
      <c r="H28" s="278"/>
      <c r="I28" s="278"/>
      <c r="J28" s="278"/>
      <c r="K28" s="278"/>
      <c r="L28" s="278"/>
      <c r="M28" s="278">
        <v>0.19</v>
      </c>
      <c r="N28" s="292">
        <v>67.857142857142847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8.1660998000000014</v>
      </c>
      <c r="E30" s="278">
        <v>2</v>
      </c>
      <c r="F30" s="278"/>
      <c r="G30" s="278">
        <v>1.47</v>
      </c>
      <c r="H30" s="278"/>
      <c r="I30" s="278"/>
      <c r="J30" s="278"/>
      <c r="K30" s="278"/>
      <c r="L30" s="278"/>
      <c r="M30" s="278">
        <v>1.47</v>
      </c>
      <c r="N30" s="292">
        <v>73.5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3.8407850000000003</v>
      </c>
      <c r="E31" s="278">
        <v>0.59</v>
      </c>
      <c r="F31" s="278"/>
      <c r="G31" s="278">
        <v>0.59</v>
      </c>
      <c r="H31" s="278"/>
      <c r="I31" s="278"/>
      <c r="J31" s="278"/>
      <c r="K31" s="278"/>
      <c r="L31" s="278"/>
      <c r="M31" s="278">
        <v>0.59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6.8070528000000001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124.02882279999999</v>
      </c>
      <c r="E35" s="275">
        <v>7.86</v>
      </c>
      <c r="F35" s="275">
        <v>0</v>
      </c>
      <c r="G35" s="275">
        <v>6.04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6.04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2.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2610</v>
      </c>
      <c r="C4" s="1456"/>
      <c r="D4" s="1456"/>
      <c r="E4" s="650" t="s">
        <v>2458</v>
      </c>
      <c r="F4" s="649"/>
      <c r="G4" s="1467" t="s">
        <v>2611</v>
      </c>
      <c r="H4" s="1468"/>
      <c r="I4" s="1448" t="s">
        <v>2456</v>
      </c>
      <c r="J4" s="1459"/>
      <c r="K4" s="291">
        <v>635.66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2612</v>
      </c>
      <c r="C6" s="1458"/>
      <c r="D6" s="1458"/>
      <c r="E6" s="1458"/>
      <c r="F6" s="1448" t="s">
        <v>176</v>
      </c>
      <c r="G6" s="1459"/>
      <c r="H6" s="1458" t="s">
        <v>2613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5685</v>
      </c>
      <c r="C8" s="1458"/>
      <c r="D8" s="1458"/>
      <c r="E8" s="1458"/>
      <c r="F8" s="1463" t="s">
        <v>2451</v>
      </c>
      <c r="G8" s="1464"/>
      <c r="H8" s="1458" t="s">
        <v>2614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2614</v>
      </c>
      <c r="C10" s="1458"/>
      <c r="D10" s="1458"/>
      <c r="E10" s="1458" t="s">
        <v>2615</v>
      </c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 t="s">
        <v>2616</v>
      </c>
      <c r="C11" s="1458"/>
      <c r="D11" s="1458"/>
      <c r="E11" s="1458" t="s">
        <v>2617</v>
      </c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1455" t="s">
        <v>2618</v>
      </c>
      <c r="C12" s="1456"/>
      <c r="D12" s="1457"/>
      <c r="E12" s="1455" t="s">
        <v>2619</v>
      </c>
      <c r="F12" s="1457"/>
      <c r="G12" s="1455" t="s">
        <v>2620</v>
      </c>
      <c r="H12" s="1457"/>
      <c r="I12" s="1455" t="s">
        <v>2621</v>
      </c>
      <c r="J12" s="1456"/>
      <c r="K12" s="1457"/>
      <c r="L12" s="1455" t="s">
        <v>2622</v>
      </c>
      <c r="M12" s="1456"/>
      <c r="N12" s="1457"/>
    </row>
    <row r="13" spans="1:14" s="282" customFormat="1" ht="15" customHeight="1">
      <c r="A13" s="282" t="s">
        <v>2444</v>
      </c>
      <c r="B13" s="1458" t="s">
        <v>2623</v>
      </c>
      <c r="C13" s="1458"/>
      <c r="D13" s="1458"/>
      <c r="E13" s="1458" t="s">
        <v>2438</v>
      </c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2</v>
      </c>
      <c r="C16" s="1448" t="s">
        <v>2442</v>
      </c>
      <c r="D16" s="1449"/>
      <c r="E16" s="1449"/>
      <c r="F16" s="651">
        <v>2</v>
      </c>
      <c r="G16" s="285" t="s">
        <v>1712</v>
      </c>
      <c r="H16" s="651">
        <v>29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309</v>
      </c>
      <c r="D18" s="650" t="s">
        <v>205</v>
      </c>
      <c r="E18" s="80">
        <v>65</v>
      </c>
      <c r="F18" s="650" t="s">
        <v>206</v>
      </c>
      <c r="G18" s="648">
        <v>167</v>
      </c>
      <c r="H18" s="650" t="s">
        <v>230</v>
      </c>
      <c r="I18" s="80">
        <f>+C18+E18+G18</f>
        <v>541</v>
      </c>
      <c r="J18" s="285" t="s">
        <v>414</v>
      </c>
      <c r="K18" s="651">
        <v>50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733</v>
      </c>
      <c r="D19" s="650" t="s">
        <v>2437</v>
      </c>
      <c r="E19" s="80">
        <v>155</v>
      </c>
      <c r="F19" s="650" t="s">
        <v>212</v>
      </c>
      <c r="G19" s="648">
        <v>368</v>
      </c>
      <c r="H19" s="650" t="s">
        <v>411</v>
      </c>
      <c r="I19" s="80">
        <f>+C19+E19+G19</f>
        <v>1256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741</v>
      </c>
      <c r="D20" s="650" t="s">
        <v>214</v>
      </c>
      <c r="E20" s="80">
        <v>169</v>
      </c>
      <c r="F20" s="650" t="s">
        <v>215</v>
      </c>
      <c r="G20" s="648">
        <v>388</v>
      </c>
      <c r="H20" s="650" t="s">
        <v>410</v>
      </c>
      <c r="I20" s="80">
        <f>+C20+E20+G20</f>
        <v>1298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58.544286</v>
      </c>
      <c r="E26" s="278">
        <v>2.23</v>
      </c>
      <c r="F26" s="278"/>
      <c r="G26" s="278">
        <v>0.76</v>
      </c>
      <c r="H26" s="278"/>
      <c r="I26" s="278"/>
      <c r="J26" s="278"/>
      <c r="K26" s="278"/>
      <c r="L26" s="278"/>
      <c r="M26" s="278">
        <v>0.76</v>
      </c>
      <c r="N26" s="292">
        <v>34.080717488789233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51.221482799999997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0.2</v>
      </c>
      <c r="H28" s="278"/>
      <c r="I28" s="278"/>
      <c r="J28" s="278"/>
      <c r="K28" s="278"/>
      <c r="L28" s="278"/>
      <c r="M28" s="278">
        <v>0.2</v>
      </c>
      <c r="N28" s="292">
        <v>71.428571428571431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8.7848211999999997</v>
      </c>
      <c r="E30" s="278">
        <v>2</v>
      </c>
      <c r="F30" s="278"/>
      <c r="G30" s="278">
        <v>1.1599999999999999</v>
      </c>
      <c r="H30" s="278"/>
      <c r="I30" s="278"/>
      <c r="J30" s="278"/>
      <c r="K30" s="278"/>
      <c r="L30" s="278"/>
      <c r="M30" s="278">
        <v>1.1599999999999999</v>
      </c>
      <c r="N30" s="292">
        <v>57.999999999999993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4.1317899999999996</v>
      </c>
      <c r="E31" s="278">
        <v>0.63</v>
      </c>
      <c r="F31" s="278"/>
      <c r="G31" s="278">
        <v>0.63</v>
      </c>
      <c r="H31" s="278"/>
      <c r="I31" s="278"/>
      <c r="J31" s="278"/>
      <c r="K31" s="278"/>
      <c r="L31" s="278"/>
      <c r="M31" s="278">
        <v>0.63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7.3228032000000001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133.18518319999998</v>
      </c>
      <c r="E35" s="275">
        <v>5.56</v>
      </c>
      <c r="F35" s="275">
        <v>0</v>
      </c>
      <c r="G35" s="275">
        <v>3.07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3.07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0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2624</v>
      </c>
      <c r="C4" s="1456"/>
      <c r="D4" s="1456"/>
      <c r="E4" s="650" t="s">
        <v>2458</v>
      </c>
      <c r="F4" s="649"/>
      <c r="G4" s="1467" t="s">
        <v>2625</v>
      </c>
      <c r="H4" s="1468"/>
      <c r="I4" s="1448" t="s">
        <v>2456</v>
      </c>
      <c r="J4" s="1459"/>
      <c r="K4" s="291">
        <v>587.77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2626</v>
      </c>
      <c r="C6" s="1458"/>
      <c r="D6" s="1458"/>
      <c r="E6" s="1458"/>
      <c r="F6" s="1448" t="s">
        <v>176</v>
      </c>
      <c r="G6" s="1459"/>
      <c r="H6" s="1458" t="s">
        <v>2534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2627</v>
      </c>
      <c r="C8" s="1458"/>
      <c r="D8" s="1458"/>
      <c r="E8" s="1458"/>
      <c r="F8" s="1463" t="s">
        <v>2451</v>
      </c>
      <c r="G8" s="1464"/>
      <c r="H8" s="1458" t="s">
        <v>2628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2629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2630</v>
      </c>
      <c r="C12" s="995"/>
      <c r="D12" s="995"/>
      <c r="E12" s="995" t="s">
        <v>2631</v>
      </c>
      <c r="F12" s="995"/>
      <c r="G12" s="995" t="s">
        <v>2632</v>
      </c>
      <c r="H12" s="995"/>
      <c r="I12" s="995" t="s">
        <v>2633</v>
      </c>
      <c r="J12" s="995"/>
      <c r="K12" s="995"/>
      <c r="L12" s="1455" t="s">
        <v>2634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24</v>
      </c>
      <c r="I16" s="650" t="s">
        <v>2441</v>
      </c>
      <c r="J16" s="651">
        <v>1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219</v>
      </c>
      <c r="D18" s="650" t="s">
        <v>205</v>
      </c>
      <c r="E18" s="80">
        <v>80</v>
      </c>
      <c r="F18" s="650" t="s">
        <v>206</v>
      </c>
      <c r="G18" s="648">
        <v>102</v>
      </c>
      <c r="H18" s="650" t="s">
        <v>230</v>
      </c>
      <c r="I18" s="80">
        <f>+C18+E18+G18</f>
        <v>401</v>
      </c>
      <c r="J18" s="285" t="s">
        <v>414</v>
      </c>
      <c r="K18" s="651">
        <v>64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532</v>
      </c>
      <c r="D19" s="650" t="s">
        <v>2437</v>
      </c>
      <c r="E19" s="80">
        <v>157</v>
      </c>
      <c r="F19" s="650" t="s">
        <v>212</v>
      </c>
      <c r="G19" s="648">
        <v>242</v>
      </c>
      <c r="H19" s="650" t="s">
        <v>411</v>
      </c>
      <c r="I19" s="80">
        <f>+C19+E19+G19</f>
        <v>931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515</v>
      </c>
      <c r="D20" s="650" t="s">
        <v>214</v>
      </c>
      <c r="E20" s="80">
        <v>160</v>
      </c>
      <c r="F20" s="650" t="s">
        <v>215</v>
      </c>
      <c r="G20" s="648">
        <v>219</v>
      </c>
      <c r="H20" s="650" t="s">
        <v>410</v>
      </c>
      <c r="I20" s="80">
        <f>+C20+E20+G20</f>
        <v>894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54.133617000000001</v>
      </c>
      <c r="E26" s="278">
        <v>5.66</v>
      </c>
      <c r="F26" s="278"/>
      <c r="G26" s="278">
        <v>4.26</v>
      </c>
      <c r="H26" s="278"/>
      <c r="I26" s="278"/>
      <c r="J26" s="278"/>
      <c r="K26" s="278"/>
      <c r="L26" s="278"/>
      <c r="M26" s="278">
        <v>4.26</v>
      </c>
      <c r="N26" s="292">
        <v>75.265017667844518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47.362506600000003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0.19</v>
      </c>
      <c r="H28" s="278"/>
      <c r="I28" s="278"/>
      <c r="J28" s="278"/>
      <c r="K28" s="278"/>
      <c r="L28" s="278"/>
      <c r="M28" s="278">
        <v>0.19</v>
      </c>
      <c r="N28" s="292">
        <v>67.857142857142847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8.1229814000000005</v>
      </c>
      <c r="E30" s="278">
        <v>2</v>
      </c>
      <c r="F30" s="278"/>
      <c r="G30" s="278">
        <v>1.32</v>
      </c>
      <c r="H30" s="278"/>
      <c r="I30" s="278"/>
      <c r="J30" s="278"/>
      <c r="K30" s="278"/>
      <c r="L30" s="278"/>
      <c r="M30" s="278">
        <v>1.32</v>
      </c>
      <c r="N30" s="292">
        <v>66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3.8205050000000003</v>
      </c>
      <c r="E31" s="278">
        <v>0.57999999999999996</v>
      </c>
      <c r="F31" s="278"/>
      <c r="G31" s="278">
        <v>0.57999999999999996</v>
      </c>
      <c r="H31" s="278"/>
      <c r="I31" s="278"/>
      <c r="J31" s="278"/>
      <c r="K31" s="278"/>
      <c r="L31" s="278"/>
      <c r="M31" s="278">
        <v>0.57999999999999996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6.7711103999999995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123.39072040000001</v>
      </c>
      <c r="E35" s="275">
        <v>8.94</v>
      </c>
      <c r="F35" s="275">
        <v>0</v>
      </c>
      <c r="G35" s="275">
        <v>6.6700000000000008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6.6700000000000008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18.7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2635</v>
      </c>
      <c r="C4" s="1456"/>
      <c r="D4" s="1456"/>
      <c r="E4" s="650" t="s">
        <v>2458</v>
      </c>
      <c r="F4" s="649"/>
      <c r="G4" s="1467" t="s">
        <v>2636</v>
      </c>
      <c r="H4" s="1468"/>
      <c r="I4" s="1448" t="s">
        <v>2456</v>
      </c>
      <c r="J4" s="1459"/>
      <c r="K4" s="291">
        <v>483.53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5" t="s">
        <v>2637</v>
      </c>
      <c r="C6" s="1456"/>
      <c r="D6" s="1456"/>
      <c r="E6" s="1457"/>
      <c r="F6" s="1448" t="s">
        <v>176</v>
      </c>
      <c r="G6" s="1459"/>
      <c r="H6" s="1455" t="s">
        <v>2638</v>
      </c>
      <c r="I6" s="1456"/>
      <c r="J6" s="1456"/>
      <c r="K6" s="1457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5686</v>
      </c>
      <c r="C8" s="1458"/>
      <c r="D8" s="1458"/>
      <c r="E8" s="1458"/>
      <c r="F8" s="1463" t="s">
        <v>2451</v>
      </c>
      <c r="G8" s="1464"/>
      <c r="H8" s="1458" t="s">
        <v>2639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2639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2640</v>
      </c>
      <c r="C12" s="995"/>
      <c r="D12" s="995"/>
      <c r="E12" s="995" t="s">
        <v>2641</v>
      </c>
      <c r="F12" s="995"/>
      <c r="G12" s="995" t="s">
        <v>2642</v>
      </c>
      <c r="H12" s="995"/>
      <c r="I12" s="995" t="s">
        <v>2643</v>
      </c>
      <c r="J12" s="995"/>
      <c r="K12" s="995"/>
      <c r="L12" s="1455" t="s">
        <v>2644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15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145</v>
      </c>
      <c r="D18" s="650" t="s">
        <v>205</v>
      </c>
      <c r="E18" s="80">
        <v>6</v>
      </c>
      <c r="F18" s="650" t="s">
        <v>206</v>
      </c>
      <c r="G18" s="648">
        <v>51</v>
      </c>
      <c r="H18" s="650" t="s">
        <v>230</v>
      </c>
      <c r="I18" s="80">
        <f>+C18+E18+G18</f>
        <v>202</v>
      </c>
      <c r="J18" s="285" t="s">
        <v>414</v>
      </c>
      <c r="K18" s="651">
        <v>2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355</v>
      </c>
      <c r="D19" s="650" t="s">
        <v>2437</v>
      </c>
      <c r="E19" s="80">
        <v>13</v>
      </c>
      <c r="F19" s="650" t="s">
        <v>212</v>
      </c>
      <c r="G19" s="648">
        <v>139</v>
      </c>
      <c r="H19" s="650" t="s">
        <v>411</v>
      </c>
      <c r="I19" s="80">
        <f>+C19+E19+G19</f>
        <v>507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368</v>
      </c>
      <c r="D20" s="650" t="s">
        <v>214</v>
      </c>
      <c r="E20" s="80">
        <v>17</v>
      </c>
      <c r="F20" s="650" t="s">
        <v>215</v>
      </c>
      <c r="G20" s="648">
        <v>147</v>
      </c>
      <c r="H20" s="650" t="s">
        <v>410</v>
      </c>
      <c r="I20" s="80">
        <f>+C20+E20+G20</f>
        <v>532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44.533112999999993</v>
      </c>
      <c r="E26" s="278">
        <v>4.0599999999999996</v>
      </c>
      <c r="F26" s="278"/>
      <c r="G26" s="278">
        <v>2.1800000000000002</v>
      </c>
      <c r="H26" s="278"/>
      <c r="I26" s="278"/>
      <c r="J26" s="278"/>
      <c r="K26" s="278"/>
      <c r="L26" s="278"/>
      <c r="M26" s="278">
        <v>2.1800000000000002</v>
      </c>
      <c r="N26" s="292">
        <v>53.694581280788192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38.962847399999994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0.2</v>
      </c>
      <c r="H28" s="278"/>
      <c r="I28" s="278"/>
      <c r="J28" s="278"/>
      <c r="K28" s="278"/>
      <c r="L28" s="278"/>
      <c r="M28" s="278">
        <v>0.2</v>
      </c>
      <c r="N28" s="292">
        <v>71.428571428571431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6.6823845999999998</v>
      </c>
      <c r="E30" s="278">
        <v>2</v>
      </c>
      <c r="F30" s="278"/>
      <c r="G30" s="278">
        <v>1.44</v>
      </c>
      <c r="H30" s="278"/>
      <c r="I30" s="278"/>
      <c r="J30" s="278"/>
      <c r="K30" s="278"/>
      <c r="L30" s="278"/>
      <c r="M30" s="278">
        <v>1.44</v>
      </c>
      <c r="N30" s="292">
        <v>72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3.1429449999999997</v>
      </c>
      <c r="E31" s="278">
        <v>0.48</v>
      </c>
      <c r="F31" s="278"/>
      <c r="G31" s="278">
        <v>0.48</v>
      </c>
      <c r="H31" s="278"/>
      <c r="I31" s="278"/>
      <c r="J31" s="278"/>
      <c r="K31" s="278"/>
      <c r="L31" s="278"/>
      <c r="M31" s="278">
        <v>0.48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5.570265599999999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102.0715556</v>
      </c>
      <c r="E35" s="275">
        <v>7.24</v>
      </c>
      <c r="F35" s="275">
        <v>0</v>
      </c>
      <c r="G35" s="275">
        <v>4.620000000000001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4.620000000000001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2.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2645</v>
      </c>
      <c r="C4" s="1456"/>
      <c r="D4" s="1456"/>
      <c r="E4" s="650" t="s">
        <v>2458</v>
      </c>
      <c r="F4" s="649"/>
      <c r="G4" s="1467" t="s">
        <v>2646</v>
      </c>
      <c r="H4" s="1468"/>
      <c r="I4" s="1448" t="s">
        <v>2456</v>
      </c>
      <c r="J4" s="1459"/>
      <c r="K4" s="291">
        <v>575.59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2647</v>
      </c>
      <c r="C6" s="1458"/>
      <c r="D6" s="1458"/>
      <c r="E6" s="1458"/>
      <c r="F6" s="1448" t="s">
        <v>176</v>
      </c>
      <c r="G6" s="1459"/>
      <c r="H6" s="1458" t="s">
        <v>2648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2649</v>
      </c>
      <c r="C8" s="1458"/>
      <c r="D8" s="1458"/>
      <c r="E8" s="1458"/>
      <c r="F8" s="1463" t="s">
        <v>2650</v>
      </c>
      <c r="G8" s="1464"/>
      <c r="H8" s="1458" t="s">
        <v>2651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2652</v>
      </c>
      <c r="C10" s="1458"/>
      <c r="D10" s="1458"/>
      <c r="E10" s="1458" t="s">
        <v>2651</v>
      </c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 t="s">
        <v>2653</v>
      </c>
      <c r="C11" s="1458"/>
      <c r="D11" s="1458"/>
      <c r="E11" s="1458" t="s">
        <v>2654</v>
      </c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2655</v>
      </c>
      <c r="C12" s="995"/>
      <c r="D12" s="995"/>
      <c r="E12" s="995" t="s">
        <v>2656</v>
      </c>
      <c r="F12" s="995"/>
      <c r="G12" s="995" t="s">
        <v>2657</v>
      </c>
      <c r="H12" s="995"/>
      <c r="I12" s="995" t="s">
        <v>2658</v>
      </c>
      <c r="J12" s="995"/>
      <c r="K12" s="995"/>
      <c r="L12" s="1455" t="s">
        <v>2659</v>
      </c>
      <c r="M12" s="1456"/>
      <c r="N12" s="1457"/>
    </row>
    <row r="13" spans="1:14" s="282" customFormat="1" ht="15" customHeight="1">
      <c r="A13" s="282" t="s">
        <v>2444</v>
      </c>
      <c r="B13" s="1458" t="s">
        <v>2660</v>
      </c>
      <c r="C13" s="1458"/>
      <c r="D13" s="1458"/>
      <c r="E13" s="1458" t="s">
        <v>2661</v>
      </c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2</v>
      </c>
      <c r="C16" s="1448" t="s">
        <v>2442</v>
      </c>
      <c r="D16" s="1449"/>
      <c r="E16" s="1449"/>
      <c r="F16" s="651">
        <v>2</v>
      </c>
      <c r="G16" s="285" t="s">
        <v>1712</v>
      </c>
      <c r="H16" s="651">
        <v>26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233</v>
      </c>
      <c r="D18" s="650" t="s">
        <v>205</v>
      </c>
      <c r="E18" s="80">
        <v>46</v>
      </c>
      <c r="F18" s="650" t="s">
        <v>206</v>
      </c>
      <c r="G18" s="648">
        <v>33</v>
      </c>
      <c r="H18" s="650" t="s">
        <v>230</v>
      </c>
      <c r="I18" s="80">
        <f>+G18+E18+C18</f>
        <v>312</v>
      </c>
      <c r="J18" s="285" t="s">
        <v>414</v>
      </c>
      <c r="K18" s="651">
        <v>22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606</v>
      </c>
      <c r="D19" s="650" t="s">
        <v>2437</v>
      </c>
      <c r="E19" s="80">
        <v>99</v>
      </c>
      <c r="F19" s="650" t="s">
        <v>212</v>
      </c>
      <c r="G19" s="648">
        <v>94</v>
      </c>
      <c r="H19" s="650" t="s">
        <v>411</v>
      </c>
      <c r="I19" s="80">
        <f>+G19+E19+C19</f>
        <v>799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603</v>
      </c>
      <c r="D20" s="650" t="s">
        <v>214</v>
      </c>
      <c r="E20" s="80">
        <v>112</v>
      </c>
      <c r="F20" s="650" t="s">
        <v>215</v>
      </c>
      <c r="G20" s="648">
        <v>74</v>
      </c>
      <c r="H20" s="650" t="s">
        <v>410</v>
      </c>
      <c r="I20" s="80">
        <f>+G20+E20+C20</f>
        <v>789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53.011839000000002</v>
      </c>
      <c r="E26" s="278">
        <v>5.01</v>
      </c>
      <c r="F26" s="278"/>
      <c r="G26" s="278">
        <v>2.14</v>
      </c>
      <c r="H26" s="278"/>
      <c r="I26" s="278"/>
      <c r="J26" s="278"/>
      <c r="K26" s="278"/>
      <c r="L26" s="278"/>
      <c r="M26" s="278">
        <v>2.14</v>
      </c>
      <c r="N26" s="292">
        <v>42.714570858283437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46.381042200000003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0.2</v>
      </c>
      <c r="H28" s="278"/>
      <c r="I28" s="278"/>
      <c r="J28" s="278"/>
      <c r="K28" s="278"/>
      <c r="L28" s="278"/>
      <c r="M28" s="278">
        <v>0.2</v>
      </c>
      <c r="N28" s="292">
        <v>71.428571428571431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7.9546538000000009</v>
      </c>
      <c r="E30" s="278">
        <v>2</v>
      </c>
      <c r="F30" s="278"/>
      <c r="G30" s="278">
        <v>1.51</v>
      </c>
      <c r="H30" s="278"/>
      <c r="I30" s="278"/>
      <c r="J30" s="278"/>
      <c r="K30" s="278"/>
      <c r="L30" s="278"/>
      <c r="M30" s="278">
        <v>1.51</v>
      </c>
      <c r="N30" s="292">
        <v>75.5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3.7413350000000003</v>
      </c>
      <c r="E31" s="278">
        <v>0.56999999999999995</v>
      </c>
      <c r="F31" s="278"/>
      <c r="G31" s="278">
        <v>0.56999999999999995</v>
      </c>
      <c r="H31" s="278"/>
      <c r="I31" s="278"/>
      <c r="J31" s="278"/>
      <c r="K31" s="278"/>
      <c r="L31" s="278"/>
      <c r="M31" s="278">
        <v>0.56999999999999995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6.6307968000000006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120.89966680000002</v>
      </c>
      <c r="E35" s="275">
        <v>8.2799999999999994</v>
      </c>
      <c r="F35" s="275">
        <v>0</v>
      </c>
      <c r="G35" s="275">
        <v>4.7400000000000011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4.7400000000000011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3.25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2662</v>
      </c>
      <c r="C4" s="1456"/>
      <c r="D4" s="1456"/>
      <c r="E4" s="650" t="s">
        <v>2458</v>
      </c>
      <c r="F4" s="649"/>
      <c r="G4" s="1467" t="s">
        <v>2663</v>
      </c>
      <c r="H4" s="1468"/>
      <c r="I4" s="1448" t="s">
        <v>2456</v>
      </c>
      <c r="J4" s="1459"/>
      <c r="K4" s="291">
        <v>360.66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2664</v>
      </c>
      <c r="C6" s="1458"/>
      <c r="D6" s="1458"/>
      <c r="E6" s="1458"/>
      <c r="F6" s="1448" t="s">
        <v>176</v>
      </c>
      <c r="G6" s="1459"/>
      <c r="H6" s="1458" t="s">
        <v>2665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2666</v>
      </c>
      <c r="C8" s="1458"/>
      <c r="D8" s="1458"/>
      <c r="E8" s="1458"/>
      <c r="F8" s="1463" t="s">
        <v>2451</v>
      </c>
      <c r="G8" s="1464"/>
      <c r="H8" s="1458" t="s">
        <v>2438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2667</v>
      </c>
      <c r="C10" s="1458"/>
      <c r="D10" s="1458"/>
      <c r="E10" s="1458" t="s">
        <v>2668</v>
      </c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 t="s">
        <v>2669</v>
      </c>
      <c r="C11" s="1458"/>
      <c r="D11" s="1458"/>
      <c r="E11" s="1458" t="s">
        <v>2670</v>
      </c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2671</v>
      </c>
      <c r="C12" s="995"/>
      <c r="D12" s="995"/>
      <c r="E12" s="995" t="s">
        <v>2672</v>
      </c>
      <c r="F12" s="995"/>
      <c r="G12" s="995" t="s">
        <v>2673</v>
      </c>
      <c r="H12" s="995"/>
      <c r="I12" s="995" t="s">
        <v>2674</v>
      </c>
      <c r="J12" s="995"/>
      <c r="K12" s="995"/>
      <c r="L12" s="1455" t="s">
        <v>2675</v>
      </c>
      <c r="M12" s="1456"/>
      <c r="N12" s="1457"/>
    </row>
    <row r="13" spans="1:14" s="282" customFormat="1" ht="15" customHeight="1">
      <c r="A13" s="282" t="s">
        <v>2444</v>
      </c>
      <c r="B13" s="1458" t="s">
        <v>2438</v>
      </c>
      <c r="C13" s="1458"/>
      <c r="D13" s="1458"/>
      <c r="E13" s="1458" t="s">
        <v>2438</v>
      </c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2</v>
      </c>
      <c r="C16" s="1448" t="s">
        <v>2442</v>
      </c>
      <c r="D16" s="1449"/>
      <c r="E16" s="1449"/>
      <c r="F16" s="651">
        <v>2</v>
      </c>
      <c r="G16" s="285" t="s">
        <v>1712</v>
      </c>
      <c r="H16" s="651">
        <v>19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129</v>
      </c>
      <c r="D18" s="650" t="s">
        <v>205</v>
      </c>
      <c r="E18" s="80">
        <v>29</v>
      </c>
      <c r="F18" s="650" t="s">
        <v>206</v>
      </c>
      <c r="G18" s="648">
        <v>75</v>
      </c>
      <c r="H18" s="650" t="s">
        <v>230</v>
      </c>
      <c r="I18" s="80">
        <f>+C18+E18+G18</f>
        <v>233</v>
      </c>
      <c r="J18" s="285" t="s">
        <v>414</v>
      </c>
      <c r="K18" s="651">
        <v>30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170</v>
      </c>
      <c r="D19" s="650" t="s">
        <v>2437</v>
      </c>
      <c r="E19" s="80">
        <v>50</v>
      </c>
      <c r="F19" s="650" t="s">
        <v>212</v>
      </c>
      <c r="G19" s="648">
        <v>205</v>
      </c>
      <c r="H19" s="650" t="s">
        <v>411</v>
      </c>
      <c r="I19" s="80">
        <f>+C19+E19+G19</f>
        <v>425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332</v>
      </c>
      <c r="D20" s="650" t="s">
        <v>214</v>
      </c>
      <c r="E20" s="80">
        <v>63</v>
      </c>
      <c r="F20" s="650" t="s">
        <v>215</v>
      </c>
      <c r="G20" s="648">
        <v>203</v>
      </c>
      <c r="H20" s="650" t="s">
        <v>410</v>
      </c>
      <c r="I20" s="80">
        <f>+C20+E20+G20</f>
        <v>598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33.216785999999999</v>
      </c>
      <c r="E26" s="278">
        <v>4.68</v>
      </c>
      <c r="F26" s="278"/>
      <c r="G26" s="278">
        <v>2.21</v>
      </c>
      <c r="H26" s="278"/>
      <c r="I26" s="278"/>
      <c r="J26" s="278"/>
      <c r="K26" s="278"/>
      <c r="L26" s="278"/>
      <c r="M26" s="278">
        <v>2.21</v>
      </c>
      <c r="N26" s="292">
        <v>47.222222222222229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29.061982800000003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0.2</v>
      </c>
      <c r="H28" s="278"/>
      <c r="I28" s="278"/>
      <c r="J28" s="278"/>
      <c r="K28" s="278"/>
      <c r="L28" s="278"/>
      <c r="M28" s="278">
        <v>0.2</v>
      </c>
      <c r="N28" s="292">
        <v>71.428571428571431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4.984321200000001</v>
      </c>
      <c r="E30" s="278">
        <v>2</v>
      </c>
      <c r="F30" s="278"/>
      <c r="G30" s="278">
        <v>1.42</v>
      </c>
      <c r="H30" s="278"/>
      <c r="I30" s="278"/>
      <c r="J30" s="278"/>
      <c r="K30" s="278"/>
      <c r="L30" s="278"/>
      <c r="M30" s="278">
        <v>1.42</v>
      </c>
      <c r="N30" s="292">
        <v>71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2.3442900000000004</v>
      </c>
      <c r="E31" s="278">
        <v>0.36</v>
      </c>
      <c r="F31" s="278"/>
      <c r="G31" s="278">
        <v>0.36</v>
      </c>
      <c r="H31" s="278"/>
      <c r="I31" s="278"/>
      <c r="J31" s="278"/>
      <c r="K31" s="278"/>
      <c r="L31" s="278"/>
      <c r="M31" s="278">
        <v>0.36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4.1548031999999999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92"/>
    </row>
    <row r="35" spans="1:14" ht="21" customHeight="1">
      <c r="A35" s="276" t="s">
        <v>245</v>
      </c>
      <c r="B35" s="274"/>
      <c r="C35" s="274"/>
      <c r="D35" s="275">
        <v>76.942183200000002</v>
      </c>
      <c r="E35" s="275">
        <v>7.74</v>
      </c>
      <c r="F35" s="275">
        <v>0</v>
      </c>
      <c r="G35" s="275">
        <v>4.5100000000000007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4.5100000000000007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>
  <dimension ref="A1:N36"/>
  <sheetViews>
    <sheetView workbookViewId="0">
      <selection activeCell="A3" sqref="A3:C3"/>
    </sheetView>
  </sheetViews>
  <sheetFormatPr defaultRowHeight="12.75"/>
  <cols>
    <col min="1" max="1" width="25.85546875" style="180" customWidth="1"/>
    <col min="2" max="2" width="9" style="273" customWidth="1"/>
    <col min="3" max="3" width="7.42578125" style="273" customWidth="1"/>
    <col min="4" max="5" width="8.85546875" style="273" customWidth="1"/>
    <col min="6" max="6" width="13.28515625" style="273" customWidth="1"/>
    <col min="7" max="7" width="10" style="273" customWidth="1"/>
    <col min="8" max="8" width="11.28515625" style="273" customWidth="1"/>
    <col min="9" max="9" width="9.5703125" style="273" customWidth="1"/>
    <col min="10" max="10" width="8.85546875" style="273" customWidth="1"/>
    <col min="11" max="11" width="8.140625" style="273" customWidth="1"/>
    <col min="12" max="12" width="9.7109375" style="273" customWidth="1"/>
    <col min="13" max="13" width="9" style="273" customWidth="1"/>
    <col min="14" max="14" width="7.5703125" style="273" customWidth="1"/>
    <col min="15" max="256" width="9.140625" style="180"/>
    <col min="257" max="257" width="25.85546875" style="180" customWidth="1"/>
    <col min="258" max="258" width="9" style="180" customWidth="1"/>
    <col min="259" max="259" width="7.42578125" style="180" customWidth="1"/>
    <col min="260" max="261" width="8.85546875" style="180" customWidth="1"/>
    <col min="262" max="262" width="13.28515625" style="180" customWidth="1"/>
    <col min="263" max="263" width="10" style="180" customWidth="1"/>
    <col min="264" max="264" width="11.28515625" style="180" customWidth="1"/>
    <col min="265" max="265" width="9.5703125" style="180" customWidth="1"/>
    <col min="266" max="266" width="8.85546875" style="180" customWidth="1"/>
    <col min="267" max="267" width="8.140625" style="180" customWidth="1"/>
    <col min="268" max="268" width="9.7109375" style="180" customWidth="1"/>
    <col min="269" max="269" width="9" style="180" customWidth="1"/>
    <col min="270" max="270" width="7.5703125" style="180" customWidth="1"/>
    <col min="271" max="512" width="9.140625" style="180"/>
    <col min="513" max="513" width="25.85546875" style="180" customWidth="1"/>
    <col min="514" max="514" width="9" style="180" customWidth="1"/>
    <col min="515" max="515" width="7.42578125" style="180" customWidth="1"/>
    <col min="516" max="517" width="8.85546875" style="180" customWidth="1"/>
    <col min="518" max="518" width="13.28515625" style="180" customWidth="1"/>
    <col min="519" max="519" width="10" style="180" customWidth="1"/>
    <col min="520" max="520" width="11.28515625" style="180" customWidth="1"/>
    <col min="521" max="521" width="9.5703125" style="180" customWidth="1"/>
    <col min="522" max="522" width="8.85546875" style="180" customWidth="1"/>
    <col min="523" max="523" width="8.140625" style="180" customWidth="1"/>
    <col min="524" max="524" width="9.7109375" style="180" customWidth="1"/>
    <col min="525" max="525" width="9" style="180" customWidth="1"/>
    <col min="526" max="526" width="7.5703125" style="180" customWidth="1"/>
    <col min="527" max="768" width="9.140625" style="180"/>
    <col min="769" max="769" width="25.85546875" style="180" customWidth="1"/>
    <col min="770" max="770" width="9" style="180" customWidth="1"/>
    <col min="771" max="771" width="7.42578125" style="180" customWidth="1"/>
    <col min="772" max="773" width="8.85546875" style="180" customWidth="1"/>
    <col min="774" max="774" width="13.28515625" style="180" customWidth="1"/>
    <col min="775" max="775" width="10" style="180" customWidth="1"/>
    <col min="776" max="776" width="11.28515625" style="180" customWidth="1"/>
    <col min="777" max="777" width="9.5703125" style="180" customWidth="1"/>
    <col min="778" max="778" width="8.85546875" style="180" customWidth="1"/>
    <col min="779" max="779" width="8.140625" style="180" customWidth="1"/>
    <col min="780" max="780" width="9.7109375" style="180" customWidth="1"/>
    <col min="781" max="781" width="9" style="180" customWidth="1"/>
    <col min="782" max="782" width="7.5703125" style="180" customWidth="1"/>
    <col min="783" max="1024" width="9.140625" style="180"/>
    <col min="1025" max="1025" width="25.85546875" style="180" customWidth="1"/>
    <col min="1026" max="1026" width="9" style="180" customWidth="1"/>
    <col min="1027" max="1027" width="7.42578125" style="180" customWidth="1"/>
    <col min="1028" max="1029" width="8.85546875" style="180" customWidth="1"/>
    <col min="1030" max="1030" width="13.28515625" style="180" customWidth="1"/>
    <col min="1031" max="1031" width="10" style="180" customWidth="1"/>
    <col min="1032" max="1032" width="11.28515625" style="180" customWidth="1"/>
    <col min="1033" max="1033" width="9.5703125" style="180" customWidth="1"/>
    <col min="1034" max="1034" width="8.85546875" style="180" customWidth="1"/>
    <col min="1035" max="1035" width="8.140625" style="180" customWidth="1"/>
    <col min="1036" max="1036" width="9.7109375" style="180" customWidth="1"/>
    <col min="1037" max="1037" width="9" style="180" customWidth="1"/>
    <col min="1038" max="1038" width="7.5703125" style="180" customWidth="1"/>
    <col min="1039" max="1280" width="9.140625" style="180"/>
    <col min="1281" max="1281" width="25.85546875" style="180" customWidth="1"/>
    <col min="1282" max="1282" width="9" style="180" customWidth="1"/>
    <col min="1283" max="1283" width="7.42578125" style="180" customWidth="1"/>
    <col min="1284" max="1285" width="8.85546875" style="180" customWidth="1"/>
    <col min="1286" max="1286" width="13.28515625" style="180" customWidth="1"/>
    <col min="1287" max="1287" width="10" style="180" customWidth="1"/>
    <col min="1288" max="1288" width="11.28515625" style="180" customWidth="1"/>
    <col min="1289" max="1289" width="9.5703125" style="180" customWidth="1"/>
    <col min="1290" max="1290" width="8.85546875" style="180" customWidth="1"/>
    <col min="1291" max="1291" width="8.140625" style="180" customWidth="1"/>
    <col min="1292" max="1292" width="9.7109375" style="180" customWidth="1"/>
    <col min="1293" max="1293" width="9" style="180" customWidth="1"/>
    <col min="1294" max="1294" width="7.5703125" style="180" customWidth="1"/>
    <col min="1295" max="1536" width="9.140625" style="180"/>
    <col min="1537" max="1537" width="25.85546875" style="180" customWidth="1"/>
    <col min="1538" max="1538" width="9" style="180" customWidth="1"/>
    <col min="1539" max="1539" width="7.42578125" style="180" customWidth="1"/>
    <col min="1540" max="1541" width="8.85546875" style="180" customWidth="1"/>
    <col min="1542" max="1542" width="13.28515625" style="180" customWidth="1"/>
    <col min="1543" max="1543" width="10" style="180" customWidth="1"/>
    <col min="1544" max="1544" width="11.28515625" style="180" customWidth="1"/>
    <col min="1545" max="1545" width="9.5703125" style="180" customWidth="1"/>
    <col min="1546" max="1546" width="8.85546875" style="180" customWidth="1"/>
    <col min="1547" max="1547" width="8.140625" style="180" customWidth="1"/>
    <col min="1548" max="1548" width="9.7109375" style="180" customWidth="1"/>
    <col min="1549" max="1549" width="9" style="180" customWidth="1"/>
    <col min="1550" max="1550" width="7.5703125" style="180" customWidth="1"/>
    <col min="1551" max="1792" width="9.140625" style="180"/>
    <col min="1793" max="1793" width="25.85546875" style="180" customWidth="1"/>
    <col min="1794" max="1794" width="9" style="180" customWidth="1"/>
    <col min="1795" max="1795" width="7.42578125" style="180" customWidth="1"/>
    <col min="1796" max="1797" width="8.85546875" style="180" customWidth="1"/>
    <col min="1798" max="1798" width="13.28515625" style="180" customWidth="1"/>
    <col min="1799" max="1799" width="10" style="180" customWidth="1"/>
    <col min="1800" max="1800" width="11.28515625" style="180" customWidth="1"/>
    <col min="1801" max="1801" width="9.5703125" style="180" customWidth="1"/>
    <col min="1802" max="1802" width="8.85546875" style="180" customWidth="1"/>
    <col min="1803" max="1803" width="8.140625" style="180" customWidth="1"/>
    <col min="1804" max="1804" width="9.7109375" style="180" customWidth="1"/>
    <col min="1805" max="1805" width="9" style="180" customWidth="1"/>
    <col min="1806" max="1806" width="7.5703125" style="180" customWidth="1"/>
    <col min="1807" max="2048" width="9.140625" style="180"/>
    <col min="2049" max="2049" width="25.85546875" style="180" customWidth="1"/>
    <col min="2050" max="2050" width="9" style="180" customWidth="1"/>
    <col min="2051" max="2051" width="7.42578125" style="180" customWidth="1"/>
    <col min="2052" max="2053" width="8.85546875" style="180" customWidth="1"/>
    <col min="2054" max="2054" width="13.28515625" style="180" customWidth="1"/>
    <col min="2055" max="2055" width="10" style="180" customWidth="1"/>
    <col min="2056" max="2056" width="11.28515625" style="180" customWidth="1"/>
    <col min="2057" max="2057" width="9.5703125" style="180" customWidth="1"/>
    <col min="2058" max="2058" width="8.85546875" style="180" customWidth="1"/>
    <col min="2059" max="2059" width="8.140625" style="180" customWidth="1"/>
    <col min="2060" max="2060" width="9.7109375" style="180" customWidth="1"/>
    <col min="2061" max="2061" width="9" style="180" customWidth="1"/>
    <col min="2062" max="2062" width="7.5703125" style="180" customWidth="1"/>
    <col min="2063" max="2304" width="9.140625" style="180"/>
    <col min="2305" max="2305" width="25.85546875" style="180" customWidth="1"/>
    <col min="2306" max="2306" width="9" style="180" customWidth="1"/>
    <col min="2307" max="2307" width="7.42578125" style="180" customWidth="1"/>
    <col min="2308" max="2309" width="8.85546875" style="180" customWidth="1"/>
    <col min="2310" max="2310" width="13.28515625" style="180" customWidth="1"/>
    <col min="2311" max="2311" width="10" style="180" customWidth="1"/>
    <col min="2312" max="2312" width="11.28515625" style="180" customWidth="1"/>
    <col min="2313" max="2313" width="9.5703125" style="180" customWidth="1"/>
    <col min="2314" max="2314" width="8.85546875" style="180" customWidth="1"/>
    <col min="2315" max="2315" width="8.140625" style="180" customWidth="1"/>
    <col min="2316" max="2316" width="9.7109375" style="180" customWidth="1"/>
    <col min="2317" max="2317" width="9" style="180" customWidth="1"/>
    <col min="2318" max="2318" width="7.5703125" style="180" customWidth="1"/>
    <col min="2319" max="2560" width="9.140625" style="180"/>
    <col min="2561" max="2561" width="25.85546875" style="180" customWidth="1"/>
    <col min="2562" max="2562" width="9" style="180" customWidth="1"/>
    <col min="2563" max="2563" width="7.42578125" style="180" customWidth="1"/>
    <col min="2564" max="2565" width="8.85546875" style="180" customWidth="1"/>
    <col min="2566" max="2566" width="13.28515625" style="180" customWidth="1"/>
    <col min="2567" max="2567" width="10" style="180" customWidth="1"/>
    <col min="2568" max="2568" width="11.28515625" style="180" customWidth="1"/>
    <col min="2569" max="2569" width="9.5703125" style="180" customWidth="1"/>
    <col min="2570" max="2570" width="8.85546875" style="180" customWidth="1"/>
    <col min="2571" max="2571" width="8.140625" style="180" customWidth="1"/>
    <col min="2572" max="2572" width="9.7109375" style="180" customWidth="1"/>
    <col min="2573" max="2573" width="9" style="180" customWidth="1"/>
    <col min="2574" max="2574" width="7.5703125" style="180" customWidth="1"/>
    <col min="2575" max="2816" width="9.140625" style="180"/>
    <col min="2817" max="2817" width="25.85546875" style="180" customWidth="1"/>
    <col min="2818" max="2818" width="9" style="180" customWidth="1"/>
    <col min="2819" max="2819" width="7.42578125" style="180" customWidth="1"/>
    <col min="2820" max="2821" width="8.85546875" style="180" customWidth="1"/>
    <col min="2822" max="2822" width="13.28515625" style="180" customWidth="1"/>
    <col min="2823" max="2823" width="10" style="180" customWidth="1"/>
    <col min="2824" max="2824" width="11.28515625" style="180" customWidth="1"/>
    <col min="2825" max="2825" width="9.5703125" style="180" customWidth="1"/>
    <col min="2826" max="2826" width="8.85546875" style="180" customWidth="1"/>
    <col min="2827" max="2827" width="8.140625" style="180" customWidth="1"/>
    <col min="2828" max="2828" width="9.7109375" style="180" customWidth="1"/>
    <col min="2829" max="2829" width="9" style="180" customWidth="1"/>
    <col min="2830" max="2830" width="7.5703125" style="180" customWidth="1"/>
    <col min="2831" max="3072" width="9.140625" style="180"/>
    <col min="3073" max="3073" width="25.85546875" style="180" customWidth="1"/>
    <col min="3074" max="3074" width="9" style="180" customWidth="1"/>
    <col min="3075" max="3075" width="7.42578125" style="180" customWidth="1"/>
    <col min="3076" max="3077" width="8.85546875" style="180" customWidth="1"/>
    <col min="3078" max="3078" width="13.28515625" style="180" customWidth="1"/>
    <col min="3079" max="3079" width="10" style="180" customWidth="1"/>
    <col min="3080" max="3080" width="11.28515625" style="180" customWidth="1"/>
    <col min="3081" max="3081" width="9.5703125" style="180" customWidth="1"/>
    <col min="3082" max="3082" width="8.85546875" style="180" customWidth="1"/>
    <col min="3083" max="3083" width="8.140625" style="180" customWidth="1"/>
    <col min="3084" max="3084" width="9.7109375" style="180" customWidth="1"/>
    <col min="3085" max="3085" width="9" style="180" customWidth="1"/>
    <col min="3086" max="3086" width="7.5703125" style="180" customWidth="1"/>
    <col min="3087" max="3328" width="9.140625" style="180"/>
    <col min="3329" max="3329" width="25.85546875" style="180" customWidth="1"/>
    <col min="3330" max="3330" width="9" style="180" customWidth="1"/>
    <col min="3331" max="3331" width="7.42578125" style="180" customWidth="1"/>
    <col min="3332" max="3333" width="8.85546875" style="180" customWidth="1"/>
    <col min="3334" max="3334" width="13.28515625" style="180" customWidth="1"/>
    <col min="3335" max="3335" width="10" style="180" customWidth="1"/>
    <col min="3336" max="3336" width="11.28515625" style="180" customWidth="1"/>
    <col min="3337" max="3337" width="9.5703125" style="180" customWidth="1"/>
    <col min="3338" max="3338" width="8.85546875" style="180" customWidth="1"/>
    <col min="3339" max="3339" width="8.140625" style="180" customWidth="1"/>
    <col min="3340" max="3340" width="9.7109375" style="180" customWidth="1"/>
    <col min="3341" max="3341" width="9" style="180" customWidth="1"/>
    <col min="3342" max="3342" width="7.5703125" style="180" customWidth="1"/>
    <col min="3343" max="3584" width="9.140625" style="180"/>
    <col min="3585" max="3585" width="25.85546875" style="180" customWidth="1"/>
    <col min="3586" max="3586" width="9" style="180" customWidth="1"/>
    <col min="3587" max="3587" width="7.42578125" style="180" customWidth="1"/>
    <col min="3588" max="3589" width="8.85546875" style="180" customWidth="1"/>
    <col min="3590" max="3590" width="13.28515625" style="180" customWidth="1"/>
    <col min="3591" max="3591" width="10" style="180" customWidth="1"/>
    <col min="3592" max="3592" width="11.28515625" style="180" customWidth="1"/>
    <col min="3593" max="3593" width="9.5703125" style="180" customWidth="1"/>
    <col min="3594" max="3594" width="8.85546875" style="180" customWidth="1"/>
    <col min="3595" max="3595" width="8.140625" style="180" customWidth="1"/>
    <col min="3596" max="3596" width="9.7109375" style="180" customWidth="1"/>
    <col min="3597" max="3597" width="9" style="180" customWidth="1"/>
    <col min="3598" max="3598" width="7.5703125" style="180" customWidth="1"/>
    <col min="3599" max="3840" width="9.140625" style="180"/>
    <col min="3841" max="3841" width="25.85546875" style="180" customWidth="1"/>
    <col min="3842" max="3842" width="9" style="180" customWidth="1"/>
    <col min="3843" max="3843" width="7.42578125" style="180" customWidth="1"/>
    <col min="3844" max="3845" width="8.85546875" style="180" customWidth="1"/>
    <col min="3846" max="3846" width="13.28515625" style="180" customWidth="1"/>
    <col min="3847" max="3847" width="10" style="180" customWidth="1"/>
    <col min="3848" max="3848" width="11.28515625" style="180" customWidth="1"/>
    <col min="3849" max="3849" width="9.5703125" style="180" customWidth="1"/>
    <col min="3850" max="3850" width="8.85546875" style="180" customWidth="1"/>
    <col min="3851" max="3851" width="8.140625" style="180" customWidth="1"/>
    <col min="3852" max="3852" width="9.7109375" style="180" customWidth="1"/>
    <col min="3853" max="3853" width="9" style="180" customWidth="1"/>
    <col min="3854" max="3854" width="7.5703125" style="180" customWidth="1"/>
    <col min="3855" max="4096" width="9.140625" style="180"/>
    <col min="4097" max="4097" width="25.85546875" style="180" customWidth="1"/>
    <col min="4098" max="4098" width="9" style="180" customWidth="1"/>
    <col min="4099" max="4099" width="7.42578125" style="180" customWidth="1"/>
    <col min="4100" max="4101" width="8.85546875" style="180" customWidth="1"/>
    <col min="4102" max="4102" width="13.28515625" style="180" customWidth="1"/>
    <col min="4103" max="4103" width="10" style="180" customWidth="1"/>
    <col min="4104" max="4104" width="11.28515625" style="180" customWidth="1"/>
    <col min="4105" max="4105" width="9.5703125" style="180" customWidth="1"/>
    <col min="4106" max="4106" width="8.85546875" style="180" customWidth="1"/>
    <col min="4107" max="4107" width="8.140625" style="180" customWidth="1"/>
    <col min="4108" max="4108" width="9.7109375" style="180" customWidth="1"/>
    <col min="4109" max="4109" width="9" style="180" customWidth="1"/>
    <col min="4110" max="4110" width="7.5703125" style="180" customWidth="1"/>
    <col min="4111" max="4352" width="9.140625" style="180"/>
    <col min="4353" max="4353" width="25.85546875" style="180" customWidth="1"/>
    <col min="4354" max="4354" width="9" style="180" customWidth="1"/>
    <col min="4355" max="4355" width="7.42578125" style="180" customWidth="1"/>
    <col min="4356" max="4357" width="8.85546875" style="180" customWidth="1"/>
    <col min="4358" max="4358" width="13.28515625" style="180" customWidth="1"/>
    <col min="4359" max="4359" width="10" style="180" customWidth="1"/>
    <col min="4360" max="4360" width="11.28515625" style="180" customWidth="1"/>
    <col min="4361" max="4361" width="9.5703125" style="180" customWidth="1"/>
    <col min="4362" max="4362" width="8.85546875" style="180" customWidth="1"/>
    <col min="4363" max="4363" width="8.140625" style="180" customWidth="1"/>
    <col min="4364" max="4364" width="9.7109375" style="180" customWidth="1"/>
    <col min="4365" max="4365" width="9" style="180" customWidth="1"/>
    <col min="4366" max="4366" width="7.5703125" style="180" customWidth="1"/>
    <col min="4367" max="4608" width="9.140625" style="180"/>
    <col min="4609" max="4609" width="25.85546875" style="180" customWidth="1"/>
    <col min="4610" max="4610" width="9" style="180" customWidth="1"/>
    <col min="4611" max="4611" width="7.42578125" style="180" customWidth="1"/>
    <col min="4612" max="4613" width="8.85546875" style="180" customWidth="1"/>
    <col min="4614" max="4614" width="13.28515625" style="180" customWidth="1"/>
    <col min="4615" max="4615" width="10" style="180" customWidth="1"/>
    <col min="4616" max="4616" width="11.28515625" style="180" customWidth="1"/>
    <col min="4617" max="4617" width="9.5703125" style="180" customWidth="1"/>
    <col min="4618" max="4618" width="8.85546875" style="180" customWidth="1"/>
    <col min="4619" max="4619" width="8.140625" style="180" customWidth="1"/>
    <col min="4620" max="4620" width="9.7109375" style="180" customWidth="1"/>
    <col min="4621" max="4621" width="9" style="180" customWidth="1"/>
    <col min="4622" max="4622" width="7.5703125" style="180" customWidth="1"/>
    <col min="4623" max="4864" width="9.140625" style="180"/>
    <col min="4865" max="4865" width="25.85546875" style="180" customWidth="1"/>
    <col min="4866" max="4866" width="9" style="180" customWidth="1"/>
    <col min="4867" max="4867" width="7.42578125" style="180" customWidth="1"/>
    <col min="4868" max="4869" width="8.85546875" style="180" customWidth="1"/>
    <col min="4870" max="4870" width="13.28515625" style="180" customWidth="1"/>
    <col min="4871" max="4871" width="10" style="180" customWidth="1"/>
    <col min="4872" max="4872" width="11.28515625" style="180" customWidth="1"/>
    <col min="4873" max="4873" width="9.5703125" style="180" customWidth="1"/>
    <col min="4874" max="4874" width="8.85546875" style="180" customWidth="1"/>
    <col min="4875" max="4875" width="8.140625" style="180" customWidth="1"/>
    <col min="4876" max="4876" width="9.7109375" style="180" customWidth="1"/>
    <col min="4877" max="4877" width="9" style="180" customWidth="1"/>
    <col min="4878" max="4878" width="7.5703125" style="180" customWidth="1"/>
    <col min="4879" max="5120" width="9.140625" style="180"/>
    <col min="5121" max="5121" width="25.85546875" style="180" customWidth="1"/>
    <col min="5122" max="5122" width="9" style="180" customWidth="1"/>
    <col min="5123" max="5123" width="7.42578125" style="180" customWidth="1"/>
    <col min="5124" max="5125" width="8.85546875" style="180" customWidth="1"/>
    <col min="5126" max="5126" width="13.28515625" style="180" customWidth="1"/>
    <col min="5127" max="5127" width="10" style="180" customWidth="1"/>
    <col min="5128" max="5128" width="11.28515625" style="180" customWidth="1"/>
    <col min="5129" max="5129" width="9.5703125" style="180" customWidth="1"/>
    <col min="5130" max="5130" width="8.85546875" style="180" customWidth="1"/>
    <col min="5131" max="5131" width="8.140625" style="180" customWidth="1"/>
    <col min="5132" max="5132" width="9.7109375" style="180" customWidth="1"/>
    <col min="5133" max="5133" width="9" style="180" customWidth="1"/>
    <col min="5134" max="5134" width="7.5703125" style="180" customWidth="1"/>
    <col min="5135" max="5376" width="9.140625" style="180"/>
    <col min="5377" max="5377" width="25.85546875" style="180" customWidth="1"/>
    <col min="5378" max="5378" width="9" style="180" customWidth="1"/>
    <col min="5379" max="5379" width="7.42578125" style="180" customWidth="1"/>
    <col min="5380" max="5381" width="8.85546875" style="180" customWidth="1"/>
    <col min="5382" max="5382" width="13.28515625" style="180" customWidth="1"/>
    <col min="5383" max="5383" width="10" style="180" customWidth="1"/>
    <col min="5384" max="5384" width="11.28515625" style="180" customWidth="1"/>
    <col min="5385" max="5385" width="9.5703125" style="180" customWidth="1"/>
    <col min="5386" max="5386" width="8.85546875" style="180" customWidth="1"/>
    <col min="5387" max="5387" width="8.140625" style="180" customWidth="1"/>
    <col min="5388" max="5388" width="9.7109375" style="180" customWidth="1"/>
    <col min="5389" max="5389" width="9" style="180" customWidth="1"/>
    <col min="5390" max="5390" width="7.5703125" style="180" customWidth="1"/>
    <col min="5391" max="5632" width="9.140625" style="180"/>
    <col min="5633" max="5633" width="25.85546875" style="180" customWidth="1"/>
    <col min="5634" max="5634" width="9" style="180" customWidth="1"/>
    <col min="5635" max="5635" width="7.42578125" style="180" customWidth="1"/>
    <col min="5636" max="5637" width="8.85546875" style="180" customWidth="1"/>
    <col min="5638" max="5638" width="13.28515625" style="180" customWidth="1"/>
    <col min="5639" max="5639" width="10" style="180" customWidth="1"/>
    <col min="5640" max="5640" width="11.28515625" style="180" customWidth="1"/>
    <col min="5641" max="5641" width="9.5703125" style="180" customWidth="1"/>
    <col min="5642" max="5642" width="8.85546875" style="180" customWidth="1"/>
    <col min="5643" max="5643" width="8.140625" style="180" customWidth="1"/>
    <col min="5644" max="5644" width="9.7109375" style="180" customWidth="1"/>
    <col min="5645" max="5645" width="9" style="180" customWidth="1"/>
    <col min="5646" max="5646" width="7.5703125" style="180" customWidth="1"/>
    <col min="5647" max="5888" width="9.140625" style="180"/>
    <col min="5889" max="5889" width="25.85546875" style="180" customWidth="1"/>
    <col min="5890" max="5890" width="9" style="180" customWidth="1"/>
    <col min="5891" max="5891" width="7.42578125" style="180" customWidth="1"/>
    <col min="5892" max="5893" width="8.85546875" style="180" customWidth="1"/>
    <col min="5894" max="5894" width="13.28515625" style="180" customWidth="1"/>
    <col min="5895" max="5895" width="10" style="180" customWidth="1"/>
    <col min="5896" max="5896" width="11.28515625" style="180" customWidth="1"/>
    <col min="5897" max="5897" width="9.5703125" style="180" customWidth="1"/>
    <col min="5898" max="5898" width="8.85546875" style="180" customWidth="1"/>
    <col min="5899" max="5899" width="8.140625" style="180" customWidth="1"/>
    <col min="5900" max="5900" width="9.7109375" style="180" customWidth="1"/>
    <col min="5901" max="5901" width="9" style="180" customWidth="1"/>
    <col min="5902" max="5902" width="7.5703125" style="180" customWidth="1"/>
    <col min="5903" max="6144" width="9.140625" style="180"/>
    <col min="6145" max="6145" width="25.85546875" style="180" customWidth="1"/>
    <col min="6146" max="6146" width="9" style="180" customWidth="1"/>
    <col min="6147" max="6147" width="7.42578125" style="180" customWidth="1"/>
    <col min="6148" max="6149" width="8.85546875" style="180" customWidth="1"/>
    <col min="6150" max="6150" width="13.28515625" style="180" customWidth="1"/>
    <col min="6151" max="6151" width="10" style="180" customWidth="1"/>
    <col min="6152" max="6152" width="11.28515625" style="180" customWidth="1"/>
    <col min="6153" max="6153" width="9.5703125" style="180" customWidth="1"/>
    <col min="6154" max="6154" width="8.85546875" style="180" customWidth="1"/>
    <col min="6155" max="6155" width="8.140625" style="180" customWidth="1"/>
    <col min="6156" max="6156" width="9.7109375" style="180" customWidth="1"/>
    <col min="6157" max="6157" width="9" style="180" customWidth="1"/>
    <col min="6158" max="6158" width="7.5703125" style="180" customWidth="1"/>
    <col min="6159" max="6400" width="9.140625" style="180"/>
    <col min="6401" max="6401" width="25.85546875" style="180" customWidth="1"/>
    <col min="6402" max="6402" width="9" style="180" customWidth="1"/>
    <col min="6403" max="6403" width="7.42578125" style="180" customWidth="1"/>
    <col min="6404" max="6405" width="8.85546875" style="180" customWidth="1"/>
    <col min="6406" max="6406" width="13.28515625" style="180" customWidth="1"/>
    <col min="6407" max="6407" width="10" style="180" customWidth="1"/>
    <col min="6408" max="6408" width="11.28515625" style="180" customWidth="1"/>
    <col min="6409" max="6409" width="9.5703125" style="180" customWidth="1"/>
    <col min="6410" max="6410" width="8.85546875" style="180" customWidth="1"/>
    <col min="6411" max="6411" width="8.140625" style="180" customWidth="1"/>
    <col min="6412" max="6412" width="9.7109375" style="180" customWidth="1"/>
    <col min="6413" max="6413" width="9" style="180" customWidth="1"/>
    <col min="6414" max="6414" width="7.5703125" style="180" customWidth="1"/>
    <col min="6415" max="6656" width="9.140625" style="180"/>
    <col min="6657" max="6657" width="25.85546875" style="180" customWidth="1"/>
    <col min="6658" max="6658" width="9" style="180" customWidth="1"/>
    <col min="6659" max="6659" width="7.42578125" style="180" customWidth="1"/>
    <col min="6660" max="6661" width="8.85546875" style="180" customWidth="1"/>
    <col min="6662" max="6662" width="13.28515625" style="180" customWidth="1"/>
    <col min="6663" max="6663" width="10" style="180" customWidth="1"/>
    <col min="6664" max="6664" width="11.28515625" style="180" customWidth="1"/>
    <col min="6665" max="6665" width="9.5703125" style="180" customWidth="1"/>
    <col min="6666" max="6666" width="8.85546875" style="180" customWidth="1"/>
    <col min="6667" max="6667" width="8.140625" style="180" customWidth="1"/>
    <col min="6668" max="6668" width="9.7109375" style="180" customWidth="1"/>
    <col min="6669" max="6669" width="9" style="180" customWidth="1"/>
    <col min="6670" max="6670" width="7.5703125" style="180" customWidth="1"/>
    <col min="6671" max="6912" width="9.140625" style="180"/>
    <col min="6913" max="6913" width="25.85546875" style="180" customWidth="1"/>
    <col min="6914" max="6914" width="9" style="180" customWidth="1"/>
    <col min="6915" max="6915" width="7.42578125" style="180" customWidth="1"/>
    <col min="6916" max="6917" width="8.85546875" style="180" customWidth="1"/>
    <col min="6918" max="6918" width="13.28515625" style="180" customWidth="1"/>
    <col min="6919" max="6919" width="10" style="180" customWidth="1"/>
    <col min="6920" max="6920" width="11.28515625" style="180" customWidth="1"/>
    <col min="6921" max="6921" width="9.5703125" style="180" customWidth="1"/>
    <col min="6922" max="6922" width="8.85546875" style="180" customWidth="1"/>
    <col min="6923" max="6923" width="8.140625" style="180" customWidth="1"/>
    <col min="6924" max="6924" width="9.7109375" style="180" customWidth="1"/>
    <col min="6925" max="6925" width="9" style="180" customWidth="1"/>
    <col min="6926" max="6926" width="7.5703125" style="180" customWidth="1"/>
    <col min="6927" max="7168" width="9.140625" style="180"/>
    <col min="7169" max="7169" width="25.85546875" style="180" customWidth="1"/>
    <col min="7170" max="7170" width="9" style="180" customWidth="1"/>
    <col min="7171" max="7171" width="7.42578125" style="180" customWidth="1"/>
    <col min="7172" max="7173" width="8.85546875" style="180" customWidth="1"/>
    <col min="7174" max="7174" width="13.28515625" style="180" customWidth="1"/>
    <col min="7175" max="7175" width="10" style="180" customWidth="1"/>
    <col min="7176" max="7176" width="11.28515625" style="180" customWidth="1"/>
    <col min="7177" max="7177" width="9.5703125" style="180" customWidth="1"/>
    <col min="7178" max="7178" width="8.85546875" style="180" customWidth="1"/>
    <col min="7179" max="7179" width="8.140625" style="180" customWidth="1"/>
    <col min="7180" max="7180" width="9.7109375" style="180" customWidth="1"/>
    <col min="7181" max="7181" width="9" style="180" customWidth="1"/>
    <col min="7182" max="7182" width="7.5703125" style="180" customWidth="1"/>
    <col min="7183" max="7424" width="9.140625" style="180"/>
    <col min="7425" max="7425" width="25.85546875" style="180" customWidth="1"/>
    <col min="7426" max="7426" width="9" style="180" customWidth="1"/>
    <col min="7427" max="7427" width="7.42578125" style="180" customWidth="1"/>
    <col min="7428" max="7429" width="8.85546875" style="180" customWidth="1"/>
    <col min="7430" max="7430" width="13.28515625" style="180" customWidth="1"/>
    <col min="7431" max="7431" width="10" style="180" customWidth="1"/>
    <col min="7432" max="7432" width="11.28515625" style="180" customWidth="1"/>
    <col min="7433" max="7433" width="9.5703125" style="180" customWidth="1"/>
    <col min="7434" max="7434" width="8.85546875" style="180" customWidth="1"/>
    <col min="7435" max="7435" width="8.140625" style="180" customWidth="1"/>
    <col min="7436" max="7436" width="9.7109375" style="180" customWidth="1"/>
    <col min="7437" max="7437" width="9" style="180" customWidth="1"/>
    <col min="7438" max="7438" width="7.5703125" style="180" customWidth="1"/>
    <col min="7439" max="7680" width="9.140625" style="180"/>
    <col min="7681" max="7681" width="25.85546875" style="180" customWidth="1"/>
    <col min="7682" max="7682" width="9" style="180" customWidth="1"/>
    <col min="7683" max="7683" width="7.42578125" style="180" customWidth="1"/>
    <col min="7684" max="7685" width="8.85546875" style="180" customWidth="1"/>
    <col min="7686" max="7686" width="13.28515625" style="180" customWidth="1"/>
    <col min="7687" max="7687" width="10" style="180" customWidth="1"/>
    <col min="7688" max="7688" width="11.28515625" style="180" customWidth="1"/>
    <col min="7689" max="7689" width="9.5703125" style="180" customWidth="1"/>
    <col min="7690" max="7690" width="8.85546875" style="180" customWidth="1"/>
    <col min="7691" max="7691" width="8.140625" style="180" customWidth="1"/>
    <col min="7692" max="7692" width="9.7109375" style="180" customWidth="1"/>
    <col min="7693" max="7693" width="9" style="180" customWidth="1"/>
    <col min="7694" max="7694" width="7.5703125" style="180" customWidth="1"/>
    <col min="7695" max="7936" width="9.140625" style="180"/>
    <col min="7937" max="7937" width="25.85546875" style="180" customWidth="1"/>
    <col min="7938" max="7938" width="9" style="180" customWidth="1"/>
    <col min="7939" max="7939" width="7.42578125" style="180" customWidth="1"/>
    <col min="7940" max="7941" width="8.85546875" style="180" customWidth="1"/>
    <col min="7942" max="7942" width="13.28515625" style="180" customWidth="1"/>
    <col min="7943" max="7943" width="10" style="180" customWidth="1"/>
    <col min="7944" max="7944" width="11.28515625" style="180" customWidth="1"/>
    <col min="7945" max="7945" width="9.5703125" style="180" customWidth="1"/>
    <col min="7946" max="7946" width="8.85546875" style="180" customWidth="1"/>
    <col min="7947" max="7947" width="8.140625" style="180" customWidth="1"/>
    <col min="7948" max="7948" width="9.7109375" style="180" customWidth="1"/>
    <col min="7949" max="7949" width="9" style="180" customWidth="1"/>
    <col min="7950" max="7950" width="7.5703125" style="180" customWidth="1"/>
    <col min="7951" max="8192" width="9.140625" style="180"/>
    <col min="8193" max="8193" width="25.85546875" style="180" customWidth="1"/>
    <col min="8194" max="8194" width="9" style="180" customWidth="1"/>
    <col min="8195" max="8195" width="7.42578125" style="180" customWidth="1"/>
    <col min="8196" max="8197" width="8.85546875" style="180" customWidth="1"/>
    <col min="8198" max="8198" width="13.28515625" style="180" customWidth="1"/>
    <col min="8199" max="8199" width="10" style="180" customWidth="1"/>
    <col min="8200" max="8200" width="11.28515625" style="180" customWidth="1"/>
    <col min="8201" max="8201" width="9.5703125" style="180" customWidth="1"/>
    <col min="8202" max="8202" width="8.85546875" style="180" customWidth="1"/>
    <col min="8203" max="8203" width="8.140625" style="180" customWidth="1"/>
    <col min="8204" max="8204" width="9.7109375" style="180" customWidth="1"/>
    <col min="8205" max="8205" width="9" style="180" customWidth="1"/>
    <col min="8206" max="8206" width="7.5703125" style="180" customWidth="1"/>
    <col min="8207" max="8448" width="9.140625" style="180"/>
    <col min="8449" max="8449" width="25.85546875" style="180" customWidth="1"/>
    <col min="8450" max="8450" width="9" style="180" customWidth="1"/>
    <col min="8451" max="8451" width="7.42578125" style="180" customWidth="1"/>
    <col min="8452" max="8453" width="8.85546875" style="180" customWidth="1"/>
    <col min="8454" max="8454" width="13.28515625" style="180" customWidth="1"/>
    <col min="8455" max="8455" width="10" style="180" customWidth="1"/>
    <col min="8456" max="8456" width="11.28515625" style="180" customWidth="1"/>
    <col min="8457" max="8457" width="9.5703125" style="180" customWidth="1"/>
    <col min="8458" max="8458" width="8.85546875" style="180" customWidth="1"/>
    <col min="8459" max="8459" width="8.140625" style="180" customWidth="1"/>
    <col min="8460" max="8460" width="9.7109375" style="180" customWidth="1"/>
    <col min="8461" max="8461" width="9" style="180" customWidth="1"/>
    <col min="8462" max="8462" width="7.5703125" style="180" customWidth="1"/>
    <col min="8463" max="8704" width="9.140625" style="180"/>
    <col min="8705" max="8705" width="25.85546875" style="180" customWidth="1"/>
    <col min="8706" max="8706" width="9" style="180" customWidth="1"/>
    <col min="8707" max="8707" width="7.42578125" style="180" customWidth="1"/>
    <col min="8708" max="8709" width="8.85546875" style="180" customWidth="1"/>
    <col min="8710" max="8710" width="13.28515625" style="180" customWidth="1"/>
    <col min="8711" max="8711" width="10" style="180" customWidth="1"/>
    <col min="8712" max="8712" width="11.28515625" style="180" customWidth="1"/>
    <col min="8713" max="8713" width="9.5703125" style="180" customWidth="1"/>
    <col min="8714" max="8714" width="8.85546875" style="180" customWidth="1"/>
    <col min="8715" max="8715" width="8.140625" style="180" customWidth="1"/>
    <col min="8716" max="8716" width="9.7109375" style="180" customWidth="1"/>
    <col min="8717" max="8717" width="9" style="180" customWidth="1"/>
    <col min="8718" max="8718" width="7.5703125" style="180" customWidth="1"/>
    <col min="8719" max="8960" width="9.140625" style="180"/>
    <col min="8961" max="8961" width="25.85546875" style="180" customWidth="1"/>
    <col min="8962" max="8962" width="9" style="180" customWidth="1"/>
    <col min="8963" max="8963" width="7.42578125" style="180" customWidth="1"/>
    <col min="8964" max="8965" width="8.85546875" style="180" customWidth="1"/>
    <col min="8966" max="8966" width="13.28515625" style="180" customWidth="1"/>
    <col min="8967" max="8967" width="10" style="180" customWidth="1"/>
    <col min="8968" max="8968" width="11.28515625" style="180" customWidth="1"/>
    <col min="8969" max="8969" width="9.5703125" style="180" customWidth="1"/>
    <col min="8970" max="8970" width="8.85546875" style="180" customWidth="1"/>
    <col min="8971" max="8971" width="8.140625" style="180" customWidth="1"/>
    <col min="8972" max="8972" width="9.7109375" style="180" customWidth="1"/>
    <col min="8973" max="8973" width="9" style="180" customWidth="1"/>
    <col min="8974" max="8974" width="7.5703125" style="180" customWidth="1"/>
    <col min="8975" max="9216" width="9.140625" style="180"/>
    <col min="9217" max="9217" width="25.85546875" style="180" customWidth="1"/>
    <col min="9218" max="9218" width="9" style="180" customWidth="1"/>
    <col min="9219" max="9219" width="7.42578125" style="180" customWidth="1"/>
    <col min="9220" max="9221" width="8.85546875" style="180" customWidth="1"/>
    <col min="9222" max="9222" width="13.28515625" style="180" customWidth="1"/>
    <col min="9223" max="9223" width="10" style="180" customWidth="1"/>
    <col min="9224" max="9224" width="11.28515625" style="180" customWidth="1"/>
    <col min="9225" max="9225" width="9.5703125" style="180" customWidth="1"/>
    <col min="9226" max="9226" width="8.85546875" style="180" customWidth="1"/>
    <col min="9227" max="9227" width="8.140625" style="180" customWidth="1"/>
    <col min="9228" max="9228" width="9.7109375" style="180" customWidth="1"/>
    <col min="9229" max="9229" width="9" style="180" customWidth="1"/>
    <col min="9230" max="9230" width="7.5703125" style="180" customWidth="1"/>
    <col min="9231" max="9472" width="9.140625" style="180"/>
    <col min="9473" max="9473" width="25.85546875" style="180" customWidth="1"/>
    <col min="9474" max="9474" width="9" style="180" customWidth="1"/>
    <col min="9475" max="9475" width="7.42578125" style="180" customWidth="1"/>
    <col min="9476" max="9477" width="8.85546875" style="180" customWidth="1"/>
    <col min="9478" max="9478" width="13.28515625" style="180" customWidth="1"/>
    <col min="9479" max="9479" width="10" style="180" customWidth="1"/>
    <col min="9480" max="9480" width="11.28515625" style="180" customWidth="1"/>
    <col min="9481" max="9481" width="9.5703125" style="180" customWidth="1"/>
    <col min="9482" max="9482" width="8.85546875" style="180" customWidth="1"/>
    <col min="9483" max="9483" width="8.140625" style="180" customWidth="1"/>
    <col min="9484" max="9484" width="9.7109375" style="180" customWidth="1"/>
    <col min="9485" max="9485" width="9" style="180" customWidth="1"/>
    <col min="9486" max="9486" width="7.5703125" style="180" customWidth="1"/>
    <col min="9487" max="9728" width="9.140625" style="180"/>
    <col min="9729" max="9729" width="25.85546875" style="180" customWidth="1"/>
    <col min="9730" max="9730" width="9" style="180" customWidth="1"/>
    <col min="9731" max="9731" width="7.42578125" style="180" customWidth="1"/>
    <col min="9732" max="9733" width="8.85546875" style="180" customWidth="1"/>
    <col min="9734" max="9734" width="13.28515625" style="180" customWidth="1"/>
    <col min="9735" max="9735" width="10" style="180" customWidth="1"/>
    <col min="9736" max="9736" width="11.28515625" style="180" customWidth="1"/>
    <col min="9737" max="9737" width="9.5703125" style="180" customWidth="1"/>
    <col min="9738" max="9738" width="8.85546875" style="180" customWidth="1"/>
    <col min="9739" max="9739" width="8.140625" style="180" customWidth="1"/>
    <col min="9740" max="9740" width="9.7109375" style="180" customWidth="1"/>
    <col min="9741" max="9741" width="9" style="180" customWidth="1"/>
    <col min="9742" max="9742" width="7.5703125" style="180" customWidth="1"/>
    <col min="9743" max="9984" width="9.140625" style="180"/>
    <col min="9985" max="9985" width="25.85546875" style="180" customWidth="1"/>
    <col min="9986" max="9986" width="9" style="180" customWidth="1"/>
    <col min="9987" max="9987" width="7.42578125" style="180" customWidth="1"/>
    <col min="9988" max="9989" width="8.85546875" style="180" customWidth="1"/>
    <col min="9990" max="9990" width="13.28515625" style="180" customWidth="1"/>
    <col min="9991" max="9991" width="10" style="180" customWidth="1"/>
    <col min="9992" max="9992" width="11.28515625" style="180" customWidth="1"/>
    <col min="9993" max="9993" width="9.5703125" style="180" customWidth="1"/>
    <col min="9994" max="9994" width="8.85546875" style="180" customWidth="1"/>
    <col min="9995" max="9995" width="8.140625" style="180" customWidth="1"/>
    <col min="9996" max="9996" width="9.7109375" style="180" customWidth="1"/>
    <col min="9997" max="9997" width="9" style="180" customWidth="1"/>
    <col min="9998" max="9998" width="7.5703125" style="180" customWidth="1"/>
    <col min="9999" max="10240" width="9.140625" style="180"/>
    <col min="10241" max="10241" width="25.85546875" style="180" customWidth="1"/>
    <col min="10242" max="10242" width="9" style="180" customWidth="1"/>
    <col min="10243" max="10243" width="7.42578125" style="180" customWidth="1"/>
    <col min="10244" max="10245" width="8.85546875" style="180" customWidth="1"/>
    <col min="10246" max="10246" width="13.28515625" style="180" customWidth="1"/>
    <col min="10247" max="10247" width="10" style="180" customWidth="1"/>
    <col min="10248" max="10248" width="11.28515625" style="180" customWidth="1"/>
    <col min="10249" max="10249" width="9.5703125" style="180" customWidth="1"/>
    <col min="10250" max="10250" width="8.85546875" style="180" customWidth="1"/>
    <col min="10251" max="10251" width="8.140625" style="180" customWidth="1"/>
    <col min="10252" max="10252" width="9.7109375" style="180" customWidth="1"/>
    <col min="10253" max="10253" width="9" style="180" customWidth="1"/>
    <col min="10254" max="10254" width="7.5703125" style="180" customWidth="1"/>
    <col min="10255" max="10496" width="9.140625" style="180"/>
    <col min="10497" max="10497" width="25.85546875" style="180" customWidth="1"/>
    <col min="10498" max="10498" width="9" style="180" customWidth="1"/>
    <col min="10499" max="10499" width="7.42578125" style="180" customWidth="1"/>
    <col min="10500" max="10501" width="8.85546875" style="180" customWidth="1"/>
    <col min="10502" max="10502" width="13.28515625" style="180" customWidth="1"/>
    <col min="10503" max="10503" width="10" style="180" customWidth="1"/>
    <col min="10504" max="10504" width="11.28515625" style="180" customWidth="1"/>
    <col min="10505" max="10505" width="9.5703125" style="180" customWidth="1"/>
    <col min="10506" max="10506" width="8.85546875" style="180" customWidth="1"/>
    <col min="10507" max="10507" width="8.140625" style="180" customWidth="1"/>
    <col min="10508" max="10508" width="9.7109375" style="180" customWidth="1"/>
    <col min="10509" max="10509" width="9" style="180" customWidth="1"/>
    <col min="10510" max="10510" width="7.5703125" style="180" customWidth="1"/>
    <col min="10511" max="10752" width="9.140625" style="180"/>
    <col min="10753" max="10753" width="25.85546875" style="180" customWidth="1"/>
    <col min="10754" max="10754" width="9" style="180" customWidth="1"/>
    <col min="10755" max="10755" width="7.42578125" style="180" customWidth="1"/>
    <col min="10756" max="10757" width="8.85546875" style="180" customWidth="1"/>
    <col min="10758" max="10758" width="13.28515625" style="180" customWidth="1"/>
    <col min="10759" max="10759" width="10" style="180" customWidth="1"/>
    <col min="10760" max="10760" width="11.28515625" style="180" customWidth="1"/>
    <col min="10761" max="10761" width="9.5703125" style="180" customWidth="1"/>
    <col min="10762" max="10762" width="8.85546875" style="180" customWidth="1"/>
    <col min="10763" max="10763" width="8.140625" style="180" customWidth="1"/>
    <col min="10764" max="10764" width="9.7109375" style="180" customWidth="1"/>
    <col min="10765" max="10765" width="9" style="180" customWidth="1"/>
    <col min="10766" max="10766" width="7.5703125" style="180" customWidth="1"/>
    <col min="10767" max="11008" width="9.140625" style="180"/>
    <col min="11009" max="11009" width="25.85546875" style="180" customWidth="1"/>
    <col min="11010" max="11010" width="9" style="180" customWidth="1"/>
    <col min="11011" max="11011" width="7.42578125" style="180" customWidth="1"/>
    <col min="11012" max="11013" width="8.85546875" style="180" customWidth="1"/>
    <col min="11014" max="11014" width="13.28515625" style="180" customWidth="1"/>
    <col min="11015" max="11015" width="10" style="180" customWidth="1"/>
    <col min="11016" max="11016" width="11.28515625" style="180" customWidth="1"/>
    <col min="11017" max="11017" width="9.5703125" style="180" customWidth="1"/>
    <col min="11018" max="11018" width="8.85546875" style="180" customWidth="1"/>
    <col min="11019" max="11019" width="8.140625" style="180" customWidth="1"/>
    <col min="11020" max="11020" width="9.7109375" style="180" customWidth="1"/>
    <col min="11021" max="11021" width="9" style="180" customWidth="1"/>
    <col min="11022" max="11022" width="7.5703125" style="180" customWidth="1"/>
    <col min="11023" max="11264" width="9.140625" style="180"/>
    <col min="11265" max="11265" width="25.85546875" style="180" customWidth="1"/>
    <col min="11266" max="11266" width="9" style="180" customWidth="1"/>
    <col min="11267" max="11267" width="7.42578125" style="180" customWidth="1"/>
    <col min="11268" max="11269" width="8.85546875" style="180" customWidth="1"/>
    <col min="11270" max="11270" width="13.28515625" style="180" customWidth="1"/>
    <col min="11271" max="11271" width="10" style="180" customWidth="1"/>
    <col min="11272" max="11272" width="11.28515625" style="180" customWidth="1"/>
    <col min="11273" max="11273" width="9.5703125" style="180" customWidth="1"/>
    <col min="11274" max="11274" width="8.85546875" style="180" customWidth="1"/>
    <col min="11275" max="11275" width="8.140625" style="180" customWidth="1"/>
    <col min="11276" max="11276" width="9.7109375" style="180" customWidth="1"/>
    <col min="11277" max="11277" width="9" style="180" customWidth="1"/>
    <col min="11278" max="11278" width="7.5703125" style="180" customWidth="1"/>
    <col min="11279" max="11520" width="9.140625" style="180"/>
    <col min="11521" max="11521" width="25.85546875" style="180" customWidth="1"/>
    <col min="11522" max="11522" width="9" style="180" customWidth="1"/>
    <col min="11523" max="11523" width="7.42578125" style="180" customWidth="1"/>
    <col min="11524" max="11525" width="8.85546875" style="180" customWidth="1"/>
    <col min="11526" max="11526" width="13.28515625" style="180" customWidth="1"/>
    <col min="11527" max="11527" width="10" style="180" customWidth="1"/>
    <col min="11528" max="11528" width="11.28515625" style="180" customWidth="1"/>
    <col min="11529" max="11529" width="9.5703125" style="180" customWidth="1"/>
    <col min="11530" max="11530" width="8.85546875" style="180" customWidth="1"/>
    <col min="11531" max="11531" width="8.140625" style="180" customWidth="1"/>
    <col min="11532" max="11532" width="9.7109375" style="180" customWidth="1"/>
    <col min="11533" max="11533" width="9" style="180" customWidth="1"/>
    <col min="11534" max="11534" width="7.5703125" style="180" customWidth="1"/>
    <col min="11535" max="11776" width="9.140625" style="180"/>
    <col min="11777" max="11777" width="25.85546875" style="180" customWidth="1"/>
    <col min="11778" max="11778" width="9" style="180" customWidth="1"/>
    <col min="11779" max="11779" width="7.42578125" style="180" customWidth="1"/>
    <col min="11780" max="11781" width="8.85546875" style="180" customWidth="1"/>
    <col min="11782" max="11782" width="13.28515625" style="180" customWidth="1"/>
    <col min="11783" max="11783" width="10" style="180" customWidth="1"/>
    <col min="11784" max="11784" width="11.28515625" style="180" customWidth="1"/>
    <col min="11785" max="11785" width="9.5703125" style="180" customWidth="1"/>
    <col min="11786" max="11786" width="8.85546875" style="180" customWidth="1"/>
    <col min="11787" max="11787" width="8.140625" style="180" customWidth="1"/>
    <col min="11788" max="11788" width="9.7109375" style="180" customWidth="1"/>
    <col min="11789" max="11789" width="9" style="180" customWidth="1"/>
    <col min="11790" max="11790" width="7.5703125" style="180" customWidth="1"/>
    <col min="11791" max="12032" width="9.140625" style="180"/>
    <col min="12033" max="12033" width="25.85546875" style="180" customWidth="1"/>
    <col min="12034" max="12034" width="9" style="180" customWidth="1"/>
    <col min="12035" max="12035" width="7.42578125" style="180" customWidth="1"/>
    <col min="12036" max="12037" width="8.85546875" style="180" customWidth="1"/>
    <col min="12038" max="12038" width="13.28515625" style="180" customWidth="1"/>
    <col min="12039" max="12039" width="10" style="180" customWidth="1"/>
    <col min="12040" max="12040" width="11.28515625" style="180" customWidth="1"/>
    <col min="12041" max="12041" width="9.5703125" style="180" customWidth="1"/>
    <col min="12042" max="12042" width="8.85546875" style="180" customWidth="1"/>
    <col min="12043" max="12043" width="8.140625" style="180" customWidth="1"/>
    <col min="12044" max="12044" width="9.7109375" style="180" customWidth="1"/>
    <col min="12045" max="12045" width="9" style="180" customWidth="1"/>
    <col min="12046" max="12046" width="7.5703125" style="180" customWidth="1"/>
    <col min="12047" max="12288" width="9.140625" style="180"/>
    <col min="12289" max="12289" width="25.85546875" style="180" customWidth="1"/>
    <col min="12290" max="12290" width="9" style="180" customWidth="1"/>
    <col min="12291" max="12291" width="7.42578125" style="180" customWidth="1"/>
    <col min="12292" max="12293" width="8.85546875" style="180" customWidth="1"/>
    <col min="12294" max="12294" width="13.28515625" style="180" customWidth="1"/>
    <col min="12295" max="12295" width="10" style="180" customWidth="1"/>
    <col min="12296" max="12296" width="11.28515625" style="180" customWidth="1"/>
    <col min="12297" max="12297" width="9.5703125" style="180" customWidth="1"/>
    <col min="12298" max="12298" width="8.85546875" style="180" customWidth="1"/>
    <col min="12299" max="12299" width="8.140625" style="180" customWidth="1"/>
    <col min="12300" max="12300" width="9.7109375" style="180" customWidth="1"/>
    <col min="12301" max="12301" width="9" style="180" customWidth="1"/>
    <col min="12302" max="12302" width="7.5703125" style="180" customWidth="1"/>
    <col min="12303" max="12544" width="9.140625" style="180"/>
    <col min="12545" max="12545" width="25.85546875" style="180" customWidth="1"/>
    <col min="12546" max="12546" width="9" style="180" customWidth="1"/>
    <col min="12547" max="12547" width="7.42578125" style="180" customWidth="1"/>
    <col min="12548" max="12549" width="8.85546875" style="180" customWidth="1"/>
    <col min="12550" max="12550" width="13.28515625" style="180" customWidth="1"/>
    <col min="12551" max="12551" width="10" style="180" customWidth="1"/>
    <col min="12552" max="12552" width="11.28515625" style="180" customWidth="1"/>
    <col min="12553" max="12553" width="9.5703125" style="180" customWidth="1"/>
    <col min="12554" max="12554" width="8.85546875" style="180" customWidth="1"/>
    <col min="12555" max="12555" width="8.140625" style="180" customWidth="1"/>
    <col min="12556" max="12556" width="9.7109375" style="180" customWidth="1"/>
    <col min="12557" max="12557" width="9" style="180" customWidth="1"/>
    <col min="12558" max="12558" width="7.5703125" style="180" customWidth="1"/>
    <col min="12559" max="12800" width="9.140625" style="180"/>
    <col min="12801" max="12801" width="25.85546875" style="180" customWidth="1"/>
    <col min="12802" max="12802" width="9" style="180" customWidth="1"/>
    <col min="12803" max="12803" width="7.42578125" style="180" customWidth="1"/>
    <col min="12804" max="12805" width="8.85546875" style="180" customWidth="1"/>
    <col min="12806" max="12806" width="13.28515625" style="180" customWidth="1"/>
    <col min="12807" max="12807" width="10" style="180" customWidth="1"/>
    <col min="12808" max="12808" width="11.28515625" style="180" customWidth="1"/>
    <col min="12809" max="12809" width="9.5703125" style="180" customWidth="1"/>
    <col min="12810" max="12810" width="8.85546875" style="180" customWidth="1"/>
    <col min="12811" max="12811" width="8.140625" style="180" customWidth="1"/>
    <col min="12812" max="12812" width="9.7109375" style="180" customWidth="1"/>
    <col min="12813" max="12813" width="9" style="180" customWidth="1"/>
    <col min="12814" max="12814" width="7.5703125" style="180" customWidth="1"/>
    <col min="12815" max="13056" width="9.140625" style="180"/>
    <col min="13057" max="13057" width="25.85546875" style="180" customWidth="1"/>
    <col min="13058" max="13058" width="9" style="180" customWidth="1"/>
    <col min="13059" max="13059" width="7.42578125" style="180" customWidth="1"/>
    <col min="13060" max="13061" width="8.85546875" style="180" customWidth="1"/>
    <col min="13062" max="13062" width="13.28515625" style="180" customWidth="1"/>
    <col min="13063" max="13063" width="10" style="180" customWidth="1"/>
    <col min="13064" max="13064" width="11.28515625" style="180" customWidth="1"/>
    <col min="13065" max="13065" width="9.5703125" style="180" customWidth="1"/>
    <col min="13066" max="13066" width="8.85546875" style="180" customWidth="1"/>
    <col min="13067" max="13067" width="8.140625" style="180" customWidth="1"/>
    <col min="13068" max="13068" width="9.7109375" style="180" customWidth="1"/>
    <col min="13069" max="13069" width="9" style="180" customWidth="1"/>
    <col min="13070" max="13070" width="7.5703125" style="180" customWidth="1"/>
    <col min="13071" max="13312" width="9.140625" style="180"/>
    <col min="13313" max="13313" width="25.85546875" style="180" customWidth="1"/>
    <col min="13314" max="13314" width="9" style="180" customWidth="1"/>
    <col min="13315" max="13315" width="7.42578125" style="180" customWidth="1"/>
    <col min="13316" max="13317" width="8.85546875" style="180" customWidth="1"/>
    <col min="13318" max="13318" width="13.28515625" style="180" customWidth="1"/>
    <col min="13319" max="13319" width="10" style="180" customWidth="1"/>
    <col min="13320" max="13320" width="11.28515625" style="180" customWidth="1"/>
    <col min="13321" max="13321" width="9.5703125" style="180" customWidth="1"/>
    <col min="13322" max="13322" width="8.85546875" style="180" customWidth="1"/>
    <col min="13323" max="13323" width="8.140625" style="180" customWidth="1"/>
    <col min="13324" max="13324" width="9.7109375" style="180" customWidth="1"/>
    <col min="13325" max="13325" width="9" style="180" customWidth="1"/>
    <col min="13326" max="13326" width="7.5703125" style="180" customWidth="1"/>
    <col min="13327" max="13568" width="9.140625" style="180"/>
    <col min="13569" max="13569" width="25.85546875" style="180" customWidth="1"/>
    <col min="13570" max="13570" width="9" style="180" customWidth="1"/>
    <col min="13571" max="13571" width="7.42578125" style="180" customWidth="1"/>
    <col min="13572" max="13573" width="8.85546875" style="180" customWidth="1"/>
    <col min="13574" max="13574" width="13.28515625" style="180" customWidth="1"/>
    <col min="13575" max="13575" width="10" style="180" customWidth="1"/>
    <col min="13576" max="13576" width="11.28515625" style="180" customWidth="1"/>
    <col min="13577" max="13577" width="9.5703125" style="180" customWidth="1"/>
    <col min="13578" max="13578" width="8.85546875" style="180" customWidth="1"/>
    <col min="13579" max="13579" width="8.140625" style="180" customWidth="1"/>
    <col min="13580" max="13580" width="9.7109375" style="180" customWidth="1"/>
    <col min="13581" max="13581" width="9" style="180" customWidth="1"/>
    <col min="13582" max="13582" width="7.5703125" style="180" customWidth="1"/>
    <col min="13583" max="13824" width="9.140625" style="180"/>
    <col min="13825" max="13825" width="25.85546875" style="180" customWidth="1"/>
    <col min="13826" max="13826" width="9" style="180" customWidth="1"/>
    <col min="13827" max="13827" width="7.42578125" style="180" customWidth="1"/>
    <col min="13828" max="13829" width="8.85546875" style="180" customWidth="1"/>
    <col min="13830" max="13830" width="13.28515625" style="180" customWidth="1"/>
    <col min="13831" max="13831" width="10" style="180" customWidth="1"/>
    <col min="13832" max="13832" width="11.28515625" style="180" customWidth="1"/>
    <col min="13833" max="13833" width="9.5703125" style="180" customWidth="1"/>
    <col min="13834" max="13834" width="8.85546875" style="180" customWidth="1"/>
    <col min="13835" max="13835" width="8.140625" style="180" customWidth="1"/>
    <col min="13836" max="13836" width="9.7109375" style="180" customWidth="1"/>
    <col min="13837" max="13837" width="9" style="180" customWidth="1"/>
    <col min="13838" max="13838" width="7.5703125" style="180" customWidth="1"/>
    <col min="13839" max="14080" width="9.140625" style="180"/>
    <col min="14081" max="14081" width="25.85546875" style="180" customWidth="1"/>
    <col min="14082" max="14082" width="9" style="180" customWidth="1"/>
    <col min="14083" max="14083" width="7.42578125" style="180" customWidth="1"/>
    <col min="14084" max="14085" width="8.85546875" style="180" customWidth="1"/>
    <col min="14086" max="14086" width="13.28515625" style="180" customWidth="1"/>
    <col min="14087" max="14087" width="10" style="180" customWidth="1"/>
    <col min="14088" max="14088" width="11.28515625" style="180" customWidth="1"/>
    <col min="14089" max="14089" width="9.5703125" style="180" customWidth="1"/>
    <col min="14090" max="14090" width="8.85546875" style="180" customWidth="1"/>
    <col min="14091" max="14091" width="8.140625" style="180" customWidth="1"/>
    <col min="14092" max="14092" width="9.7109375" style="180" customWidth="1"/>
    <col min="14093" max="14093" width="9" style="180" customWidth="1"/>
    <col min="14094" max="14094" width="7.5703125" style="180" customWidth="1"/>
    <col min="14095" max="14336" width="9.140625" style="180"/>
    <col min="14337" max="14337" width="25.85546875" style="180" customWidth="1"/>
    <col min="14338" max="14338" width="9" style="180" customWidth="1"/>
    <col min="14339" max="14339" width="7.42578125" style="180" customWidth="1"/>
    <col min="14340" max="14341" width="8.85546875" style="180" customWidth="1"/>
    <col min="14342" max="14342" width="13.28515625" style="180" customWidth="1"/>
    <col min="14343" max="14343" width="10" style="180" customWidth="1"/>
    <col min="14344" max="14344" width="11.28515625" style="180" customWidth="1"/>
    <col min="14345" max="14345" width="9.5703125" style="180" customWidth="1"/>
    <col min="14346" max="14346" width="8.85546875" style="180" customWidth="1"/>
    <col min="14347" max="14347" width="8.140625" style="180" customWidth="1"/>
    <col min="14348" max="14348" width="9.7109375" style="180" customWidth="1"/>
    <col min="14349" max="14349" width="9" style="180" customWidth="1"/>
    <col min="14350" max="14350" width="7.5703125" style="180" customWidth="1"/>
    <col min="14351" max="14592" width="9.140625" style="180"/>
    <col min="14593" max="14593" width="25.85546875" style="180" customWidth="1"/>
    <col min="14594" max="14594" width="9" style="180" customWidth="1"/>
    <col min="14595" max="14595" width="7.42578125" style="180" customWidth="1"/>
    <col min="14596" max="14597" width="8.85546875" style="180" customWidth="1"/>
    <col min="14598" max="14598" width="13.28515625" style="180" customWidth="1"/>
    <col min="14599" max="14599" width="10" style="180" customWidth="1"/>
    <col min="14600" max="14600" width="11.28515625" style="180" customWidth="1"/>
    <col min="14601" max="14601" width="9.5703125" style="180" customWidth="1"/>
    <col min="14602" max="14602" width="8.85546875" style="180" customWidth="1"/>
    <col min="14603" max="14603" width="8.140625" style="180" customWidth="1"/>
    <col min="14604" max="14604" width="9.7109375" style="180" customWidth="1"/>
    <col min="14605" max="14605" width="9" style="180" customWidth="1"/>
    <col min="14606" max="14606" width="7.5703125" style="180" customWidth="1"/>
    <col min="14607" max="14848" width="9.140625" style="180"/>
    <col min="14849" max="14849" width="25.85546875" style="180" customWidth="1"/>
    <col min="14850" max="14850" width="9" style="180" customWidth="1"/>
    <col min="14851" max="14851" width="7.42578125" style="180" customWidth="1"/>
    <col min="14852" max="14853" width="8.85546875" style="180" customWidth="1"/>
    <col min="14854" max="14854" width="13.28515625" style="180" customWidth="1"/>
    <col min="14855" max="14855" width="10" style="180" customWidth="1"/>
    <col min="14856" max="14856" width="11.28515625" style="180" customWidth="1"/>
    <col min="14857" max="14857" width="9.5703125" style="180" customWidth="1"/>
    <col min="14858" max="14858" width="8.85546875" style="180" customWidth="1"/>
    <col min="14859" max="14859" width="8.140625" style="180" customWidth="1"/>
    <col min="14860" max="14860" width="9.7109375" style="180" customWidth="1"/>
    <col min="14861" max="14861" width="9" style="180" customWidth="1"/>
    <col min="14862" max="14862" width="7.5703125" style="180" customWidth="1"/>
    <col min="14863" max="15104" width="9.140625" style="180"/>
    <col min="15105" max="15105" width="25.85546875" style="180" customWidth="1"/>
    <col min="15106" max="15106" width="9" style="180" customWidth="1"/>
    <col min="15107" max="15107" width="7.42578125" style="180" customWidth="1"/>
    <col min="15108" max="15109" width="8.85546875" style="180" customWidth="1"/>
    <col min="15110" max="15110" width="13.28515625" style="180" customWidth="1"/>
    <col min="15111" max="15111" width="10" style="180" customWidth="1"/>
    <col min="15112" max="15112" width="11.28515625" style="180" customWidth="1"/>
    <col min="15113" max="15113" width="9.5703125" style="180" customWidth="1"/>
    <col min="15114" max="15114" width="8.85546875" style="180" customWidth="1"/>
    <col min="15115" max="15115" width="8.140625" style="180" customWidth="1"/>
    <col min="15116" max="15116" width="9.7109375" style="180" customWidth="1"/>
    <col min="15117" max="15117" width="9" style="180" customWidth="1"/>
    <col min="15118" max="15118" width="7.5703125" style="180" customWidth="1"/>
    <col min="15119" max="15360" width="9.140625" style="180"/>
    <col min="15361" max="15361" width="25.85546875" style="180" customWidth="1"/>
    <col min="15362" max="15362" width="9" style="180" customWidth="1"/>
    <col min="15363" max="15363" width="7.42578125" style="180" customWidth="1"/>
    <col min="15364" max="15365" width="8.85546875" style="180" customWidth="1"/>
    <col min="15366" max="15366" width="13.28515625" style="180" customWidth="1"/>
    <col min="15367" max="15367" width="10" style="180" customWidth="1"/>
    <col min="15368" max="15368" width="11.28515625" style="180" customWidth="1"/>
    <col min="15369" max="15369" width="9.5703125" style="180" customWidth="1"/>
    <col min="15370" max="15370" width="8.85546875" style="180" customWidth="1"/>
    <col min="15371" max="15371" width="8.140625" style="180" customWidth="1"/>
    <col min="15372" max="15372" width="9.7109375" style="180" customWidth="1"/>
    <col min="15373" max="15373" width="9" style="180" customWidth="1"/>
    <col min="15374" max="15374" width="7.5703125" style="180" customWidth="1"/>
    <col min="15375" max="15616" width="9.140625" style="180"/>
    <col min="15617" max="15617" width="25.85546875" style="180" customWidth="1"/>
    <col min="15618" max="15618" width="9" style="180" customWidth="1"/>
    <col min="15619" max="15619" width="7.42578125" style="180" customWidth="1"/>
    <col min="15620" max="15621" width="8.85546875" style="180" customWidth="1"/>
    <col min="15622" max="15622" width="13.28515625" style="180" customWidth="1"/>
    <col min="15623" max="15623" width="10" style="180" customWidth="1"/>
    <col min="15624" max="15624" width="11.28515625" style="180" customWidth="1"/>
    <col min="15625" max="15625" width="9.5703125" style="180" customWidth="1"/>
    <col min="15626" max="15626" width="8.85546875" style="180" customWidth="1"/>
    <col min="15627" max="15627" width="8.140625" style="180" customWidth="1"/>
    <col min="15628" max="15628" width="9.7109375" style="180" customWidth="1"/>
    <col min="15629" max="15629" width="9" style="180" customWidth="1"/>
    <col min="15630" max="15630" width="7.5703125" style="180" customWidth="1"/>
    <col min="15631" max="15872" width="9.140625" style="180"/>
    <col min="15873" max="15873" width="25.85546875" style="180" customWidth="1"/>
    <col min="15874" max="15874" width="9" style="180" customWidth="1"/>
    <col min="15875" max="15875" width="7.42578125" style="180" customWidth="1"/>
    <col min="15876" max="15877" width="8.85546875" style="180" customWidth="1"/>
    <col min="15878" max="15878" width="13.28515625" style="180" customWidth="1"/>
    <col min="15879" max="15879" width="10" style="180" customWidth="1"/>
    <col min="15880" max="15880" width="11.28515625" style="180" customWidth="1"/>
    <col min="15881" max="15881" width="9.5703125" style="180" customWidth="1"/>
    <col min="15882" max="15882" width="8.85546875" style="180" customWidth="1"/>
    <col min="15883" max="15883" width="8.140625" style="180" customWidth="1"/>
    <col min="15884" max="15884" width="9.7109375" style="180" customWidth="1"/>
    <col min="15885" max="15885" width="9" style="180" customWidth="1"/>
    <col min="15886" max="15886" width="7.5703125" style="180" customWidth="1"/>
    <col min="15887" max="16128" width="9.140625" style="180"/>
    <col min="16129" max="16129" width="25.85546875" style="180" customWidth="1"/>
    <col min="16130" max="16130" width="9" style="180" customWidth="1"/>
    <col min="16131" max="16131" width="7.42578125" style="180" customWidth="1"/>
    <col min="16132" max="16133" width="8.85546875" style="180" customWidth="1"/>
    <col min="16134" max="16134" width="13.28515625" style="180" customWidth="1"/>
    <col min="16135" max="16135" width="10" style="180" customWidth="1"/>
    <col min="16136" max="16136" width="11.28515625" style="180" customWidth="1"/>
    <col min="16137" max="16137" width="9.5703125" style="180" customWidth="1"/>
    <col min="16138" max="16138" width="8.85546875" style="180" customWidth="1"/>
    <col min="16139" max="16139" width="8.140625" style="180" customWidth="1"/>
    <col min="16140" max="16140" width="9.7109375" style="180" customWidth="1"/>
    <col min="16141" max="16141" width="9" style="180" customWidth="1"/>
    <col min="16142" max="16142" width="7.5703125" style="180" customWidth="1"/>
    <col min="16143" max="16384" width="9.140625" style="180"/>
  </cols>
  <sheetData>
    <row r="1" spans="1:14" ht="18">
      <c r="A1" s="1465" t="s">
        <v>2461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</row>
    <row r="2" spans="1:14">
      <c r="A2" s="1466" t="s">
        <v>2460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</row>
    <row r="3" spans="1:14" ht="21" customHeight="1">
      <c r="A3" s="808" t="s">
        <v>4176</v>
      </c>
      <c r="B3" s="808"/>
      <c r="C3" s="808"/>
    </row>
    <row r="4" spans="1:14" s="282" customFormat="1" ht="15" customHeight="1">
      <c r="A4" s="284" t="s">
        <v>169</v>
      </c>
      <c r="B4" s="1455" t="s">
        <v>2676</v>
      </c>
      <c r="C4" s="1456"/>
      <c r="D4" s="1456"/>
      <c r="E4" s="650" t="s">
        <v>2458</v>
      </c>
      <c r="F4" s="649"/>
      <c r="G4" s="1467" t="s">
        <v>2677</v>
      </c>
      <c r="H4" s="1468"/>
      <c r="I4" s="1448" t="s">
        <v>2456</v>
      </c>
      <c r="J4" s="1459"/>
      <c r="K4" s="291">
        <v>363.78</v>
      </c>
      <c r="L4" s="1449" t="s">
        <v>173</v>
      </c>
      <c r="M4" s="1449"/>
      <c r="N4" s="651" t="s">
        <v>2455</v>
      </c>
    </row>
    <row r="5" spans="1:14" s="282" customFormat="1" ht="15" customHeight="1"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1:14" s="282" customFormat="1" ht="15" customHeight="1">
      <c r="A6" s="286" t="s">
        <v>174</v>
      </c>
      <c r="B6" s="1458" t="s">
        <v>2678</v>
      </c>
      <c r="C6" s="1458"/>
      <c r="D6" s="1458"/>
      <c r="E6" s="1458"/>
      <c r="F6" s="1448" t="s">
        <v>176</v>
      </c>
      <c r="G6" s="1459"/>
      <c r="H6" s="1458" t="s">
        <v>2679</v>
      </c>
      <c r="I6" s="1458"/>
      <c r="J6" s="1458"/>
      <c r="K6" s="1458"/>
      <c r="L6" s="283"/>
      <c r="M6" s="283"/>
      <c r="N6" s="283"/>
    </row>
    <row r="7" spans="1:14" s="287" customFormat="1" ht="15" customHeight="1">
      <c r="A7" s="290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8"/>
      <c r="M7" s="288"/>
      <c r="N7" s="288"/>
    </row>
    <row r="8" spans="1:14" s="282" customFormat="1" ht="27.75" customHeight="1">
      <c r="A8" s="286" t="s">
        <v>178</v>
      </c>
      <c r="B8" s="1458" t="s">
        <v>5687</v>
      </c>
      <c r="C8" s="1458"/>
      <c r="D8" s="1458"/>
      <c r="E8" s="1458"/>
      <c r="F8" s="1463" t="s">
        <v>2451</v>
      </c>
      <c r="G8" s="1464"/>
      <c r="H8" s="1458" t="s">
        <v>2680</v>
      </c>
      <c r="I8" s="1458"/>
      <c r="J8" s="1458"/>
      <c r="K8" s="1458"/>
      <c r="L8" s="283"/>
      <c r="M8" s="283"/>
      <c r="N8" s="283"/>
    </row>
    <row r="9" spans="1:14" s="282" customFormat="1" ht="15" customHeight="1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</row>
    <row r="10" spans="1:14" s="282" customFormat="1" ht="15" customHeight="1">
      <c r="A10" s="282" t="s">
        <v>838</v>
      </c>
      <c r="B10" s="1458" t="s">
        <v>2680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</row>
    <row r="11" spans="1:14" s="282" customFormat="1" ht="15" customHeight="1">
      <c r="A11" s="282" t="s">
        <v>187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</row>
    <row r="12" spans="1:14" s="282" customFormat="1" ht="15" customHeight="1">
      <c r="A12" s="282" t="s">
        <v>2449</v>
      </c>
      <c r="B12" s="995" t="s">
        <v>2681</v>
      </c>
      <c r="C12" s="995"/>
      <c r="D12" s="995"/>
      <c r="E12" s="995" t="s">
        <v>2682</v>
      </c>
      <c r="F12" s="995"/>
      <c r="G12" s="995" t="s">
        <v>2683</v>
      </c>
      <c r="H12" s="995"/>
      <c r="I12" s="995" t="s">
        <v>2684</v>
      </c>
      <c r="J12" s="995"/>
      <c r="K12" s="995"/>
      <c r="L12" s="1455" t="s">
        <v>2685</v>
      </c>
      <c r="M12" s="1456"/>
      <c r="N12" s="1457"/>
    </row>
    <row r="13" spans="1:14" s="282" customFormat="1" ht="15" customHeight="1">
      <c r="A13" s="282" t="s">
        <v>2444</v>
      </c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</row>
    <row r="14" spans="1:14" s="282" customFormat="1" ht="15" customHeight="1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</row>
    <row r="15" spans="1:14" s="282" customFormat="1" ht="15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</row>
    <row r="16" spans="1:14" s="282" customFormat="1" ht="15" customHeight="1">
      <c r="A16" s="284" t="s">
        <v>2443</v>
      </c>
      <c r="B16" s="651">
        <v>1</v>
      </c>
      <c r="C16" s="1448" t="s">
        <v>2442</v>
      </c>
      <c r="D16" s="1449"/>
      <c r="E16" s="1449"/>
      <c r="F16" s="651">
        <v>0</v>
      </c>
      <c r="G16" s="285" t="s">
        <v>1712</v>
      </c>
      <c r="H16" s="651">
        <v>17</v>
      </c>
      <c r="I16" s="650" t="s">
        <v>2441</v>
      </c>
      <c r="J16" s="651">
        <v>0</v>
      </c>
      <c r="K16" s="650" t="s">
        <v>2440</v>
      </c>
      <c r="L16" s="651"/>
      <c r="M16" s="283"/>
      <c r="N16" s="283"/>
    </row>
    <row r="17" spans="1:14" s="282" customFormat="1" ht="15" customHeight="1"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</row>
    <row r="18" spans="1:14" s="282" customFormat="1" ht="15" customHeight="1">
      <c r="A18" s="284" t="s">
        <v>646</v>
      </c>
      <c r="B18" s="650" t="s">
        <v>204</v>
      </c>
      <c r="C18" s="80">
        <v>136</v>
      </c>
      <c r="D18" s="650" t="s">
        <v>205</v>
      </c>
      <c r="E18" s="80">
        <v>25</v>
      </c>
      <c r="F18" s="650" t="s">
        <v>206</v>
      </c>
      <c r="G18" s="648">
        <v>31</v>
      </c>
      <c r="H18" s="650" t="s">
        <v>230</v>
      </c>
      <c r="I18" s="80">
        <f>+C18+E18+G18</f>
        <v>192</v>
      </c>
      <c r="J18" s="285" t="s">
        <v>414</v>
      </c>
      <c r="K18" s="651">
        <v>35</v>
      </c>
      <c r="L18" s="1449" t="s">
        <v>2439</v>
      </c>
      <c r="M18" s="1449"/>
      <c r="N18" s="651"/>
    </row>
    <row r="19" spans="1:14" s="282" customFormat="1" ht="15" customHeight="1">
      <c r="A19" s="284" t="s">
        <v>209</v>
      </c>
      <c r="B19" s="650" t="s">
        <v>210</v>
      </c>
      <c r="C19" s="80">
        <v>344</v>
      </c>
      <c r="D19" s="650" t="s">
        <v>2437</v>
      </c>
      <c r="E19" s="80">
        <v>52</v>
      </c>
      <c r="F19" s="650" t="s">
        <v>212</v>
      </c>
      <c r="G19" s="648">
        <v>69</v>
      </c>
      <c r="H19" s="650" t="s">
        <v>411</v>
      </c>
      <c r="I19" s="80">
        <f>+C19+E19+G19</f>
        <v>465</v>
      </c>
      <c r="J19" s="283"/>
      <c r="K19" s="283"/>
      <c r="L19" s="283"/>
      <c r="M19" s="283"/>
      <c r="N19" s="283"/>
    </row>
    <row r="20" spans="1:14" s="282" customFormat="1" ht="15" customHeight="1">
      <c r="B20" s="650" t="s">
        <v>213</v>
      </c>
      <c r="C20" s="80">
        <v>444</v>
      </c>
      <c r="D20" s="650" t="s">
        <v>214</v>
      </c>
      <c r="E20" s="80">
        <v>63</v>
      </c>
      <c r="F20" s="650" t="s">
        <v>215</v>
      </c>
      <c r="G20" s="648">
        <v>65</v>
      </c>
      <c r="H20" s="650" t="s">
        <v>410</v>
      </c>
      <c r="I20" s="80">
        <f>+C20+E20+G20</f>
        <v>572</v>
      </c>
      <c r="J20" s="283"/>
      <c r="K20" s="283"/>
      <c r="L20" s="283"/>
      <c r="M20" s="283"/>
      <c r="N20" s="283"/>
    </row>
    <row r="21" spans="1:14" s="282" customFormat="1" ht="9" customHeight="1"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</row>
    <row r="22" spans="1:14" s="282" customFormat="1" ht="15" customHeight="1">
      <c r="A22" s="282" t="s">
        <v>216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</row>
    <row r="23" spans="1:14" s="282" customFormat="1" ht="7.5" customHeight="1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</row>
    <row r="24" spans="1:14" s="277" customFormat="1" ht="24" customHeight="1">
      <c r="A24" s="1450" t="s">
        <v>217</v>
      </c>
      <c r="B24" s="1450" t="s">
        <v>1922</v>
      </c>
      <c r="C24" s="1450" t="s">
        <v>219</v>
      </c>
      <c r="D24" s="1450" t="s">
        <v>2436</v>
      </c>
      <c r="E24" s="1450" t="s">
        <v>2435</v>
      </c>
      <c r="F24" s="1452" t="s">
        <v>2434</v>
      </c>
      <c r="G24" s="1453"/>
      <c r="H24" s="1453"/>
      <c r="I24" s="1453"/>
      <c r="J24" s="1453"/>
      <c r="K24" s="1453"/>
      <c r="L24" s="1453"/>
      <c r="M24" s="1453"/>
      <c r="N24" s="1454"/>
    </row>
    <row r="25" spans="1:14" s="277" customFormat="1" ht="15" customHeight="1">
      <c r="A25" s="1451"/>
      <c r="B25" s="1451"/>
      <c r="C25" s="1451"/>
      <c r="D25" s="1451"/>
      <c r="E25" s="1451"/>
      <c r="F25" s="281" t="s">
        <v>655</v>
      </c>
      <c r="G25" s="281" t="s">
        <v>656</v>
      </c>
      <c r="H25" s="281" t="s">
        <v>657</v>
      </c>
      <c r="I25" s="281" t="s">
        <v>658</v>
      </c>
      <c r="J25" s="281" t="s">
        <v>659</v>
      </c>
      <c r="K25" s="281" t="s">
        <v>660</v>
      </c>
      <c r="L25" s="281" t="s">
        <v>661</v>
      </c>
      <c r="M25" s="281" t="s">
        <v>230</v>
      </c>
      <c r="N25" s="281" t="s">
        <v>231</v>
      </c>
    </row>
    <row r="26" spans="1:14" s="277" customFormat="1" ht="21" customHeight="1">
      <c r="A26" s="280" t="s">
        <v>232</v>
      </c>
      <c r="B26" s="278">
        <v>8000</v>
      </c>
      <c r="C26" s="278" t="s">
        <v>233</v>
      </c>
      <c r="D26" s="279">
        <v>33.504137999999998</v>
      </c>
      <c r="E26" s="278">
        <v>3.7</v>
      </c>
      <c r="F26" s="278"/>
      <c r="G26" s="278">
        <v>2.58</v>
      </c>
      <c r="H26" s="278"/>
      <c r="I26" s="278"/>
      <c r="J26" s="278"/>
      <c r="K26" s="278"/>
      <c r="L26" s="278"/>
      <c r="M26" s="278">
        <v>2.58</v>
      </c>
      <c r="N26" s="292">
        <v>69.729729729729726</v>
      </c>
    </row>
    <row r="27" spans="1:14" s="277" customFormat="1" ht="24.95" customHeight="1">
      <c r="A27" s="280" t="s">
        <v>234</v>
      </c>
      <c r="B27" s="278">
        <v>7000</v>
      </c>
      <c r="C27" s="278" t="s">
        <v>233</v>
      </c>
      <c r="D27" s="279">
        <v>29.313392399999998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92"/>
    </row>
    <row r="28" spans="1:14" s="277" customFormat="1" ht="24.95" customHeight="1">
      <c r="A28" s="280" t="s">
        <v>235</v>
      </c>
      <c r="B28" s="278">
        <v>43000</v>
      </c>
      <c r="C28" s="278" t="s">
        <v>236</v>
      </c>
      <c r="D28" s="278">
        <v>0.43</v>
      </c>
      <c r="E28" s="278">
        <v>0.28000000000000003</v>
      </c>
      <c r="F28" s="278"/>
      <c r="G28" s="278">
        <v>0.19</v>
      </c>
      <c r="H28" s="278"/>
      <c r="I28" s="278"/>
      <c r="J28" s="278"/>
      <c r="K28" s="278"/>
      <c r="L28" s="278"/>
      <c r="M28" s="278">
        <v>0.19</v>
      </c>
      <c r="N28" s="292">
        <v>67.857142857142847</v>
      </c>
    </row>
    <row r="29" spans="1:14" s="277" customFormat="1" ht="24.95" customHeight="1">
      <c r="A29" s="280" t="s">
        <v>396</v>
      </c>
      <c r="B29" s="278">
        <v>34000</v>
      </c>
      <c r="C29" s="278" t="s">
        <v>236</v>
      </c>
      <c r="D29" s="278">
        <v>0.34</v>
      </c>
      <c r="E29" s="278">
        <v>0.26</v>
      </c>
      <c r="F29" s="278"/>
      <c r="G29" s="278">
        <v>0.16</v>
      </c>
      <c r="H29" s="278"/>
      <c r="I29" s="278"/>
      <c r="J29" s="278"/>
      <c r="K29" s="278"/>
      <c r="L29" s="278"/>
      <c r="M29" s="278">
        <v>0.16</v>
      </c>
      <c r="N29" s="292">
        <v>61.53846153846154</v>
      </c>
    </row>
    <row r="30" spans="1:14" s="277" customFormat="1" ht="21" customHeight="1">
      <c r="A30" s="280" t="s">
        <v>238</v>
      </c>
      <c r="B30" s="278">
        <v>1200</v>
      </c>
      <c r="C30" s="278" t="s">
        <v>233</v>
      </c>
      <c r="D30" s="279">
        <v>5.0274396000000001</v>
      </c>
      <c r="E30" s="278">
        <v>2</v>
      </c>
      <c r="F30" s="278"/>
      <c r="G30" s="278">
        <v>1.47</v>
      </c>
      <c r="H30" s="278"/>
      <c r="I30" s="278"/>
      <c r="J30" s="278"/>
      <c r="K30" s="278"/>
      <c r="L30" s="278"/>
      <c r="M30" s="278">
        <v>1.47</v>
      </c>
      <c r="N30" s="292">
        <v>73.5</v>
      </c>
    </row>
    <row r="31" spans="1:14" s="277" customFormat="1" ht="21" customHeight="1">
      <c r="A31" s="280" t="s">
        <v>667</v>
      </c>
      <c r="B31" s="278">
        <v>565</v>
      </c>
      <c r="C31" s="278" t="s">
        <v>233</v>
      </c>
      <c r="D31" s="279">
        <v>2.3645700000000001</v>
      </c>
      <c r="E31" s="278">
        <v>0.36</v>
      </c>
      <c r="F31" s="278"/>
      <c r="G31" s="278">
        <v>0.36</v>
      </c>
      <c r="H31" s="278"/>
      <c r="I31" s="278"/>
      <c r="J31" s="278"/>
      <c r="K31" s="278"/>
      <c r="L31" s="278"/>
      <c r="M31" s="278">
        <v>0.36</v>
      </c>
      <c r="N31" s="292">
        <v>100</v>
      </c>
    </row>
    <row r="32" spans="1:14" s="277" customFormat="1" ht="21" customHeight="1">
      <c r="A32" s="280" t="s">
        <v>1503</v>
      </c>
      <c r="B32" s="278">
        <v>1000</v>
      </c>
      <c r="C32" s="278" t="s">
        <v>233</v>
      </c>
      <c r="D32" s="279">
        <v>4.1907455999999996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92"/>
    </row>
    <row r="33" spans="1:14" s="277" customFormat="1" ht="21" customHeight="1">
      <c r="A33" s="280" t="s">
        <v>394</v>
      </c>
      <c r="B33" s="278">
        <v>2750</v>
      </c>
      <c r="C33" s="278" t="s">
        <v>242</v>
      </c>
      <c r="D33" s="279">
        <v>2.31</v>
      </c>
      <c r="E33" s="278">
        <v>0.16</v>
      </c>
      <c r="F33" s="278"/>
      <c r="G33" s="278">
        <v>0.16</v>
      </c>
      <c r="H33" s="278"/>
      <c r="I33" s="278"/>
      <c r="J33" s="278"/>
      <c r="K33" s="278"/>
      <c r="L33" s="278"/>
      <c r="M33" s="278">
        <v>0.16</v>
      </c>
      <c r="N33" s="292">
        <v>100</v>
      </c>
    </row>
    <row r="34" spans="1:14" s="277" customFormat="1" ht="21" customHeight="1">
      <c r="A34" s="280" t="s">
        <v>670</v>
      </c>
      <c r="B34" s="278">
        <v>10000</v>
      </c>
      <c r="C34" s="278" t="s">
        <v>244</v>
      </c>
      <c r="D34" s="279">
        <v>0.1</v>
      </c>
      <c r="E34" s="278"/>
      <c r="F34" s="278"/>
      <c r="G34" s="278"/>
      <c r="H34" s="278"/>
      <c r="I34" s="278"/>
      <c r="J34" s="278"/>
      <c r="K34" s="278"/>
      <c r="L34" s="278"/>
      <c r="M34" s="278"/>
      <c r="N34" s="278"/>
    </row>
    <row r="35" spans="1:14" ht="21" customHeight="1">
      <c r="A35" s="276" t="s">
        <v>245</v>
      </c>
      <c r="B35" s="274"/>
      <c r="C35" s="274"/>
      <c r="D35" s="275">
        <v>77.580285599999996</v>
      </c>
      <c r="E35" s="275">
        <v>6.7600000000000007</v>
      </c>
      <c r="F35" s="275">
        <v>0</v>
      </c>
      <c r="G35" s="275">
        <v>4.9200000000000008</v>
      </c>
      <c r="H35" s="275">
        <v>0</v>
      </c>
      <c r="I35" s="275">
        <v>0</v>
      </c>
      <c r="J35" s="275">
        <v>0</v>
      </c>
      <c r="K35" s="275">
        <v>0</v>
      </c>
      <c r="L35" s="275">
        <v>0</v>
      </c>
      <c r="M35" s="275">
        <v>4.9200000000000008</v>
      </c>
      <c r="N35" s="274"/>
    </row>
    <row r="36" spans="1:14" ht="24.95" customHeight="1"/>
  </sheetData>
  <mergeCells count="41">
    <mergeCell ref="A1:N1"/>
    <mergeCell ref="A2:N2"/>
    <mergeCell ref="A3:C3"/>
    <mergeCell ref="B4:D4"/>
    <mergeCell ref="G4:H4"/>
    <mergeCell ref="I4:J4"/>
    <mergeCell ref="L4:M4"/>
    <mergeCell ref="B6:E6"/>
    <mergeCell ref="F6:G6"/>
    <mergeCell ref="H6:K6"/>
    <mergeCell ref="B8:E8"/>
    <mergeCell ref="F8:G8"/>
    <mergeCell ref="H8:K8"/>
    <mergeCell ref="B11:D11"/>
    <mergeCell ref="E11:F11"/>
    <mergeCell ref="G11:H11"/>
    <mergeCell ref="I11:K11"/>
    <mergeCell ref="L11:N11"/>
    <mergeCell ref="B10:D10"/>
    <mergeCell ref="E10:F10"/>
    <mergeCell ref="G10:H10"/>
    <mergeCell ref="I10:K10"/>
    <mergeCell ref="L10:N10"/>
    <mergeCell ref="B13:D13"/>
    <mergeCell ref="E13:F13"/>
    <mergeCell ref="G13:H13"/>
    <mergeCell ref="I13:K13"/>
    <mergeCell ref="L13:N13"/>
    <mergeCell ref="B12:D12"/>
    <mergeCell ref="E12:F12"/>
    <mergeCell ref="G12:H12"/>
    <mergeCell ref="I12:K12"/>
    <mergeCell ref="L12:N12"/>
    <mergeCell ref="C16:E16"/>
    <mergeCell ref="L18:M18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4" sqref="A4:C4"/>
    </sheetView>
  </sheetViews>
  <sheetFormatPr defaultRowHeight="15"/>
  <cols>
    <col min="1" max="1" width="35.42578125" customWidth="1"/>
    <col min="2" max="2" width="8.7109375" customWidth="1"/>
    <col min="3" max="3" width="11.140625" customWidth="1"/>
    <col min="4" max="4" width="12.42578125" customWidth="1"/>
    <col min="5" max="5" width="11.85546875" customWidth="1"/>
    <col min="6" max="6" width="12.42578125" customWidth="1"/>
    <col min="7" max="7" width="12" customWidth="1"/>
    <col min="8" max="8" width="11.85546875" customWidth="1"/>
    <col min="9" max="9" width="11.7109375" customWidth="1"/>
    <col min="10" max="10" width="14.28515625" customWidth="1"/>
    <col min="11" max="11" width="9.42578125" bestFit="1" customWidth="1"/>
    <col min="12" max="12" width="9.7109375" customWidth="1"/>
    <col min="13" max="13" width="7.7109375" customWidth="1"/>
    <col min="257" max="257" width="35.42578125" customWidth="1"/>
    <col min="258" max="258" width="8.7109375" customWidth="1"/>
    <col min="259" max="259" width="11.140625" customWidth="1"/>
    <col min="260" max="260" width="12.42578125" customWidth="1"/>
    <col min="261" max="261" width="11.85546875" customWidth="1"/>
    <col min="262" max="262" width="12.42578125" customWidth="1"/>
    <col min="263" max="263" width="12" customWidth="1"/>
    <col min="264" max="264" width="11.85546875" customWidth="1"/>
    <col min="265" max="265" width="11.7109375" customWidth="1"/>
    <col min="266" max="266" width="14.28515625" customWidth="1"/>
    <col min="267" max="267" width="9.42578125" bestFit="1" customWidth="1"/>
    <col min="268" max="268" width="9.7109375" customWidth="1"/>
    <col min="269" max="269" width="7.7109375" customWidth="1"/>
    <col min="513" max="513" width="35.42578125" customWidth="1"/>
    <col min="514" max="514" width="8.7109375" customWidth="1"/>
    <col min="515" max="515" width="11.140625" customWidth="1"/>
    <col min="516" max="516" width="12.42578125" customWidth="1"/>
    <col min="517" max="517" width="11.85546875" customWidth="1"/>
    <col min="518" max="518" width="12.42578125" customWidth="1"/>
    <col min="519" max="519" width="12" customWidth="1"/>
    <col min="520" max="520" width="11.85546875" customWidth="1"/>
    <col min="521" max="521" width="11.7109375" customWidth="1"/>
    <col min="522" max="522" width="14.28515625" customWidth="1"/>
    <col min="523" max="523" width="9.42578125" bestFit="1" customWidth="1"/>
    <col min="524" max="524" width="9.7109375" customWidth="1"/>
    <col min="525" max="525" width="7.7109375" customWidth="1"/>
    <col min="769" max="769" width="35.42578125" customWidth="1"/>
    <col min="770" max="770" width="8.7109375" customWidth="1"/>
    <col min="771" max="771" width="11.140625" customWidth="1"/>
    <col min="772" max="772" width="12.42578125" customWidth="1"/>
    <col min="773" max="773" width="11.85546875" customWidth="1"/>
    <col min="774" max="774" width="12.42578125" customWidth="1"/>
    <col min="775" max="775" width="12" customWidth="1"/>
    <col min="776" max="776" width="11.85546875" customWidth="1"/>
    <col min="777" max="777" width="11.7109375" customWidth="1"/>
    <col min="778" max="778" width="14.28515625" customWidth="1"/>
    <col min="779" max="779" width="9.42578125" bestFit="1" customWidth="1"/>
    <col min="780" max="780" width="9.7109375" customWidth="1"/>
    <col min="781" max="781" width="7.7109375" customWidth="1"/>
    <col min="1025" max="1025" width="35.42578125" customWidth="1"/>
    <col min="1026" max="1026" width="8.7109375" customWidth="1"/>
    <col min="1027" max="1027" width="11.140625" customWidth="1"/>
    <col min="1028" max="1028" width="12.42578125" customWidth="1"/>
    <col min="1029" max="1029" width="11.85546875" customWidth="1"/>
    <col min="1030" max="1030" width="12.42578125" customWidth="1"/>
    <col min="1031" max="1031" width="12" customWidth="1"/>
    <col min="1032" max="1032" width="11.85546875" customWidth="1"/>
    <col min="1033" max="1033" width="11.7109375" customWidth="1"/>
    <col min="1034" max="1034" width="14.28515625" customWidth="1"/>
    <col min="1035" max="1035" width="9.42578125" bestFit="1" customWidth="1"/>
    <col min="1036" max="1036" width="9.7109375" customWidth="1"/>
    <col min="1037" max="1037" width="7.7109375" customWidth="1"/>
    <col min="1281" max="1281" width="35.42578125" customWidth="1"/>
    <col min="1282" max="1282" width="8.7109375" customWidth="1"/>
    <col min="1283" max="1283" width="11.140625" customWidth="1"/>
    <col min="1284" max="1284" width="12.42578125" customWidth="1"/>
    <col min="1285" max="1285" width="11.85546875" customWidth="1"/>
    <col min="1286" max="1286" width="12.42578125" customWidth="1"/>
    <col min="1287" max="1287" width="12" customWidth="1"/>
    <col min="1288" max="1288" width="11.85546875" customWidth="1"/>
    <col min="1289" max="1289" width="11.7109375" customWidth="1"/>
    <col min="1290" max="1290" width="14.28515625" customWidth="1"/>
    <col min="1291" max="1291" width="9.42578125" bestFit="1" customWidth="1"/>
    <col min="1292" max="1292" width="9.7109375" customWidth="1"/>
    <col min="1293" max="1293" width="7.7109375" customWidth="1"/>
    <col min="1537" max="1537" width="35.42578125" customWidth="1"/>
    <col min="1538" max="1538" width="8.7109375" customWidth="1"/>
    <col min="1539" max="1539" width="11.140625" customWidth="1"/>
    <col min="1540" max="1540" width="12.42578125" customWidth="1"/>
    <col min="1541" max="1541" width="11.85546875" customWidth="1"/>
    <col min="1542" max="1542" width="12.42578125" customWidth="1"/>
    <col min="1543" max="1543" width="12" customWidth="1"/>
    <col min="1544" max="1544" width="11.85546875" customWidth="1"/>
    <col min="1545" max="1545" width="11.7109375" customWidth="1"/>
    <col min="1546" max="1546" width="14.28515625" customWidth="1"/>
    <col min="1547" max="1547" width="9.42578125" bestFit="1" customWidth="1"/>
    <col min="1548" max="1548" width="9.7109375" customWidth="1"/>
    <col min="1549" max="1549" width="7.7109375" customWidth="1"/>
    <col min="1793" max="1793" width="35.42578125" customWidth="1"/>
    <col min="1794" max="1794" width="8.7109375" customWidth="1"/>
    <col min="1795" max="1795" width="11.140625" customWidth="1"/>
    <col min="1796" max="1796" width="12.42578125" customWidth="1"/>
    <col min="1797" max="1797" width="11.85546875" customWidth="1"/>
    <col min="1798" max="1798" width="12.42578125" customWidth="1"/>
    <col min="1799" max="1799" width="12" customWidth="1"/>
    <col min="1800" max="1800" width="11.85546875" customWidth="1"/>
    <col min="1801" max="1801" width="11.7109375" customWidth="1"/>
    <col min="1802" max="1802" width="14.28515625" customWidth="1"/>
    <col min="1803" max="1803" width="9.42578125" bestFit="1" customWidth="1"/>
    <col min="1804" max="1804" width="9.7109375" customWidth="1"/>
    <col min="1805" max="1805" width="7.7109375" customWidth="1"/>
    <col min="2049" max="2049" width="35.42578125" customWidth="1"/>
    <col min="2050" max="2050" width="8.7109375" customWidth="1"/>
    <col min="2051" max="2051" width="11.140625" customWidth="1"/>
    <col min="2052" max="2052" width="12.42578125" customWidth="1"/>
    <col min="2053" max="2053" width="11.85546875" customWidth="1"/>
    <col min="2054" max="2054" width="12.42578125" customWidth="1"/>
    <col min="2055" max="2055" width="12" customWidth="1"/>
    <col min="2056" max="2056" width="11.85546875" customWidth="1"/>
    <col min="2057" max="2057" width="11.7109375" customWidth="1"/>
    <col min="2058" max="2058" width="14.28515625" customWidth="1"/>
    <col min="2059" max="2059" width="9.42578125" bestFit="1" customWidth="1"/>
    <col min="2060" max="2060" width="9.7109375" customWidth="1"/>
    <col min="2061" max="2061" width="7.7109375" customWidth="1"/>
    <col min="2305" max="2305" width="35.42578125" customWidth="1"/>
    <col min="2306" max="2306" width="8.7109375" customWidth="1"/>
    <col min="2307" max="2307" width="11.140625" customWidth="1"/>
    <col min="2308" max="2308" width="12.42578125" customWidth="1"/>
    <col min="2309" max="2309" width="11.85546875" customWidth="1"/>
    <col min="2310" max="2310" width="12.42578125" customWidth="1"/>
    <col min="2311" max="2311" width="12" customWidth="1"/>
    <col min="2312" max="2312" width="11.85546875" customWidth="1"/>
    <col min="2313" max="2313" width="11.7109375" customWidth="1"/>
    <col min="2314" max="2314" width="14.28515625" customWidth="1"/>
    <col min="2315" max="2315" width="9.42578125" bestFit="1" customWidth="1"/>
    <col min="2316" max="2316" width="9.7109375" customWidth="1"/>
    <col min="2317" max="2317" width="7.7109375" customWidth="1"/>
    <col min="2561" max="2561" width="35.42578125" customWidth="1"/>
    <col min="2562" max="2562" width="8.7109375" customWidth="1"/>
    <col min="2563" max="2563" width="11.140625" customWidth="1"/>
    <col min="2564" max="2564" width="12.42578125" customWidth="1"/>
    <col min="2565" max="2565" width="11.85546875" customWidth="1"/>
    <col min="2566" max="2566" width="12.42578125" customWidth="1"/>
    <col min="2567" max="2567" width="12" customWidth="1"/>
    <col min="2568" max="2568" width="11.85546875" customWidth="1"/>
    <col min="2569" max="2569" width="11.7109375" customWidth="1"/>
    <col min="2570" max="2570" width="14.28515625" customWidth="1"/>
    <col min="2571" max="2571" width="9.42578125" bestFit="1" customWidth="1"/>
    <col min="2572" max="2572" width="9.7109375" customWidth="1"/>
    <col min="2573" max="2573" width="7.7109375" customWidth="1"/>
    <col min="2817" max="2817" width="35.42578125" customWidth="1"/>
    <col min="2818" max="2818" width="8.7109375" customWidth="1"/>
    <col min="2819" max="2819" width="11.140625" customWidth="1"/>
    <col min="2820" max="2820" width="12.42578125" customWidth="1"/>
    <col min="2821" max="2821" width="11.85546875" customWidth="1"/>
    <col min="2822" max="2822" width="12.42578125" customWidth="1"/>
    <col min="2823" max="2823" width="12" customWidth="1"/>
    <col min="2824" max="2824" width="11.85546875" customWidth="1"/>
    <col min="2825" max="2825" width="11.7109375" customWidth="1"/>
    <col min="2826" max="2826" width="14.28515625" customWidth="1"/>
    <col min="2827" max="2827" width="9.42578125" bestFit="1" customWidth="1"/>
    <col min="2828" max="2828" width="9.7109375" customWidth="1"/>
    <col min="2829" max="2829" width="7.7109375" customWidth="1"/>
    <col min="3073" max="3073" width="35.42578125" customWidth="1"/>
    <col min="3074" max="3074" width="8.7109375" customWidth="1"/>
    <col min="3075" max="3075" width="11.140625" customWidth="1"/>
    <col min="3076" max="3076" width="12.42578125" customWidth="1"/>
    <col min="3077" max="3077" width="11.85546875" customWidth="1"/>
    <col min="3078" max="3078" width="12.42578125" customWidth="1"/>
    <col min="3079" max="3079" width="12" customWidth="1"/>
    <col min="3080" max="3080" width="11.85546875" customWidth="1"/>
    <col min="3081" max="3081" width="11.7109375" customWidth="1"/>
    <col min="3082" max="3082" width="14.28515625" customWidth="1"/>
    <col min="3083" max="3083" width="9.42578125" bestFit="1" customWidth="1"/>
    <col min="3084" max="3084" width="9.7109375" customWidth="1"/>
    <col min="3085" max="3085" width="7.7109375" customWidth="1"/>
    <col min="3329" max="3329" width="35.42578125" customWidth="1"/>
    <col min="3330" max="3330" width="8.7109375" customWidth="1"/>
    <col min="3331" max="3331" width="11.140625" customWidth="1"/>
    <col min="3332" max="3332" width="12.42578125" customWidth="1"/>
    <col min="3333" max="3333" width="11.85546875" customWidth="1"/>
    <col min="3334" max="3334" width="12.42578125" customWidth="1"/>
    <col min="3335" max="3335" width="12" customWidth="1"/>
    <col min="3336" max="3336" width="11.85546875" customWidth="1"/>
    <col min="3337" max="3337" width="11.7109375" customWidth="1"/>
    <col min="3338" max="3338" width="14.28515625" customWidth="1"/>
    <col min="3339" max="3339" width="9.42578125" bestFit="1" customWidth="1"/>
    <col min="3340" max="3340" width="9.7109375" customWidth="1"/>
    <col min="3341" max="3341" width="7.7109375" customWidth="1"/>
    <col min="3585" max="3585" width="35.42578125" customWidth="1"/>
    <col min="3586" max="3586" width="8.7109375" customWidth="1"/>
    <col min="3587" max="3587" width="11.140625" customWidth="1"/>
    <col min="3588" max="3588" width="12.42578125" customWidth="1"/>
    <col min="3589" max="3589" width="11.85546875" customWidth="1"/>
    <col min="3590" max="3590" width="12.42578125" customWidth="1"/>
    <col min="3591" max="3591" width="12" customWidth="1"/>
    <col min="3592" max="3592" width="11.85546875" customWidth="1"/>
    <col min="3593" max="3593" width="11.7109375" customWidth="1"/>
    <col min="3594" max="3594" width="14.28515625" customWidth="1"/>
    <col min="3595" max="3595" width="9.42578125" bestFit="1" customWidth="1"/>
    <col min="3596" max="3596" width="9.7109375" customWidth="1"/>
    <col min="3597" max="3597" width="7.7109375" customWidth="1"/>
    <col min="3841" max="3841" width="35.42578125" customWidth="1"/>
    <col min="3842" max="3842" width="8.7109375" customWidth="1"/>
    <col min="3843" max="3843" width="11.140625" customWidth="1"/>
    <col min="3844" max="3844" width="12.42578125" customWidth="1"/>
    <col min="3845" max="3845" width="11.85546875" customWidth="1"/>
    <col min="3846" max="3846" width="12.42578125" customWidth="1"/>
    <col min="3847" max="3847" width="12" customWidth="1"/>
    <col min="3848" max="3848" width="11.85546875" customWidth="1"/>
    <col min="3849" max="3849" width="11.7109375" customWidth="1"/>
    <col min="3850" max="3850" width="14.28515625" customWidth="1"/>
    <col min="3851" max="3851" width="9.42578125" bestFit="1" customWidth="1"/>
    <col min="3852" max="3852" width="9.7109375" customWidth="1"/>
    <col min="3853" max="3853" width="7.7109375" customWidth="1"/>
    <col min="4097" max="4097" width="35.42578125" customWidth="1"/>
    <col min="4098" max="4098" width="8.7109375" customWidth="1"/>
    <col min="4099" max="4099" width="11.140625" customWidth="1"/>
    <col min="4100" max="4100" width="12.42578125" customWidth="1"/>
    <col min="4101" max="4101" width="11.85546875" customWidth="1"/>
    <col min="4102" max="4102" width="12.42578125" customWidth="1"/>
    <col min="4103" max="4103" width="12" customWidth="1"/>
    <col min="4104" max="4104" width="11.85546875" customWidth="1"/>
    <col min="4105" max="4105" width="11.7109375" customWidth="1"/>
    <col min="4106" max="4106" width="14.28515625" customWidth="1"/>
    <col min="4107" max="4107" width="9.42578125" bestFit="1" customWidth="1"/>
    <col min="4108" max="4108" width="9.7109375" customWidth="1"/>
    <col min="4109" max="4109" width="7.7109375" customWidth="1"/>
    <col min="4353" max="4353" width="35.42578125" customWidth="1"/>
    <col min="4354" max="4354" width="8.7109375" customWidth="1"/>
    <col min="4355" max="4355" width="11.140625" customWidth="1"/>
    <col min="4356" max="4356" width="12.42578125" customWidth="1"/>
    <col min="4357" max="4357" width="11.85546875" customWidth="1"/>
    <col min="4358" max="4358" width="12.42578125" customWidth="1"/>
    <col min="4359" max="4359" width="12" customWidth="1"/>
    <col min="4360" max="4360" width="11.85546875" customWidth="1"/>
    <col min="4361" max="4361" width="11.7109375" customWidth="1"/>
    <col min="4362" max="4362" width="14.28515625" customWidth="1"/>
    <col min="4363" max="4363" width="9.42578125" bestFit="1" customWidth="1"/>
    <col min="4364" max="4364" width="9.7109375" customWidth="1"/>
    <col min="4365" max="4365" width="7.7109375" customWidth="1"/>
    <col min="4609" max="4609" width="35.42578125" customWidth="1"/>
    <col min="4610" max="4610" width="8.7109375" customWidth="1"/>
    <col min="4611" max="4611" width="11.140625" customWidth="1"/>
    <col min="4612" max="4612" width="12.42578125" customWidth="1"/>
    <col min="4613" max="4613" width="11.85546875" customWidth="1"/>
    <col min="4614" max="4614" width="12.42578125" customWidth="1"/>
    <col min="4615" max="4615" width="12" customWidth="1"/>
    <col min="4616" max="4616" width="11.85546875" customWidth="1"/>
    <col min="4617" max="4617" width="11.7109375" customWidth="1"/>
    <col min="4618" max="4618" width="14.28515625" customWidth="1"/>
    <col min="4619" max="4619" width="9.42578125" bestFit="1" customWidth="1"/>
    <col min="4620" max="4620" width="9.7109375" customWidth="1"/>
    <col min="4621" max="4621" width="7.7109375" customWidth="1"/>
    <col min="4865" max="4865" width="35.42578125" customWidth="1"/>
    <col min="4866" max="4866" width="8.7109375" customWidth="1"/>
    <col min="4867" max="4867" width="11.140625" customWidth="1"/>
    <col min="4868" max="4868" width="12.42578125" customWidth="1"/>
    <col min="4869" max="4869" width="11.85546875" customWidth="1"/>
    <col min="4870" max="4870" width="12.42578125" customWidth="1"/>
    <col min="4871" max="4871" width="12" customWidth="1"/>
    <col min="4872" max="4872" width="11.85546875" customWidth="1"/>
    <col min="4873" max="4873" width="11.7109375" customWidth="1"/>
    <col min="4874" max="4874" width="14.28515625" customWidth="1"/>
    <col min="4875" max="4875" width="9.42578125" bestFit="1" customWidth="1"/>
    <col min="4876" max="4876" width="9.7109375" customWidth="1"/>
    <col min="4877" max="4877" width="7.7109375" customWidth="1"/>
    <col min="5121" max="5121" width="35.42578125" customWidth="1"/>
    <col min="5122" max="5122" width="8.7109375" customWidth="1"/>
    <col min="5123" max="5123" width="11.140625" customWidth="1"/>
    <col min="5124" max="5124" width="12.42578125" customWidth="1"/>
    <col min="5125" max="5125" width="11.85546875" customWidth="1"/>
    <col min="5126" max="5126" width="12.42578125" customWidth="1"/>
    <col min="5127" max="5127" width="12" customWidth="1"/>
    <col min="5128" max="5128" width="11.85546875" customWidth="1"/>
    <col min="5129" max="5129" width="11.7109375" customWidth="1"/>
    <col min="5130" max="5130" width="14.28515625" customWidth="1"/>
    <col min="5131" max="5131" width="9.42578125" bestFit="1" customWidth="1"/>
    <col min="5132" max="5132" width="9.7109375" customWidth="1"/>
    <col min="5133" max="5133" width="7.7109375" customWidth="1"/>
    <col min="5377" max="5377" width="35.42578125" customWidth="1"/>
    <col min="5378" max="5378" width="8.7109375" customWidth="1"/>
    <col min="5379" max="5379" width="11.140625" customWidth="1"/>
    <col min="5380" max="5380" width="12.42578125" customWidth="1"/>
    <col min="5381" max="5381" width="11.85546875" customWidth="1"/>
    <col min="5382" max="5382" width="12.42578125" customWidth="1"/>
    <col min="5383" max="5383" width="12" customWidth="1"/>
    <col min="5384" max="5384" width="11.85546875" customWidth="1"/>
    <col min="5385" max="5385" width="11.7109375" customWidth="1"/>
    <col min="5386" max="5386" width="14.28515625" customWidth="1"/>
    <col min="5387" max="5387" width="9.42578125" bestFit="1" customWidth="1"/>
    <col min="5388" max="5388" width="9.7109375" customWidth="1"/>
    <col min="5389" max="5389" width="7.7109375" customWidth="1"/>
    <col min="5633" max="5633" width="35.42578125" customWidth="1"/>
    <col min="5634" max="5634" width="8.7109375" customWidth="1"/>
    <col min="5635" max="5635" width="11.140625" customWidth="1"/>
    <col min="5636" max="5636" width="12.42578125" customWidth="1"/>
    <col min="5637" max="5637" width="11.85546875" customWidth="1"/>
    <col min="5638" max="5638" width="12.42578125" customWidth="1"/>
    <col min="5639" max="5639" width="12" customWidth="1"/>
    <col min="5640" max="5640" width="11.85546875" customWidth="1"/>
    <col min="5641" max="5641" width="11.7109375" customWidth="1"/>
    <col min="5642" max="5642" width="14.28515625" customWidth="1"/>
    <col min="5643" max="5643" width="9.42578125" bestFit="1" customWidth="1"/>
    <col min="5644" max="5644" width="9.7109375" customWidth="1"/>
    <col min="5645" max="5645" width="7.7109375" customWidth="1"/>
    <col min="5889" max="5889" width="35.42578125" customWidth="1"/>
    <col min="5890" max="5890" width="8.7109375" customWidth="1"/>
    <col min="5891" max="5891" width="11.140625" customWidth="1"/>
    <col min="5892" max="5892" width="12.42578125" customWidth="1"/>
    <col min="5893" max="5893" width="11.85546875" customWidth="1"/>
    <col min="5894" max="5894" width="12.42578125" customWidth="1"/>
    <col min="5895" max="5895" width="12" customWidth="1"/>
    <col min="5896" max="5896" width="11.85546875" customWidth="1"/>
    <col min="5897" max="5897" width="11.7109375" customWidth="1"/>
    <col min="5898" max="5898" width="14.28515625" customWidth="1"/>
    <col min="5899" max="5899" width="9.42578125" bestFit="1" customWidth="1"/>
    <col min="5900" max="5900" width="9.7109375" customWidth="1"/>
    <col min="5901" max="5901" width="7.7109375" customWidth="1"/>
    <col min="6145" max="6145" width="35.42578125" customWidth="1"/>
    <col min="6146" max="6146" width="8.7109375" customWidth="1"/>
    <col min="6147" max="6147" width="11.140625" customWidth="1"/>
    <col min="6148" max="6148" width="12.42578125" customWidth="1"/>
    <col min="6149" max="6149" width="11.85546875" customWidth="1"/>
    <col min="6150" max="6150" width="12.42578125" customWidth="1"/>
    <col min="6151" max="6151" width="12" customWidth="1"/>
    <col min="6152" max="6152" width="11.85546875" customWidth="1"/>
    <col min="6153" max="6153" width="11.7109375" customWidth="1"/>
    <col min="6154" max="6154" width="14.28515625" customWidth="1"/>
    <col min="6155" max="6155" width="9.42578125" bestFit="1" customWidth="1"/>
    <col min="6156" max="6156" width="9.7109375" customWidth="1"/>
    <col min="6157" max="6157" width="7.7109375" customWidth="1"/>
    <col min="6401" max="6401" width="35.42578125" customWidth="1"/>
    <col min="6402" max="6402" width="8.7109375" customWidth="1"/>
    <col min="6403" max="6403" width="11.140625" customWidth="1"/>
    <col min="6404" max="6404" width="12.42578125" customWidth="1"/>
    <col min="6405" max="6405" width="11.85546875" customWidth="1"/>
    <col min="6406" max="6406" width="12.42578125" customWidth="1"/>
    <col min="6407" max="6407" width="12" customWidth="1"/>
    <col min="6408" max="6408" width="11.85546875" customWidth="1"/>
    <col min="6409" max="6409" width="11.7109375" customWidth="1"/>
    <col min="6410" max="6410" width="14.28515625" customWidth="1"/>
    <col min="6411" max="6411" width="9.42578125" bestFit="1" customWidth="1"/>
    <col min="6412" max="6412" width="9.7109375" customWidth="1"/>
    <col min="6413" max="6413" width="7.7109375" customWidth="1"/>
    <col min="6657" max="6657" width="35.42578125" customWidth="1"/>
    <col min="6658" max="6658" width="8.7109375" customWidth="1"/>
    <col min="6659" max="6659" width="11.140625" customWidth="1"/>
    <col min="6660" max="6660" width="12.42578125" customWidth="1"/>
    <col min="6661" max="6661" width="11.85546875" customWidth="1"/>
    <col min="6662" max="6662" width="12.42578125" customWidth="1"/>
    <col min="6663" max="6663" width="12" customWidth="1"/>
    <col min="6664" max="6664" width="11.85546875" customWidth="1"/>
    <col min="6665" max="6665" width="11.7109375" customWidth="1"/>
    <col min="6666" max="6666" width="14.28515625" customWidth="1"/>
    <col min="6667" max="6667" width="9.42578125" bestFit="1" customWidth="1"/>
    <col min="6668" max="6668" width="9.7109375" customWidth="1"/>
    <col min="6669" max="6669" width="7.7109375" customWidth="1"/>
    <col min="6913" max="6913" width="35.42578125" customWidth="1"/>
    <col min="6914" max="6914" width="8.7109375" customWidth="1"/>
    <col min="6915" max="6915" width="11.140625" customWidth="1"/>
    <col min="6916" max="6916" width="12.42578125" customWidth="1"/>
    <col min="6917" max="6917" width="11.85546875" customWidth="1"/>
    <col min="6918" max="6918" width="12.42578125" customWidth="1"/>
    <col min="6919" max="6919" width="12" customWidth="1"/>
    <col min="6920" max="6920" width="11.85546875" customWidth="1"/>
    <col min="6921" max="6921" width="11.7109375" customWidth="1"/>
    <col min="6922" max="6922" width="14.28515625" customWidth="1"/>
    <col min="6923" max="6923" width="9.42578125" bestFit="1" customWidth="1"/>
    <col min="6924" max="6924" width="9.7109375" customWidth="1"/>
    <col min="6925" max="6925" width="7.7109375" customWidth="1"/>
    <col min="7169" max="7169" width="35.42578125" customWidth="1"/>
    <col min="7170" max="7170" width="8.7109375" customWidth="1"/>
    <col min="7171" max="7171" width="11.140625" customWidth="1"/>
    <col min="7172" max="7172" width="12.42578125" customWidth="1"/>
    <col min="7173" max="7173" width="11.85546875" customWidth="1"/>
    <col min="7174" max="7174" width="12.42578125" customWidth="1"/>
    <col min="7175" max="7175" width="12" customWidth="1"/>
    <col min="7176" max="7176" width="11.85546875" customWidth="1"/>
    <col min="7177" max="7177" width="11.7109375" customWidth="1"/>
    <col min="7178" max="7178" width="14.28515625" customWidth="1"/>
    <col min="7179" max="7179" width="9.42578125" bestFit="1" customWidth="1"/>
    <col min="7180" max="7180" width="9.7109375" customWidth="1"/>
    <col min="7181" max="7181" width="7.7109375" customWidth="1"/>
    <col min="7425" max="7425" width="35.42578125" customWidth="1"/>
    <col min="7426" max="7426" width="8.7109375" customWidth="1"/>
    <col min="7427" max="7427" width="11.140625" customWidth="1"/>
    <col min="7428" max="7428" width="12.42578125" customWidth="1"/>
    <col min="7429" max="7429" width="11.85546875" customWidth="1"/>
    <col min="7430" max="7430" width="12.42578125" customWidth="1"/>
    <col min="7431" max="7431" width="12" customWidth="1"/>
    <col min="7432" max="7432" width="11.85546875" customWidth="1"/>
    <col min="7433" max="7433" width="11.7109375" customWidth="1"/>
    <col min="7434" max="7434" width="14.28515625" customWidth="1"/>
    <col min="7435" max="7435" width="9.42578125" bestFit="1" customWidth="1"/>
    <col min="7436" max="7436" width="9.7109375" customWidth="1"/>
    <col min="7437" max="7437" width="7.7109375" customWidth="1"/>
    <col min="7681" max="7681" width="35.42578125" customWidth="1"/>
    <col min="7682" max="7682" width="8.7109375" customWidth="1"/>
    <col min="7683" max="7683" width="11.140625" customWidth="1"/>
    <col min="7684" max="7684" width="12.42578125" customWidth="1"/>
    <col min="7685" max="7685" width="11.85546875" customWidth="1"/>
    <col min="7686" max="7686" width="12.42578125" customWidth="1"/>
    <col min="7687" max="7687" width="12" customWidth="1"/>
    <col min="7688" max="7688" width="11.85546875" customWidth="1"/>
    <col min="7689" max="7689" width="11.7109375" customWidth="1"/>
    <col min="7690" max="7690" width="14.28515625" customWidth="1"/>
    <col min="7691" max="7691" width="9.42578125" bestFit="1" customWidth="1"/>
    <col min="7692" max="7692" width="9.7109375" customWidth="1"/>
    <col min="7693" max="7693" width="7.7109375" customWidth="1"/>
    <col min="7937" max="7937" width="35.42578125" customWidth="1"/>
    <col min="7938" max="7938" width="8.7109375" customWidth="1"/>
    <col min="7939" max="7939" width="11.140625" customWidth="1"/>
    <col min="7940" max="7940" width="12.42578125" customWidth="1"/>
    <col min="7941" max="7941" width="11.85546875" customWidth="1"/>
    <col min="7942" max="7942" width="12.42578125" customWidth="1"/>
    <col min="7943" max="7943" width="12" customWidth="1"/>
    <col min="7944" max="7944" width="11.85546875" customWidth="1"/>
    <col min="7945" max="7945" width="11.7109375" customWidth="1"/>
    <col min="7946" max="7946" width="14.28515625" customWidth="1"/>
    <col min="7947" max="7947" width="9.42578125" bestFit="1" customWidth="1"/>
    <col min="7948" max="7948" width="9.7109375" customWidth="1"/>
    <col min="7949" max="7949" width="7.7109375" customWidth="1"/>
    <col min="8193" max="8193" width="35.42578125" customWidth="1"/>
    <col min="8194" max="8194" width="8.7109375" customWidth="1"/>
    <col min="8195" max="8195" width="11.140625" customWidth="1"/>
    <col min="8196" max="8196" width="12.42578125" customWidth="1"/>
    <col min="8197" max="8197" width="11.85546875" customWidth="1"/>
    <col min="8198" max="8198" width="12.42578125" customWidth="1"/>
    <col min="8199" max="8199" width="12" customWidth="1"/>
    <col min="8200" max="8200" width="11.85546875" customWidth="1"/>
    <col min="8201" max="8201" width="11.7109375" customWidth="1"/>
    <col min="8202" max="8202" width="14.28515625" customWidth="1"/>
    <col min="8203" max="8203" width="9.42578125" bestFit="1" customWidth="1"/>
    <col min="8204" max="8204" width="9.7109375" customWidth="1"/>
    <col min="8205" max="8205" width="7.7109375" customWidth="1"/>
    <col min="8449" max="8449" width="35.42578125" customWidth="1"/>
    <col min="8450" max="8450" width="8.7109375" customWidth="1"/>
    <col min="8451" max="8451" width="11.140625" customWidth="1"/>
    <col min="8452" max="8452" width="12.42578125" customWidth="1"/>
    <col min="8453" max="8453" width="11.85546875" customWidth="1"/>
    <col min="8454" max="8454" width="12.42578125" customWidth="1"/>
    <col min="8455" max="8455" width="12" customWidth="1"/>
    <col min="8456" max="8456" width="11.85546875" customWidth="1"/>
    <col min="8457" max="8457" width="11.7109375" customWidth="1"/>
    <col min="8458" max="8458" width="14.28515625" customWidth="1"/>
    <col min="8459" max="8459" width="9.42578125" bestFit="1" customWidth="1"/>
    <col min="8460" max="8460" width="9.7109375" customWidth="1"/>
    <col min="8461" max="8461" width="7.7109375" customWidth="1"/>
    <col min="8705" max="8705" width="35.42578125" customWidth="1"/>
    <col min="8706" max="8706" width="8.7109375" customWidth="1"/>
    <col min="8707" max="8707" width="11.140625" customWidth="1"/>
    <col min="8708" max="8708" width="12.42578125" customWidth="1"/>
    <col min="8709" max="8709" width="11.85546875" customWidth="1"/>
    <col min="8710" max="8710" width="12.42578125" customWidth="1"/>
    <col min="8711" max="8711" width="12" customWidth="1"/>
    <col min="8712" max="8712" width="11.85546875" customWidth="1"/>
    <col min="8713" max="8713" width="11.7109375" customWidth="1"/>
    <col min="8714" max="8714" width="14.28515625" customWidth="1"/>
    <col min="8715" max="8715" width="9.42578125" bestFit="1" customWidth="1"/>
    <col min="8716" max="8716" width="9.7109375" customWidth="1"/>
    <col min="8717" max="8717" width="7.7109375" customWidth="1"/>
    <col min="8961" max="8961" width="35.42578125" customWidth="1"/>
    <col min="8962" max="8962" width="8.7109375" customWidth="1"/>
    <col min="8963" max="8963" width="11.140625" customWidth="1"/>
    <col min="8964" max="8964" width="12.42578125" customWidth="1"/>
    <col min="8965" max="8965" width="11.85546875" customWidth="1"/>
    <col min="8966" max="8966" width="12.42578125" customWidth="1"/>
    <col min="8967" max="8967" width="12" customWidth="1"/>
    <col min="8968" max="8968" width="11.85546875" customWidth="1"/>
    <col min="8969" max="8969" width="11.7109375" customWidth="1"/>
    <col min="8970" max="8970" width="14.28515625" customWidth="1"/>
    <col min="8971" max="8971" width="9.42578125" bestFit="1" customWidth="1"/>
    <col min="8972" max="8972" width="9.7109375" customWidth="1"/>
    <col min="8973" max="8973" width="7.7109375" customWidth="1"/>
    <col min="9217" max="9217" width="35.42578125" customWidth="1"/>
    <col min="9218" max="9218" width="8.7109375" customWidth="1"/>
    <col min="9219" max="9219" width="11.140625" customWidth="1"/>
    <col min="9220" max="9220" width="12.42578125" customWidth="1"/>
    <col min="9221" max="9221" width="11.85546875" customWidth="1"/>
    <col min="9222" max="9222" width="12.42578125" customWidth="1"/>
    <col min="9223" max="9223" width="12" customWidth="1"/>
    <col min="9224" max="9224" width="11.85546875" customWidth="1"/>
    <col min="9225" max="9225" width="11.7109375" customWidth="1"/>
    <col min="9226" max="9226" width="14.28515625" customWidth="1"/>
    <col min="9227" max="9227" width="9.42578125" bestFit="1" customWidth="1"/>
    <col min="9228" max="9228" width="9.7109375" customWidth="1"/>
    <col min="9229" max="9229" width="7.7109375" customWidth="1"/>
    <col min="9473" max="9473" width="35.42578125" customWidth="1"/>
    <col min="9474" max="9474" width="8.7109375" customWidth="1"/>
    <col min="9475" max="9475" width="11.140625" customWidth="1"/>
    <col min="9476" max="9476" width="12.42578125" customWidth="1"/>
    <col min="9477" max="9477" width="11.85546875" customWidth="1"/>
    <col min="9478" max="9478" width="12.42578125" customWidth="1"/>
    <col min="9479" max="9479" width="12" customWidth="1"/>
    <col min="9480" max="9480" width="11.85546875" customWidth="1"/>
    <col min="9481" max="9481" width="11.7109375" customWidth="1"/>
    <col min="9482" max="9482" width="14.28515625" customWidth="1"/>
    <col min="9483" max="9483" width="9.42578125" bestFit="1" customWidth="1"/>
    <col min="9484" max="9484" width="9.7109375" customWidth="1"/>
    <col min="9485" max="9485" width="7.7109375" customWidth="1"/>
    <col min="9729" max="9729" width="35.42578125" customWidth="1"/>
    <col min="9730" max="9730" width="8.7109375" customWidth="1"/>
    <col min="9731" max="9731" width="11.140625" customWidth="1"/>
    <col min="9732" max="9732" width="12.42578125" customWidth="1"/>
    <col min="9733" max="9733" width="11.85546875" customWidth="1"/>
    <col min="9734" max="9734" width="12.42578125" customWidth="1"/>
    <col min="9735" max="9735" width="12" customWidth="1"/>
    <col min="9736" max="9736" width="11.85546875" customWidth="1"/>
    <col min="9737" max="9737" width="11.7109375" customWidth="1"/>
    <col min="9738" max="9738" width="14.28515625" customWidth="1"/>
    <col min="9739" max="9739" width="9.42578125" bestFit="1" customWidth="1"/>
    <col min="9740" max="9740" width="9.7109375" customWidth="1"/>
    <col min="9741" max="9741" width="7.7109375" customWidth="1"/>
    <col min="9985" max="9985" width="35.42578125" customWidth="1"/>
    <col min="9986" max="9986" width="8.7109375" customWidth="1"/>
    <col min="9987" max="9987" width="11.140625" customWidth="1"/>
    <col min="9988" max="9988" width="12.42578125" customWidth="1"/>
    <col min="9989" max="9989" width="11.85546875" customWidth="1"/>
    <col min="9990" max="9990" width="12.42578125" customWidth="1"/>
    <col min="9991" max="9991" width="12" customWidth="1"/>
    <col min="9992" max="9992" width="11.85546875" customWidth="1"/>
    <col min="9993" max="9993" width="11.7109375" customWidth="1"/>
    <col min="9994" max="9994" width="14.28515625" customWidth="1"/>
    <col min="9995" max="9995" width="9.42578125" bestFit="1" customWidth="1"/>
    <col min="9996" max="9996" width="9.7109375" customWidth="1"/>
    <col min="9997" max="9997" width="7.7109375" customWidth="1"/>
    <col min="10241" max="10241" width="35.42578125" customWidth="1"/>
    <col min="10242" max="10242" width="8.7109375" customWidth="1"/>
    <col min="10243" max="10243" width="11.140625" customWidth="1"/>
    <col min="10244" max="10244" width="12.42578125" customWidth="1"/>
    <col min="10245" max="10245" width="11.85546875" customWidth="1"/>
    <col min="10246" max="10246" width="12.42578125" customWidth="1"/>
    <col min="10247" max="10247" width="12" customWidth="1"/>
    <col min="10248" max="10248" width="11.85546875" customWidth="1"/>
    <col min="10249" max="10249" width="11.7109375" customWidth="1"/>
    <col min="10250" max="10250" width="14.28515625" customWidth="1"/>
    <col min="10251" max="10251" width="9.42578125" bestFit="1" customWidth="1"/>
    <col min="10252" max="10252" width="9.7109375" customWidth="1"/>
    <col min="10253" max="10253" width="7.7109375" customWidth="1"/>
    <col min="10497" max="10497" width="35.42578125" customWidth="1"/>
    <col min="10498" max="10498" width="8.7109375" customWidth="1"/>
    <col min="10499" max="10499" width="11.140625" customWidth="1"/>
    <col min="10500" max="10500" width="12.42578125" customWidth="1"/>
    <col min="10501" max="10501" width="11.85546875" customWidth="1"/>
    <col min="10502" max="10502" width="12.42578125" customWidth="1"/>
    <col min="10503" max="10503" width="12" customWidth="1"/>
    <col min="10504" max="10504" width="11.85546875" customWidth="1"/>
    <col min="10505" max="10505" width="11.7109375" customWidth="1"/>
    <col min="10506" max="10506" width="14.28515625" customWidth="1"/>
    <col min="10507" max="10507" width="9.42578125" bestFit="1" customWidth="1"/>
    <col min="10508" max="10508" width="9.7109375" customWidth="1"/>
    <col min="10509" max="10509" width="7.7109375" customWidth="1"/>
    <col min="10753" max="10753" width="35.42578125" customWidth="1"/>
    <col min="10754" max="10754" width="8.7109375" customWidth="1"/>
    <col min="10755" max="10755" width="11.140625" customWidth="1"/>
    <col min="10756" max="10756" width="12.42578125" customWidth="1"/>
    <col min="10757" max="10757" width="11.85546875" customWidth="1"/>
    <col min="10758" max="10758" width="12.42578125" customWidth="1"/>
    <col min="10759" max="10759" width="12" customWidth="1"/>
    <col min="10760" max="10760" width="11.85546875" customWidth="1"/>
    <col min="10761" max="10761" width="11.7109375" customWidth="1"/>
    <col min="10762" max="10762" width="14.28515625" customWidth="1"/>
    <col min="10763" max="10763" width="9.42578125" bestFit="1" customWidth="1"/>
    <col min="10764" max="10764" width="9.7109375" customWidth="1"/>
    <col min="10765" max="10765" width="7.7109375" customWidth="1"/>
    <col min="11009" max="11009" width="35.42578125" customWidth="1"/>
    <col min="11010" max="11010" width="8.7109375" customWidth="1"/>
    <col min="11011" max="11011" width="11.140625" customWidth="1"/>
    <col min="11012" max="11012" width="12.42578125" customWidth="1"/>
    <col min="11013" max="11013" width="11.85546875" customWidth="1"/>
    <col min="11014" max="11014" width="12.42578125" customWidth="1"/>
    <col min="11015" max="11015" width="12" customWidth="1"/>
    <col min="11016" max="11016" width="11.85546875" customWidth="1"/>
    <col min="11017" max="11017" width="11.7109375" customWidth="1"/>
    <col min="11018" max="11018" width="14.28515625" customWidth="1"/>
    <col min="11019" max="11019" width="9.42578125" bestFit="1" customWidth="1"/>
    <col min="11020" max="11020" width="9.7109375" customWidth="1"/>
    <col min="11021" max="11021" width="7.7109375" customWidth="1"/>
    <col min="11265" max="11265" width="35.42578125" customWidth="1"/>
    <col min="11266" max="11266" width="8.7109375" customWidth="1"/>
    <col min="11267" max="11267" width="11.140625" customWidth="1"/>
    <col min="11268" max="11268" width="12.42578125" customWidth="1"/>
    <col min="11269" max="11269" width="11.85546875" customWidth="1"/>
    <col min="11270" max="11270" width="12.42578125" customWidth="1"/>
    <col min="11271" max="11271" width="12" customWidth="1"/>
    <col min="11272" max="11272" width="11.85546875" customWidth="1"/>
    <col min="11273" max="11273" width="11.7109375" customWidth="1"/>
    <col min="11274" max="11274" width="14.28515625" customWidth="1"/>
    <col min="11275" max="11275" width="9.42578125" bestFit="1" customWidth="1"/>
    <col min="11276" max="11276" width="9.7109375" customWidth="1"/>
    <col min="11277" max="11277" width="7.7109375" customWidth="1"/>
    <col min="11521" max="11521" width="35.42578125" customWidth="1"/>
    <col min="11522" max="11522" width="8.7109375" customWidth="1"/>
    <col min="11523" max="11523" width="11.140625" customWidth="1"/>
    <col min="11524" max="11524" width="12.42578125" customWidth="1"/>
    <col min="11525" max="11525" width="11.85546875" customWidth="1"/>
    <col min="11526" max="11526" width="12.42578125" customWidth="1"/>
    <col min="11527" max="11527" width="12" customWidth="1"/>
    <col min="11528" max="11528" width="11.85546875" customWidth="1"/>
    <col min="11529" max="11529" width="11.7109375" customWidth="1"/>
    <col min="11530" max="11530" width="14.28515625" customWidth="1"/>
    <col min="11531" max="11531" width="9.42578125" bestFit="1" customWidth="1"/>
    <col min="11532" max="11532" width="9.7109375" customWidth="1"/>
    <col min="11533" max="11533" width="7.7109375" customWidth="1"/>
    <col min="11777" max="11777" width="35.42578125" customWidth="1"/>
    <col min="11778" max="11778" width="8.7109375" customWidth="1"/>
    <col min="11779" max="11779" width="11.140625" customWidth="1"/>
    <col min="11780" max="11780" width="12.42578125" customWidth="1"/>
    <col min="11781" max="11781" width="11.85546875" customWidth="1"/>
    <col min="11782" max="11782" width="12.42578125" customWidth="1"/>
    <col min="11783" max="11783" width="12" customWidth="1"/>
    <col min="11784" max="11784" width="11.85546875" customWidth="1"/>
    <col min="11785" max="11785" width="11.7109375" customWidth="1"/>
    <col min="11786" max="11786" width="14.28515625" customWidth="1"/>
    <col min="11787" max="11787" width="9.42578125" bestFit="1" customWidth="1"/>
    <col min="11788" max="11788" width="9.7109375" customWidth="1"/>
    <col min="11789" max="11789" width="7.7109375" customWidth="1"/>
    <col min="12033" max="12033" width="35.42578125" customWidth="1"/>
    <col min="12034" max="12034" width="8.7109375" customWidth="1"/>
    <col min="12035" max="12035" width="11.140625" customWidth="1"/>
    <col min="12036" max="12036" width="12.42578125" customWidth="1"/>
    <col min="12037" max="12037" width="11.85546875" customWidth="1"/>
    <col min="12038" max="12038" width="12.42578125" customWidth="1"/>
    <col min="12039" max="12039" width="12" customWidth="1"/>
    <col min="12040" max="12040" width="11.85546875" customWidth="1"/>
    <col min="12041" max="12041" width="11.7109375" customWidth="1"/>
    <col min="12042" max="12042" width="14.28515625" customWidth="1"/>
    <col min="12043" max="12043" width="9.42578125" bestFit="1" customWidth="1"/>
    <col min="12044" max="12044" width="9.7109375" customWidth="1"/>
    <col min="12045" max="12045" width="7.7109375" customWidth="1"/>
    <col min="12289" max="12289" width="35.42578125" customWidth="1"/>
    <col min="12290" max="12290" width="8.7109375" customWidth="1"/>
    <col min="12291" max="12291" width="11.140625" customWidth="1"/>
    <col min="12292" max="12292" width="12.42578125" customWidth="1"/>
    <col min="12293" max="12293" width="11.85546875" customWidth="1"/>
    <col min="12294" max="12294" width="12.42578125" customWidth="1"/>
    <col min="12295" max="12295" width="12" customWidth="1"/>
    <col min="12296" max="12296" width="11.85546875" customWidth="1"/>
    <col min="12297" max="12297" width="11.7109375" customWidth="1"/>
    <col min="12298" max="12298" width="14.28515625" customWidth="1"/>
    <col min="12299" max="12299" width="9.42578125" bestFit="1" customWidth="1"/>
    <col min="12300" max="12300" width="9.7109375" customWidth="1"/>
    <col min="12301" max="12301" width="7.7109375" customWidth="1"/>
    <col min="12545" max="12545" width="35.42578125" customWidth="1"/>
    <col min="12546" max="12546" width="8.7109375" customWidth="1"/>
    <col min="12547" max="12547" width="11.140625" customWidth="1"/>
    <col min="12548" max="12548" width="12.42578125" customWidth="1"/>
    <col min="12549" max="12549" width="11.85546875" customWidth="1"/>
    <col min="12550" max="12550" width="12.42578125" customWidth="1"/>
    <col min="12551" max="12551" width="12" customWidth="1"/>
    <col min="12552" max="12552" width="11.85546875" customWidth="1"/>
    <col min="12553" max="12553" width="11.7109375" customWidth="1"/>
    <col min="12554" max="12554" width="14.28515625" customWidth="1"/>
    <col min="12555" max="12555" width="9.42578125" bestFit="1" customWidth="1"/>
    <col min="12556" max="12556" width="9.7109375" customWidth="1"/>
    <col min="12557" max="12557" width="7.7109375" customWidth="1"/>
    <col min="12801" max="12801" width="35.42578125" customWidth="1"/>
    <col min="12802" max="12802" width="8.7109375" customWidth="1"/>
    <col min="12803" max="12803" width="11.140625" customWidth="1"/>
    <col min="12804" max="12804" width="12.42578125" customWidth="1"/>
    <col min="12805" max="12805" width="11.85546875" customWidth="1"/>
    <col min="12806" max="12806" width="12.42578125" customWidth="1"/>
    <col min="12807" max="12807" width="12" customWidth="1"/>
    <col min="12808" max="12808" width="11.85546875" customWidth="1"/>
    <col min="12809" max="12809" width="11.7109375" customWidth="1"/>
    <col min="12810" max="12810" width="14.28515625" customWidth="1"/>
    <col min="12811" max="12811" width="9.42578125" bestFit="1" customWidth="1"/>
    <col min="12812" max="12812" width="9.7109375" customWidth="1"/>
    <col min="12813" max="12813" width="7.7109375" customWidth="1"/>
    <col min="13057" max="13057" width="35.42578125" customWidth="1"/>
    <col min="13058" max="13058" width="8.7109375" customWidth="1"/>
    <col min="13059" max="13059" width="11.140625" customWidth="1"/>
    <col min="13060" max="13060" width="12.42578125" customWidth="1"/>
    <col min="13061" max="13061" width="11.85546875" customWidth="1"/>
    <col min="13062" max="13062" width="12.42578125" customWidth="1"/>
    <col min="13063" max="13063" width="12" customWidth="1"/>
    <col min="13064" max="13064" width="11.85546875" customWidth="1"/>
    <col min="13065" max="13065" width="11.7109375" customWidth="1"/>
    <col min="13066" max="13066" width="14.28515625" customWidth="1"/>
    <col min="13067" max="13067" width="9.42578125" bestFit="1" customWidth="1"/>
    <col min="13068" max="13068" width="9.7109375" customWidth="1"/>
    <col min="13069" max="13069" width="7.7109375" customWidth="1"/>
    <col min="13313" max="13313" width="35.42578125" customWidth="1"/>
    <col min="13314" max="13314" width="8.7109375" customWidth="1"/>
    <col min="13315" max="13315" width="11.140625" customWidth="1"/>
    <col min="13316" max="13316" width="12.42578125" customWidth="1"/>
    <col min="13317" max="13317" width="11.85546875" customWidth="1"/>
    <col min="13318" max="13318" width="12.42578125" customWidth="1"/>
    <col min="13319" max="13319" width="12" customWidth="1"/>
    <col min="13320" max="13320" width="11.85546875" customWidth="1"/>
    <col min="13321" max="13321" width="11.7109375" customWidth="1"/>
    <col min="13322" max="13322" width="14.28515625" customWidth="1"/>
    <col min="13323" max="13323" width="9.42578125" bestFit="1" customWidth="1"/>
    <col min="13324" max="13324" width="9.7109375" customWidth="1"/>
    <col min="13325" max="13325" width="7.7109375" customWidth="1"/>
    <col min="13569" max="13569" width="35.42578125" customWidth="1"/>
    <col min="13570" max="13570" width="8.7109375" customWidth="1"/>
    <col min="13571" max="13571" width="11.140625" customWidth="1"/>
    <col min="13572" max="13572" width="12.42578125" customWidth="1"/>
    <col min="13573" max="13573" width="11.85546875" customWidth="1"/>
    <col min="13574" max="13574" width="12.42578125" customWidth="1"/>
    <col min="13575" max="13575" width="12" customWidth="1"/>
    <col min="13576" max="13576" width="11.85546875" customWidth="1"/>
    <col min="13577" max="13577" width="11.7109375" customWidth="1"/>
    <col min="13578" max="13578" width="14.28515625" customWidth="1"/>
    <col min="13579" max="13579" width="9.42578125" bestFit="1" customWidth="1"/>
    <col min="13580" max="13580" width="9.7109375" customWidth="1"/>
    <col min="13581" max="13581" width="7.7109375" customWidth="1"/>
    <col min="13825" max="13825" width="35.42578125" customWidth="1"/>
    <col min="13826" max="13826" width="8.7109375" customWidth="1"/>
    <col min="13827" max="13827" width="11.140625" customWidth="1"/>
    <col min="13828" max="13828" width="12.42578125" customWidth="1"/>
    <col min="13829" max="13829" width="11.85546875" customWidth="1"/>
    <col min="13830" max="13830" width="12.42578125" customWidth="1"/>
    <col min="13831" max="13831" width="12" customWidth="1"/>
    <col min="13832" max="13832" width="11.85546875" customWidth="1"/>
    <col min="13833" max="13833" width="11.7109375" customWidth="1"/>
    <col min="13834" max="13834" width="14.28515625" customWidth="1"/>
    <col min="13835" max="13835" width="9.42578125" bestFit="1" customWidth="1"/>
    <col min="13836" max="13836" width="9.7109375" customWidth="1"/>
    <col min="13837" max="13837" width="7.7109375" customWidth="1"/>
    <col min="14081" max="14081" width="35.42578125" customWidth="1"/>
    <col min="14082" max="14082" width="8.7109375" customWidth="1"/>
    <col min="14083" max="14083" width="11.140625" customWidth="1"/>
    <col min="14084" max="14084" width="12.42578125" customWidth="1"/>
    <col min="14085" max="14085" width="11.85546875" customWidth="1"/>
    <col min="14086" max="14086" width="12.42578125" customWidth="1"/>
    <col min="14087" max="14087" width="12" customWidth="1"/>
    <col min="14088" max="14088" width="11.85546875" customWidth="1"/>
    <col min="14089" max="14089" width="11.7109375" customWidth="1"/>
    <col min="14090" max="14090" width="14.28515625" customWidth="1"/>
    <col min="14091" max="14091" width="9.42578125" bestFit="1" customWidth="1"/>
    <col min="14092" max="14092" width="9.7109375" customWidth="1"/>
    <col min="14093" max="14093" width="7.7109375" customWidth="1"/>
    <col min="14337" max="14337" width="35.42578125" customWidth="1"/>
    <col min="14338" max="14338" width="8.7109375" customWidth="1"/>
    <col min="14339" max="14339" width="11.140625" customWidth="1"/>
    <col min="14340" max="14340" width="12.42578125" customWidth="1"/>
    <col min="14341" max="14341" width="11.85546875" customWidth="1"/>
    <col min="14342" max="14342" width="12.42578125" customWidth="1"/>
    <col min="14343" max="14343" width="12" customWidth="1"/>
    <col min="14344" max="14344" width="11.85546875" customWidth="1"/>
    <col min="14345" max="14345" width="11.7109375" customWidth="1"/>
    <col min="14346" max="14346" width="14.28515625" customWidth="1"/>
    <col min="14347" max="14347" width="9.42578125" bestFit="1" customWidth="1"/>
    <col min="14348" max="14348" width="9.7109375" customWidth="1"/>
    <col min="14349" max="14349" width="7.7109375" customWidth="1"/>
    <col min="14593" max="14593" width="35.42578125" customWidth="1"/>
    <col min="14594" max="14594" width="8.7109375" customWidth="1"/>
    <col min="14595" max="14595" width="11.140625" customWidth="1"/>
    <col min="14596" max="14596" width="12.42578125" customWidth="1"/>
    <col min="14597" max="14597" width="11.85546875" customWidth="1"/>
    <col min="14598" max="14598" width="12.42578125" customWidth="1"/>
    <col min="14599" max="14599" width="12" customWidth="1"/>
    <col min="14600" max="14600" width="11.85546875" customWidth="1"/>
    <col min="14601" max="14601" width="11.7109375" customWidth="1"/>
    <col min="14602" max="14602" width="14.28515625" customWidth="1"/>
    <col min="14603" max="14603" width="9.42578125" bestFit="1" customWidth="1"/>
    <col min="14604" max="14604" width="9.7109375" customWidth="1"/>
    <col min="14605" max="14605" width="7.7109375" customWidth="1"/>
    <col min="14849" max="14849" width="35.42578125" customWidth="1"/>
    <col min="14850" max="14850" width="8.7109375" customWidth="1"/>
    <col min="14851" max="14851" width="11.140625" customWidth="1"/>
    <col min="14852" max="14852" width="12.42578125" customWidth="1"/>
    <col min="14853" max="14853" width="11.85546875" customWidth="1"/>
    <col min="14854" max="14854" width="12.42578125" customWidth="1"/>
    <col min="14855" max="14855" width="12" customWidth="1"/>
    <col min="14856" max="14856" width="11.85546875" customWidth="1"/>
    <col min="14857" max="14857" width="11.7109375" customWidth="1"/>
    <col min="14858" max="14858" width="14.28515625" customWidth="1"/>
    <col min="14859" max="14859" width="9.42578125" bestFit="1" customWidth="1"/>
    <col min="14860" max="14860" width="9.7109375" customWidth="1"/>
    <col min="14861" max="14861" width="7.7109375" customWidth="1"/>
    <col min="15105" max="15105" width="35.42578125" customWidth="1"/>
    <col min="15106" max="15106" width="8.7109375" customWidth="1"/>
    <col min="15107" max="15107" width="11.140625" customWidth="1"/>
    <col min="15108" max="15108" width="12.42578125" customWidth="1"/>
    <col min="15109" max="15109" width="11.85546875" customWidth="1"/>
    <col min="15110" max="15110" width="12.42578125" customWidth="1"/>
    <col min="15111" max="15111" width="12" customWidth="1"/>
    <col min="15112" max="15112" width="11.85546875" customWidth="1"/>
    <col min="15113" max="15113" width="11.7109375" customWidth="1"/>
    <col min="15114" max="15114" width="14.28515625" customWidth="1"/>
    <col min="15115" max="15115" width="9.42578125" bestFit="1" customWidth="1"/>
    <col min="15116" max="15116" width="9.7109375" customWidth="1"/>
    <col min="15117" max="15117" width="7.7109375" customWidth="1"/>
    <col min="15361" max="15361" width="35.42578125" customWidth="1"/>
    <col min="15362" max="15362" width="8.7109375" customWidth="1"/>
    <col min="15363" max="15363" width="11.140625" customWidth="1"/>
    <col min="15364" max="15364" width="12.42578125" customWidth="1"/>
    <col min="15365" max="15365" width="11.85546875" customWidth="1"/>
    <col min="15366" max="15366" width="12.42578125" customWidth="1"/>
    <col min="15367" max="15367" width="12" customWidth="1"/>
    <col min="15368" max="15368" width="11.85546875" customWidth="1"/>
    <col min="15369" max="15369" width="11.7109375" customWidth="1"/>
    <col min="15370" max="15370" width="14.28515625" customWidth="1"/>
    <col min="15371" max="15371" width="9.42578125" bestFit="1" customWidth="1"/>
    <col min="15372" max="15372" width="9.7109375" customWidth="1"/>
    <col min="15373" max="15373" width="7.7109375" customWidth="1"/>
    <col min="15617" max="15617" width="35.42578125" customWidth="1"/>
    <col min="15618" max="15618" width="8.7109375" customWidth="1"/>
    <col min="15619" max="15619" width="11.140625" customWidth="1"/>
    <col min="15620" max="15620" width="12.42578125" customWidth="1"/>
    <col min="15621" max="15621" width="11.85546875" customWidth="1"/>
    <col min="15622" max="15622" width="12.42578125" customWidth="1"/>
    <col min="15623" max="15623" width="12" customWidth="1"/>
    <col min="15624" max="15624" width="11.85546875" customWidth="1"/>
    <col min="15625" max="15625" width="11.7109375" customWidth="1"/>
    <col min="15626" max="15626" width="14.28515625" customWidth="1"/>
    <col min="15627" max="15627" width="9.42578125" bestFit="1" customWidth="1"/>
    <col min="15628" max="15628" width="9.7109375" customWidth="1"/>
    <col min="15629" max="15629" width="7.7109375" customWidth="1"/>
    <col min="15873" max="15873" width="35.42578125" customWidth="1"/>
    <col min="15874" max="15874" width="8.7109375" customWidth="1"/>
    <col min="15875" max="15875" width="11.140625" customWidth="1"/>
    <col min="15876" max="15876" width="12.42578125" customWidth="1"/>
    <col min="15877" max="15877" width="11.85546875" customWidth="1"/>
    <col min="15878" max="15878" width="12.42578125" customWidth="1"/>
    <col min="15879" max="15879" width="12" customWidth="1"/>
    <col min="15880" max="15880" width="11.85546875" customWidth="1"/>
    <col min="15881" max="15881" width="11.7109375" customWidth="1"/>
    <col min="15882" max="15882" width="14.28515625" customWidth="1"/>
    <col min="15883" max="15883" width="9.42578125" bestFit="1" customWidth="1"/>
    <col min="15884" max="15884" width="9.7109375" customWidth="1"/>
    <col min="15885" max="15885" width="7.7109375" customWidth="1"/>
    <col min="16129" max="16129" width="35.42578125" customWidth="1"/>
    <col min="16130" max="16130" width="8.7109375" customWidth="1"/>
    <col min="16131" max="16131" width="11.140625" customWidth="1"/>
    <col min="16132" max="16132" width="12.42578125" customWidth="1"/>
    <col min="16133" max="16133" width="11.85546875" customWidth="1"/>
    <col min="16134" max="16134" width="12.42578125" customWidth="1"/>
    <col min="16135" max="16135" width="12" customWidth="1"/>
    <col min="16136" max="16136" width="11.85546875" customWidth="1"/>
    <col min="16137" max="16137" width="11.7109375" customWidth="1"/>
    <col min="16138" max="16138" width="14.28515625" customWidth="1"/>
    <col min="16139" max="16139" width="9.42578125" bestFit="1" customWidth="1"/>
    <col min="16140" max="16140" width="9.7109375" customWidth="1"/>
    <col min="16141" max="16141" width="7.7109375" customWidth="1"/>
  </cols>
  <sheetData>
    <row r="1" spans="1:14">
      <c r="A1" s="1003" t="s">
        <v>167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</row>
    <row r="2" spans="1:14" ht="15.75" thickBot="1">
      <c r="A2" s="1003" t="s">
        <v>168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</row>
    <row r="3" spans="1:14" ht="26.25" customHeight="1" thickBot="1">
      <c r="A3" s="674" t="s">
        <v>2822</v>
      </c>
      <c r="B3" s="1470" t="s">
        <v>2823</v>
      </c>
      <c r="C3" s="1471"/>
      <c r="D3" s="1471"/>
      <c r="E3" s="1472"/>
      <c r="F3" s="1473" t="s">
        <v>171</v>
      </c>
      <c r="G3" s="1474"/>
      <c r="H3" s="1475" t="s">
        <v>2824</v>
      </c>
      <c r="I3" s="1476"/>
      <c r="J3" s="675" t="s">
        <v>5</v>
      </c>
      <c r="K3" s="676">
        <v>500</v>
      </c>
      <c r="L3" s="1477" t="s">
        <v>2860</v>
      </c>
      <c r="M3" s="1474"/>
      <c r="N3" s="676">
        <v>30</v>
      </c>
    </row>
    <row r="4" spans="1:14" ht="15.75" thickBot="1">
      <c r="A4" s="808" t="s">
        <v>4176</v>
      </c>
      <c r="B4" s="808"/>
      <c r="C4" s="808"/>
      <c r="D4" s="672"/>
      <c r="E4" s="672"/>
    </row>
    <row r="5" spans="1:14" ht="26.25" customHeight="1" thickBot="1">
      <c r="A5" s="674" t="s">
        <v>2825</v>
      </c>
      <c r="B5" s="1470" t="s">
        <v>2826</v>
      </c>
      <c r="C5" s="1471"/>
      <c r="D5" s="1471"/>
      <c r="E5" s="1472"/>
      <c r="F5" s="1473" t="s">
        <v>2827</v>
      </c>
      <c r="G5" s="1474"/>
      <c r="H5" s="1470" t="s">
        <v>2828</v>
      </c>
      <c r="I5" s="1471"/>
      <c r="J5" s="1472"/>
    </row>
    <row r="6" spans="1:14" ht="15.75" thickBot="1">
      <c r="B6" s="672"/>
      <c r="C6" s="672"/>
      <c r="D6" s="672"/>
      <c r="E6" s="672"/>
    </row>
    <row r="7" spans="1:14" ht="33" customHeight="1" thickBot="1">
      <c r="A7" s="677" t="s">
        <v>178</v>
      </c>
      <c r="B7" s="1478"/>
      <c r="C7" s="1479"/>
      <c r="D7" s="1479"/>
      <c r="E7" s="1480"/>
      <c r="F7" s="1481" t="s">
        <v>2829</v>
      </c>
      <c r="G7" s="1482"/>
      <c r="H7" s="1483" t="s">
        <v>2830</v>
      </c>
      <c r="I7" s="1484"/>
      <c r="J7" s="1484"/>
      <c r="K7" s="1485"/>
    </row>
    <row r="8" spans="1:14" ht="15.75" thickBot="1"/>
    <row r="9" spans="1:14" ht="26.25" customHeight="1">
      <c r="A9" s="674" t="s">
        <v>1909</v>
      </c>
      <c r="B9" s="1486" t="s">
        <v>2831</v>
      </c>
      <c r="C9" s="1487"/>
      <c r="D9" s="995" t="s">
        <v>2832</v>
      </c>
      <c r="E9" s="995"/>
      <c r="F9" s="1478"/>
      <c r="G9" s="995" t="s">
        <v>2833</v>
      </c>
      <c r="H9" s="995"/>
      <c r="I9" s="995"/>
      <c r="J9" s="1488"/>
      <c r="K9" s="1488"/>
      <c r="L9" s="1488"/>
    </row>
    <row r="10" spans="1:14" ht="26.25" customHeight="1">
      <c r="A10" s="674" t="s">
        <v>187</v>
      </c>
      <c r="B10" s="1489" t="s">
        <v>2834</v>
      </c>
      <c r="C10" s="995"/>
      <c r="D10" s="995" t="s">
        <v>2835</v>
      </c>
      <c r="E10" s="995"/>
      <c r="F10" s="995"/>
      <c r="G10" s="1488"/>
      <c r="H10" s="1488"/>
      <c r="I10" s="1488"/>
      <c r="J10" s="1488"/>
      <c r="K10" s="1488"/>
      <c r="L10" s="1488"/>
    </row>
    <row r="11" spans="1:14" ht="26.25" customHeight="1">
      <c r="A11" s="674" t="s">
        <v>192</v>
      </c>
      <c r="B11" s="1489" t="s">
        <v>2836</v>
      </c>
      <c r="C11" s="995"/>
      <c r="D11" s="995" t="s">
        <v>778</v>
      </c>
      <c r="E11" s="995"/>
      <c r="F11" s="1478"/>
      <c r="G11" s="995" t="s">
        <v>2837</v>
      </c>
      <c r="H11" s="995"/>
      <c r="I11" s="995"/>
      <c r="J11" s="1488"/>
      <c r="K11" s="1488"/>
      <c r="L11" s="1488"/>
    </row>
    <row r="12" spans="1:14" ht="26.25" customHeight="1" thickBot="1">
      <c r="A12" s="674" t="s">
        <v>197</v>
      </c>
      <c r="B12" s="1490"/>
      <c r="C12" s="1491"/>
      <c r="D12" s="995"/>
      <c r="E12" s="995"/>
      <c r="F12" s="995"/>
      <c r="G12" s="1488"/>
      <c r="H12" s="1488"/>
      <c r="I12" s="1488"/>
      <c r="J12" s="1488"/>
      <c r="K12" s="1488"/>
      <c r="L12" s="1488"/>
    </row>
    <row r="13" spans="1:14" ht="15.75" thickBot="1"/>
    <row r="14" spans="1:14" ht="26.25" customHeight="1" thickBot="1">
      <c r="A14" s="674" t="s">
        <v>198</v>
      </c>
      <c r="B14" s="676">
        <v>3</v>
      </c>
      <c r="C14" s="1473" t="s">
        <v>2838</v>
      </c>
      <c r="D14" s="1492"/>
      <c r="E14" s="1474"/>
      <c r="F14" s="676">
        <v>1</v>
      </c>
      <c r="G14" s="675" t="s">
        <v>1491</v>
      </c>
      <c r="H14" s="676">
        <v>21</v>
      </c>
      <c r="I14" s="678" t="s">
        <v>201</v>
      </c>
      <c r="J14" s="676">
        <v>1</v>
      </c>
      <c r="K14" s="678" t="s">
        <v>1386</v>
      </c>
      <c r="L14" s="676">
        <v>1</v>
      </c>
    </row>
    <row r="15" spans="1:14" ht="15.75" thickBot="1">
      <c r="B15" s="295"/>
    </row>
    <row r="16" spans="1:14" ht="26.25" customHeight="1" thickBot="1">
      <c r="A16" s="674" t="s">
        <v>646</v>
      </c>
      <c r="B16" s="674" t="s">
        <v>204</v>
      </c>
      <c r="C16" s="679">
        <v>168</v>
      </c>
      <c r="D16" s="675" t="s">
        <v>205</v>
      </c>
      <c r="E16" s="679">
        <v>38</v>
      </c>
      <c r="F16" s="675" t="s">
        <v>206</v>
      </c>
      <c r="G16" s="679">
        <v>23</v>
      </c>
      <c r="H16" s="675" t="s">
        <v>230</v>
      </c>
      <c r="I16" s="679">
        <v>229</v>
      </c>
      <c r="J16" s="675" t="s">
        <v>207</v>
      </c>
      <c r="K16" s="676">
        <v>26</v>
      </c>
      <c r="L16" s="1477" t="s">
        <v>2881</v>
      </c>
      <c r="M16" s="1474"/>
      <c r="N16" s="676">
        <v>11</v>
      </c>
    </row>
    <row r="17" spans="1:14" ht="26.25" customHeight="1">
      <c r="A17" s="674" t="s">
        <v>2839</v>
      </c>
      <c r="B17" s="674" t="s">
        <v>210</v>
      </c>
      <c r="C17" s="680">
        <v>320</v>
      </c>
      <c r="D17" s="675" t="s">
        <v>211</v>
      </c>
      <c r="E17" s="680">
        <v>93</v>
      </c>
      <c r="F17" s="675" t="s">
        <v>212</v>
      </c>
      <c r="G17" s="680">
        <v>35</v>
      </c>
      <c r="H17" s="675" t="s">
        <v>411</v>
      </c>
      <c r="I17" s="680">
        <v>448</v>
      </c>
    </row>
    <row r="18" spans="1:14" ht="26.25" customHeight="1" thickBot="1">
      <c r="B18" s="674" t="s">
        <v>213</v>
      </c>
      <c r="C18" s="681">
        <v>345</v>
      </c>
      <c r="D18" s="675" t="s">
        <v>214</v>
      </c>
      <c r="E18" s="681">
        <v>92</v>
      </c>
      <c r="F18" s="675" t="s">
        <v>215</v>
      </c>
      <c r="G18" s="681">
        <v>31</v>
      </c>
      <c r="H18" s="675" t="s">
        <v>410</v>
      </c>
      <c r="I18" s="681">
        <v>468</v>
      </c>
    </row>
    <row r="19" spans="1:14" ht="27.75" customHeight="1">
      <c r="A19" s="68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496" t="s">
        <v>2841</v>
      </c>
      <c r="G20" s="1497"/>
      <c r="H20" s="1497"/>
      <c r="I20" s="1497"/>
      <c r="J20" s="1497"/>
      <c r="K20" s="1497"/>
      <c r="L20" s="1497"/>
      <c r="M20" s="1497"/>
      <c r="N20" s="1498"/>
    </row>
    <row r="21" spans="1:14" ht="26.25" customHeight="1">
      <c r="A21" s="1493"/>
      <c r="B21" s="1493"/>
      <c r="C21" s="1493"/>
      <c r="D21" s="1495"/>
      <c r="E21" s="1495"/>
      <c r="F21" s="683">
        <v>1</v>
      </c>
      <c r="G21" s="683">
        <v>2</v>
      </c>
      <c r="H21" s="683">
        <v>3</v>
      </c>
      <c r="I21" s="683">
        <v>4</v>
      </c>
      <c r="J21" s="683">
        <v>5</v>
      </c>
      <c r="K21" s="683">
        <v>6</v>
      </c>
      <c r="L21" s="683">
        <v>7</v>
      </c>
      <c r="M21" s="683" t="s">
        <v>230</v>
      </c>
      <c r="N21" s="683" t="s">
        <v>231</v>
      </c>
    </row>
    <row r="22" spans="1:14" ht="26.25" customHeight="1">
      <c r="A22" s="684" t="s">
        <v>232</v>
      </c>
      <c r="B22" s="296">
        <v>8000</v>
      </c>
      <c r="C22" s="685" t="s">
        <v>233</v>
      </c>
      <c r="D22" s="297">
        <f>B22*690/100000</f>
        <v>55.2</v>
      </c>
      <c r="E22" s="297">
        <v>3.7328999999999999</v>
      </c>
      <c r="F22" s="686">
        <v>0</v>
      </c>
      <c r="G22" s="686">
        <v>0</v>
      </c>
      <c r="H22" s="686">
        <v>0.16705</v>
      </c>
      <c r="I22" s="687"/>
      <c r="J22" s="687"/>
      <c r="K22" s="687"/>
      <c r="L22" s="687"/>
      <c r="M22" s="688">
        <f>F22+G22+H22</f>
        <v>0.16705</v>
      </c>
      <c r="N22" s="688">
        <f>M22/E22*100</f>
        <v>4.4750729995445901</v>
      </c>
    </row>
    <row r="23" spans="1:14" ht="26.25" customHeight="1">
      <c r="A23" s="684" t="s">
        <v>2842</v>
      </c>
      <c r="B23" s="296">
        <v>1120</v>
      </c>
      <c r="C23" s="685" t="s">
        <v>233</v>
      </c>
      <c r="D23" s="297">
        <f>B23*690/100000</f>
        <v>7.7279999999999998</v>
      </c>
      <c r="E23" s="297">
        <v>0</v>
      </c>
      <c r="F23" s="297">
        <v>0</v>
      </c>
      <c r="G23" s="297">
        <v>0</v>
      </c>
      <c r="H23" s="297">
        <v>0</v>
      </c>
      <c r="I23" s="296"/>
      <c r="J23" s="296"/>
      <c r="K23" s="296"/>
      <c r="L23" s="296"/>
      <c r="M23" s="688">
        <f t="shared" ref="M23:M30" si="0">F23+G23+H23</f>
        <v>0</v>
      </c>
      <c r="N23" s="298">
        <v>0</v>
      </c>
    </row>
    <row r="24" spans="1:14" ht="26.25" customHeight="1">
      <c r="A24" s="684" t="s">
        <v>235</v>
      </c>
      <c r="B24" s="296">
        <v>43000</v>
      </c>
      <c r="C24" s="685" t="s">
        <v>236</v>
      </c>
      <c r="D24" s="297">
        <v>0.43</v>
      </c>
      <c r="E24" s="297">
        <v>0.18</v>
      </c>
      <c r="F24" s="297">
        <v>0</v>
      </c>
      <c r="G24" s="297">
        <v>0</v>
      </c>
      <c r="H24" s="297">
        <v>0</v>
      </c>
      <c r="I24" s="296"/>
      <c r="J24" s="296"/>
      <c r="K24" s="296"/>
      <c r="L24" s="296"/>
      <c r="M24" s="688">
        <f t="shared" si="0"/>
        <v>0</v>
      </c>
      <c r="N24" s="298">
        <f t="shared" ref="N24:N30" si="1">M24/E24*100</f>
        <v>0</v>
      </c>
    </row>
    <row r="25" spans="1:14" ht="26.25" customHeight="1">
      <c r="A25" s="684" t="s">
        <v>237</v>
      </c>
      <c r="B25" s="296">
        <v>37000</v>
      </c>
      <c r="C25" s="685" t="s">
        <v>236</v>
      </c>
      <c r="D25" s="297">
        <v>0.37</v>
      </c>
      <c r="E25" s="297">
        <v>0.16</v>
      </c>
      <c r="F25" s="297">
        <v>0</v>
      </c>
      <c r="G25" s="297">
        <v>0</v>
      </c>
      <c r="H25" s="297">
        <v>0</v>
      </c>
      <c r="I25" s="296"/>
      <c r="J25" s="296"/>
      <c r="K25" s="296"/>
      <c r="L25" s="296"/>
      <c r="M25" s="688">
        <f t="shared" si="0"/>
        <v>0</v>
      </c>
      <c r="N25" s="298">
        <f t="shared" si="1"/>
        <v>0</v>
      </c>
    </row>
    <row r="26" spans="1:14" ht="26.25" customHeight="1">
      <c r="A26" s="684" t="s">
        <v>238</v>
      </c>
      <c r="B26" s="296">
        <v>1200</v>
      </c>
      <c r="C26" s="685" t="s">
        <v>233</v>
      </c>
      <c r="D26" s="297">
        <f>B26*690/100000</f>
        <v>8.2799999999999994</v>
      </c>
      <c r="E26" s="297">
        <v>2</v>
      </c>
      <c r="F26" s="297">
        <v>0</v>
      </c>
      <c r="G26" s="297">
        <v>0</v>
      </c>
      <c r="H26" s="297">
        <v>1.38008</v>
      </c>
      <c r="I26" s="296"/>
      <c r="J26" s="296"/>
      <c r="K26" s="296"/>
      <c r="L26" s="296"/>
      <c r="M26" s="688">
        <f t="shared" si="0"/>
        <v>1.38008</v>
      </c>
      <c r="N26" s="298">
        <f t="shared" si="1"/>
        <v>69.004000000000005</v>
      </c>
    </row>
    <row r="27" spans="1:14" ht="26.25" customHeight="1">
      <c r="A27" s="684" t="s">
        <v>667</v>
      </c>
      <c r="B27" s="296">
        <v>565</v>
      </c>
      <c r="C27" s="685" t="s">
        <v>233</v>
      </c>
      <c r="D27" s="297">
        <f>B27*690/100000</f>
        <v>3.8984999999999999</v>
      </c>
      <c r="E27" s="297">
        <v>0.69</v>
      </c>
      <c r="F27" s="297">
        <v>0</v>
      </c>
      <c r="G27" s="297">
        <v>0</v>
      </c>
      <c r="H27" s="297">
        <v>0.15</v>
      </c>
      <c r="I27" s="296"/>
      <c r="J27" s="296"/>
      <c r="K27" s="296"/>
      <c r="L27" s="296"/>
      <c r="M27" s="688">
        <f t="shared" si="0"/>
        <v>0.15</v>
      </c>
      <c r="N27" s="298">
        <f t="shared" si="1"/>
        <v>21.739130434782609</v>
      </c>
    </row>
    <row r="28" spans="1:14" ht="26.25" customHeight="1">
      <c r="A28" s="684" t="s">
        <v>2843</v>
      </c>
      <c r="B28" s="296">
        <v>1000</v>
      </c>
      <c r="C28" s="685" t="s">
        <v>233</v>
      </c>
      <c r="D28" s="297">
        <f>B28*690/100000</f>
        <v>6.9</v>
      </c>
      <c r="E28" s="297">
        <v>0</v>
      </c>
      <c r="F28" s="297">
        <v>0</v>
      </c>
      <c r="G28" s="297">
        <v>0</v>
      </c>
      <c r="H28" s="297">
        <v>0</v>
      </c>
      <c r="I28" s="296"/>
      <c r="J28" s="296"/>
      <c r="K28" s="296"/>
      <c r="L28" s="296"/>
      <c r="M28" s="688">
        <f t="shared" si="0"/>
        <v>0</v>
      </c>
      <c r="N28" s="298">
        <v>0</v>
      </c>
    </row>
    <row r="29" spans="1:14" ht="26.25" customHeight="1">
      <c r="A29" s="684" t="s">
        <v>2844</v>
      </c>
      <c r="B29" s="296">
        <v>2750</v>
      </c>
      <c r="C29" s="685" t="s">
        <v>242</v>
      </c>
      <c r="D29" s="297">
        <v>2.31</v>
      </c>
      <c r="E29" s="297">
        <v>0.33</v>
      </c>
      <c r="F29" s="297">
        <v>0</v>
      </c>
      <c r="G29" s="297">
        <v>0</v>
      </c>
      <c r="H29" s="297">
        <v>1.7999999999999999E-2</v>
      </c>
      <c r="I29" s="296"/>
      <c r="J29" s="296"/>
      <c r="K29" s="296"/>
      <c r="L29" s="296"/>
      <c r="M29" s="688">
        <f t="shared" si="0"/>
        <v>1.7999999999999999E-2</v>
      </c>
      <c r="N29" s="298">
        <f t="shared" si="1"/>
        <v>5.4545454545454533</v>
      </c>
    </row>
    <row r="30" spans="1:14" ht="26.25" customHeight="1">
      <c r="A30" s="684" t="s">
        <v>670</v>
      </c>
      <c r="B30" s="296">
        <v>10000</v>
      </c>
      <c r="C30" s="685" t="s">
        <v>244</v>
      </c>
      <c r="D30" s="297">
        <v>0.1</v>
      </c>
      <c r="E30" s="297">
        <v>0.02</v>
      </c>
      <c r="F30" s="297">
        <v>0</v>
      </c>
      <c r="G30" s="297">
        <v>0</v>
      </c>
      <c r="H30" s="297">
        <v>0</v>
      </c>
      <c r="I30" s="296"/>
      <c r="J30" s="296"/>
      <c r="K30" s="296"/>
      <c r="L30" s="296"/>
      <c r="M30" s="688">
        <f t="shared" si="0"/>
        <v>0</v>
      </c>
      <c r="N30" s="299">
        <f t="shared" si="1"/>
        <v>0</v>
      </c>
    </row>
    <row r="31" spans="1:14" ht="26.25" customHeight="1">
      <c r="A31" s="684" t="s">
        <v>245</v>
      </c>
      <c r="B31" s="296">
        <f>SUM(B22:B30)</f>
        <v>104635</v>
      </c>
      <c r="C31" s="296"/>
      <c r="D31" s="297">
        <v>62.64</v>
      </c>
      <c r="E31" s="297">
        <f>SUM(E22:E30)</f>
        <v>7.1128999999999998</v>
      </c>
      <c r="F31" s="297">
        <f>SUM(F22:F30)</f>
        <v>0</v>
      </c>
      <c r="G31" s="297">
        <f>SUM(G22:G30)</f>
        <v>0</v>
      </c>
      <c r="H31" s="297">
        <f>SUM(H22:H30)</f>
        <v>1.7151299999999998</v>
      </c>
      <c r="I31" s="297">
        <v>0</v>
      </c>
      <c r="J31" s="297">
        <v>0</v>
      </c>
      <c r="K31" s="297">
        <v>0</v>
      </c>
      <c r="L31" s="297">
        <v>0</v>
      </c>
      <c r="M31" s="297">
        <f>SUM(M22:M30)</f>
        <v>1.7151299999999998</v>
      </c>
      <c r="N31" s="297"/>
    </row>
    <row r="32" spans="1:14">
      <c r="F32" s="3"/>
    </row>
  </sheetData>
  <mergeCells count="37">
    <mergeCell ref="C14:E14"/>
    <mergeCell ref="L16:M16"/>
    <mergeCell ref="A20:A21"/>
    <mergeCell ref="B20:B21"/>
    <mergeCell ref="C20:C21"/>
    <mergeCell ref="D20:D21"/>
    <mergeCell ref="E20:E21"/>
    <mergeCell ref="F20:N20"/>
    <mergeCell ref="B11:C11"/>
    <mergeCell ref="D11:F11"/>
    <mergeCell ref="G11:I11"/>
    <mergeCell ref="J11:L11"/>
    <mergeCell ref="B12:C12"/>
    <mergeCell ref="D12:F12"/>
    <mergeCell ref="G12:I12"/>
    <mergeCell ref="J12:L12"/>
    <mergeCell ref="B9:C9"/>
    <mergeCell ref="D9:F9"/>
    <mergeCell ref="G9:I9"/>
    <mergeCell ref="J9:L9"/>
    <mergeCell ref="B10:C10"/>
    <mergeCell ref="D10:F10"/>
    <mergeCell ref="G10:I10"/>
    <mergeCell ref="J10:L10"/>
    <mergeCell ref="A4:C4"/>
    <mergeCell ref="B5:E5"/>
    <mergeCell ref="F5:G5"/>
    <mergeCell ref="H5:J5"/>
    <mergeCell ref="B7:E7"/>
    <mergeCell ref="F7:G7"/>
    <mergeCell ref="H7:K7"/>
    <mergeCell ref="A1:L1"/>
    <mergeCell ref="A2:L2"/>
    <mergeCell ref="B3:E3"/>
    <mergeCell ref="F3:G3"/>
    <mergeCell ref="H3:I3"/>
    <mergeCell ref="L3:M3"/>
  </mergeCells>
  <hyperlinks>
    <hyperlink ref="A4" location="'Fact Sheet of VDC'!A1" display="&lt;&lt;Back"/>
  </hyperlinks>
  <pageMargins left="0.79" right="0.1" top="0.17" bottom="0.16" header="0.11" footer="7.0000000000000007E-2"/>
  <pageSetup paperSize="9"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702</v>
      </c>
      <c r="C2" t="s">
        <v>611</v>
      </c>
      <c r="D2" t="s">
        <v>5724</v>
      </c>
      <c r="F2" t="s">
        <v>612</v>
      </c>
      <c r="G2">
        <v>369</v>
      </c>
      <c r="H2" t="s">
        <v>613</v>
      </c>
      <c r="I2">
        <v>40</v>
      </c>
      <c r="K2" s="808" t="s">
        <v>4176</v>
      </c>
      <c r="L2" s="808"/>
      <c r="M2" s="808"/>
    </row>
    <row r="3" spans="1:15">
      <c r="A3" t="s">
        <v>614</v>
      </c>
      <c r="B3" t="s">
        <v>703</v>
      </c>
      <c r="E3" t="s">
        <v>616</v>
      </c>
      <c r="G3" t="s">
        <v>5725</v>
      </c>
    </row>
    <row r="4" spans="1:15">
      <c r="A4" t="s">
        <v>618</v>
      </c>
      <c r="B4" t="s">
        <v>704</v>
      </c>
      <c r="G4" t="s">
        <v>620</v>
      </c>
      <c r="I4" t="s">
        <v>705</v>
      </c>
    </row>
    <row r="5" spans="1:15">
      <c r="A5" t="s">
        <v>622</v>
      </c>
      <c r="B5" t="s">
        <v>706</v>
      </c>
      <c r="E5" t="s">
        <v>707</v>
      </c>
    </row>
    <row r="6" spans="1:15">
      <c r="A6" t="s">
        <v>628</v>
      </c>
      <c r="B6" t="s">
        <v>708</v>
      </c>
      <c r="E6" t="s">
        <v>637</v>
      </c>
    </row>
    <row r="7" spans="1:15">
      <c r="A7" t="s">
        <v>634</v>
      </c>
      <c r="B7" t="s">
        <v>709</v>
      </c>
      <c r="E7" t="s">
        <v>710</v>
      </c>
    </row>
    <row r="8" spans="1:15">
      <c r="A8" t="s">
        <v>639</v>
      </c>
      <c r="B8" t="s">
        <v>711</v>
      </c>
      <c r="E8" t="s">
        <v>684</v>
      </c>
    </row>
    <row r="9" spans="1:15">
      <c r="A9" t="s">
        <v>641</v>
      </c>
      <c r="B9">
        <v>2</v>
      </c>
      <c r="C9" t="s">
        <v>642</v>
      </c>
      <c r="D9">
        <v>2</v>
      </c>
      <c r="E9" t="s">
        <v>643</v>
      </c>
      <c r="F9">
        <v>6</v>
      </c>
      <c r="G9" t="s">
        <v>644</v>
      </c>
      <c r="H9">
        <v>1</v>
      </c>
      <c r="I9" t="s">
        <v>645</v>
      </c>
      <c r="J9">
        <v>4</v>
      </c>
    </row>
    <row r="10" spans="1:15">
      <c r="A10" t="s">
        <v>646</v>
      </c>
      <c r="B10" t="s">
        <v>204</v>
      </c>
      <c r="C10">
        <v>57</v>
      </c>
      <c r="D10" t="s">
        <v>205</v>
      </c>
      <c r="E10">
        <v>13</v>
      </c>
      <c r="F10" t="s">
        <v>206</v>
      </c>
      <c r="G10">
        <v>0</v>
      </c>
      <c r="H10" t="s">
        <v>230</v>
      </c>
      <c r="I10">
        <v>296</v>
      </c>
      <c r="J10" t="s">
        <v>647</v>
      </c>
      <c r="K10">
        <v>13</v>
      </c>
      <c r="L10" t="s">
        <v>648</v>
      </c>
      <c r="M10">
        <v>38</v>
      </c>
    </row>
    <row r="11" spans="1:15">
      <c r="A11" t="s">
        <v>209</v>
      </c>
      <c r="B11" t="s">
        <v>210</v>
      </c>
      <c r="C11">
        <v>96</v>
      </c>
      <c r="D11" t="s">
        <v>649</v>
      </c>
      <c r="E11">
        <v>33</v>
      </c>
      <c r="F11" t="s">
        <v>212</v>
      </c>
      <c r="G11">
        <v>0</v>
      </c>
      <c r="H11" t="s">
        <v>411</v>
      </c>
      <c r="I11">
        <v>129</v>
      </c>
    </row>
    <row r="12" spans="1:15">
      <c r="B12" t="s">
        <v>213</v>
      </c>
      <c r="C12">
        <v>142</v>
      </c>
      <c r="D12" t="s">
        <v>650</v>
      </c>
      <c r="E12">
        <v>25</v>
      </c>
      <c r="F12" t="s">
        <v>215</v>
      </c>
      <c r="G12">
        <v>0</v>
      </c>
      <c r="H12" t="s">
        <v>410</v>
      </c>
      <c r="I12">
        <v>167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29.52</v>
      </c>
      <c r="F16">
        <v>2932000</v>
      </c>
      <c r="G16">
        <v>0</v>
      </c>
      <c r="H16">
        <v>59890</v>
      </c>
      <c r="I16">
        <v>1246730</v>
      </c>
      <c r="J16">
        <v>1114489</v>
      </c>
      <c r="K16">
        <v>219630</v>
      </c>
      <c r="L16">
        <v>0</v>
      </c>
      <c r="N16">
        <f>G16+H16+I16+J16+K16+L16+M16</f>
        <v>2640739</v>
      </c>
    </row>
    <row r="17" spans="1:15">
      <c r="A17" t="s">
        <v>665</v>
      </c>
      <c r="C17">
        <v>7000</v>
      </c>
      <c r="D17" t="s">
        <v>664</v>
      </c>
      <c r="E17">
        <v>2.8</v>
      </c>
      <c r="F17">
        <v>300000</v>
      </c>
      <c r="G17">
        <v>0</v>
      </c>
      <c r="H17">
        <v>0</v>
      </c>
      <c r="I17">
        <v>0</v>
      </c>
      <c r="J17">
        <v>103906</v>
      </c>
      <c r="K17">
        <v>16071</v>
      </c>
      <c r="L17">
        <v>154546</v>
      </c>
      <c r="N17">
        <f t="shared" ref="N17:N23" si="0">G17+H17+I17+J17+K17+L17+M17</f>
        <v>274523</v>
      </c>
    </row>
    <row r="18" spans="1:15">
      <c r="A18" t="s">
        <v>235</v>
      </c>
      <c r="C18">
        <v>86</v>
      </c>
      <c r="D18" t="s">
        <v>664</v>
      </c>
      <c r="E18">
        <v>0.32</v>
      </c>
      <c r="F18">
        <v>43000</v>
      </c>
      <c r="J18">
        <v>13612</v>
      </c>
      <c r="L18">
        <v>61640</v>
      </c>
      <c r="N18">
        <f t="shared" si="0"/>
        <v>75252</v>
      </c>
    </row>
    <row r="19" spans="1:15">
      <c r="A19" t="s">
        <v>666</v>
      </c>
      <c r="C19">
        <v>68</v>
      </c>
      <c r="D19" t="s">
        <v>664</v>
      </c>
      <c r="E19">
        <v>0.25</v>
      </c>
      <c r="F19">
        <v>34000</v>
      </c>
      <c r="J19">
        <v>12630</v>
      </c>
      <c r="K19">
        <v>14837</v>
      </c>
      <c r="L19">
        <v>0</v>
      </c>
      <c r="N19">
        <f t="shared" si="0"/>
        <v>27467</v>
      </c>
    </row>
    <row r="20" spans="1:15">
      <c r="A20" t="s">
        <v>238</v>
      </c>
      <c r="C20">
        <v>1200</v>
      </c>
      <c r="D20" t="s">
        <v>664</v>
      </c>
      <c r="E20">
        <v>4.43</v>
      </c>
      <c r="F20">
        <v>140000</v>
      </c>
      <c r="G20">
        <v>0</v>
      </c>
      <c r="H20">
        <v>0</v>
      </c>
      <c r="I20">
        <v>0</v>
      </c>
      <c r="J20">
        <v>0</v>
      </c>
      <c r="K20">
        <v>30000</v>
      </c>
      <c r="L20">
        <v>258320</v>
      </c>
      <c r="N20">
        <f t="shared" si="0"/>
        <v>288320</v>
      </c>
    </row>
    <row r="21" spans="1:15">
      <c r="A21" t="s">
        <v>667</v>
      </c>
      <c r="C21">
        <v>565</v>
      </c>
      <c r="D21" t="s">
        <v>664</v>
      </c>
      <c r="E21">
        <v>1.98</v>
      </c>
      <c r="F21">
        <v>187500</v>
      </c>
      <c r="G21">
        <v>0</v>
      </c>
      <c r="H21">
        <v>0</v>
      </c>
      <c r="I21">
        <v>0</v>
      </c>
      <c r="J21">
        <v>0</v>
      </c>
      <c r="K21">
        <v>17500</v>
      </c>
      <c r="L21">
        <v>0</v>
      </c>
      <c r="N21">
        <f t="shared" si="0"/>
        <v>17500</v>
      </c>
    </row>
    <row r="22" spans="1:15">
      <c r="A22" t="s">
        <v>668</v>
      </c>
      <c r="C22">
        <v>1000</v>
      </c>
      <c r="D22" t="s">
        <v>664</v>
      </c>
      <c r="E22">
        <v>3.69</v>
      </c>
      <c r="F22">
        <v>369000</v>
      </c>
      <c r="G22">
        <v>0</v>
      </c>
      <c r="H22">
        <v>0</v>
      </c>
      <c r="I22">
        <v>0</v>
      </c>
      <c r="J22">
        <v>0</v>
      </c>
      <c r="K22">
        <v>0</v>
      </c>
      <c r="L22">
        <v>56364</v>
      </c>
      <c r="N22">
        <f t="shared" si="0"/>
        <v>56364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G23">
        <v>0</v>
      </c>
      <c r="H23">
        <v>31750</v>
      </c>
      <c r="I23">
        <v>25903</v>
      </c>
      <c r="J23">
        <v>43927</v>
      </c>
      <c r="K23">
        <v>22896</v>
      </c>
      <c r="L23">
        <v>15370</v>
      </c>
      <c r="N23">
        <f t="shared" si="0"/>
        <v>139846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45.4</v>
      </c>
      <c r="F25">
        <f t="shared" ref="F25:O25" si="1">SUM(F16:F24)</f>
        <v>4137500</v>
      </c>
      <c r="G25">
        <f t="shared" si="1"/>
        <v>0</v>
      </c>
      <c r="H25">
        <f t="shared" si="1"/>
        <v>91640</v>
      </c>
      <c r="I25">
        <f t="shared" si="1"/>
        <v>1272633</v>
      </c>
      <c r="J25">
        <f t="shared" si="1"/>
        <v>1288564</v>
      </c>
      <c r="K25">
        <f t="shared" si="1"/>
        <v>320934</v>
      </c>
      <c r="L25">
        <f t="shared" si="1"/>
        <v>546240</v>
      </c>
      <c r="M25">
        <f t="shared" si="1"/>
        <v>0</v>
      </c>
      <c r="N25">
        <f t="shared" si="1"/>
        <v>3520011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280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4" sqref="A4:C4"/>
    </sheetView>
  </sheetViews>
  <sheetFormatPr defaultRowHeight="15"/>
  <cols>
    <col min="1" max="1" width="35.42578125" customWidth="1"/>
    <col min="2" max="2" width="10.140625" customWidth="1"/>
    <col min="3" max="3" width="11.140625" customWidth="1"/>
    <col min="4" max="4" width="12.42578125" customWidth="1"/>
    <col min="5" max="5" width="11.85546875" customWidth="1"/>
    <col min="6" max="6" width="12.42578125" customWidth="1"/>
    <col min="7" max="7" width="14.140625" customWidth="1"/>
    <col min="8" max="8" width="11.85546875" customWidth="1"/>
    <col min="9" max="9" width="11.7109375" customWidth="1"/>
    <col min="10" max="10" width="11.28515625" customWidth="1"/>
    <col min="11" max="11" width="9.42578125" bestFit="1" customWidth="1"/>
    <col min="12" max="12" width="10.85546875" customWidth="1"/>
    <col min="13" max="13" width="7.7109375" customWidth="1"/>
    <col min="257" max="257" width="35.42578125" customWidth="1"/>
    <col min="258" max="258" width="10.140625" customWidth="1"/>
    <col min="259" max="259" width="11.140625" customWidth="1"/>
    <col min="260" max="260" width="12.42578125" customWidth="1"/>
    <col min="261" max="261" width="11.85546875" customWidth="1"/>
    <col min="262" max="262" width="12.42578125" customWidth="1"/>
    <col min="263" max="263" width="14.140625" customWidth="1"/>
    <col min="264" max="264" width="11.85546875" customWidth="1"/>
    <col min="265" max="265" width="11.7109375" customWidth="1"/>
    <col min="266" max="266" width="11.28515625" customWidth="1"/>
    <col min="267" max="267" width="9.42578125" bestFit="1" customWidth="1"/>
    <col min="268" max="268" width="10.85546875" customWidth="1"/>
    <col min="269" max="269" width="7.7109375" customWidth="1"/>
    <col min="513" max="513" width="35.42578125" customWidth="1"/>
    <col min="514" max="514" width="10.140625" customWidth="1"/>
    <col min="515" max="515" width="11.140625" customWidth="1"/>
    <col min="516" max="516" width="12.42578125" customWidth="1"/>
    <col min="517" max="517" width="11.85546875" customWidth="1"/>
    <col min="518" max="518" width="12.42578125" customWidth="1"/>
    <col min="519" max="519" width="14.140625" customWidth="1"/>
    <col min="520" max="520" width="11.85546875" customWidth="1"/>
    <col min="521" max="521" width="11.7109375" customWidth="1"/>
    <col min="522" max="522" width="11.28515625" customWidth="1"/>
    <col min="523" max="523" width="9.42578125" bestFit="1" customWidth="1"/>
    <col min="524" max="524" width="10.85546875" customWidth="1"/>
    <col min="525" max="525" width="7.7109375" customWidth="1"/>
    <col min="769" max="769" width="35.42578125" customWidth="1"/>
    <col min="770" max="770" width="10.140625" customWidth="1"/>
    <col min="771" max="771" width="11.140625" customWidth="1"/>
    <col min="772" max="772" width="12.42578125" customWidth="1"/>
    <col min="773" max="773" width="11.85546875" customWidth="1"/>
    <col min="774" max="774" width="12.42578125" customWidth="1"/>
    <col min="775" max="775" width="14.140625" customWidth="1"/>
    <col min="776" max="776" width="11.85546875" customWidth="1"/>
    <col min="777" max="777" width="11.7109375" customWidth="1"/>
    <col min="778" max="778" width="11.28515625" customWidth="1"/>
    <col min="779" max="779" width="9.42578125" bestFit="1" customWidth="1"/>
    <col min="780" max="780" width="10.85546875" customWidth="1"/>
    <col min="781" max="781" width="7.7109375" customWidth="1"/>
    <col min="1025" max="1025" width="35.42578125" customWidth="1"/>
    <col min="1026" max="1026" width="10.140625" customWidth="1"/>
    <col min="1027" max="1027" width="11.140625" customWidth="1"/>
    <col min="1028" max="1028" width="12.42578125" customWidth="1"/>
    <col min="1029" max="1029" width="11.85546875" customWidth="1"/>
    <col min="1030" max="1030" width="12.42578125" customWidth="1"/>
    <col min="1031" max="1031" width="14.140625" customWidth="1"/>
    <col min="1032" max="1032" width="11.85546875" customWidth="1"/>
    <col min="1033" max="1033" width="11.7109375" customWidth="1"/>
    <col min="1034" max="1034" width="11.28515625" customWidth="1"/>
    <col min="1035" max="1035" width="9.42578125" bestFit="1" customWidth="1"/>
    <col min="1036" max="1036" width="10.85546875" customWidth="1"/>
    <col min="1037" max="1037" width="7.7109375" customWidth="1"/>
    <col min="1281" max="1281" width="35.42578125" customWidth="1"/>
    <col min="1282" max="1282" width="10.140625" customWidth="1"/>
    <col min="1283" max="1283" width="11.140625" customWidth="1"/>
    <col min="1284" max="1284" width="12.42578125" customWidth="1"/>
    <col min="1285" max="1285" width="11.85546875" customWidth="1"/>
    <col min="1286" max="1286" width="12.42578125" customWidth="1"/>
    <col min="1287" max="1287" width="14.140625" customWidth="1"/>
    <col min="1288" max="1288" width="11.85546875" customWidth="1"/>
    <col min="1289" max="1289" width="11.7109375" customWidth="1"/>
    <col min="1290" max="1290" width="11.28515625" customWidth="1"/>
    <col min="1291" max="1291" width="9.42578125" bestFit="1" customWidth="1"/>
    <col min="1292" max="1292" width="10.85546875" customWidth="1"/>
    <col min="1293" max="1293" width="7.7109375" customWidth="1"/>
    <col min="1537" max="1537" width="35.42578125" customWidth="1"/>
    <col min="1538" max="1538" width="10.140625" customWidth="1"/>
    <col min="1539" max="1539" width="11.140625" customWidth="1"/>
    <col min="1540" max="1540" width="12.42578125" customWidth="1"/>
    <col min="1541" max="1541" width="11.85546875" customWidth="1"/>
    <col min="1542" max="1542" width="12.42578125" customWidth="1"/>
    <col min="1543" max="1543" width="14.140625" customWidth="1"/>
    <col min="1544" max="1544" width="11.85546875" customWidth="1"/>
    <col min="1545" max="1545" width="11.7109375" customWidth="1"/>
    <col min="1546" max="1546" width="11.28515625" customWidth="1"/>
    <col min="1547" max="1547" width="9.42578125" bestFit="1" customWidth="1"/>
    <col min="1548" max="1548" width="10.85546875" customWidth="1"/>
    <col min="1549" max="1549" width="7.7109375" customWidth="1"/>
    <col min="1793" max="1793" width="35.42578125" customWidth="1"/>
    <col min="1794" max="1794" width="10.140625" customWidth="1"/>
    <col min="1795" max="1795" width="11.140625" customWidth="1"/>
    <col min="1796" max="1796" width="12.42578125" customWidth="1"/>
    <col min="1797" max="1797" width="11.85546875" customWidth="1"/>
    <col min="1798" max="1798" width="12.42578125" customWidth="1"/>
    <col min="1799" max="1799" width="14.140625" customWidth="1"/>
    <col min="1800" max="1800" width="11.85546875" customWidth="1"/>
    <col min="1801" max="1801" width="11.7109375" customWidth="1"/>
    <col min="1802" max="1802" width="11.28515625" customWidth="1"/>
    <col min="1803" max="1803" width="9.42578125" bestFit="1" customWidth="1"/>
    <col min="1804" max="1804" width="10.85546875" customWidth="1"/>
    <col min="1805" max="1805" width="7.7109375" customWidth="1"/>
    <col min="2049" max="2049" width="35.42578125" customWidth="1"/>
    <col min="2050" max="2050" width="10.140625" customWidth="1"/>
    <col min="2051" max="2051" width="11.140625" customWidth="1"/>
    <col min="2052" max="2052" width="12.42578125" customWidth="1"/>
    <col min="2053" max="2053" width="11.85546875" customWidth="1"/>
    <col min="2054" max="2054" width="12.42578125" customWidth="1"/>
    <col min="2055" max="2055" width="14.140625" customWidth="1"/>
    <col min="2056" max="2056" width="11.85546875" customWidth="1"/>
    <col min="2057" max="2057" width="11.7109375" customWidth="1"/>
    <col min="2058" max="2058" width="11.28515625" customWidth="1"/>
    <col min="2059" max="2059" width="9.42578125" bestFit="1" customWidth="1"/>
    <col min="2060" max="2060" width="10.85546875" customWidth="1"/>
    <col min="2061" max="2061" width="7.7109375" customWidth="1"/>
    <col min="2305" max="2305" width="35.42578125" customWidth="1"/>
    <col min="2306" max="2306" width="10.140625" customWidth="1"/>
    <col min="2307" max="2307" width="11.140625" customWidth="1"/>
    <col min="2308" max="2308" width="12.42578125" customWidth="1"/>
    <col min="2309" max="2309" width="11.85546875" customWidth="1"/>
    <col min="2310" max="2310" width="12.42578125" customWidth="1"/>
    <col min="2311" max="2311" width="14.140625" customWidth="1"/>
    <col min="2312" max="2312" width="11.85546875" customWidth="1"/>
    <col min="2313" max="2313" width="11.7109375" customWidth="1"/>
    <col min="2314" max="2314" width="11.28515625" customWidth="1"/>
    <col min="2315" max="2315" width="9.42578125" bestFit="1" customWidth="1"/>
    <col min="2316" max="2316" width="10.85546875" customWidth="1"/>
    <col min="2317" max="2317" width="7.7109375" customWidth="1"/>
    <col min="2561" max="2561" width="35.42578125" customWidth="1"/>
    <col min="2562" max="2562" width="10.140625" customWidth="1"/>
    <col min="2563" max="2563" width="11.140625" customWidth="1"/>
    <col min="2564" max="2564" width="12.42578125" customWidth="1"/>
    <col min="2565" max="2565" width="11.85546875" customWidth="1"/>
    <col min="2566" max="2566" width="12.42578125" customWidth="1"/>
    <col min="2567" max="2567" width="14.140625" customWidth="1"/>
    <col min="2568" max="2568" width="11.85546875" customWidth="1"/>
    <col min="2569" max="2569" width="11.7109375" customWidth="1"/>
    <col min="2570" max="2570" width="11.28515625" customWidth="1"/>
    <col min="2571" max="2571" width="9.42578125" bestFit="1" customWidth="1"/>
    <col min="2572" max="2572" width="10.85546875" customWidth="1"/>
    <col min="2573" max="2573" width="7.7109375" customWidth="1"/>
    <col min="2817" max="2817" width="35.42578125" customWidth="1"/>
    <col min="2818" max="2818" width="10.140625" customWidth="1"/>
    <col min="2819" max="2819" width="11.140625" customWidth="1"/>
    <col min="2820" max="2820" width="12.42578125" customWidth="1"/>
    <col min="2821" max="2821" width="11.85546875" customWidth="1"/>
    <col min="2822" max="2822" width="12.42578125" customWidth="1"/>
    <col min="2823" max="2823" width="14.140625" customWidth="1"/>
    <col min="2824" max="2824" width="11.85546875" customWidth="1"/>
    <col min="2825" max="2825" width="11.7109375" customWidth="1"/>
    <col min="2826" max="2826" width="11.28515625" customWidth="1"/>
    <col min="2827" max="2827" width="9.42578125" bestFit="1" customWidth="1"/>
    <col min="2828" max="2828" width="10.85546875" customWidth="1"/>
    <col min="2829" max="2829" width="7.7109375" customWidth="1"/>
    <col min="3073" max="3073" width="35.42578125" customWidth="1"/>
    <col min="3074" max="3074" width="10.140625" customWidth="1"/>
    <col min="3075" max="3075" width="11.140625" customWidth="1"/>
    <col min="3076" max="3076" width="12.42578125" customWidth="1"/>
    <col min="3077" max="3077" width="11.85546875" customWidth="1"/>
    <col min="3078" max="3078" width="12.42578125" customWidth="1"/>
    <col min="3079" max="3079" width="14.140625" customWidth="1"/>
    <col min="3080" max="3080" width="11.85546875" customWidth="1"/>
    <col min="3081" max="3081" width="11.7109375" customWidth="1"/>
    <col min="3082" max="3082" width="11.28515625" customWidth="1"/>
    <col min="3083" max="3083" width="9.42578125" bestFit="1" customWidth="1"/>
    <col min="3084" max="3084" width="10.85546875" customWidth="1"/>
    <col min="3085" max="3085" width="7.7109375" customWidth="1"/>
    <col min="3329" max="3329" width="35.42578125" customWidth="1"/>
    <col min="3330" max="3330" width="10.140625" customWidth="1"/>
    <col min="3331" max="3331" width="11.140625" customWidth="1"/>
    <col min="3332" max="3332" width="12.42578125" customWidth="1"/>
    <col min="3333" max="3333" width="11.85546875" customWidth="1"/>
    <col min="3334" max="3334" width="12.42578125" customWidth="1"/>
    <col min="3335" max="3335" width="14.140625" customWidth="1"/>
    <col min="3336" max="3336" width="11.85546875" customWidth="1"/>
    <col min="3337" max="3337" width="11.7109375" customWidth="1"/>
    <col min="3338" max="3338" width="11.28515625" customWidth="1"/>
    <col min="3339" max="3339" width="9.42578125" bestFit="1" customWidth="1"/>
    <col min="3340" max="3340" width="10.85546875" customWidth="1"/>
    <col min="3341" max="3341" width="7.7109375" customWidth="1"/>
    <col min="3585" max="3585" width="35.42578125" customWidth="1"/>
    <col min="3586" max="3586" width="10.140625" customWidth="1"/>
    <col min="3587" max="3587" width="11.140625" customWidth="1"/>
    <col min="3588" max="3588" width="12.42578125" customWidth="1"/>
    <col min="3589" max="3589" width="11.85546875" customWidth="1"/>
    <col min="3590" max="3590" width="12.42578125" customWidth="1"/>
    <col min="3591" max="3591" width="14.140625" customWidth="1"/>
    <col min="3592" max="3592" width="11.85546875" customWidth="1"/>
    <col min="3593" max="3593" width="11.7109375" customWidth="1"/>
    <col min="3594" max="3594" width="11.28515625" customWidth="1"/>
    <col min="3595" max="3595" width="9.42578125" bestFit="1" customWidth="1"/>
    <col min="3596" max="3596" width="10.85546875" customWidth="1"/>
    <col min="3597" max="3597" width="7.7109375" customWidth="1"/>
    <col min="3841" max="3841" width="35.42578125" customWidth="1"/>
    <col min="3842" max="3842" width="10.140625" customWidth="1"/>
    <col min="3843" max="3843" width="11.140625" customWidth="1"/>
    <col min="3844" max="3844" width="12.42578125" customWidth="1"/>
    <col min="3845" max="3845" width="11.85546875" customWidth="1"/>
    <col min="3846" max="3846" width="12.42578125" customWidth="1"/>
    <col min="3847" max="3847" width="14.140625" customWidth="1"/>
    <col min="3848" max="3848" width="11.85546875" customWidth="1"/>
    <col min="3849" max="3849" width="11.7109375" customWidth="1"/>
    <col min="3850" max="3850" width="11.28515625" customWidth="1"/>
    <col min="3851" max="3851" width="9.42578125" bestFit="1" customWidth="1"/>
    <col min="3852" max="3852" width="10.85546875" customWidth="1"/>
    <col min="3853" max="3853" width="7.7109375" customWidth="1"/>
    <col min="4097" max="4097" width="35.42578125" customWidth="1"/>
    <col min="4098" max="4098" width="10.140625" customWidth="1"/>
    <col min="4099" max="4099" width="11.140625" customWidth="1"/>
    <col min="4100" max="4100" width="12.42578125" customWidth="1"/>
    <col min="4101" max="4101" width="11.85546875" customWidth="1"/>
    <col min="4102" max="4102" width="12.42578125" customWidth="1"/>
    <col min="4103" max="4103" width="14.140625" customWidth="1"/>
    <col min="4104" max="4104" width="11.85546875" customWidth="1"/>
    <col min="4105" max="4105" width="11.7109375" customWidth="1"/>
    <col min="4106" max="4106" width="11.28515625" customWidth="1"/>
    <col min="4107" max="4107" width="9.42578125" bestFit="1" customWidth="1"/>
    <col min="4108" max="4108" width="10.85546875" customWidth="1"/>
    <col min="4109" max="4109" width="7.7109375" customWidth="1"/>
    <col min="4353" max="4353" width="35.42578125" customWidth="1"/>
    <col min="4354" max="4354" width="10.140625" customWidth="1"/>
    <col min="4355" max="4355" width="11.140625" customWidth="1"/>
    <col min="4356" max="4356" width="12.42578125" customWidth="1"/>
    <col min="4357" max="4357" width="11.85546875" customWidth="1"/>
    <col min="4358" max="4358" width="12.42578125" customWidth="1"/>
    <col min="4359" max="4359" width="14.140625" customWidth="1"/>
    <col min="4360" max="4360" width="11.85546875" customWidth="1"/>
    <col min="4361" max="4361" width="11.7109375" customWidth="1"/>
    <col min="4362" max="4362" width="11.28515625" customWidth="1"/>
    <col min="4363" max="4363" width="9.42578125" bestFit="1" customWidth="1"/>
    <col min="4364" max="4364" width="10.85546875" customWidth="1"/>
    <col min="4365" max="4365" width="7.7109375" customWidth="1"/>
    <col min="4609" max="4609" width="35.42578125" customWidth="1"/>
    <col min="4610" max="4610" width="10.140625" customWidth="1"/>
    <col min="4611" max="4611" width="11.140625" customWidth="1"/>
    <col min="4612" max="4612" width="12.42578125" customWidth="1"/>
    <col min="4613" max="4613" width="11.85546875" customWidth="1"/>
    <col min="4614" max="4614" width="12.42578125" customWidth="1"/>
    <col min="4615" max="4615" width="14.140625" customWidth="1"/>
    <col min="4616" max="4616" width="11.85546875" customWidth="1"/>
    <col min="4617" max="4617" width="11.7109375" customWidth="1"/>
    <col min="4618" max="4618" width="11.28515625" customWidth="1"/>
    <col min="4619" max="4619" width="9.42578125" bestFit="1" customWidth="1"/>
    <col min="4620" max="4620" width="10.85546875" customWidth="1"/>
    <col min="4621" max="4621" width="7.7109375" customWidth="1"/>
    <col min="4865" max="4865" width="35.42578125" customWidth="1"/>
    <col min="4866" max="4866" width="10.140625" customWidth="1"/>
    <col min="4867" max="4867" width="11.140625" customWidth="1"/>
    <col min="4868" max="4868" width="12.42578125" customWidth="1"/>
    <col min="4869" max="4869" width="11.85546875" customWidth="1"/>
    <col min="4870" max="4870" width="12.42578125" customWidth="1"/>
    <col min="4871" max="4871" width="14.140625" customWidth="1"/>
    <col min="4872" max="4872" width="11.85546875" customWidth="1"/>
    <col min="4873" max="4873" width="11.7109375" customWidth="1"/>
    <col min="4874" max="4874" width="11.28515625" customWidth="1"/>
    <col min="4875" max="4875" width="9.42578125" bestFit="1" customWidth="1"/>
    <col min="4876" max="4876" width="10.85546875" customWidth="1"/>
    <col min="4877" max="4877" width="7.7109375" customWidth="1"/>
    <col min="5121" max="5121" width="35.42578125" customWidth="1"/>
    <col min="5122" max="5122" width="10.140625" customWidth="1"/>
    <col min="5123" max="5123" width="11.140625" customWidth="1"/>
    <col min="5124" max="5124" width="12.42578125" customWidth="1"/>
    <col min="5125" max="5125" width="11.85546875" customWidth="1"/>
    <col min="5126" max="5126" width="12.42578125" customWidth="1"/>
    <col min="5127" max="5127" width="14.140625" customWidth="1"/>
    <col min="5128" max="5128" width="11.85546875" customWidth="1"/>
    <col min="5129" max="5129" width="11.7109375" customWidth="1"/>
    <col min="5130" max="5130" width="11.28515625" customWidth="1"/>
    <col min="5131" max="5131" width="9.42578125" bestFit="1" customWidth="1"/>
    <col min="5132" max="5132" width="10.85546875" customWidth="1"/>
    <col min="5133" max="5133" width="7.7109375" customWidth="1"/>
    <col min="5377" max="5377" width="35.42578125" customWidth="1"/>
    <col min="5378" max="5378" width="10.140625" customWidth="1"/>
    <col min="5379" max="5379" width="11.140625" customWidth="1"/>
    <col min="5380" max="5380" width="12.42578125" customWidth="1"/>
    <col min="5381" max="5381" width="11.85546875" customWidth="1"/>
    <col min="5382" max="5382" width="12.42578125" customWidth="1"/>
    <col min="5383" max="5383" width="14.140625" customWidth="1"/>
    <col min="5384" max="5384" width="11.85546875" customWidth="1"/>
    <col min="5385" max="5385" width="11.7109375" customWidth="1"/>
    <col min="5386" max="5386" width="11.28515625" customWidth="1"/>
    <col min="5387" max="5387" width="9.42578125" bestFit="1" customWidth="1"/>
    <col min="5388" max="5388" width="10.85546875" customWidth="1"/>
    <col min="5389" max="5389" width="7.7109375" customWidth="1"/>
    <col min="5633" max="5633" width="35.42578125" customWidth="1"/>
    <col min="5634" max="5634" width="10.140625" customWidth="1"/>
    <col min="5635" max="5635" width="11.140625" customWidth="1"/>
    <col min="5636" max="5636" width="12.42578125" customWidth="1"/>
    <col min="5637" max="5637" width="11.85546875" customWidth="1"/>
    <col min="5638" max="5638" width="12.42578125" customWidth="1"/>
    <col min="5639" max="5639" width="14.140625" customWidth="1"/>
    <col min="5640" max="5640" width="11.85546875" customWidth="1"/>
    <col min="5641" max="5641" width="11.7109375" customWidth="1"/>
    <col min="5642" max="5642" width="11.28515625" customWidth="1"/>
    <col min="5643" max="5643" width="9.42578125" bestFit="1" customWidth="1"/>
    <col min="5644" max="5644" width="10.85546875" customWidth="1"/>
    <col min="5645" max="5645" width="7.7109375" customWidth="1"/>
    <col min="5889" max="5889" width="35.42578125" customWidth="1"/>
    <col min="5890" max="5890" width="10.140625" customWidth="1"/>
    <col min="5891" max="5891" width="11.140625" customWidth="1"/>
    <col min="5892" max="5892" width="12.42578125" customWidth="1"/>
    <col min="5893" max="5893" width="11.85546875" customWidth="1"/>
    <col min="5894" max="5894" width="12.42578125" customWidth="1"/>
    <col min="5895" max="5895" width="14.140625" customWidth="1"/>
    <col min="5896" max="5896" width="11.85546875" customWidth="1"/>
    <col min="5897" max="5897" width="11.7109375" customWidth="1"/>
    <col min="5898" max="5898" width="11.28515625" customWidth="1"/>
    <col min="5899" max="5899" width="9.42578125" bestFit="1" customWidth="1"/>
    <col min="5900" max="5900" width="10.85546875" customWidth="1"/>
    <col min="5901" max="5901" width="7.7109375" customWidth="1"/>
    <col min="6145" max="6145" width="35.42578125" customWidth="1"/>
    <col min="6146" max="6146" width="10.140625" customWidth="1"/>
    <col min="6147" max="6147" width="11.140625" customWidth="1"/>
    <col min="6148" max="6148" width="12.42578125" customWidth="1"/>
    <col min="6149" max="6149" width="11.85546875" customWidth="1"/>
    <col min="6150" max="6150" width="12.42578125" customWidth="1"/>
    <col min="6151" max="6151" width="14.140625" customWidth="1"/>
    <col min="6152" max="6152" width="11.85546875" customWidth="1"/>
    <col min="6153" max="6153" width="11.7109375" customWidth="1"/>
    <col min="6154" max="6154" width="11.28515625" customWidth="1"/>
    <col min="6155" max="6155" width="9.42578125" bestFit="1" customWidth="1"/>
    <col min="6156" max="6156" width="10.85546875" customWidth="1"/>
    <col min="6157" max="6157" width="7.7109375" customWidth="1"/>
    <col min="6401" max="6401" width="35.42578125" customWidth="1"/>
    <col min="6402" max="6402" width="10.140625" customWidth="1"/>
    <col min="6403" max="6403" width="11.140625" customWidth="1"/>
    <col min="6404" max="6404" width="12.42578125" customWidth="1"/>
    <col min="6405" max="6405" width="11.85546875" customWidth="1"/>
    <col min="6406" max="6406" width="12.42578125" customWidth="1"/>
    <col min="6407" max="6407" width="14.140625" customWidth="1"/>
    <col min="6408" max="6408" width="11.85546875" customWidth="1"/>
    <col min="6409" max="6409" width="11.7109375" customWidth="1"/>
    <col min="6410" max="6410" width="11.28515625" customWidth="1"/>
    <col min="6411" max="6411" width="9.42578125" bestFit="1" customWidth="1"/>
    <col min="6412" max="6412" width="10.85546875" customWidth="1"/>
    <col min="6413" max="6413" width="7.7109375" customWidth="1"/>
    <col min="6657" max="6657" width="35.42578125" customWidth="1"/>
    <col min="6658" max="6658" width="10.140625" customWidth="1"/>
    <col min="6659" max="6659" width="11.140625" customWidth="1"/>
    <col min="6660" max="6660" width="12.42578125" customWidth="1"/>
    <col min="6661" max="6661" width="11.85546875" customWidth="1"/>
    <col min="6662" max="6662" width="12.42578125" customWidth="1"/>
    <col min="6663" max="6663" width="14.140625" customWidth="1"/>
    <col min="6664" max="6664" width="11.85546875" customWidth="1"/>
    <col min="6665" max="6665" width="11.7109375" customWidth="1"/>
    <col min="6666" max="6666" width="11.28515625" customWidth="1"/>
    <col min="6667" max="6667" width="9.42578125" bestFit="1" customWidth="1"/>
    <col min="6668" max="6668" width="10.85546875" customWidth="1"/>
    <col min="6669" max="6669" width="7.7109375" customWidth="1"/>
    <col min="6913" max="6913" width="35.42578125" customWidth="1"/>
    <col min="6914" max="6914" width="10.140625" customWidth="1"/>
    <col min="6915" max="6915" width="11.140625" customWidth="1"/>
    <col min="6916" max="6916" width="12.42578125" customWidth="1"/>
    <col min="6917" max="6917" width="11.85546875" customWidth="1"/>
    <col min="6918" max="6918" width="12.42578125" customWidth="1"/>
    <col min="6919" max="6919" width="14.140625" customWidth="1"/>
    <col min="6920" max="6920" width="11.85546875" customWidth="1"/>
    <col min="6921" max="6921" width="11.7109375" customWidth="1"/>
    <col min="6922" max="6922" width="11.28515625" customWidth="1"/>
    <col min="6923" max="6923" width="9.42578125" bestFit="1" customWidth="1"/>
    <col min="6924" max="6924" width="10.85546875" customWidth="1"/>
    <col min="6925" max="6925" width="7.7109375" customWidth="1"/>
    <col min="7169" max="7169" width="35.42578125" customWidth="1"/>
    <col min="7170" max="7170" width="10.140625" customWidth="1"/>
    <col min="7171" max="7171" width="11.140625" customWidth="1"/>
    <col min="7172" max="7172" width="12.42578125" customWidth="1"/>
    <col min="7173" max="7173" width="11.85546875" customWidth="1"/>
    <col min="7174" max="7174" width="12.42578125" customWidth="1"/>
    <col min="7175" max="7175" width="14.140625" customWidth="1"/>
    <col min="7176" max="7176" width="11.85546875" customWidth="1"/>
    <col min="7177" max="7177" width="11.7109375" customWidth="1"/>
    <col min="7178" max="7178" width="11.28515625" customWidth="1"/>
    <col min="7179" max="7179" width="9.42578125" bestFit="1" customWidth="1"/>
    <col min="7180" max="7180" width="10.85546875" customWidth="1"/>
    <col min="7181" max="7181" width="7.7109375" customWidth="1"/>
    <col min="7425" max="7425" width="35.42578125" customWidth="1"/>
    <col min="7426" max="7426" width="10.140625" customWidth="1"/>
    <col min="7427" max="7427" width="11.140625" customWidth="1"/>
    <col min="7428" max="7428" width="12.42578125" customWidth="1"/>
    <col min="7429" max="7429" width="11.85546875" customWidth="1"/>
    <col min="7430" max="7430" width="12.42578125" customWidth="1"/>
    <col min="7431" max="7431" width="14.140625" customWidth="1"/>
    <col min="7432" max="7432" width="11.85546875" customWidth="1"/>
    <col min="7433" max="7433" width="11.7109375" customWidth="1"/>
    <col min="7434" max="7434" width="11.28515625" customWidth="1"/>
    <col min="7435" max="7435" width="9.42578125" bestFit="1" customWidth="1"/>
    <col min="7436" max="7436" width="10.85546875" customWidth="1"/>
    <col min="7437" max="7437" width="7.7109375" customWidth="1"/>
    <col min="7681" max="7681" width="35.42578125" customWidth="1"/>
    <col min="7682" max="7682" width="10.140625" customWidth="1"/>
    <col min="7683" max="7683" width="11.140625" customWidth="1"/>
    <col min="7684" max="7684" width="12.42578125" customWidth="1"/>
    <col min="7685" max="7685" width="11.85546875" customWidth="1"/>
    <col min="7686" max="7686" width="12.42578125" customWidth="1"/>
    <col min="7687" max="7687" width="14.140625" customWidth="1"/>
    <col min="7688" max="7688" width="11.85546875" customWidth="1"/>
    <col min="7689" max="7689" width="11.7109375" customWidth="1"/>
    <col min="7690" max="7690" width="11.28515625" customWidth="1"/>
    <col min="7691" max="7691" width="9.42578125" bestFit="1" customWidth="1"/>
    <col min="7692" max="7692" width="10.85546875" customWidth="1"/>
    <col min="7693" max="7693" width="7.7109375" customWidth="1"/>
    <col min="7937" max="7937" width="35.42578125" customWidth="1"/>
    <col min="7938" max="7938" width="10.140625" customWidth="1"/>
    <col min="7939" max="7939" width="11.140625" customWidth="1"/>
    <col min="7940" max="7940" width="12.42578125" customWidth="1"/>
    <col min="7941" max="7941" width="11.85546875" customWidth="1"/>
    <col min="7942" max="7942" width="12.42578125" customWidth="1"/>
    <col min="7943" max="7943" width="14.140625" customWidth="1"/>
    <col min="7944" max="7944" width="11.85546875" customWidth="1"/>
    <col min="7945" max="7945" width="11.7109375" customWidth="1"/>
    <col min="7946" max="7946" width="11.28515625" customWidth="1"/>
    <col min="7947" max="7947" width="9.42578125" bestFit="1" customWidth="1"/>
    <col min="7948" max="7948" width="10.85546875" customWidth="1"/>
    <col min="7949" max="7949" width="7.7109375" customWidth="1"/>
    <col min="8193" max="8193" width="35.42578125" customWidth="1"/>
    <col min="8194" max="8194" width="10.140625" customWidth="1"/>
    <col min="8195" max="8195" width="11.140625" customWidth="1"/>
    <col min="8196" max="8196" width="12.42578125" customWidth="1"/>
    <col min="8197" max="8197" width="11.85546875" customWidth="1"/>
    <col min="8198" max="8198" width="12.42578125" customWidth="1"/>
    <col min="8199" max="8199" width="14.140625" customWidth="1"/>
    <col min="8200" max="8200" width="11.85546875" customWidth="1"/>
    <col min="8201" max="8201" width="11.7109375" customWidth="1"/>
    <col min="8202" max="8202" width="11.28515625" customWidth="1"/>
    <col min="8203" max="8203" width="9.42578125" bestFit="1" customWidth="1"/>
    <col min="8204" max="8204" width="10.85546875" customWidth="1"/>
    <col min="8205" max="8205" width="7.7109375" customWidth="1"/>
    <col min="8449" max="8449" width="35.42578125" customWidth="1"/>
    <col min="8450" max="8450" width="10.140625" customWidth="1"/>
    <col min="8451" max="8451" width="11.140625" customWidth="1"/>
    <col min="8452" max="8452" width="12.42578125" customWidth="1"/>
    <col min="8453" max="8453" width="11.85546875" customWidth="1"/>
    <col min="8454" max="8454" width="12.42578125" customWidth="1"/>
    <col min="8455" max="8455" width="14.140625" customWidth="1"/>
    <col min="8456" max="8456" width="11.85546875" customWidth="1"/>
    <col min="8457" max="8457" width="11.7109375" customWidth="1"/>
    <col min="8458" max="8458" width="11.28515625" customWidth="1"/>
    <col min="8459" max="8459" width="9.42578125" bestFit="1" customWidth="1"/>
    <col min="8460" max="8460" width="10.85546875" customWidth="1"/>
    <col min="8461" max="8461" width="7.7109375" customWidth="1"/>
    <col min="8705" max="8705" width="35.42578125" customWidth="1"/>
    <col min="8706" max="8706" width="10.140625" customWidth="1"/>
    <col min="8707" max="8707" width="11.140625" customWidth="1"/>
    <col min="8708" max="8708" width="12.42578125" customWidth="1"/>
    <col min="8709" max="8709" width="11.85546875" customWidth="1"/>
    <col min="8710" max="8710" width="12.42578125" customWidth="1"/>
    <col min="8711" max="8711" width="14.140625" customWidth="1"/>
    <col min="8712" max="8712" width="11.85546875" customWidth="1"/>
    <col min="8713" max="8713" width="11.7109375" customWidth="1"/>
    <col min="8714" max="8714" width="11.28515625" customWidth="1"/>
    <col min="8715" max="8715" width="9.42578125" bestFit="1" customWidth="1"/>
    <col min="8716" max="8716" width="10.85546875" customWidth="1"/>
    <col min="8717" max="8717" width="7.7109375" customWidth="1"/>
    <col min="8961" max="8961" width="35.42578125" customWidth="1"/>
    <col min="8962" max="8962" width="10.140625" customWidth="1"/>
    <col min="8963" max="8963" width="11.140625" customWidth="1"/>
    <col min="8964" max="8964" width="12.42578125" customWidth="1"/>
    <col min="8965" max="8965" width="11.85546875" customWidth="1"/>
    <col min="8966" max="8966" width="12.42578125" customWidth="1"/>
    <col min="8967" max="8967" width="14.140625" customWidth="1"/>
    <col min="8968" max="8968" width="11.85546875" customWidth="1"/>
    <col min="8969" max="8969" width="11.7109375" customWidth="1"/>
    <col min="8970" max="8970" width="11.28515625" customWidth="1"/>
    <col min="8971" max="8971" width="9.42578125" bestFit="1" customWidth="1"/>
    <col min="8972" max="8972" width="10.85546875" customWidth="1"/>
    <col min="8973" max="8973" width="7.7109375" customWidth="1"/>
    <col min="9217" max="9217" width="35.42578125" customWidth="1"/>
    <col min="9218" max="9218" width="10.140625" customWidth="1"/>
    <col min="9219" max="9219" width="11.140625" customWidth="1"/>
    <col min="9220" max="9220" width="12.42578125" customWidth="1"/>
    <col min="9221" max="9221" width="11.85546875" customWidth="1"/>
    <col min="9222" max="9222" width="12.42578125" customWidth="1"/>
    <col min="9223" max="9223" width="14.140625" customWidth="1"/>
    <col min="9224" max="9224" width="11.85546875" customWidth="1"/>
    <col min="9225" max="9225" width="11.7109375" customWidth="1"/>
    <col min="9226" max="9226" width="11.28515625" customWidth="1"/>
    <col min="9227" max="9227" width="9.42578125" bestFit="1" customWidth="1"/>
    <col min="9228" max="9228" width="10.85546875" customWidth="1"/>
    <col min="9229" max="9229" width="7.7109375" customWidth="1"/>
    <col min="9473" max="9473" width="35.42578125" customWidth="1"/>
    <col min="9474" max="9474" width="10.140625" customWidth="1"/>
    <col min="9475" max="9475" width="11.140625" customWidth="1"/>
    <col min="9476" max="9476" width="12.42578125" customWidth="1"/>
    <col min="9477" max="9477" width="11.85546875" customWidth="1"/>
    <col min="9478" max="9478" width="12.42578125" customWidth="1"/>
    <col min="9479" max="9479" width="14.140625" customWidth="1"/>
    <col min="9480" max="9480" width="11.85546875" customWidth="1"/>
    <col min="9481" max="9481" width="11.7109375" customWidth="1"/>
    <col min="9482" max="9482" width="11.28515625" customWidth="1"/>
    <col min="9483" max="9483" width="9.42578125" bestFit="1" customWidth="1"/>
    <col min="9484" max="9484" width="10.85546875" customWidth="1"/>
    <col min="9485" max="9485" width="7.7109375" customWidth="1"/>
    <col min="9729" max="9729" width="35.42578125" customWidth="1"/>
    <col min="9730" max="9730" width="10.140625" customWidth="1"/>
    <col min="9731" max="9731" width="11.140625" customWidth="1"/>
    <col min="9732" max="9732" width="12.42578125" customWidth="1"/>
    <col min="9733" max="9733" width="11.85546875" customWidth="1"/>
    <col min="9734" max="9734" width="12.42578125" customWidth="1"/>
    <col min="9735" max="9735" width="14.140625" customWidth="1"/>
    <col min="9736" max="9736" width="11.85546875" customWidth="1"/>
    <col min="9737" max="9737" width="11.7109375" customWidth="1"/>
    <col min="9738" max="9738" width="11.28515625" customWidth="1"/>
    <col min="9739" max="9739" width="9.42578125" bestFit="1" customWidth="1"/>
    <col min="9740" max="9740" width="10.85546875" customWidth="1"/>
    <col min="9741" max="9741" width="7.7109375" customWidth="1"/>
    <col min="9985" max="9985" width="35.42578125" customWidth="1"/>
    <col min="9986" max="9986" width="10.140625" customWidth="1"/>
    <col min="9987" max="9987" width="11.140625" customWidth="1"/>
    <col min="9988" max="9988" width="12.42578125" customWidth="1"/>
    <col min="9989" max="9989" width="11.85546875" customWidth="1"/>
    <col min="9990" max="9990" width="12.42578125" customWidth="1"/>
    <col min="9991" max="9991" width="14.140625" customWidth="1"/>
    <col min="9992" max="9992" width="11.85546875" customWidth="1"/>
    <col min="9993" max="9993" width="11.7109375" customWidth="1"/>
    <col min="9994" max="9994" width="11.28515625" customWidth="1"/>
    <col min="9995" max="9995" width="9.42578125" bestFit="1" customWidth="1"/>
    <col min="9996" max="9996" width="10.85546875" customWidth="1"/>
    <col min="9997" max="9997" width="7.7109375" customWidth="1"/>
    <col min="10241" max="10241" width="35.42578125" customWidth="1"/>
    <col min="10242" max="10242" width="10.140625" customWidth="1"/>
    <col min="10243" max="10243" width="11.140625" customWidth="1"/>
    <col min="10244" max="10244" width="12.42578125" customWidth="1"/>
    <col min="10245" max="10245" width="11.85546875" customWidth="1"/>
    <col min="10246" max="10246" width="12.42578125" customWidth="1"/>
    <col min="10247" max="10247" width="14.140625" customWidth="1"/>
    <col min="10248" max="10248" width="11.85546875" customWidth="1"/>
    <col min="10249" max="10249" width="11.7109375" customWidth="1"/>
    <col min="10250" max="10250" width="11.28515625" customWidth="1"/>
    <col min="10251" max="10251" width="9.42578125" bestFit="1" customWidth="1"/>
    <col min="10252" max="10252" width="10.85546875" customWidth="1"/>
    <col min="10253" max="10253" width="7.7109375" customWidth="1"/>
    <col min="10497" max="10497" width="35.42578125" customWidth="1"/>
    <col min="10498" max="10498" width="10.140625" customWidth="1"/>
    <col min="10499" max="10499" width="11.140625" customWidth="1"/>
    <col min="10500" max="10500" width="12.42578125" customWidth="1"/>
    <col min="10501" max="10501" width="11.85546875" customWidth="1"/>
    <col min="10502" max="10502" width="12.42578125" customWidth="1"/>
    <col min="10503" max="10503" width="14.140625" customWidth="1"/>
    <col min="10504" max="10504" width="11.85546875" customWidth="1"/>
    <col min="10505" max="10505" width="11.7109375" customWidth="1"/>
    <col min="10506" max="10506" width="11.28515625" customWidth="1"/>
    <col min="10507" max="10507" width="9.42578125" bestFit="1" customWidth="1"/>
    <col min="10508" max="10508" width="10.85546875" customWidth="1"/>
    <col min="10509" max="10509" width="7.7109375" customWidth="1"/>
    <col min="10753" max="10753" width="35.42578125" customWidth="1"/>
    <col min="10754" max="10754" width="10.140625" customWidth="1"/>
    <col min="10755" max="10755" width="11.140625" customWidth="1"/>
    <col min="10756" max="10756" width="12.42578125" customWidth="1"/>
    <col min="10757" max="10757" width="11.85546875" customWidth="1"/>
    <col min="10758" max="10758" width="12.42578125" customWidth="1"/>
    <col min="10759" max="10759" width="14.140625" customWidth="1"/>
    <col min="10760" max="10760" width="11.85546875" customWidth="1"/>
    <col min="10761" max="10761" width="11.7109375" customWidth="1"/>
    <col min="10762" max="10762" width="11.28515625" customWidth="1"/>
    <col min="10763" max="10763" width="9.42578125" bestFit="1" customWidth="1"/>
    <col min="10764" max="10764" width="10.85546875" customWidth="1"/>
    <col min="10765" max="10765" width="7.7109375" customWidth="1"/>
    <col min="11009" max="11009" width="35.42578125" customWidth="1"/>
    <col min="11010" max="11010" width="10.140625" customWidth="1"/>
    <col min="11011" max="11011" width="11.140625" customWidth="1"/>
    <col min="11012" max="11012" width="12.42578125" customWidth="1"/>
    <col min="11013" max="11013" width="11.85546875" customWidth="1"/>
    <col min="11014" max="11014" width="12.42578125" customWidth="1"/>
    <col min="11015" max="11015" width="14.140625" customWidth="1"/>
    <col min="11016" max="11016" width="11.85546875" customWidth="1"/>
    <col min="11017" max="11017" width="11.7109375" customWidth="1"/>
    <col min="11018" max="11018" width="11.28515625" customWidth="1"/>
    <col min="11019" max="11019" width="9.42578125" bestFit="1" customWidth="1"/>
    <col min="11020" max="11020" width="10.85546875" customWidth="1"/>
    <col min="11021" max="11021" width="7.7109375" customWidth="1"/>
    <col min="11265" max="11265" width="35.42578125" customWidth="1"/>
    <col min="11266" max="11266" width="10.140625" customWidth="1"/>
    <col min="11267" max="11267" width="11.140625" customWidth="1"/>
    <col min="11268" max="11268" width="12.42578125" customWidth="1"/>
    <col min="11269" max="11269" width="11.85546875" customWidth="1"/>
    <col min="11270" max="11270" width="12.42578125" customWidth="1"/>
    <col min="11271" max="11271" width="14.140625" customWidth="1"/>
    <col min="11272" max="11272" width="11.85546875" customWidth="1"/>
    <col min="11273" max="11273" width="11.7109375" customWidth="1"/>
    <col min="11274" max="11274" width="11.28515625" customWidth="1"/>
    <col min="11275" max="11275" width="9.42578125" bestFit="1" customWidth="1"/>
    <col min="11276" max="11276" width="10.85546875" customWidth="1"/>
    <col min="11277" max="11277" width="7.7109375" customWidth="1"/>
    <col min="11521" max="11521" width="35.42578125" customWidth="1"/>
    <col min="11522" max="11522" width="10.140625" customWidth="1"/>
    <col min="11523" max="11523" width="11.140625" customWidth="1"/>
    <col min="11524" max="11524" width="12.42578125" customWidth="1"/>
    <col min="11525" max="11525" width="11.85546875" customWidth="1"/>
    <col min="11526" max="11526" width="12.42578125" customWidth="1"/>
    <col min="11527" max="11527" width="14.140625" customWidth="1"/>
    <col min="11528" max="11528" width="11.85546875" customWidth="1"/>
    <col min="11529" max="11529" width="11.7109375" customWidth="1"/>
    <col min="11530" max="11530" width="11.28515625" customWidth="1"/>
    <col min="11531" max="11531" width="9.42578125" bestFit="1" customWidth="1"/>
    <col min="11532" max="11532" width="10.85546875" customWidth="1"/>
    <col min="11533" max="11533" width="7.7109375" customWidth="1"/>
    <col min="11777" max="11777" width="35.42578125" customWidth="1"/>
    <col min="11778" max="11778" width="10.140625" customWidth="1"/>
    <col min="11779" max="11779" width="11.140625" customWidth="1"/>
    <col min="11780" max="11780" width="12.42578125" customWidth="1"/>
    <col min="11781" max="11781" width="11.85546875" customWidth="1"/>
    <col min="11782" max="11782" width="12.42578125" customWidth="1"/>
    <col min="11783" max="11783" width="14.140625" customWidth="1"/>
    <col min="11784" max="11784" width="11.85546875" customWidth="1"/>
    <col min="11785" max="11785" width="11.7109375" customWidth="1"/>
    <col min="11786" max="11786" width="11.28515625" customWidth="1"/>
    <col min="11787" max="11787" width="9.42578125" bestFit="1" customWidth="1"/>
    <col min="11788" max="11788" width="10.85546875" customWidth="1"/>
    <col min="11789" max="11789" width="7.7109375" customWidth="1"/>
    <col min="12033" max="12033" width="35.42578125" customWidth="1"/>
    <col min="12034" max="12034" width="10.140625" customWidth="1"/>
    <col min="12035" max="12035" width="11.140625" customWidth="1"/>
    <col min="12036" max="12036" width="12.42578125" customWidth="1"/>
    <col min="12037" max="12037" width="11.85546875" customWidth="1"/>
    <col min="12038" max="12038" width="12.42578125" customWidth="1"/>
    <col min="12039" max="12039" width="14.140625" customWidth="1"/>
    <col min="12040" max="12040" width="11.85546875" customWidth="1"/>
    <col min="12041" max="12041" width="11.7109375" customWidth="1"/>
    <col min="12042" max="12042" width="11.28515625" customWidth="1"/>
    <col min="12043" max="12043" width="9.42578125" bestFit="1" customWidth="1"/>
    <col min="12044" max="12044" width="10.85546875" customWidth="1"/>
    <col min="12045" max="12045" width="7.7109375" customWidth="1"/>
    <col min="12289" max="12289" width="35.42578125" customWidth="1"/>
    <col min="12290" max="12290" width="10.140625" customWidth="1"/>
    <col min="12291" max="12291" width="11.140625" customWidth="1"/>
    <col min="12292" max="12292" width="12.42578125" customWidth="1"/>
    <col min="12293" max="12293" width="11.85546875" customWidth="1"/>
    <col min="12294" max="12294" width="12.42578125" customWidth="1"/>
    <col min="12295" max="12295" width="14.140625" customWidth="1"/>
    <col min="12296" max="12296" width="11.85546875" customWidth="1"/>
    <col min="12297" max="12297" width="11.7109375" customWidth="1"/>
    <col min="12298" max="12298" width="11.28515625" customWidth="1"/>
    <col min="12299" max="12299" width="9.42578125" bestFit="1" customWidth="1"/>
    <col min="12300" max="12300" width="10.85546875" customWidth="1"/>
    <col min="12301" max="12301" width="7.7109375" customWidth="1"/>
    <col min="12545" max="12545" width="35.42578125" customWidth="1"/>
    <col min="12546" max="12546" width="10.140625" customWidth="1"/>
    <col min="12547" max="12547" width="11.140625" customWidth="1"/>
    <col min="12548" max="12548" width="12.42578125" customWidth="1"/>
    <col min="12549" max="12549" width="11.85546875" customWidth="1"/>
    <col min="12550" max="12550" width="12.42578125" customWidth="1"/>
    <col min="12551" max="12551" width="14.140625" customWidth="1"/>
    <col min="12552" max="12552" width="11.85546875" customWidth="1"/>
    <col min="12553" max="12553" width="11.7109375" customWidth="1"/>
    <col min="12554" max="12554" width="11.28515625" customWidth="1"/>
    <col min="12555" max="12555" width="9.42578125" bestFit="1" customWidth="1"/>
    <col min="12556" max="12556" width="10.85546875" customWidth="1"/>
    <col min="12557" max="12557" width="7.7109375" customWidth="1"/>
    <col min="12801" max="12801" width="35.42578125" customWidth="1"/>
    <col min="12802" max="12802" width="10.140625" customWidth="1"/>
    <col min="12803" max="12803" width="11.140625" customWidth="1"/>
    <col min="12804" max="12804" width="12.42578125" customWidth="1"/>
    <col min="12805" max="12805" width="11.85546875" customWidth="1"/>
    <col min="12806" max="12806" width="12.42578125" customWidth="1"/>
    <col min="12807" max="12807" width="14.140625" customWidth="1"/>
    <col min="12808" max="12808" width="11.85546875" customWidth="1"/>
    <col min="12809" max="12809" width="11.7109375" customWidth="1"/>
    <col min="12810" max="12810" width="11.28515625" customWidth="1"/>
    <col min="12811" max="12811" width="9.42578125" bestFit="1" customWidth="1"/>
    <col min="12812" max="12812" width="10.85546875" customWidth="1"/>
    <col min="12813" max="12813" width="7.7109375" customWidth="1"/>
    <col min="13057" max="13057" width="35.42578125" customWidth="1"/>
    <col min="13058" max="13058" width="10.140625" customWidth="1"/>
    <col min="13059" max="13059" width="11.140625" customWidth="1"/>
    <col min="13060" max="13060" width="12.42578125" customWidth="1"/>
    <col min="13061" max="13061" width="11.85546875" customWidth="1"/>
    <col min="13062" max="13062" width="12.42578125" customWidth="1"/>
    <col min="13063" max="13063" width="14.140625" customWidth="1"/>
    <col min="13064" max="13064" width="11.85546875" customWidth="1"/>
    <col min="13065" max="13065" width="11.7109375" customWidth="1"/>
    <col min="13066" max="13066" width="11.28515625" customWidth="1"/>
    <col min="13067" max="13067" width="9.42578125" bestFit="1" customWidth="1"/>
    <col min="13068" max="13068" width="10.85546875" customWidth="1"/>
    <col min="13069" max="13069" width="7.7109375" customWidth="1"/>
    <col min="13313" max="13313" width="35.42578125" customWidth="1"/>
    <col min="13314" max="13314" width="10.140625" customWidth="1"/>
    <col min="13315" max="13315" width="11.140625" customWidth="1"/>
    <col min="13316" max="13316" width="12.42578125" customWidth="1"/>
    <col min="13317" max="13317" width="11.85546875" customWidth="1"/>
    <col min="13318" max="13318" width="12.42578125" customWidth="1"/>
    <col min="13319" max="13319" width="14.140625" customWidth="1"/>
    <col min="13320" max="13320" width="11.85546875" customWidth="1"/>
    <col min="13321" max="13321" width="11.7109375" customWidth="1"/>
    <col min="13322" max="13322" width="11.28515625" customWidth="1"/>
    <col min="13323" max="13323" width="9.42578125" bestFit="1" customWidth="1"/>
    <col min="13324" max="13324" width="10.85546875" customWidth="1"/>
    <col min="13325" max="13325" width="7.7109375" customWidth="1"/>
    <col min="13569" max="13569" width="35.42578125" customWidth="1"/>
    <col min="13570" max="13570" width="10.140625" customWidth="1"/>
    <col min="13571" max="13571" width="11.140625" customWidth="1"/>
    <col min="13572" max="13572" width="12.42578125" customWidth="1"/>
    <col min="13573" max="13573" width="11.85546875" customWidth="1"/>
    <col min="13574" max="13574" width="12.42578125" customWidth="1"/>
    <col min="13575" max="13575" width="14.140625" customWidth="1"/>
    <col min="13576" max="13576" width="11.85546875" customWidth="1"/>
    <col min="13577" max="13577" width="11.7109375" customWidth="1"/>
    <col min="13578" max="13578" width="11.28515625" customWidth="1"/>
    <col min="13579" max="13579" width="9.42578125" bestFit="1" customWidth="1"/>
    <col min="13580" max="13580" width="10.85546875" customWidth="1"/>
    <col min="13581" max="13581" width="7.7109375" customWidth="1"/>
    <col min="13825" max="13825" width="35.42578125" customWidth="1"/>
    <col min="13826" max="13826" width="10.140625" customWidth="1"/>
    <col min="13827" max="13827" width="11.140625" customWidth="1"/>
    <col min="13828" max="13828" width="12.42578125" customWidth="1"/>
    <col min="13829" max="13829" width="11.85546875" customWidth="1"/>
    <col min="13830" max="13830" width="12.42578125" customWidth="1"/>
    <col min="13831" max="13831" width="14.140625" customWidth="1"/>
    <col min="13832" max="13832" width="11.85546875" customWidth="1"/>
    <col min="13833" max="13833" width="11.7109375" customWidth="1"/>
    <col min="13834" max="13834" width="11.28515625" customWidth="1"/>
    <col min="13835" max="13835" width="9.42578125" bestFit="1" customWidth="1"/>
    <col min="13836" max="13836" width="10.85546875" customWidth="1"/>
    <col min="13837" max="13837" width="7.7109375" customWidth="1"/>
    <col min="14081" max="14081" width="35.42578125" customWidth="1"/>
    <col min="14082" max="14082" width="10.140625" customWidth="1"/>
    <col min="14083" max="14083" width="11.140625" customWidth="1"/>
    <col min="14084" max="14084" width="12.42578125" customWidth="1"/>
    <col min="14085" max="14085" width="11.85546875" customWidth="1"/>
    <col min="14086" max="14086" width="12.42578125" customWidth="1"/>
    <col min="14087" max="14087" width="14.140625" customWidth="1"/>
    <col min="14088" max="14088" width="11.85546875" customWidth="1"/>
    <col min="14089" max="14089" width="11.7109375" customWidth="1"/>
    <col min="14090" max="14090" width="11.28515625" customWidth="1"/>
    <col min="14091" max="14091" width="9.42578125" bestFit="1" customWidth="1"/>
    <col min="14092" max="14092" width="10.85546875" customWidth="1"/>
    <col min="14093" max="14093" width="7.7109375" customWidth="1"/>
    <col min="14337" max="14337" width="35.42578125" customWidth="1"/>
    <col min="14338" max="14338" width="10.140625" customWidth="1"/>
    <col min="14339" max="14339" width="11.140625" customWidth="1"/>
    <col min="14340" max="14340" width="12.42578125" customWidth="1"/>
    <col min="14341" max="14341" width="11.85546875" customWidth="1"/>
    <col min="14342" max="14342" width="12.42578125" customWidth="1"/>
    <col min="14343" max="14343" width="14.140625" customWidth="1"/>
    <col min="14344" max="14344" width="11.85546875" customWidth="1"/>
    <col min="14345" max="14345" width="11.7109375" customWidth="1"/>
    <col min="14346" max="14346" width="11.28515625" customWidth="1"/>
    <col min="14347" max="14347" width="9.42578125" bestFit="1" customWidth="1"/>
    <col min="14348" max="14348" width="10.85546875" customWidth="1"/>
    <col min="14349" max="14349" width="7.7109375" customWidth="1"/>
    <col min="14593" max="14593" width="35.42578125" customWidth="1"/>
    <col min="14594" max="14594" width="10.140625" customWidth="1"/>
    <col min="14595" max="14595" width="11.140625" customWidth="1"/>
    <col min="14596" max="14596" width="12.42578125" customWidth="1"/>
    <col min="14597" max="14597" width="11.85546875" customWidth="1"/>
    <col min="14598" max="14598" width="12.42578125" customWidth="1"/>
    <col min="14599" max="14599" width="14.140625" customWidth="1"/>
    <col min="14600" max="14600" width="11.85546875" customWidth="1"/>
    <col min="14601" max="14601" width="11.7109375" customWidth="1"/>
    <col min="14602" max="14602" width="11.28515625" customWidth="1"/>
    <col min="14603" max="14603" width="9.42578125" bestFit="1" customWidth="1"/>
    <col min="14604" max="14604" width="10.85546875" customWidth="1"/>
    <col min="14605" max="14605" width="7.7109375" customWidth="1"/>
    <col min="14849" max="14849" width="35.42578125" customWidth="1"/>
    <col min="14850" max="14850" width="10.140625" customWidth="1"/>
    <col min="14851" max="14851" width="11.140625" customWidth="1"/>
    <col min="14852" max="14852" width="12.42578125" customWidth="1"/>
    <col min="14853" max="14853" width="11.85546875" customWidth="1"/>
    <col min="14854" max="14854" width="12.42578125" customWidth="1"/>
    <col min="14855" max="14855" width="14.140625" customWidth="1"/>
    <col min="14856" max="14856" width="11.85546875" customWidth="1"/>
    <col min="14857" max="14857" width="11.7109375" customWidth="1"/>
    <col min="14858" max="14858" width="11.28515625" customWidth="1"/>
    <col min="14859" max="14859" width="9.42578125" bestFit="1" customWidth="1"/>
    <col min="14860" max="14860" width="10.85546875" customWidth="1"/>
    <col min="14861" max="14861" width="7.7109375" customWidth="1"/>
    <col min="15105" max="15105" width="35.42578125" customWidth="1"/>
    <col min="15106" max="15106" width="10.140625" customWidth="1"/>
    <col min="15107" max="15107" width="11.140625" customWidth="1"/>
    <col min="15108" max="15108" width="12.42578125" customWidth="1"/>
    <col min="15109" max="15109" width="11.85546875" customWidth="1"/>
    <col min="15110" max="15110" width="12.42578125" customWidth="1"/>
    <col min="15111" max="15111" width="14.140625" customWidth="1"/>
    <col min="15112" max="15112" width="11.85546875" customWidth="1"/>
    <col min="15113" max="15113" width="11.7109375" customWidth="1"/>
    <col min="15114" max="15114" width="11.28515625" customWidth="1"/>
    <col min="15115" max="15115" width="9.42578125" bestFit="1" customWidth="1"/>
    <col min="15116" max="15116" width="10.85546875" customWidth="1"/>
    <col min="15117" max="15117" width="7.7109375" customWidth="1"/>
    <col min="15361" max="15361" width="35.42578125" customWidth="1"/>
    <col min="15362" max="15362" width="10.140625" customWidth="1"/>
    <col min="15363" max="15363" width="11.140625" customWidth="1"/>
    <col min="15364" max="15364" width="12.42578125" customWidth="1"/>
    <col min="15365" max="15365" width="11.85546875" customWidth="1"/>
    <col min="15366" max="15366" width="12.42578125" customWidth="1"/>
    <col min="15367" max="15367" width="14.140625" customWidth="1"/>
    <col min="15368" max="15368" width="11.85546875" customWidth="1"/>
    <col min="15369" max="15369" width="11.7109375" customWidth="1"/>
    <col min="15370" max="15370" width="11.28515625" customWidth="1"/>
    <col min="15371" max="15371" width="9.42578125" bestFit="1" customWidth="1"/>
    <col min="15372" max="15372" width="10.85546875" customWidth="1"/>
    <col min="15373" max="15373" width="7.7109375" customWidth="1"/>
    <col min="15617" max="15617" width="35.42578125" customWidth="1"/>
    <col min="15618" max="15618" width="10.140625" customWidth="1"/>
    <col min="15619" max="15619" width="11.140625" customWidth="1"/>
    <col min="15620" max="15620" width="12.42578125" customWidth="1"/>
    <col min="15621" max="15621" width="11.85546875" customWidth="1"/>
    <col min="15622" max="15622" width="12.42578125" customWidth="1"/>
    <col min="15623" max="15623" width="14.140625" customWidth="1"/>
    <col min="15624" max="15624" width="11.85546875" customWidth="1"/>
    <col min="15625" max="15625" width="11.7109375" customWidth="1"/>
    <col min="15626" max="15626" width="11.28515625" customWidth="1"/>
    <col min="15627" max="15627" width="9.42578125" bestFit="1" customWidth="1"/>
    <col min="15628" max="15628" width="10.85546875" customWidth="1"/>
    <col min="15629" max="15629" width="7.7109375" customWidth="1"/>
    <col min="15873" max="15873" width="35.42578125" customWidth="1"/>
    <col min="15874" max="15874" width="10.140625" customWidth="1"/>
    <col min="15875" max="15875" width="11.140625" customWidth="1"/>
    <col min="15876" max="15876" width="12.42578125" customWidth="1"/>
    <col min="15877" max="15877" width="11.85546875" customWidth="1"/>
    <col min="15878" max="15878" width="12.42578125" customWidth="1"/>
    <col min="15879" max="15879" width="14.140625" customWidth="1"/>
    <col min="15880" max="15880" width="11.85546875" customWidth="1"/>
    <col min="15881" max="15881" width="11.7109375" customWidth="1"/>
    <col min="15882" max="15882" width="11.28515625" customWidth="1"/>
    <col min="15883" max="15883" width="9.42578125" bestFit="1" customWidth="1"/>
    <col min="15884" max="15884" width="10.85546875" customWidth="1"/>
    <col min="15885" max="15885" width="7.7109375" customWidth="1"/>
    <col min="16129" max="16129" width="35.42578125" customWidth="1"/>
    <col min="16130" max="16130" width="10.140625" customWidth="1"/>
    <col min="16131" max="16131" width="11.140625" customWidth="1"/>
    <col min="16132" max="16132" width="12.42578125" customWidth="1"/>
    <col min="16133" max="16133" width="11.85546875" customWidth="1"/>
    <col min="16134" max="16134" width="12.42578125" customWidth="1"/>
    <col min="16135" max="16135" width="14.140625" customWidth="1"/>
    <col min="16136" max="16136" width="11.85546875" customWidth="1"/>
    <col min="16137" max="16137" width="11.7109375" customWidth="1"/>
    <col min="16138" max="16138" width="11.28515625" customWidth="1"/>
    <col min="16139" max="16139" width="9.42578125" bestFit="1" customWidth="1"/>
    <col min="16140" max="16140" width="10.85546875" customWidth="1"/>
    <col min="16141" max="16141" width="7.7109375" customWidth="1"/>
  </cols>
  <sheetData>
    <row r="1" spans="1:14">
      <c r="A1" s="1003" t="s">
        <v>167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</row>
    <row r="2" spans="1:14" ht="15.75" thickBot="1">
      <c r="A2" s="1003" t="s">
        <v>168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</row>
    <row r="3" spans="1:14" ht="26.25" customHeight="1" thickBot="1">
      <c r="A3" s="689" t="s">
        <v>2822</v>
      </c>
      <c r="B3" s="1470" t="s">
        <v>2845</v>
      </c>
      <c r="C3" s="1471"/>
      <c r="D3" s="1471"/>
      <c r="E3" s="1472"/>
      <c r="F3" s="689" t="s">
        <v>171</v>
      </c>
      <c r="G3" s="689"/>
      <c r="H3" s="1475" t="s">
        <v>2846</v>
      </c>
      <c r="I3" s="1476"/>
      <c r="J3" s="689" t="s">
        <v>5</v>
      </c>
      <c r="K3" s="676">
        <v>500</v>
      </c>
      <c r="L3" s="690" t="s">
        <v>2860</v>
      </c>
      <c r="M3" s="689"/>
      <c r="N3" s="676">
        <v>30</v>
      </c>
    </row>
    <row r="4" spans="1:14" ht="15.75" thickBot="1">
      <c r="A4" s="808" t="s">
        <v>4176</v>
      </c>
      <c r="B4" s="808"/>
      <c r="C4" s="808"/>
      <c r="D4" s="672"/>
      <c r="E4" s="672"/>
    </row>
    <row r="5" spans="1:14" ht="26.25" customHeight="1" thickBot="1">
      <c r="A5" s="689" t="s">
        <v>2825</v>
      </c>
      <c r="B5" s="1470" t="s">
        <v>2847</v>
      </c>
      <c r="C5" s="1471"/>
      <c r="D5" s="1471"/>
      <c r="E5" s="1472"/>
      <c r="F5" s="689" t="s">
        <v>2827</v>
      </c>
      <c r="G5" s="689"/>
      <c r="H5" s="1470" t="s">
        <v>2848</v>
      </c>
      <c r="I5" s="1471"/>
      <c r="J5" s="1472"/>
    </row>
    <row r="6" spans="1:14" ht="15.75" thickBot="1">
      <c r="B6" s="672"/>
      <c r="C6" s="672"/>
      <c r="D6" s="672"/>
      <c r="E6" s="672"/>
    </row>
    <row r="7" spans="1:14" ht="33" customHeight="1" thickBot="1">
      <c r="A7" s="689" t="s">
        <v>178</v>
      </c>
      <c r="B7" s="1478"/>
      <c r="C7" s="1479"/>
      <c r="D7" s="1479"/>
      <c r="E7" s="1480"/>
      <c r="F7" s="1499" t="s">
        <v>2829</v>
      </c>
      <c r="G7" s="1500"/>
      <c r="H7" s="1483" t="s">
        <v>2849</v>
      </c>
      <c r="I7" s="1484"/>
      <c r="J7" s="1484"/>
      <c r="K7" s="1485"/>
    </row>
    <row r="8" spans="1:14" ht="15.75" thickBot="1"/>
    <row r="9" spans="1:14" ht="26.25" customHeight="1">
      <c r="A9" s="674" t="s">
        <v>1909</v>
      </c>
      <c r="B9" s="1486" t="s">
        <v>2850</v>
      </c>
      <c r="C9" s="1487"/>
      <c r="D9" s="995" t="s">
        <v>2851</v>
      </c>
      <c r="E9" s="995"/>
      <c r="F9" s="1478"/>
      <c r="G9" s="995" t="s">
        <v>2852</v>
      </c>
      <c r="H9" s="995"/>
      <c r="I9" s="995"/>
      <c r="J9" s="1488"/>
      <c r="K9" s="1488"/>
      <c r="L9" s="1488"/>
    </row>
    <row r="10" spans="1:14" ht="26.25" customHeight="1">
      <c r="A10" s="674" t="s">
        <v>187</v>
      </c>
      <c r="B10" s="1489" t="s">
        <v>2853</v>
      </c>
      <c r="C10" s="995"/>
      <c r="D10" s="995" t="s">
        <v>2854</v>
      </c>
      <c r="E10" s="995"/>
      <c r="F10" s="995"/>
      <c r="G10" s="1488" t="s">
        <v>2855</v>
      </c>
      <c r="H10" s="1488"/>
      <c r="I10" s="1488"/>
      <c r="J10" s="1488"/>
      <c r="K10" s="1488"/>
      <c r="L10" s="1488"/>
    </row>
    <row r="11" spans="1:14" ht="26.25" customHeight="1">
      <c r="A11" s="674" t="s">
        <v>192</v>
      </c>
      <c r="B11" s="1489" t="s">
        <v>2856</v>
      </c>
      <c r="C11" s="995"/>
      <c r="D11" s="995" t="s">
        <v>2857</v>
      </c>
      <c r="E11" s="995"/>
      <c r="F11" s="1478"/>
      <c r="G11" s="995" t="s">
        <v>2854</v>
      </c>
      <c r="H11" s="995"/>
      <c r="I11" s="995"/>
      <c r="J11" s="1488"/>
      <c r="K11" s="1488"/>
      <c r="L11" s="1488"/>
    </row>
    <row r="12" spans="1:14" ht="26.25" customHeight="1" thickBot="1">
      <c r="A12" s="674" t="s">
        <v>197</v>
      </c>
      <c r="B12" s="1490"/>
      <c r="C12" s="1491"/>
      <c r="D12" s="995"/>
      <c r="E12" s="995"/>
      <c r="F12" s="995"/>
      <c r="G12" s="1488"/>
      <c r="H12" s="1488"/>
      <c r="I12" s="1488"/>
      <c r="J12" s="1488"/>
      <c r="K12" s="1488"/>
      <c r="L12" s="1488"/>
    </row>
    <row r="13" spans="1:14" ht="15.75" thickBot="1"/>
    <row r="14" spans="1:14" ht="26.25" customHeight="1" thickBot="1">
      <c r="A14" s="689" t="s">
        <v>198</v>
      </c>
      <c r="B14" s="676">
        <v>3</v>
      </c>
      <c r="C14" s="689" t="s">
        <v>2838</v>
      </c>
      <c r="D14" s="689"/>
      <c r="E14" s="689"/>
      <c r="F14" s="676">
        <v>2</v>
      </c>
      <c r="G14" s="689" t="s">
        <v>1491</v>
      </c>
      <c r="H14" s="676">
        <v>11</v>
      </c>
      <c r="I14" s="691" t="s">
        <v>201</v>
      </c>
      <c r="J14" s="676">
        <v>2</v>
      </c>
      <c r="K14" s="691" t="s">
        <v>1386</v>
      </c>
      <c r="L14" s="676">
        <v>1</v>
      </c>
    </row>
    <row r="15" spans="1:14" ht="15.75" thickBot="1">
      <c r="B15" s="295"/>
    </row>
    <row r="16" spans="1:14" ht="26.25" customHeight="1" thickBot="1">
      <c r="A16" s="689" t="s">
        <v>646</v>
      </c>
      <c r="B16" s="689" t="s">
        <v>204</v>
      </c>
      <c r="C16" s="679">
        <v>86</v>
      </c>
      <c r="D16" s="689" t="s">
        <v>205</v>
      </c>
      <c r="E16" s="679">
        <v>0</v>
      </c>
      <c r="F16" s="689" t="s">
        <v>206</v>
      </c>
      <c r="G16" s="679">
        <v>15</v>
      </c>
      <c r="H16" s="689" t="s">
        <v>230</v>
      </c>
      <c r="I16" s="679">
        <v>101</v>
      </c>
      <c r="J16" s="689" t="s">
        <v>207</v>
      </c>
      <c r="K16" s="676">
        <v>16</v>
      </c>
      <c r="L16" s="1501" t="s">
        <v>2881</v>
      </c>
      <c r="M16" s="1502"/>
      <c r="N16" s="676">
        <v>0</v>
      </c>
    </row>
    <row r="17" spans="1:14" ht="26.25" customHeight="1">
      <c r="A17" s="689" t="s">
        <v>2839</v>
      </c>
      <c r="B17" s="689" t="s">
        <v>210</v>
      </c>
      <c r="C17" s="680">
        <v>210</v>
      </c>
      <c r="D17" s="689" t="s">
        <v>211</v>
      </c>
      <c r="E17" s="680">
        <v>0</v>
      </c>
      <c r="F17" s="689" t="s">
        <v>212</v>
      </c>
      <c r="G17" s="680">
        <v>31</v>
      </c>
      <c r="H17" s="689" t="s">
        <v>411</v>
      </c>
      <c r="I17" s="680">
        <v>241</v>
      </c>
    </row>
    <row r="18" spans="1:14" ht="26.25" customHeight="1" thickBot="1">
      <c r="B18" s="689" t="s">
        <v>213</v>
      </c>
      <c r="C18" s="681">
        <v>167</v>
      </c>
      <c r="D18" s="689" t="s">
        <v>214</v>
      </c>
      <c r="E18" s="681">
        <v>0</v>
      </c>
      <c r="F18" s="689" t="s">
        <v>215</v>
      </c>
      <c r="G18" s="681">
        <v>32</v>
      </c>
      <c r="H18" s="689" t="s">
        <v>410</v>
      </c>
      <c r="I18" s="681">
        <v>199</v>
      </c>
    </row>
    <row r="19" spans="1:14" s="403" customFormat="1" ht="27.75" customHeight="1">
      <c r="A19" s="69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496" t="s">
        <v>2841</v>
      </c>
      <c r="G20" s="1497"/>
      <c r="H20" s="1497"/>
      <c r="I20" s="1497"/>
      <c r="J20" s="1497"/>
      <c r="K20" s="1497"/>
      <c r="L20" s="1497"/>
      <c r="M20" s="1497"/>
      <c r="N20" s="1498"/>
    </row>
    <row r="21" spans="1:14" ht="26.25" customHeight="1">
      <c r="A21" s="1493"/>
      <c r="B21" s="1493"/>
      <c r="C21" s="1493"/>
      <c r="D21" s="1495"/>
      <c r="E21" s="1495"/>
      <c r="F21" s="693">
        <v>1</v>
      </c>
      <c r="G21" s="693">
        <v>2</v>
      </c>
      <c r="H21" s="693">
        <v>3</v>
      </c>
      <c r="I21" s="693">
        <v>4</v>
      </c>
      <c r="J21" s="693">
        <v>5</v>
      </c>
      <c r="K21" s="693">
        <v>6</v>
      </c>
      <c r="L21" s="693">
        <v>7</v>
      </c>
      <c r="M21" s="693" t="s">
        <v>230</v>
      </c>
      <c r="N21" s="693" t="s">
        <v>231</v>
      </c>
    </row>
    <row r="22" spans="1:14" ht="26.25" customHeight="1">
      <c r="A22" s="684" t="s">
        <v>232</v>
      </c>
      <c r="B22" s="296">
        <v>8000</v>
      </c>
      <c r="C22" s="685" t="s">
        <v>233</v>
      </c>
      <c r="D22" s="297">
        <f>B22*520/100000</f>
        <v>41.6</v>
      </c>
      <c r="E22" s="297">
        <v>4.2465000000000002</v>
      </c>
      <c r="F22" s="686">
        <v>0</v>
      </c>
      <c r="G22" s="686">
        <v>0</v>
      </c>
      <c r="H22" s="686">
        <v>0.18629999999999999</v>
      </c>
      <c r="I22" s="687"/>
      <c r="J22" s="687"/>
      <c r="K22" s="687"/>
      <c r="L22" s="687"/>
      <c r="M22" s="688">
        <f>F22+G22+H22</f>
        <v>0.18629999999999999</v>
      </c>
      <c r="N22" s="688">
        <f>M22/E22*100</f>
        <v>4.3871423525256086</v>
      </c>
    </row>
    <row r="23" spans="1:14" ht="26.25" customHeight="1">
      <c r="A23" s="684" t="s">
        <v>2842</v>
      </c>
      <c r="B23" s="296">
        <v>1120</v>
      </c>
      <c r="C23" s="685" t="s">
        <v>233</v>
      </c>
      <c r="D23" s="297">
        <f>B23*520/100000</f>
        <v>5.8239999999999998</v>
      </c>
      <c r="E23" s="297">
        <v>0</v>
      </c>
      <c r="F23" s="297">
        <v>0</v>
      </c>
      <c r="G23" s="297">
        <v>0</v>
      </c>
      <c r="H23" s="297">
        <v>0</v>
      </c>
      <c r="I23" s="296"/>
      <c r="J23" s="296"/>
      <c r="K23" s="296"/>
      <c r="L23" s="296"/>
      <c r="M23" s="688">
        <f t="shared" ref="M23:M30" si="0">F23+G23+H23</f>
        <v>0</v>
      </c>
      <c r="N23" s="298">
        <v>0</v>
      </c>
    </row>
    <row r="24" spans="1:14" ht="26.25" customHeight="1">
      <c r="A24" s="684" t="s">
        <v>235</v>
      </c>
      <c r="B24" s="296">
        <v>43000</v>
      </c>
      <c r="C24" s="685" t="s">
        <v>236</v>
      </c>
      <c r="D24" s="297">
        <v>0.43</v>
      </c>
      <c r="E24" s="297">
        <v>0.18</v>
      </c>
      <c r="F24" s="297">
        <v>0</v>
      </c>
      <c r="G24" s="297">
        <v>0</v>
      </c>
      <c r="H24" s="297">
        <v>0</v>
      </c>
      <c r="I24" s="296"/>
      <c r="J24" s="296"/>
      <c r="K24" s="296"/>
      <c r="L24" s="296"/>
      <c r="M24" s="688">
        <f t="shared" si="0"/>
        <v>0</v>
      </c>
      <c r="N24" s="298">
        <f t="shared" ref="N24:N30" si="1">M24/E24*100</f>
        <v>0</v>
      </c>
    </row>
    <row r="25" spans="1:14" ht="26.25" customHeight="1">
      <c r="A25" s="684" t="s">
        <v>237</v>
      </c>
      <c r="B25" s="296">
        <v>37000</v>
      </c>
      <c r="C25" s="685" t="s">
        <v>236</v>
      </c>
      <c r="D25" s="297">
        <v>0.37</v>
      </c>
      <c r="E25" s="297">
        <v>0.16</v>
      </c>
      <c r="F25" s="297">
        <v>0</v>
      </c>
      <c r="G25" s="297">
        <v>0</v>
      </c>
      <c r="H25" s="297">
        <v>0</v>
      </c>
      <c r="I25" s="296"/>
      <c r="J25" s="296"/>
      <c r="K25" s="296"/>
      <c r="L25" s="296"/>
      <c r="M25" s="688">
        <f t="shared" si="0"/>
        <v>0</v>
      </c>
      <c r="N25" s="298">
        <f t="shared" si="1"/>
        <v>0</v>
      </c>
    </row>
    <row r="26" spans="1:14" ht="26.25" customHeight="1">
      <c r="A26" s="684" t="s">
        <v>238</v>
      </c>
      <c r="B26" s="296">
        <v>1200</v>
      </c>
      <c r="C26" s="685" t="s">
        <v>233</v>
      </c>
      <c r="D26" s="297">
        <f>B26*520/100000</f>
        <v>6.24</v>
      </c>
      <c r="E26" s="297">
        <v>2</v>
      </c>
      <c r="F26" s="297">
        <v>0</v>
      </c>
      <c r="G26" s="297">
        <v>0</v>
      </c>
      <c r="H26" s="297">
        <v>1.9408399999999999</v>
      </c>
      <c r="I26" s="296"/>
      <c r="J26" s="296"/>
      <c r="K26" s="296"/>
      <c r="L26" s="296"/>
      <c r="M26" s="688">
        <f t="shared" si="0"/>
        <v>1.9408399999999999</v>
      </c>
      <c r="N26" s="298">
        <f t="shared" si="1"/>
        <v>97.042000000000002</v>
      </c>
    </row>
    <row r="27" spans="1:14" ht="26.25" customHeight="1">
      <c r="A27" s="684" t="s">
        <v>667</v>
      </c>
      <c r="B27" s="296">
        <v>565</v>
      </c>
      <c r="C27" s="685" t="s">
        <v>233</v>
      </c>
      <c r="D27" s="297">
        <f>B27*520/100000</f>
        <v>2.9380000000000002</v>
      </c>
      <c r="E27" s="297">
        <v>0.52</v>
      </c>
      <c r="F27" s="297">
        <v>0</v>
      </c>
      <c r="G27" s="297">
        <v>0</v>
      </c>
      <c r="H27" s="297">
        <v>0.14099999999999999</v>
      </c>
      <c r="I27" s="296"/>
      <c r="J27" s="296"/>
      <c r="K27" s="296"/>
      <c r="L27" s="296"/>
      <c r="M27" s="688">
        <f t="shared" si="0"/>
        <v>0.14099999999999999</v>
      </c>
      <c r="N27" s="298">
        <f t="shared" si="1"/>
        <v>27.115384615384613</v>
      </c>
    </row>
    <row r="28" spans="1:14" ht="26.25" customHeight="1">
      <c r="A28" s="684" t="s">
        <v>2843</v>
      </c>
      <c r="B28" s="296">
        <v>1000</v>
      </c>
      <c r="C28" s="685" t="s">
        <v>233</v>
      </c>
      <c r="D28" s="297">
        <f>B28*520/100000</f>
        <v>5.2</v>
      </c>
      <c r="E28" s="297">
        <v>0</v>
      </c>
      <c r="F28" s="297">
        <v>0</v>
      </c>
      <c r="G28" s="297">
        <v>0</v>
      </c>
      <c r="H28" s="297">
        <v>0</v>
      </c>
      <c r="I28" s="296"/>
      <c r="J28" s="296"/>
      <c r="K28" s="296"/>
      <c r="L28" s="296"/>
      <c r="M28" s="688">
        <f t="shared" si="0"/>
        <v>0</v>
      </c>
      <c r="N28" s="298">
        <v>0</v>
      </c>
    </row>
    <row r="29" spans="1:14" ht="26.25" customHeight="1">
      <c r="A29" s="684" t="s">
        <v>2844</v>
      </c>
      <c r="B29" s="296">
        <v>2750</v>
      </c>
      <c r="C29" s="685" t="s">
        <v>242</v>
      </c>
      <c r="D29" s="297">
        <v>2.31</v>
      </c>
      <c r="E29" s="297">
        <v>0.33</v>
      </c>
      <c r="F29" s="297">
        <v>0</v>
      </c>
      <c r="G29" s="297">
        <v>0</v>
      </c>
      <c r="H29" s="297">
        <v>4.5249999999999999E-2</v>
      </c>
      <c r="I29" s="296"/>
      <c r="J29" s="296"/>
      <c r="K29" s="296"/>
      <c r="L29" s="296"/>
      <c r="M29" s="688">
        <f t="shared" si="0"/>
        <v>4.5249999999999999E-2</v>
      </c>
      <c r="N29" s="298">
        <f t="shared" si="1"/>
        <v>13.712121212121211</v>
      </c>
    </row>
    <row r="30" spans="1:14" ht="26.25" customHeight="1">
      <c r="A30" s="684" t="s">
        <v>670</v>
      </c>
      <c r="B30" s="296">
        <v>10000</v>
      </c>
      <c r="C30" s="685" t="s">
        <v>244</v>
      </c>
      <c r="D30" s="297">
        <v>0.1</v>
      </c>
      <c r="E30" s="297">
        <v>0.02</v>
      </c>
      <c r="F30" s="297">
        <v>0</v>
      </c>
      <c r="G30" s="297">
        <v>0</v>
      </c>
      <c r="H30" s="297">
        <v>0</v>
      </c>
      <c r="I30" s="296"/>
      <c r="J30" s="296"/>
      <c r="K30" s="296"/>
      <c r="L30" s="296"/>
      <c r="M30" s="688">
        <f t="shared" si="0"/>
        <v>0</v>
      </c>
      <c r="N30" s="298">
        <f t="shared" si="1"/>
        <v>0</v>
      </c>
    </row>
    <row r="31" spans="1:14" ht="26.25" customHeight="1">
      <c r="A31" s="694" t="s">
        <v>245</v>
      </c>
      <c r="B31" s="296">
        <f>SUM(B22:B30)</f>
        <v>104635</v>
      </c>
      <c r="C31" s="296"/>
      <c r="D31" s="297">
        <f t="shared" ref="D31:M31" si="2">SUM(D22:D30)</f>
        <v>65.012</v>
      </c>
      <c r="E31" s="297">
        <f t="shared" si="2"/>
        <v>7.4565000000000001</v>
      </c>
      <c r="F31" s="297">
        <f t="shared" si="2"/>
        <v>0</v>
      </c>
      <c r="G31" s="297">
        <f t="shared" si="2"/>
        <v>0</v>
      </c>
      <c r="H31" s="297">
        <f t="shared" si="2"/>
        <v>2.3133899999999996</v>
      </c>
      <c r="I31" s="297">
        <f t="shared" si="2"/>
        <v>0</v>
      </c>
      <c r="J31" s="297">
        <f t="shared" si="2"/>
        <v>0</v>
      </c>
      <c r="K31" s="297">
        <f t="shared" si="2"/>
        <v>0</v>
      </c>
      <c r="L31" s="297">
        <f t="shared" si="2"/>
        <v>0</v>
      </c>
      <c r="M31" s="297">
        <f t="shared" si="2"/>
        <v>2.3133899999999996</v>
      </c>
      <c r="N31" s="297"/>
    </row>
  </sheetData>
  <mergeCells count="33">
    <mergeCell ref="F20:N20"/>
    <mergeCell ref="B12:C12"/>
    <mergeCell ref="D12:F12"/>
    <mergeCell ref="G12:I12"/>
    <mergeCell ref="J12:L12"/>
    <mergeCell ref="L16:M16"/>
    <mergeCell ref="A20:A21"/>
    <mergeCell ref="B20:B21"/>
    <mergeCell ref="C20:C21"/>
    <mergeCell ref="D20:D21"/>
    <mergeCell ref="E20:E21"/>
    <mergeCell ref="B10:C10"/>
    <mergeCell ref="D10:F10"/>
    <mergeCell ref="G10:I10"/>
    <mergeCell ref="J10:L10"/>
    <mergeCell ref="B11:C11"/>
    <mergeCell ref="D11:F11"/>
    <mergeCell ref="G11:I11"/>
    <mergeCell ref="J11:L11"/>
    <mergeCell ref="B7:E7"/>
    <mergeCell ref="F7:G7"/>
    <mergeCell ref="H7:K7"/>
    <mergeCell ref="B9:C9"/>
    <mergeCell ref="D9:F9"/>
    <mergeCell ref="G9:I9"/>
    <mergeCell ref="J9:L9"/>
    <mergeCell ref="B5:E5"/>
    <mergeCell ref="H5:J5"/>
    <mergeCell ref="A1:L1"/>
    <mergeCell ref="A2:L2"/>
    <mergeCell ref="B3:E3"/>
    <mergeCell ref="H3:I3"/>
    <mergeCell ref="A4:C4"/>
  </mergeCells>
  <hyperlinks>
    <hyperlink ref="A4" location="'Fact Sheet of VDC'!A1" display="&lt;&lt;Back"/>
  </hyperlinks>
  <pageMargins left="0.70866141732283472" right="0.70866141732283472" top="0.35" bottom="0.24" header="0.17" footer="0.19"/>
  <pageSetup paperSize="9" scale="70" orientation="landscape" r:id="rId1"/>
</worksheet>
</file>

<file path=xl/worksheets/sheet281.xml><?xml version="1.0" encoding="utf-8"?>
<worksheet xmlns="http://schemas.openxmlformats.org/spreadsheetml/2006/main" xmlns:r="http://schemas.openxmlformats.org/officeDocument/2006/relationships">
  <dimension ref="A1:N34"/>
  <sheetViews>
    <sheetView workbookViewId="0">
      <selection activeCell="A4" sqref="A4:C4"/>
    </sheetView>
  </sheetViews>
  <sheetFormatPr defaultRowHeight="15"/>
  <cols>
    <col min="1" max="1" width="35.42578125" customWidth="1"/>
    <col min="2" max="2" width="10.140625" customWidth="1"/>
    <col min="3" max="3" width="11.140625" customWidth="1"/>
    <col min="4" max="4" width="12.42578125" customWidth="1"/>
    <col min="5" max="5" width="11.85546875" customWidth="1"/>
    <col min="6" max="6" width="12.42578125" customWidth="1"/>
    <col min="7" max="7" width="11.42578125" bestFit="1" customWidth="1"/>
    <col min="8" max="8" width="11.85546875" customWidth="1"/>
    <col min="9" max="9" width="11.7109375" customWidth="1"/>
    <col min="10" max="10" width="14.28515625" customWidth="1"/>
    <col min="11" max="11" width="9.42578125" bestFit="1" customWidth="1"/>
    <col min="12" max="12" width="11.140625" customWidth="1"/>
    <col min="13" max="13" width="7.7109375" customWidth="1"/>
    <col min="14" max="14" width="10.5703125" bestFit="1" customWidth="1"/>
    <col min="257" max="257" width="35.42578125" customWidth="1"/>
    <col min="258" max="258" width="10.140625" customWidth="1"/>
    <col min="259" max="259" width="11.140625" customWidth="1"/>
    <col min="260" max="260" width="12.42578125" customWidth="1"/>
    <col min="261" max="261" width="11.85546875" customWidth="1"/>
    <col min="262" max="262" width="12.42578125" customWidth="1"/>
    <col min="263" max="263" width="11.42578125" bestFit="1" customWidth="1"/>
    <col min="264" max="264" width="11.85546875" customWidth="1"/>
    <col min="265" max="265" width="11.7109375" customWidth="1"/>
    <col min="266" max="266" width="14.28515625" customWidth="1"/>
    <col min="267" max="267" width="9.42578125" bestFit="1" customWidth="1"/>
    <col min="268" max="268" width="11.140625" customWidth="1"/>
    <col min="269" max="269" width="7.7109375" customWidth="1"/>
    <col min="270" max="270" width="10.5703125" bestFit="1" customWidth="1"/>
    <col min="513" max="513" width="35.42578125" customWidth="1"/>
    <col min="514" max="514" width="10.140625" customWidth="1"/>
    <col min="515" max="515" width="11.140625" customWidth="1"/>
    <col min="516" max="516" width="12.42578125" customWidth="1"/>
    <col min="517" max="517" width="11.85546875" customWidth="1"/>
    <col min="518" max="518" width="12.42578125" customWidth="1"/>
    <col min="519" max="519" width="11.42578125" bestFit="1" customWidth="1"/>
    <col min="520" max="520" width="11.85546875" customWidth="1"/>
    <col min="521" max="521" width="11.7109375" customWidth="1"/>
    <col min="522" max="522" width="14.28515625" customWidth="1"/>
    <col min="523" max="523" width="9.42578125" bestFit="1" customWidth="1"/>
    <col min="524" max="524" width="11.140625" customWidth="1"/>
    <col min="525" max="525" width="7.7109375" customWidth="1"/>
    <col min="526" max="526" width="10.5703125" bestFit="1" customWidth="1"/>
    <col min="769" max="769" width="35.42578125" customWidth="1"/>
    <col min="770" max="770" width="10.140625" customWidth="1"/>
    <col min="771" max="771" width="11.140625" customWidth="1"/>
    <col min="772" max="772" width="12.42578125" customWidth="1"/>
    <col min="773" max="773" width="11.85546875" customWidth="1"/>
    <col min="774" max="774" width="12.42578125" customWidth="1"/>
    <col min="775" max="775" width="11.42578125" bestFit="1" customWidth="1"/>
    <col min="776" max="776" width="11.85546875" customWidth="1"/>
    <col min="777" max="777" width="11.7109375" customWidth="1"/>
    <col min="778" max="778" width="14.28515625" customWidth="1"/>
    <col min="779" max="779" width="9.42578125" bestFit="1" customWidth="1"/>
    <col min="780" max="780" width="11.140625" customWidth="1"/>
    <col min="781" max="781" width="7.7109375" customWidth="1"/>
    <col min="782" max="782" width="10.5703125" bestFit="1" customWidth="1"/>
    <col min="1025" max="1025" width="35.42578125" customWidth="1"/>
    <col min="1026" max="1026" width="10.140625" customWidth="1"/>
    <col min="1027" max="1027" width="11.140625" customWidth="1"/>
    <col min="1028" max="1028" width="12.42578125" customWidth="1"/>
    <col min="1029" max="1029" width="11.85546875" customWidth="1"/>
    <col min="1030" max="1030" width="12.42578125" customWidth="1"/>
    <col min="1031" max="1031" width="11.42578125" bestFit="1" customWidth="1"/>
    <col min="1032" max="1032" width="11.85546875" customWidth="1"/>
    <col min="1033" max="1033" width="11.7109375" customWidth="1"/>
    <col min="1034" max="1034" width="14.28515625" customWidth="1"/>
    <col min="1035" max="1035" width="9.42578125" bestFit="1" customWidth="1"/>
    <col min="1036" max="1036" width="11.140625" customWidth="1"/>
    <col min="1037" max="1037" width="7.7109375" customWidth="1"/>
    <col min="1038" max="1038" width="10.5703125" bestFit="1" customWidth="1"/>
    <col min="1281" max="1281" width="35.42578125" customWidth="1"/>
    <col min="1282" max="1282" width="10.140625" customWidth="1"/>
    <col min="1283" max="1283" width="11.140625" customWidth="1"/>
    <col min="1284" max="1284" width="12.42578125" customWidth="1"/>
    <col min="1285" max="1285" width="11.85546875" customWidth="1"/>
    <col min="1286" max="1286" width="12.42578125" customWidth="1"/>
    <col min="1287" max="1287" width="11.42578125" bestFit="1" customWidth="1"/>
    <col min="1288" max="1288" width="11.85546875" customWidth="1"/>
    <col min="1289" max="1289" width="11.7109375" customWidth="1"/>
    <col min="1290" max="1290" width="14.28515625" customWidth="1"/>
    <col min="1291" max="1291" width="9.42578125" bestFit="1" customWidth="1"/>
    <col min="1292" max="1292" width="11.140625" customWidth="1"/>
    <col min="1293" max="1293" width="7.7109375" customWidth="1"/>
    <col min="1294" max="1294" width="10.5703125" bestFit="1" customWidth="1"/>
    <col min="1537" max="1537" width="35.42578125" customWidth="1"/>
    <col min="1538" max="1538" width="10.140625" customWidth="1"/>
    <col min="1539" max="1539" width="11.140625" customWidth="1"/>
    <col min="1540" max="1540" width="12.42578125" customWidth="1"/>
    <col min="1541" max="1541" width="11.85546875" customWidth="1"/>
    <col min="1542" max="1542" width="12.42578125" customWidth="1"/>
    <col min="1543" max="1543" width="11.42578125" bestFit="1" customWidth="1"/>
    <col min="1544" max="1544" width="11.85546875" customWidth="1"/>
    <col min="1545" max="1545" width="11.7109375" customWidth="1"/>
    <col min="1546" max="1546" width="14.28515625" customWidth="1"/>
    <col min="1547" max="1547" width="9.42578125" bestFit="1" customWidth="1"/>
    <col min="1548" max="1548" width="11.140625" customWidth="1"/>
    <col min="1549" max="1549" width="7.7109375" customWidth="1"/>
    <col min="1550" max="1550" width="10.5703125" bestFit="1" customWidth="1"/>
    <col min="1793" max="1793" width="35.42578125" customWidth="1"/>
    <col min="1794" max="1794" width="10.140625" customWidth="1"/>
    <col min="1795" max="1795" width="11.140625" customWidth="1"/>
    <col min="1796" max="1796" width="12.42578125" customWidth="1"/>
    <col min="1797" max="1797" width="11.85546875" customWidth="1"/>
    <col min="1798" max="1798" width="12.42578125" customWidth="1"/>
    <col min="1799" max="1799" width="11.42578125" bestFit="1" customWidth="1"/>
    <col min="1800" max="1800" width="11.85546875" customWidth="1"/>
    <col min="1801" max="1801" width="11.7109375" customWidth="1"/>
    <col min="1802" max="1802" width="14.28515625" customWidth="1"/>
    <col min="1803" max="1803" width="9.42578125" bestFit="1" customWidth="1"/>
    <col min="1804" max="1804" width="11.140625" customWidth="1"/>
    <col min="1805" max="1805" width="7.7109375" customWidth="1"/>
    <col min="1806" max="1806" width="10.5703125" bestFit="1" customWidth="1"/>
    <col min="2049" max="2049" width="35.42578125" customWidth="1"/>
    <col min="2050" max="2050" width="10.140625" customWidth="1"/>
    <col min="2051" max="2051" width="11.140625" customWidth="1"/>
    <col min="2052" max="2052" width="12.42578125" customWidth="1"/>
    <col min="2053" max="2053" width="11.85546875" customWidth="1"/>
    <col min="2054" max="2054" width="12.42578125" customWidth="1"/>
    <col min="2055" max="2055" width="11.42578125" bestFit="1" customWidth="1"/>
    <col min="2056" max="2056" width="11.85546875" customWidth="1"/>
    <col min="2057" max="2057" width="11.7109375" customWidth="1"/>
    <col min="2058" max="2058" width="14.28515625" customWidth="1"/>
    <col min="2059" max="2059" width="9.42578125" bestFit="1" customWidth="1"/>
    <col min="2060" max="2060" width="11.140625" customWidth="1"/>
    <col min="2061" max="2061" width="7.7109375" customWidth="1"/>
    <col min="2062" max="2062" width="10.5703125" bestFit="1" customWidth="1"/>
    <col min="2305" max="2305" width="35.42578125" customWidth="1"/>
    <col min="2306" max="2306" width="10.140625" customWidth="1"/>
    <col min="2307" max="2307" width="11.140625" customWidth="1"/>
    <col min="2308" max="2308" width="12.42578125" customWidth="1"/>
    <col min="2309" max="2309" width="11.85546875" customWidth="1"/>
    <col min="2310" max="2310" width="12.42578125" customWidth="1"/>
    <col min="2311" max="2311" width="11.42578125" bestFit="1" customWidth="1"/>
    <col min="2312" max="2312" width="11.85546875" customWidth="1"/>
    <col min="2313" max="2313" width="11.7109375" customWidth="1"/>
    <col min="2314" max="2314" width="14.28515625" customWidth="1"/>
    <col min="2315" max="2315" width="9.42578125" bestFit="1" customWidth="1"/>
    <col min="2316" max="2316" width="11.140625" customWidth="1"/>
    <col min="2317" max="2317" width="7.7109375" customWidth="1"/>
    <col min="2318" max="2318" width="10.5703125" bestFit="1" customWidth="1"/>
    <col min="2561" max="2561" width="35.42578125" customWidth="1"/>
    <col min="2562" max="2562" width="10.140625" customWidth="1"/>
    <col min="2563" max="2563" width="11.140625" customWidth="1"/>
    <col min="2564" max="2564" width="12.42578125" customWidth="1"/>
    <col min="2565" max="2565" width="11.85546875" customWidth="1"/>
    <col min="2566" max="2566" width="12.42578125" customWidth="1"/>
    <col min="2567" max="2567" width="11.42578125" bestFit="1" customWidth="1"/>
    <col min="2568" max="2568" width="11.85546875" customWidth="1"/>
    <col min="2569" max="2569" width="11.7109375" customWidth="1"/>
    <col min="2570" max="2570" width="14.28515625" customWidth="1"/>
    <col min="2571" max="2571" width="9.42578125" bestFit="1" customWidth="1"/>
    <col min="2572" max="2572" width="11.140625" customWidth="1"/>
    <col min="2573" max="2573" width="7.7109375" customWidth="1"/>
    <col min="2574" max="2574" width="10.5703125" bestFit="1" customWidth="1"/>
    <col min="2817" max="2817" width="35.42578125" customWidth="1"/>
    <col min="2818" max="2818" width="10.140625" customWidth="1"/>
    <col min="2819" max="2819" width="11.140625" customWidth="1"/>
    <col min="2820" max="2820" width="12.42578125" customWidth="1"/>
    <col min="2821" max="2821" width="11.85546875" customWidth="1"/>
    <col min="2822" max="2822" width="12.42578125" customWidth="1"/>
    <col min="2823" max="2823" width="11.42578125" bestFit="1" customWidth="1"/>
    <col min="2824" max="2824" width="11.85546875" customWidth="1"/>
    <col min="2825" max="2825" width="11.7109375" customWidth="1"/>
    <col min="2826" max="2826" width="14.28515625" customWidth="1"/>
    <col min="2827" max="2827" width="9.42578125" bestFit="1" customWidth="1"/>
    <col min="2828" max="2828" width="11.140625" customWidth="1"/>
    <col min="2829" max="2829" width="7.7109375" customWidth="1"/>
    <col min="2830" max="2830" width="10.5703125" bestFit="1" customWidth="1"/>
    <col min="3073" max="3073" width="35.42578125" customWidth="1"/>
    <col min="3074" max="3074" width="10.140625" customWidth="1"/>
    <col min="3075" max="3075" width="11.140625" customWidth="1"/>
    <col min="3076" max="3076" width="12.42578125" customWidth="1"/>
    <col min="3077" max="3077" width="11.85546875" customWidth="1"/>
    <col min="3078" max="3078" width="12.42578125" customWidth="1"/>
    <col min="3079" max="3079" width="11.42578125" bestFit="1" customWidth="1"/>
    <col min="3080" max="3080" width="11.85546875" customWidth="1"/>
    <col min="3081" max="3081" width="11.7109375" customWidth="1"/>
    <col min="3082" max="3082" width="14.28515625" customWidth="1"/>
    <col min="3083" max="3083" width="9.42578125" bestFit="1" customWidth="1"/>
    <col min="3084" max="3084" width="11.140625" customWidth="1"/>
    <col min="3085" max="3085" width="7.7109375" customWidth="1"/>
    <col min="3086" max="3086" width="10.5703125" bestFit="1" customWidth="1"/>
    <col min="3329" max="3329" width="35.42578125" customWidth="1"/>
    <col min="3330" max="3330" width="10.140625" customWidth="1"/>
    <col min="3331" max="3331" width="11.140625" customWidth="1"/>
    <col min="3332" max="3332" width="12.42578125" customWidth="1"/>
    <col min="3333" max="3333" width="11.85546875" customWidth="1"/>
    <col min="3334" max="3334" width="12.42578125" customWidth="1"/>
    <col min="3335" max="3335" width="11.42578125" bestFit="1" customWidth="1"/>
    <col min="3336" max="3336" width="11.85546875" customWidth="1"/>
    <col min="3337" max="3337" width="11.7109375" customWidth="1"/>
    <col min="3338" max="3338" width="14.28515625" customWidth="1"/>
    <col min="3339" max="3339" width="9.42578125" bestFit="1" customWidth="1"/>
    <col min="3340" max="3340" width="11.140625" customWidth="1"/>
    <col min="3341" max="3341" width="7.7109375" customWidth="1"/>
    <col min="3342" max="3342" width="10.5703125" bestFit="1" customWidth="1"/>
    <col min="3585" max="3585" width="35.42578125" customWidth="1"/>
    <col min="3586" max="3586" width="10.140625" customWidth="1"/>
    <col min="3587" max="3587" width="11.140625" customWidth="1"/>
    <col min="3588" max="3588" width="12.42578125" customWidth="1"/>
    <col min="3589" max="3589" width="11.85546875" customWidth="1"/>
    <col min="3590" max="3590" width="12.42578125" customWidth="1"/>
    <col min="3591" max="3591" width="11.42578125" bestFit="1" customWidth="1"/>
    <col min="3592" max="3592" width="11.85546875" customWidth="1"/>
    <col min="3593" max="3593" width="11.7109375" customWidth="1"/>
    <col min="3594" max="3594" width="14.28515625" customWidth="1"/>
    <col min="3595" max="3595" width="9.42578125" bestFit="1" customWidth="1"/>
    <col min="3596" max="3596" width="11.140625" customWidth="1"/>
    <col min="3597" max="3597" width="7.7109375" customWidth="1"/>
    <col min="3598" max="3598" width="10.5703125" bestFit="1" customWidth="1"/>
    <col min="3841" max="3841" width="35.42578125" customWidth="1"/>
    <col min="3842" max="3842" width="10.140625" customWidth="1"/>
    <col min="3843" max="3843" width="11.140625" customWidth="1"/>
    <col min="3844" max="3844" width="12.42578125" customWidth="1"/>
    <col min="3845" max="3845" width="11.85546875" customWidth="1"/>
    <col min="3846" max="3846" width="12.42578125" customWidth="1"/>
    <col min="3847" max="3847" width="11.42578125" bestFit="1" customWidth="1"/>
    <col min="3848" max="3848" width="11.85546875" customWidth="1"/>
    <col min="3849" max="3849" width="11.7109375" customWidth="1"/>
    <col min="3850" max="3850" width="14.28515625" customWidth="1"/>
    <col min="3851" max="3851" width="9.42578125" bestFit="1" customWidth="1"/>
    <col min="3852" max="3852" width="11.140625" customWidth="1"/>
    <col min="3853" max="3853" width="7.7109375" customWidth="1"/>
    <col min="3854" max="3854" width="10.5703125" bestFit="1" customWidth="1"/>
    <col min="4097" max="4097" width="35.42578125" customWidth="1"/>
    <col min="4098" max="4098" width="10.140625" customWidth="1"/>
    <col min="4099" max="4099" width="11.140625" customWidth="1"/>
    <col min="4100" max="4100" width="12.42578125" customWidth="1"/>
    <col min="4101" max="4101" width="11.85546875" customWidth="1"/>
    <col min="4102" max="4102" width="12.42578125" customWidth="1"/>
    <col min="4103" max="4103" width="11.42578125" bestFit="1" customWidth="1"/>
    <col min="4104" max="4104" width="11.85546875" customWidth="1"/>
    <col min="4105" max="4105" width="11.7109375" customWidth="1"/>
    <col min="4106" max="4106" width="14.28515625" customWidth="1"/>
    <col min="4107" max="4107" width="9.42578125" bestFit="1" customWidth="1"/>
    <col min="4108" max="4108" width="11.140625" customWidth="1"/>
    <col min="4109" max="4109" width="7.7109375" customWidth="1"/>
    <col min="4110" max="4110" width="10.5703125" bestFit="1" customWidth="1"/>
    <col min="4353" max="4353" width="35.42578125" customWidth="1"/>
    <col min="4354" max="4354" width="10.140625" customWidth="1"/>
    <col min="4355" max="4355" width="11.140625" customWidth="1"/>
    <col min="4356" max="4356" width="12.42578125" customWidth="1"/>
    <col min="4357" max="4357" width="11.85546875" customWidth="1"/>
    <col min="4358" max="4358" width="12.42578125" customWidth="1"/>
    <col min="4359" max="4359" width="11.42578125" bestFit="1" customWidth="1"/>
    <col min="4360" max="4360" width="11.85546875" customWidth="1"/>
    <col min="4361" max="4361" width="11.7109375" customWidth="1"/>
    <col min="4362" max="4362" width="14.28515625" customWidth="1"/>
    <col min="4363" max="4363" width="9.42578125" bestFit="1" customWidth="1"/>
    <col min="4364" max="4364" width="11.140625" customWidth="1"/>
    <col min="4365" max="4365" width="7.7109375" customWidth="1"/>
    <col min="4366" max="4366" width="10.5703125" bestFit="1" customWidth="1"/>
    <col min="4609" max="4609" width="35.42578125" customWidth="1"/>
    <col min="4610" max="4610" width="10.140625" customWidth="1"/>
    <col min="4611" max="4611" width="11.140625" customWidth="1"/>
    <col min="4612" max="4612" width="12.42578125" customWidth="1"/>
    <col min="4613" max="4613" width="11.85546875" customWidth="1"/>
    <col min="4614" max="4614" width="12.42578125" customWidth="1"/>
    <col min="4615" max="4615" width="11.42578125" bestFit="1" customWidth="1"/>
    <col min="4616" max="4616" width="11.85546875" customWidth="1"/>
    <col min="4617" max="4617" width="11.7109375" customWidth="1"/>
    <col min="4618" max="4618" width="14.28515625" customWidth="1"/>
    <col min="4619" max="4619" width="9.42578125" bestFit="1" customWidth="1"/>
    <col min="4620" max="4620" width="11.140625" customWidth="1"/>
    <col min="4621" max="4621" width="7.7109375" customWidth="1"/>
    <col min="4622" max="4622" width="10.5703125" bestFit="1" customWidth="1"/>
    <col min="4865" max="4865" width="35.42578125" customWidth="1"/>
    <col min="4866" max="4866" width="10.140625" customWidth="1"/>
    <col min="4867" max="4867" width="11.140625" customWidth="1"/>
    <col min="4868" max="4868" width="12.42578125" customWidth="1"/>
    <col min="4869" max="4869" width="11.85546875" customWidth="1"/>
    <col min="4870" max="4870" width="12.42578125" customWidth="1"/>
    <col min="4871" max="4871" width="11.42578125" bestFit="1" customWidth="1"/>
    <col min="4872" max="4872" width="11.85546875" customWidth="1"/>
    <col min="4873" max="4873" width="11.7109375" customWidth="1"/>
    <col min="4874" max="4874" width="14.28515625" customWidth="1"/>
    <col min="4875" max="4875" width="9.42578125" bestFit="1" customWidth="1"/>
    <col min="4876" max="4876" width="11.140625" customWidth="1"/>
    <col min="4877" max="4877" width="7.7109375" customWidth="1"/>
    <col min="4878" max="4878" width="10.5703125" bestFit="1" customWidth="1"/>
    <col min="5121" max="5121" width="35.42578125" customWidth="1"/>
    <col min="5122" max="5122" width="10.140625" customWidth="1"/>
    <col min="5123" max="5123" width="11.140625" customWidth="1"/>
    <col min="5124" max="5124" width="12.42578125" customWidth="1"/>
    <col min="5125" max="5125" width="11.85546875" customWidth="1"/>
    <col min="5126" max="5126" width="12.42578125" customWidth="1"/>
    <col min="5127" max="5127" width="11.42578125" bestFit="1" customWidth="1"/>
    <col min="5128" max="5128" width="11.85546875" customWidth="1"/>
    <col min="5129" max="5129" width="11.7109375" customWidth="1"/>
    <col min="5130" max="5130" width="14.28515625" customWidth="1"/>
    <col min="5131" max="5131" width="9.42578125" bestFit="1" customWidth="1"/>
    <col min="5132" max="5132" width="11.140625" customWidth="1"/>
    <col min="5133" max="5133" width="7.7109375" customWidth="1"/>
    <col min="5134" max="5134" width="10.5703125" bestFit="1" customWidth="1"/>
    <col min="5377" max="5377" width="35.42578125" customWidth="1"/>
    <col min="5378" max="5378" width="10.140625" customWidth="1"/>
    <col min="5379" max="5379" width="11.140625" customWidth="1"/>
    <col min="5380" max="5380" width="12.42578125" customWidth="1"/>
    <col min="5381" max="5381" width="11.85546875" customWidth="1"/>
    <col min="5382" max="5382" width="12.42578125" customWidth="1"/>
    <col min="5383" max="5383" width="11.42578125" bestFit="1" customWidth="1"/>
    <col min="5384" max="5384" width="11.85546875" customWidth="1"/>
    <col min="5385" max="5385" width="11.7109375" customWidth="1"/>
    <col min="5386" max="5386" width="14.28515625" customWidth="1"/>
    <col min="5387" max="5387" width="9.42578125" bestFit="1" customWidth="1"/>
    <col min="5388" max="5388" width="11.140625" customWidth="1"/>
    <col min="5389" max="5389" width="7.7109375" customWidth="1"/>
    <col min="5390" max="5390" width="10.5703125" bestFit="1" customWidth="1"/>
    <col min="5633" max="5633" width="35.42578125" customWidth="1"/>
    <col min="5634" max="5634" width="10.140625" customWidth="1"/>
    <col min="5635" max="5635" width="11.140625" customWidth="1"/>
    <col min="5636" max="5636" width="12.42578125" customWidth="1"/>
    <col min="5637" max="5637" width="11.85546875" customWidth="1"/>
    <col min="5638" max="5638" width="12.42578125" customWidth="1"/>
    <col min="5639" max="5639" width="11.42578125" bestFit="1" customWidth="1"/>
    <col min="5640" max="5640" width="11.85546875" customWidth="1"/>
    <col min="5641" max="5641" width="11.7109375" customWidth="1"/>
    <col min="5642" max="5642" width="14.28515625" customWidth="1"/>
    <col min="5643" max="5643" width="9.42578125" bestFit="1" customWidth="1"/>
    <col min="5644" max="5644" width="11.140625" customWidth="1"/>
    <col min="5645" max="5645" width="7.7109375" customWidth="1"/>
    <col min="5646" max="5646" width="10.5703125" bestFit="1" customWidth="1"/>
    <col min="5889" max="5889" width="35.42578125" customWidth="1"/>
    <col min="5890" max="5890" width="10.140625" customWidth="1"/>
    <col min="5891" max="5891" width="11.140625" customWidth="1"/>
    <col min="5892" max="5892" width="12.42578125" customWidth="1"/>
    <col min="5893" max="5893" width="11.85546875" customWidth="1"/>
    <col min="5894" max="5894" width="12.42578125" customWidth="1"/>
    <col min="5895" max="5895" width="11.42578125" bestFit="1" customWidth="1"/>
    <col min="5896" max="5896" width="11.85546875" customWidth="1"/>
    <col min="5897" max="5897" width="11.7109375" customWidth="1"/>
    <col min="5898" max="5898" width="14.28515625" customWidth="1"/>
    <col min="5899" max="5899" width="9.42578125" bestFit="1" customWidth="1"/>
    <col min="5900" max="5900" width="11.140625" customWidth="1"/>
    <col min="5901" max="5901" width="7.7109375" customWidth="1"/>
    <col min="5902" max="5902" width="10.5703125" bestFit="1" customWidth="1"/>
    <col min="6145" max="6145" width="35.42578125" customWidth="1"/>
    <col min="6146" max="6146" width="10.140625" customWidth="1"/>
    <col min="6147" max="6147" width="11.140625" customWidth="1"/>
    <col min="6148" max="6148" width="12.42578125" customWidth="1"/>
    <col min="6149" max="6149" width="11.85546875" customWidth="1"/>
    <col min="6150" max="6150" width="12.42578125" customWidth="1"/>
    <col min="6151" max="6151" width="11.42578125" bestFit="1" customWidth="1"/>
    <col min="6152" max="6152" width="11.85546875" customWidth="1"/>
    <col min="6153" max="6153" width="11.7109375" customWidth="1"/>
    <col min="6154" max="6154" width="14.28515625" customWidth="1"/>
    <col min="6155" max="6155" width="9.42578125" bestFit="1" customWidth="1"/>
    <col min="6156" max="6156" width="11.140625" customWidth="1"/>
    <col min="6157" max="6157" width="7.7109375" customWidth="1"/>
    <col min="6158" max="6158" width="10.5703125" bestFit="1" customWidth="1"/>
    <col min="6401" max="6401" width="35.42578125" customWidth="1"/>
    <col min="6402" max="6402" width="10.140625" customWidth="1"/>
    <col min="6403" max="6403" width="11.140625" customWidth="1"/>
    <col min="6404" max="6404" width="12.42578125" customWidth="1"/>
    <col min="6405" max="6405" width="11.85546875" customWidth="1"/>
    <col min="6406" max="6406" width="12.42578125" customWidth="1"/>
    <col min="6407" max="6407" width="11.42578125" bestFit="1" customWidth="1"/>
    <col min="6408" max="6408" width="11.85546875" customWidth="1"/>
    <col min="6409" max="6409" width="11.7109375" customWidth="1"/>
    <col min="6410" max="6410" width="14.28515625" customWidth="1"/>
    <col min="6411" max="6411" width="9.42578125" bestFit="1" customWidth="1"/>
    <col min="6412" max="6412" width="11.140625" customWidth="1"/>
    <col min="6413" max="6413" width="7.7109375" customWidth="1"/>
    <col min="6414" max="6414" width="10.5703125" bestFit="1" customWidth="1"/>
    <col min="6657" max="6657" width="35.42578125" customWidth="1"/>
    <col min="6658" max="6658" width="10.140625" customWidth="1"/>
    <col min="6659" max="6659" width="11.140625" customWidth="1"/>
    <col min="6660" max="6660" width="12.42578125" customWidth="1"/>
    <col min="6661" max="6661" width="11.85546875" customWidth="1"/>
    <col min="6662" max="6662" width="12.42578125" customWidth="1"/>
    <col min="6663" max="6663" width="11.42578125" bestFit="1" customWidth="1"/>
    <col min="6664" max="6664" width="11.85546875" customWidth="1"/>
    <col min="6665" max="6665" width="11.7109375" customWidth="1"/>
    <col min="6666" max="6666" width="14.28515625" customWidth="1"/>
    <col min="6667" max="6667" width="9.42578125" bestFit="1" customWidth="1"/>
    <col min="6668" max="6668" width="11.140625" customWidth="1"/>
    <col min="6669" max="6669" width="7.7109375" customWidth="1"/>
    <col min="6670" max="6670" width="10.5703125" bestFit="1" customWidth="1"/>
    <col min="6913" max="6913" width="35.42578125" customWidth="1"/>
    <col min="6914" max="6914" width="10.140625" customWidth="1"/>
    <col min="6915" max="6915" width="11.140625" customWidth="1"/>
    <col min="6916" max="6916" width="12.42578125" customWidth="1"/>
    <col min="6917" max="6917" width="11.85546875" customWidth="1"/>
    <col min="6918" max="6918" width="12.42578125" customWidth="1"/>
    <col min="6919" max="6919" width="11.42578125" bestFit="1" customWidth="1"/>
    <col min="6920" max="6920" width="11.85546875" customWidth="1"/>
    <col min="6921" max="6921" width="11.7109375" customWidth="1"/>
    <col min="6922" max="6922" width="14.28515625" customWidth="1"/>
    <col min="6923" max="6923" width="9.42578125" bestFit="1" customWidth="1"/>
    <col min="6924" max="6924" width="11.140625" customWidth="1"/>
    <col min="6925" max="6925" width="7.7109375" customWidth="1"/>
    <col min="6926" max="6926" width="10.5703125" bestFit="1" customWidth="1"/>
    <col min="7169" max="7169" width="35.42578125" customWidth="1"/>
    <col min="7170" max="7170" width="10.140625" customWidth="1"/>
    <col min="7171" max="7171" width="11.140625" customWidth="1"/>
    <col min="7172" max="7172" width="12.42578125" customWidth="1"/>
    <col min="7173" max="7173" width="11.85546875" customWidth="1"/>
    <col min="7174" max="7174" width="12.42578125" customWidth="1"/>
    <col min="7175" max="7175" width="11.42578125" bestFit="1" customWidth="1"/>
    <col min="7176" max="7176" width="11.85546875" customWidth="1"/>
    <col min="7177" max="7177" width="11.7109375" customWidth="1"/>
    <col min="7178" max="7178" width="14.28515625" customWidth="1"/>
    <col min="7179" max="7179" width="9.42578125" bestFit="1" customWidth="1"/>
    <col min="7180" max="7180" width="11.140625" customWidth="1"/>
    <col min="7181" max="7181" width="7.7109375" customWidth="1"/>
    <col min="7182" max="7182" width="10.5703125" bestFit="1" customWidth="1"/>
    <col min="7425" max="7425" width="35.42578125" customWidth="1"/>
    <col min="7426" max="7426" width="10.140625" customWidth="1"/>
    <col min="7427" max="7427" width="11.140625" customWidth="1"/>
    <col min="7428" max="7428" width="12.42578125" customWidth="1"/>
    <col min="7429" max="7429" width="11.85546875" customWidth="1"/>
    <col min="7430" max="7430" width="12.42578125" customWidth="1"/>
    <col min="7431" max="7431" width="11.42578125" bestFit="1" customWidth="1"/>
    <col min="7432" max="7432" width="11.85546875" customWidth="1"/>
    <col min="7433" max="7433" width="11.7109375" customWidth="1"/>
    <col min="7434" max="7434" width="14.28515625" customWidth="1"/>
    <col min="7435" max="7435" width="9.42578125" bestFit="1" customWidth="1"/>
    <col min="7436" max="7436" width="11.140625" customWidth="1"/>
    <col min="7437" max="7437" width="7.7109375" customWidth="1"/>
    <col min="7438" max="7438" width="10.5703125" bestFit="1" customWidth="1"/>
    <col min="7681" max="7681" width="35.42578125" customWidth="1"/>
    <col min="7682" max="7682" width="10.140625" customWidth="1"/>
    <col min="7683" max="7683" width="11.140625" customWidth="1"/>
    <col min="7684" max="7684" width="12.42578125" customWidth="1"/>
    <col min="7685" max="7685" width="11.85546875" customWidth="1"/>
    <col min="7686" max="7686" width="12.42578125" customWidth="1"/>
    <col min="7687" max="7687" width="11.42578125" bestFit="1" customWidth="1"/>
    <col min="7688" max="7688" width="11.85546875" customWidth="1"/>
    <col min="7689" max="7689" width="11.7109375" customWidth="1"/>
    <col min="7690" max="7690" width="14.28515625" customWidth="1"/>
    <col min="7691" max="7691" width="9.42578125" bestFit="1" customWidth="1"/>
    <col min="7692" max="7692" width="11.140625" customWidth="1"/>
    <col min="7693" max="7693" width="7.7109375" customWidth="1"/>
    <col min="7694" max="7694" width="10.5703125" bestFit="1" customWidth="1"/>
    <col min="7937" max="7937" width="35.42578125" customWidth="1"/>
    <col min="7938" max="7938" width="10.140625" customWidth="1"/>
    <col min="7939" max="7939" width="11.140625" customWidth="1"/>
    <col min="7940" max="7940" width="12.42578125" customWidth="1"/>
    <col min="7941" max="7941" width="11.85546875" customWidth="1"/>
    <col min="7942" max="7942" width="12.42578125" customWidth="1"/>
    <col min="7943" max="7943" width="11.42578125" bestFit="1" customWidth="1"/>
    <col min="7944" max="7944" width="11.85546875" customWidth="1"/>
    <col min="7945" max="7945" width="11.7109375" customWidth="1"/>
    <col min="7946" max="7946" width="14.28515625" customWidth="1"/>
    <col min="7947" max="7947" width="9.42578125" bestFit="1" customWidth="1"/>
    <col min="7948" max="7948" width="11.140625" customWidth="1"/>
    <col min="7949" max="7949" width="7.7109375" customWidth="1"/>
    <col min="7950" max="7950" width="10.5703125" bestFit="1" customWidth="1"/>
    <col min="8193" max="8193" width="35.42578125" customWidth="1"/>
    <col min="8194" max="8194" width="10.140625" customWidth="1"/>
    <col min="8195" max="8195" width="11.140625" customWidth="1"/>
    <col min="8196" max="8196" width="12.42578125" customWidth="1"/>
    <col min="8197" max="8197" width="11.85546875" customWidth="1"/>
    <col min="8198" max="8198" width="12.42578125" customWidth="1"/>
    <col min="8199" max="8199" width="11.42578125" bestFit="1" customWidth="1"/>
    <col min="8200" max="8200" width="11.85546875" customWidth="1"/>
    <col min="8201" max="8201" width="11.7109375" customWidth="1"/>
    <col min="8202" max="8202" width="14.28515625" customWidth="1"/>
    <col min="8203" max="8203" width="9.42578125" bestFit="1" customWidth="1"/>
    <col min="8204" max="8204" width="11.140625" customWidth="1"/>
    <col min="8205" max="8205" width="7.7109375" customWidth="1"/>
    <col min="8206" max="8206" width="10.5703125" bestFit="1" customWidth="1"/>
    <col min="8449" max="8449" width="35.42578125" customWidth="1"/>
    <col min="8450" max="8450" width="10.140625" customWidth="1"/>
    <col min="8451" max="8451" width="11.140625" customWidth="1"/>
    <col min="8452" max="8452" width="12.42578125" customWidth="1"/>
    <col min="8453" max="8453" width="11.85546875" customWidth="1"/>
    <col min="8454" max="8454" width="12.42578125" customWidth="1"/>
    <col min="8455" max="8455" width="11.42578125" bestFit="1" customWidth="1"/>
    <col min="8456" max="8456" width="11.85546875" customWidth="1"/>
    <col min="8457" max="8457" width="11.7109375" customWidth="1"/>
    <col min="8458" max="8458" width="14.28515625" customWidth="1"/>
    <col min="8459" max="8459" width="9.42578125" bestFit="1" customWidth="1"/>
    <col min="8460" max="8460" width="11.140625" customWidth="1"/>
    <col min="8461" max="8461" width="7.7109375" customWidth="1"/>
    <col min="8462" max="8462" width="10.5703125" bestFit="1" customWidth="1"/>
    <col min="8705" max="8705" width="35.42578125" customWidth="1"/>
    <col min="8706" max="8706" width="10.140625" customWidth="1"/>
    <col min="8707" max="8707" width="11.140625" customWidth="1"/>
    <col min="8708" max="8708" width="12.42578125" customWidth="1"/>
    <col min="8709" max="8709" width="11.85546875" customWidth="1"/>
    <col min="8710" max="8710" width="12.42578125" customWidth="1"/>
    <col min="8711" max="8711" width="11.42578125" bestFit="1" customWidth="1"/>
    <col min="8712" max="8712" width="11.85546875" customWidth="1"/>
    <col min="8713" max="8713" width="11.7109375" customWidth="1"/>
    <col min="8714" max="8714" width="14.28515625" customWidth="1"/>
    <col min="8715" max="8715" width="9.42578125" bestFit="1" customWidth="1"/>
    <col min="8716" max="8716" width="11.140625" customWidth="1"/>
    <col min="8717" max="8717" width="7.7109375" customWidth="1"/>
    <col min="8718" max="8718" width="10.5703125" bestFit="1" customWidth="1"/>
    <col min="8961" max="8961" width="35.42578125" customWidth="1"/>
    <col min="8962" max="8962" width="10.140625" customWidth="1"/>
    <col min="8963" max="8963" width="11.140625" customWidth="1"/>
    <col min="8964" max="8964" width="12.42578125" customWidth="1"/>
    <col min="8965" max="8965" width="11.85546875" customWidth="1"/>
    <col min="8966" max="8966" width="12.42578125" customWidth="1"/>
    <col min="8967" max="8967" width="11.42578125" bestFit="1" customWidth="1"/>
    <col min="8968" max="8968" width="11.85546875" customWidth="1"/>
    <col min="8969" max="8969" width="11.7109375" customWidth="1"/>
    <col min="8970" max="8970" width="14.28515625" customWidth="1"/>
    <col min="8971" max="8971" width="9.42578125" bestFit="1" customWidth="1"/>
    <col min="8972" max="8972" width="11.140625" customWidth="1"/>
    <col min="8973" max="8973" width="7.7109375" customWidth="1"/>
    <col min="8974" max="8974" width="10.5703125" bestFit="1" customWidth="1"/>
    <col min="9217" max="9217" width="35.42578125" customWidth="1"/>
    <col min="9218" max="9218" width="10.140625" customWidth="1"/>
    <col min="9219" max="9219" width="11.140625" customWidth="1"/>
    <col min="9220" max="9220" width="12.42578125" customWidth="1"/>
    <col min="9221" max="9221" width="11.85546875" customWidth="1"/>
    <col min="9222" max="9222" width="12.42578125" customWidth="1"/>
    <col min="9223" max="9223" width="11.42578125" bestFit="1" customWidth="1"/>
    <col min="9224" max="9224" width="11.85546875" customWidth="1"/>
    <col min="9225" max="9225" width="11.7109375" customWidth="1"/>
    <col min="9226" max="9226" width="14.28515625" customWidth="1"/>
    <col min="9227" max="9227" width="9.42578125" bestFit="1" customWidth="1"/>
    <col min="9228" max="9228" width="11.140625" customWidth="1"/>
    <col min="9229" max="9229" width="7.7109375" customWidth="1"/>
    <col min="9230" max="9230" width="10.5703125" bestFit="1" customWidth="1"/>
    <col min="9473" max="9473" width="35.42578125" customWidth="1"/>
    <col min="9474" max="9474" width="10.140625" customWidth="1"/>
    <col min="9475" max="9475" width="11.140625" customWidth="1"/>
    <col min="9476" max="9476" width="12.42578125" customWidth="1"/>
    <col min="9477" max="9477" width="11.85546875" customWidth="1"/>
    <col min="9478" max="9478" width="12.42578125" customWidth="1"/>
    <col min="9479" max="9479" width="11.42578125" bestFit="1" customWidth="1"/>
    <col min="9480" max="9480" width="11.85546875" customWidth="1"/>
    <col min="9481" max="9481" width="11.7109375" customWidth="1"/>
    <col min="9482" max="9482" width="14.28515625" customWidth="1"/>
    <col min="9483" max="9483" width="9.42578125" bestFit="1" customWidth="1"/>
    <col min="9484" max="9484" width="11.140625" customWidth="1"/>
    <col min="9485" max="9485" width="7.7109375" customWidth="1"/>
    <col min="9486" max="9486" width="10.5703125" bestFit="1" customWidth="1"/>
    <col min="9729" max="9729" width="35.42578125" customWidth="1"/>
    <col min="9730" max="9730" width="10.140625" customWidth="1"/>
    <col min="9731" max="9731" width="11.140625" customWidth="1"/>
    <col min="9732" max="9732" width="12.42578125" customWidth="1"/>
    <col min="9733" max="9733" width="11.85546875" customWidth="1"/>
    <col min="9734" max="9734" width="12.42578125" customWidth="1"/>
    <col min="9735" max="9735" width="11.42578125" bestFit="1" customWidth="1"/>
    <col min="9736" max="9736" width="11.85546875" customWidth="1"/>
    <col min="9737" max="9737" width="11.7109375" customWidth="1"/>
    <col min="9738" max="9738" width="14.28515625" customWidth="1"/>
    <col min="9739" max="9739" width="9.42578125" bestFit="1" customWidth="1"/>
    <col min="9740" max="9740" width="11.140625" customWidth="1"/>
    <col min="9741" max="9741" width="7.7109375" customWidth="1"/>
    <col min="9742" max="9742" width="10.5703125" bestFit="1" customWidth="1"/>
    <col min="9985" max="9985" width="35.42578125" customWidth="1"/>
    <col min="9986" max="9986" width="10.140625" customWidth="1"/>
    <col min="9987" max="9987" width="11.140625" customWidth="1"/>
    <col min="9988" max="9988" width="12.42578125" customWidth="1"/>
    <col min="9989" max="9989" width="11.85546875" customWidth="1"/>
    <col min="9990" max="9990" width="12.42578125" customWidth="1"/>
    <col min="9991" max="9991" width="11.42578125" bestFit="1" customWidth="1"/>
    <col min="9992" max="9992" width="11.85546875" customWidth="1"/>
    <col min="9993" max="9993" width="11.7109375" customWidth="1"/>
    <col min="9994" max="9994" width="14.28515625" customWidth="1"/>
    <col min="9995" max="9995" width="9.42578125" bestFit="1" customWidth="1"/>
    <col min="9996" max="9996" width="11.140625" customWidth="1"/>
    <col min="9997" max="9997" width="7.7109375" customWidth="1"/>
    <col min="9998" max="9998" width="10.5703125" bestFit="1" customWidth="1"/>
    <col min="10241" max="10241" width="35.42578125" customWidth="1"/>
    <col min="10242" max="10242" width="10.140625" customWidth="1"/>
    <col min="10243" max="10243" width="11.140625" customWidth="1"/>
    <col min="10244" max="10244" width="12.42578125" customWidth="1"/>
    <col min="10245" max="10245" width="11.85546875" customWidth="1"/>
    <col min="10246" max="10246" width="12.42578125" customWidth="1"/>
    <col min="10247" max="10247" width="11.42578125" bestFit="1" customWidth="1"/>
    <col min="10248" max="10248" width="11.85546875" customWidth="1"/>
    <col min="10249" max="10249" width="11.7109375" customWidth="1"/>
    <col min="10250" max="10250" width="14.28515625" customWidth="1"/>
    <col min="10251" max="10251" width="9.42578125" bestFit="1" customWidth="1"/>
    <col min="10252" max="10252" width="11.140625" customWidth="1"/>
    <col min="10253" max="10253" width="7.7109375" customWidth="1"/>
    <col min="10254" max="10254" width="10.5703125" bestFit="1" customWidth="1"/>
    <col min="10497" max="10497" width="35.42578125" customWidth="1"/>
    <col min="10498" max="10498" width="10.140625" customWidth="1"/>
    <col min="10499" max="10499" width="11.140625" customWidth="1"/>
    <col min="10500" max="10500" width="12.42578125" customWidth="1"/>
    <col min="10501" max="10501" width="11.85546875" customWidth="1"/>
    <col min="10502" max="10502" width="12.42578125" customWidth="1"/>
    <col min="10503" max="10503" width="11.42578125" bestFit="1" customWidth="1"/>
    <col min="10504" max="10504" width="11.85546875" customWidth="1"/>
    <col min="10505" max="10505" width="11.7109375" customWidth="1"/>
    <col min="10506" max="10506" width="14.28515625" customWidth="1"/>
    <col min="10507" max="10507" width="9.42578125" bestFit="1" customWidth="1"/>
    <col min="10508" max="10508" width="11.140625" customWidth="1"/>
    <col min="10509" max="10509" width="7.7109375" customWidth="1"/>
    <col min="10510" max="10510" width="10.5703125" bestFit="1" customWidth="1"/>
    <col min="10753" max="10753" width="35.42578125" customWidth="1"/>
    <col min="10754" max="10754" width="10.140625" customWidth="1"/>
    <col min="10755" max="10755" width="11.140625" customWidth="1"/>
    <col min="10756" max="10756" width="12.42578125" customWidth="1"/>
    <col min="10757" max="10757" width="11.85546875" customWidth="1"/>
    <col min="10758" max="10758" width="12.42578125" customWidth="1"/>
    <col min="10759" max="10759" width="11.42578125" bestFit="1" customWidth="1"/>
    <col min="10760" max="10760" width="11.85546875" customWidth="1"/>
    <col min="10761" max="10761" width="11.7109375" customWidth="1"/>
    <col min="10762" max="10762" width="14.28515625" customWidth="1"/>
    <col min="10763" max="10763" width="9.42578125" bestFit="1" customWidth="1"/>
    <col min="10764" max="10764" width="11.140625" customWidth="1"/>
    <col min="10765" max="10765" width="7.7109375" customWidth="1"/>
    <col min="10766" max="10766" width="10.5703125" bestFit="1" customWidth="1"/>
    <col min="11009" max="11009" width="35.42578125" customWidth="1"/>
    <col min="11010" max="11010" width="10.140625" customWidth="1"/>
    <col min="11011" max="11011" width="11.140625" customWidth="1"/>
    <col min="11012" max="11012" width="12.42578125" customWidth="1"/>
    <col min="11013" max="11013" width="11.85546875" customWidth="1"/>
    <col min="11014" max="11014" width="12.42578125" customWidth="1"/>
    <col min="11015" max="11015" width="11.42578125" bestFit="1" customWidth="1"/>
    <col min="11016" max="11016" width="11.85546875" customWidth="1"/>
    <col min="11017" max="11017" width="11.7109375" customWidth="1"/>
    <col min="11018" max="11018" width="14.28515625" customWidth="1"/>
    <col min="11019" max="11019" width="9.42578125" bestFit="1" customWidth="1"/>
    <col min="11020" max="11020" width="11.140625" customWidth="1"/>
    <col min="11021" max="11021" width="7.7109375" customWidth="1"/>
    <col min="11022" max="11022" width="10.5703125" bestFit="1" customWidth="1"/>
    <col min="11265" max="11265" width="35.42578125" customWidth="1"/>
    <col min="11266" max="11266" width="10.140625" customWidth="1"/>
    <col min="11267" max="11267" width="11.140625" customWidth="1"/>
    <col min="11268" max="11268" width="12.42578125" customWidth="1"/>
    <col min="11269" max="11269" width="11.85546875" customWidth="1"/>
    <col min="11270" max="11270" width="12.42578125" customWidth="1"/>
    <col min="11271" max="11271" width="11.42578125" bestFit="1" customWidth="1"/>
    <col min="11272" max="11272" width="11.85546875" customWidth="1"/>
    <col min="11273" max="11273" width="11.7109375" customWidth="1"/>
    <col min="11274" max="11274" width="14.28515625" customWidth="1"/>
    <col min="11275" max="11275" width="9.42578125" bestFit="1" customWidth="1"/>
    <col min="11276" max="11276" width="11.140625" customWidth="1"/>
    <col min="11277" max="11277" width="7.7109375" customWidth="1"/>
    <col min="11278" max="11278" width="10.5703125" bestFit="1" customWidth="1"/>
    <col min="11521" max="11521" width="35.42578125" customWidth="1"/>
    <col min="11522" max="11522" width="10.140625" customWidth="1"/>
    <col min="11523" max="11523" width="11.140625" customWidth="1"/>
    <col min="11524" max="11524" width="12.42578125" customWidth="1"/>
    <col min="11525" max="11525" width="11.85546875" customWidth="1"/>
    <col min="11526" max="11526" width="12.42578125" customWidth="1"/>
    <col min="11527" max="11527" width="11.42578125" bestFit="1" customWidth="1"/>
    <col min="11528" max="11528" width="11.85546875" customWidth="1"/>
    <col min="11529" max="11529" width="11.7109375" customWidth="1"/>
    <col min="11530" max="11530" width="14.28515625" customWidth="1"/>
    <col min="11531" max="11531" width="9.42578125" bestFit="1" customWidth="1"/>
    <col min="11532" max="11532" width="11.140625" customWidth="1"/>
    <col min="11533" max="11533" width="7.7109375" customWidth="1"/>
    <col min="11534" max="11534" width="10.5703125" bestFit="1" customWidth="1"/>
    <col min="11777" max="11777" width="35.42578125" customWidth="1"/>
    <col min="11778" max="11778" width="10.140625" customWidth="1"/>
    <col min="11779" max="11779" width="11.140625" customWidth="1"/>
    <col min="11780" max="11780" width="12.42578125" customWidth="1"/>
    <col min="11781" max="11781" width="11.85546875" customWidth="1"/>
    <col min="11782" max="11782" width="12.42578125" customWidth="1"/>
    <col min="11783" max="11783" width="11.42578125" bestFit="1" customWidth="1"/>
    <col min="11784" max="11784" width="11.85546875" customWidth="1"/>
    <col min="11785" max="11785" width="11.7109375" customWidth="1"/>
    <col min="11786" max="11786" width="14.28515625" customWidth="1"/>
    <col min="11787" max="11787" width="9.42578125" bestFit="1" customWidth="1"/>
    <col min="11788" max="11788" width="11.140625" customWidth="1"/>
    <col min="11789" max="11789" width="7.7109375" customWidth="1"/>
    <col min="11790" max="11790" width="10.5703125" bestFit="1" customWidth="1"/>
    <col min="12033" max="12033" width="35.42578125" customWidth="1"/>
    <col min="12034" max="12034" width="10.140625" customWidth="1"/>
    <col min="12035" max="12035" width="11.140625" customWidth="1"/>
    <col min="12036" max="12036" width="12.42578125" customWidth="1"/>
    <col min="12037" max="12037" width="11.85546875" customWidth="1"/>
    <col min="12038" max="12038" width="12.42578125" customWidth="1"/>
    <col min="12039" max="12039" width="11.42578125" bestFit="1" customWidth="1"/>
    <col min="12040" max="12040" width="11.85546875" customWidth="1"/>
    <col min="12041" max="12041" width="11.7109375" customWidth="1"/>
    <col min="12042" max="12042" width="14.28515625" customWidth="1"/>
    <col min="12043" max="12043" width="9.42578125" bestFit="1" customWidth="1"/>
    <col min="12044" max="12044" width="11.140625" customWidth="1"/>
    <col min="12045" max="12045" width="7.7109375" customWidth="1"/>
    <col min="12046" max="12046" width="10.5703125" bestFit="1" customWidth="1"/>
    <col min="12289" max="12289" width="35.42578125" customWidth="1"/>
    <col min="12290" max="12290" width="10.140625" customWidth="1"/>
    <col min="12291" max="12291" width="11.140625" customWidth="1"/>
    <col min="12292" max="12292" width="12.42578125" customWidth="1"/>
    <col min="12293" max="12293" width="11.85546875" customWidth="1"/>
    <col min="12294" max="12294" width="12.42578125" customWidth="1"/>
    <col min="12295" max="12295" width="11.42578125" bestFit="1" customWidth="1"/>
    <col min="12296" max="12296" width="11.85546875" customWidth="1"/>
    <col min="12297" max="12297" width="11.7109375" customWidth="1"/>
    <col min="12298" max="12298" width="14.28515625" customWidth="1"/>
    <col min="12299" max="12299" width="9.42578125" bestFit="1" customWidth="1"/>
    <col min="12300" max="12300" width="11.140625" customWidth="1"/>
    <col min="12301" max="12301" width="7.7109375" customWidth="1"/>
    <col min="12302" max="12302" width="10.5703125" bestFit="1" customWidth="1"/>
    <col min="12545" max="12545" width="35.42578125" customWidth="1"/>
    <col min="12546" max="12546" width="10.140625" customWidth="1"/>
    <col min="12547" max="12547" width="11.140625" customWidth="1"/>
    <col min="12548" max="12548" width="12.42578125" customWidth="1"/>
    <col min="12549" max="12549" width="11.85546875" customWidth="1"/>
    <col min="12550" max="12550" width="12.42578125" customWidth="1"/>
    <col min="12551" max="12551" width="11.42578125" bestFit="1" customWidth="1"/>
    <col min="12552" max="12552" width="11.85546875" customWidth="1"/>
    <col min="12553" max="12553" width="11.7109375" customWidth="1"/>
    <col min="12554" max="12554" width="14.28515625" customWidth="1"/>
    <col min="12555" max="12555" width="9.42578125" bestFit="1" customWidth="1"/>
    <col min="12556" max="12556" width="11.140625" customWidth="1"/>
    <col min="12557" max="12557" width="7.7109375" customWidth="1"/>
    <col min="12558" max="12558" width="10.5703125" bestFit="1" customWidth="1"/>
    <col min="12801" max="12801" width="35.42578125" customWidth="1"/>
    <col min="12802" max="12802" width="10.140625" customWidth="1"/>
    <col min="12803" max="12803" width="11.140625" customWidth="1"/>
    <col min="12804" max="12804" width="12.42578125" customWidth="1"/>
    <col min="12805" max="12805" width="11.85546875" customWidth="1"/>
    <col min="12806" max="12806" width="12.42578125" customWidth="1"/>
    <col min="12807" max="12807" width="11.42578125" bestFit="1" customWidth="1"/>
    <col min="12808" max="12808" width="11.85546875" customWidth="1"/>
    <col min="12809" max="12809" width="11.7109375" customWidth="1"/>
    <col min="12810" max="12810" width="14.28515625" customWidth="1"/>
    <col min="12811" max="12811" width="9.42578125" bestFit="1" customWidth="1"/>
    <col min="12812" max="12812" width="11.140625" customWidth="1"/>
    <col min="12813" max="12813" width="7.7109375" customWidth="1"/>
    <col min="12814" max="12814" width="10.5703125" bestFit="1" customWidth="1"/>
    <col min="13057" max="13057" width="35.42578125" customWidth="1"/>
    <col min="13058" max="13058" width="10.140625" customWidth="1"/>
    <col min="13059" max="13059" width="11.140625" customWidth="1"/>
    <col min="13060" max="13060" width="12.42578125" customWidth="1"/>
    <col min="13061" max="13061" width="11.85546875" customWidth="1"/>
    <col min="13062" max="13062" width="12.42578125" customWidth="1"/>
    <col min="13063" max="13063" width="11.42578125" bestFit="1" customWidth="1"/>
    <col min="13064" max="13064" width="11.85546875" customWidth="1"/>
    <col min="13065" max="13065" width="11.7109375" customWidth="1"/>
    <col min="13066" max="13066" width="14.28515625" customWidth="1"/>
    <col min="13067" max="13067" width="9.42578125" bestFit="1" customWidth="1"/>
    <col min="13068" max="13068" width="11.140625" customWidth="1"/>
    <col min="13069" max="13069" width="7.7109375" customWidth="1"/>
    <col min="13070" max="13070" width="10.5703125" bestFit="1" customWidth="1"/>
    <col min="13313" max="13313" width="35.42578125" customWidth="1"/>
    <col min="13314" max="13314" width="10.140625" customWidth="1"/>
    <col min="13315" max="13315" width="11.140625" customWidth="1"/>
    <col min="13316" max="13316" width="12.42578125" customWidth="1"/>
    <col min="13317" max="13317" width="11.85546875" customWidth="1"/>
    <col min="13318" max="13318" width="12.42578125" customWidth="1"/>
    <col min="13319" max="13319" width="11.42578125" bestFit="1" customWidth="1"/>
    <col min="13320" max="13320" width="11.85546875" customWidth="1"/>
    <col min="13321" max="13321" width="11.7109375" customWidth="1"/>
    <col min="13322" max="13322" width="14.28515625" customWidth="1"/>
    <col min="13323" max="13323" width="9.42578125" bestFit="1" customWidth="1"/>
    <col min="13324" max="13324" width="11.140625" customWidth="1"/>
    <col min="13325" max="13325" width="7.7109375" customWidth="1"/>
    <col min="13326" max="13326" width="10.5703125" bestFit="1" customWidth="1"/>
    <col min="13569" max="13569" width="35.42578125" customWidth="1"/>
    <col min="13570" max="13570" width="10.140625" customWidth="1"/>
    <col min="13571" max="13571" width="11.140625" customWidth="1"/>
    <col min="13572" max="13572" width="12.42578125" customWidth="1"/>
    <col min="13573" max="13573" width="11.85546875" customWidth="1"/>
    <col min="13574" max="13574" width="12.42578125" customWidth="1"/>
    <col min="13575" max="13575" width="11.42578125" bestFit="1" customWidth="1"/>
    <col min="13576" max="13576" width="11.85546875" customWidth="1"/>
    <col min="13577" max="13577" width="11.7109375" customWidth="1"/>
    <col min="13578" max="13578" width="14.28515625" customWidth="1"/>
    <col min="13579" max="13579" width="9.42578125" bestFit="1" customWidth="1"/>
    <col min="13580" max="13580" width="11.140625" customWidth="1"/>
    <col min="13581" max="13581" width="7.7109375" customWidth="1"/>
    <col min="13582" max="13582" width="10.5703125" bestFit="1" customWidth="1"/>
    <col min="13825" max="13825" width="35.42578125" customWidth="1"/>
    <col min="13826" max="13826" width="10.140625" customWidth="1"/>
    <col min="13827" max="13827" width="11.140625" customWidth="1"/>
    <col min="13828" max="13828" width="12.42578125" customWidth="1"/>
    <col min="13829" max="13829" width="11.85546875" customWidth="1"/>
    <col min="13830" max="13830" width="12.42578125" customWidth="1"/>
    <col min="13831" max="13831" width="11.42578125" bestFit="1" customWidth="1"/>
    <col min="13832" max="13832" width="11.85546875" customWidth="1"/>
    <col min="13833" max="13833" width="11.7109375" customWidth="1"/>
    <col min="13834" max="13834" width="14.28515625" customWidth="1"/>
    <col min="13835" max="13835" width="9.42578125" bestFit="1" customWidth="1"/>
    <col min="13836" max="13836" width="11.140625" customWidth="1"/>
    <col min="13837" max="13837" width="7.7109375" customWidth="1"/>
    <col min="13838" max="13838" width="10.5703125" bestFit="1" customWidth="1"/>
    <col min="14081" max="14081" width="35.42578125" customWidth="1"/>
    <col min="14082" max="14082" width="10.140625" customWidth="1"/>
    <col min="14083" max="14083" width="11.140625" customWidth="1"/>
    <col min="14084" max="14084" width="12.42578125" customWidth="1"/>
    <col min="14085" max="14085" width="11.85546875" customWidth="1"/>
    <col min="14086" max="14086" width="12.42578125" customWidth="1"/>
    <col min="14087" max="14087" width="11.42578125" bestFit="1" customWidth="1"/>
    <col min="14088" max="14088" width="11.85546875" customWidth="1"/>
    <col min="14089" max="14089" width="11.7109375" customWidth="1"/>
    <col min="14090" max="14090" width="14.28515625" customWidth="1"/>
    <col min="14091" max="14091" width="9.42578125" bestFit="1" customWidth="1"/>
    <col min="14092" max="14092" width="11.140625" customWidth="1"/>
    <col min="14093" max="14093" width="7.7109375" customWidth="1"/>
    <col min="14094" max="14094" width="10.5703125" bestFit="1" customWidth="1"/>
    <col min="14337" max="14337" width="35.42578125" customWidth="1"/>
    <col min="14338" max="14338" width="10.140625" customWidth="1"/>
    <col min="14339" max="14339" width="11.140625" customWidth="1"/>
    <col min="14340" max="14340" width="12.42578125" customWidth="1"/>
    <col min="14341" max="14341" width="11.85546875" customWidth="1"/>
    <col min="14342" max="14342" width="12.42578125" customWidth="1"/>
    <col min="14343" max="14343" width="11.42578125" bestFit="1" customWidth="1"/>
    <col min="14344" max="14344" width="11.85546875" customWidth="1"/>
    <col min="14345" max="14345" width="11.7109375" customWidth="1"/>
    <col min="14346" max="14346" width="14.28515625" customWidth="1"/>
    <col min="14347" max="14347" width="9.42578125" bestFit="1" customWidth="1"/>
    <col min="14348" max="14348" width="11.140625" customWidth="1"/>
    <col min="14349" max="14349" width="7.7109375" customWidth="1"/>
    <col min="14350" max="14350" width="10.5703125" bestFit="1" customWidth="1"/>
    <col min="14593" max="14593" width="35.42578125" customWidth="1"/>
    <col min="14594" max="14594" width="10.140625" customWidth="1"/>
    <col min="14595" max="14595" width="11.140625" customWidth="1"/>
    <col min="14596" max="14596" width="12.42578125" customWidth="1"/>
    <col min="14597" max="14597" width="11.85546875" customWidth="1"/>
    <col min="14598" max="14598" width="12.42578125" customWidth="1"/>
    <col min="14599" max="14599" width="11.42578125" bestFit="1" customWidth="1"/>
    <col min="14600" max="14600" width="11.85546875" customWidth="1"/>
    <col min="14601" max="14601" width="11.7109375" customWidth="1"/>
    <col min="14602" max="14602" width="14.28515625" customWidth="1"/>
    <col min="14603" max="14603" width="9.42578125" bestFit="1" customWidth="1"/>
    <col min="14604" max="14604" width="11.140625" customWidth="1"/>
    <col min="14605" max="14605" width="7.7109375" customWidth="1"/>
    <col min="14606" max="14606" width="10.5703125" bestFit="1" customWidth="1"/>
    <col min="14849" max="14849" width="35.42578125" customWidth="1"/>
    <col min="14850" max="14850" width="10.140625" customWidth="1"/>
    <col min="14851" max="14851" width="11.140625" customWidth="1"/>
    <col min="14852" max="14852" width="12.42578125" customWidth="1"/>
    <col min="14853" max="14853" width="11.85546875" customWidth="1"/>
    <col min="14854" max="14854" width="12.42578125" customWidth="1"/>
    <col min="14855" max="14855" width="11.42578125" bestFit="1" customWidth="1"/>
    <col min="14856" max="14856" width="11.85546875" customWidth="1"/>
    <col min="14857" max="14857" width="11.7109375" customWidth="1"/>
    <col min="14858" max="14858" width="14.28515625" customWidth="1"/>
    <col min="14859" max="14859" width="9.42578125" bestFit="1" customWidth="1"/>
    <col min="14860" max="14860" width="11.140625" customWidth="1"/>
    <col min="14861" max="14861" width="7.7109375" customWidth="1"/>
    <col min="14862" max="14862" width="10.5703125" bestFit="1" customWidth="1"/>
    <col min="15105" max="15105" width="35.42578125" customWidth="1"/>
    <col min="15106" max="15106" width="10.140625" customWidth="1"/>
    <col min="15107" max="15107" width="11.140625" customWidth="1"/>
    <col min="15108" max="15108" width="12.42578125" customWidth="1"/>
    <col min="15109" max="15109" width="11.85546875" customWidth="1"/>
    <col min="15110" max="15110" width="12.42578125" customWidth="1"/>
    <col min="15111" max="15111" width="11.42578125" bestFit="1" customWidth="1"/>
    <col min="15112" max="15112" width="11.85546875" customWidth="1"/>
    <col min="15113" max="15113" width="11.7109375" customWidth="1"/>
    <col min="15114" max="15114" width="14.28515625" customWidth="1"/>
    <col min="15115" max="15115" width="9.42578125" bestFit="1" customWidth="1"/>
    <col min="15116" max="15116" width="11.140625" customWidth="1"/>
    <col min="15117" max="15117" width="7.7109375" customWidth="1"/>
    <col min="15118" max="15118" width="10.5703125" bestFit="1" customWidth="1"/>
    <col min="15361" max="15361" width="35.42578125" customWidth="1"/>
    <col min="15362" max="15362" width="10.140625" customWidth="1"/>
    <col min="15363" max="15363" width="11.140625" customWidth="1"/>
    <col min="15364" max="15364" width="12.42578125" customWidth="1"/>
    <col min="15365" max="15365" width="11.85546875" customWidth="1"/>
    <col min="15366" max="15366" width="12.42578125" customWidth="1"/>
    <col min="15367" max="15367" width="11.42578125" bestFit="1" customWidth="1"/>
    <col min="15368" max="15368" width="11.85546875" customWidth="1"/>
    <col min="15369" max="15369" width="11.7109375" customWidth="1"/>
    <col min="15370" max="15370" width="14.28515625" customWidth="1"/>
    <col min="15371" max="15371" width="9.42578125" bestFit="1" customWidth="1"/>
    <col min="15372" max="15372" width="11.140625" customWidth="1"/>
    <col min="15373" max="15373" width="7.7109375" customWidth="1"/>
    <col min="15374" max="15374" width="10.5703125" bestFit="1" customWidth="1"/>
    <col min="15617" max="15617" width="35.42578125" customWidth="1"/>
    <col min="15618" max="15618" width="10.140625" customWidth="1"/>
    <col min="15619" max="15619" width="11.140625" customWidth="1"/>
    <col min="15620" max="15620" width="12.42578125" customWidth="1"/>
    <col min="15621" max="15621" width="11.85546875" customWidth="1"/>
    <col min="15622" max="15622" width="12.42578125" customWidth="1"/>
    <col min="15623" max="15623" width="11.42578125" bestFit="1" customWidth="1"/>
    <col min="15624" max="15624" width="11.85546875" customWidth="1"/>
    <col min="15625" max="15625" width="11.7109375" customWidth="1"/>
    <col min="15626" max="15626" width="14.28515625" customWidth="1"/>
    <col min="15627" max="15627" width="9.42578125" bestFit="1" customWidth="1"/>
    <col min="15628" max="15628" width="11.140625" customWidth="1"/>
    <col min="15629" max="15629" width="7.7109375" customWidth="1"/>
    <col min="15630" max="15630" width="10.5703125" bestFit="1" customWidth="1"/>
    <col min="15873" max="15873" width="35.42578125" customWidth="1"/>
    <col min="15874" max="15874" width="10.140625" customWidth="1"/>
    <col min="15875" max="15875" width="11.140625" customWidth="1"/>
    <col min="15876" max="15876" width="12.42578125" customWidth="1"/>
    <col min="15877" max="15877" width="11.85546875" customWidth="1"/>
    <col min="15878" max="15878" width="12.42578125" customWidth="1"/>
    <col min="15879" max="15879" width="11.42578125" bestFit="1" customWidth="1"/>
    <col min="15880" max="15880" width="11.85546875" customWidth="1"/>
    <col min="15881" max="15881" width="11.7109375" customWidth="1"/>
    <col min="15882" max="15882" width="14.28515625" customWidth="1"/>
    <col min="15883" max="15883" width="9.42578125" bestFit="1" customWidth="1"/>
    <col min="15884" max="15884" width="11.140625" customWidth="1"/>
    <col min="15885" max="15885" width="7.7109375" customWidth="1"/>
    <col min="15886" max="15886" width="10.5703125" bestFit="1" customWidth="1"/>
    <col min="16129" max="16129" width="35.42578125" customWidth="1"/>
    <col min="16130" max="16130" width="10.140625" customWidth="1"/>
    <col min="16131" max="16131" width="11.140625" customWidth="1"/>
    <col min="16132" max="16132" width="12.42578125" customWidth="1"/>
    <col min="16133" max="16133" width="11.85546875" customWidth="1"/>
    <col min="16134" max="16134" width="12.42578125" customWidth="1"/>
    <col min="16135" max="16135" width="11.42578125" bestFit="1" customWidth="1"/>
    <col min="16136" max="16136" width="11.85546875" customWidth="1"/>
    <col min="16137" max="16137" width="11.7109375" customWidth="1"/>
    <col min="16138" max="16138" width="14.28515625" customWidth="1"/>
    <col min="16139" max="16139" width="9.42578125" bestFit="1" customWidth="1"/>
    <col min="16140" max="16140" width="11.140625" customWidth="1"/>
    <col min="16141" max="16141" width="7.7109375" customWidth="1"/>
    <col min="16142" max="16142" width="10.5703125" bestFit="1" customWidth="1"/>
  </cols>
  <sheetData>
    <row r="1" spans="1:14">
      <c r="A1" s="1003" t="s">
        <v>167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</row>
    <row r="2" spans="1:14">
      <c r="A2" s="1003" t="s">
        <v>168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</row>
    <row r="3" spans="1:14" ht="26.25" customHeight="1">
      <c r="A3" s="677" t="s">
        <v>2822</v>
      </c>
      <c r="B3" s="995" t="s">
        <v>2858</v>
      </c>
      <c r="C3" s="995"/>
      <c r="D3" s="995"/>
      <c r="E3" s="995"/>
      <c r="F3" s="1492" t="s">
        <v>171</v>
      </c>
      <c r="G3" s="1492"/>
      <c r="H3" s="1503" t="s">
        <v>2859</v>
      </c>
      <c r="I3" s="1503"/>
      <c r="J3" s="677" t="s">
        <v>5</v>
      </c>
      <c r="K3" s="80">
        <v>500</v>
      </c>
      <c r="L3" s="1504" t="s">
        <v>2860</v>
      </c>
      <c r="M3" s="1505"/>
      <c r="N3" s="80">
        <v>30</v>
      </c>
    </row>
    <row r="4" spans="1:14">
      <c r="A4" s="808" t="s">
        <v>4176</v>
      </c>
      <c r="B4" s="808"/>
      <c r="C4" s="808"/>
      <c r="D4" s="672"/>
      <c r="E4" s="672"/>
    </row>
    <row r="5" spans="1:14" ht="26.25" customHeight="1">
      <c r="A5" s="677" t="s">
        <v>2825</v>
      </c>
      <c r="B5" s="995" t="s">
        <v>2861</v>
      </c>
      <c r="C5" s="995"/>
      <c r="D5" s="995"/>
      <c r="E5" s="995"/>
      <c r="F5" s="1492" t="s">
        <v>2827</v>
      </c>
      <c r="G5" s="1492"/>
      <c r="H5" s="995" t="s">
        <v>2862</v>
      </c>
      <c r="I5" s="995"/>
      <c r="J5" s="995"/>
    </row>
    <row r="6" spans="1:14">
      <c r="B6" s="672"/>
      <c r="C6" s="672"/>
      <c r="D6" s="672"/>
      <c r="E6" s="672"/>
    </row>
    <row r="7" spans="1:14" ht="33" customHeight="1">
      <c r="A7" s="677" t="s">
        <v>178</v>
      </c>
      <c r="B7" s="995"/>
      <c r="C7" s="995"/>
      <c r="D7" s="995"/>
      <c r="E7" s="995"/>
      <c r="F7" s="1481" t="s">
        <v>2829</v>
      </c>
      <c r="G7" s="1481"/>
      <c r="H7" s="1506" t="s">
        <v>2863</v>
      </c>
      <c r="I7" s="1506"/>
      <c r="J7" s="1506"/>
      <c r="K7" s="1506"/>
    </row>
    <row r="9" spans="1:14" ht="26.25" customHeight="1">
      <c r="A9" s="677" t="s">
        <v>1909</v>
      </c>
      <c r="B9" s="995" t="s">
        <v>2864</v>
      </c>
      <c r="C9" s="995"/>
      <c r="D9" s="995" t="s">
        <v>2865</v>
      </c>
      <c r="E9" s="995"/>
      <c r="F9" s="995"/>
      <c r="G9" s="695" t="s">
        <v>5758</v>
      </c>
      <c r="H9" s="995" t="s">
        <v>2866</v>
      </c>
      <c r="I9" s="995"/>
      <c r="J9" s="695" t="s">
        <v>2867</v>
      </c>
      <c r="K9" s="995" t="s">
        <v>2868</v>
      </c>
      <c r="L9" s="995"/>
    </row>
    <row r="10" spans="1:14" ht="26.25" customHeight="1">
      <c r="A10" s="677" t="s">
        <v>187</v>
      </c>
      <c r="B10" s="995" t="s">
        <v>2869</v>
      </c>
      <c r="C10" s="995"/>
      <c r="D10" s="995" t="s">
        <v>2870</v>
      </c>
      <c r="E10" s="995"/>
      <c r="F10" s="995"/>
      <c r="G10" s="695" t="s">
        <v>2871</v>
      </c>
      <c r="H10" s="995" t="s">
        <v>2872</v>
      </c>
      <c r="I10" s="995"/>
      <c r="J10" s="695" t="s">
        <v>2873</v>
      </c>
      <c r="K10" s="995" t="s">
        <v>2874</v>
      </c>
      <c r="L10" s="995"/>
    </row>
    <row r="11" spans="1:14" ht="26.25" customHeight="1">
      <c r="A11" s="677" t="s">
        <v>192</v>
      </c>
      <c r="B11" s="995" t="s">
        <v>2875</v>
      </c>
      <c r="C11" s="995"/>
      <c r="D11" s="995" t="s">
        <v>2876</v>
      </c>
      <c r="E11" s="995"/>
      <c r="F11" s="995"/>
      <c r="G11" s="695" t="s">
        <v>2877</v>
      </c>
      <c r="H11" s="995" t="s">
        <v>2878</v>
      </c>
      <c r="I11" s="995"/>
      <c r="J11" s="695" t="s">
        <v>2879</v>
      </c>
      <c r="K11" s="995" t="s">
        <v>2880</v>
      </c>
      <c r="L11" s="995"/>
    </row>
    <row r="12" spans="1:14" ht="26.25" customHeight="1">
      <c r="A12" s="677" t="s">
        <v>197</v>
      </c>
      <c r="B12" s="995"/>
      <c r="C12" s="995"/>
      <c r="D12" s="1507"/>
      <c r="E12" s="1507"/>
      <c r="F12" s="1507"/>
      <c r="G12" s="1488"/>
      <c r="H12" s="1488"/>
      <c r="I12" s="1488"/>
      <c r="J12" s="696"/>
      <c r="K12" s="1488"/>
      <c r="L12" s="1488"/>
    </row>
    <row r="14" spans="1:14" ht="26.25" customHeight="1">
      <c r="A14" s="677" t="s">
        <v>198</v>
      </c>
      <c r="B14" s="80">
        <v>6</v>
      </c>
      <c r="C14" s="1492" t="s">
        <v>2838</v>
      </c>
      <c r="D14" s="1492"/>
      <c r="E14" s="1492"/>
      <c r="F14" s="80">
        <v>3</v>
      </c>
      <c r="G14" s="677" t="s">
        <v>1491</v>
      </c>
      <c r="H14" s="80">
        <v>29</v>
      </c>
      <c r="I14" s="697" t="s">
        <v>201</v>
      </c>
      <c r="J14" s="80">
        <v>3</v>
      </c>
      <c r="K14" s="697" t="s">
        <v>1386</v>
      </c>
      <c r="L14" s="80">
        <v>2</v>
      </c>
    </row>
    <row r="15" spans="1:14">
      <c r="B15" s="295"/>
    </row>
    <row r="16" spans="1:14" ht="26.25" customHeight="1">
      <c r="A16" s="674" t="s">
        <v>646</v>
      </c>
      <c r="B16" s="677" t="s">
        <v>204</v>
      </c>
      <c r="C16" s="80">
        <v>215</v>
      </c>
      <c r="D16" s="677" t="s">
        <v>205</v>
      </c>
      <c r="E16" s="80">
        <v>9</v>
      </c>
      <c r="F16" s="677" t="s">
        <v>206</v>
      </c>
      <c r="G16" s="80">
        <v>88</v>
      </c>
      <c r="H16" s="677" t="s">
        <v>230</v>
      </c>
      <c r="I16" s="80">
        <v>312</v>
      </c>
      <c r="J16" s="677" t="s">
        <v>207</v>
      </c>
      <c r="K16" s="80">
        <v>71</v>
      </c>
      <c r="L16" s="1504" t="s">
        <v>2881</v>
      </c>
      <c r="M16" s="1505"/>
      <c r="N16" s="80">
        <v>18</v>
      </c>
    </row>
    <row r="17" spans="1:14" ht="26.25" customHeight="1">
      <c r="A17" s="674" t="s">
        <v>2839</v>
      </c>
      <c r="B17" s="677" t="s">
        <v>210</v>
      </c>
      <c r="C17" s="80">
        <v>438</v>
      </c>
      <c r="D17" s="677" t="s">
        <v>211</v>
      </c>
      <c r="E17" s="80">
        <v>18</v>
      </c>
      <c r="F17" s="677" t="s">
        <v>212</v>
      </c>
      <c r="G17" s="80">
        <v>160</v>
      </c>
      <c r="H17" s="677" t="s">
        <v>411</v>
      </c>
      <c r="I17" s="80">
        <v>616</v>
      </c>
    </row>
    <row r="18" spans="1:14" ht="26.25" customHeight="1">
      <c r="B18" s="677" t="s">
        <v>213</v>
      </c>
      <c r="C18" s="80">
        <v>473</v>
      </c>
      <c r="D18" s="677" t="s">
        <v>214</v>
      </c>
      <c r="E18" s="80">
        <v>14</v>
      </c>
      <c r="F18" s="677" t="s">
        <v>215</v>
      </c>
      <c r="G18" s="80">
        <v>175</v>
      </c>
      <c r="H18" s="677" t="s">
        <v>410</v>
      </c>
      <c r="I18" s="80">
        <v>662</v>
      </c>
    </row>
    <row r="19" spans="1:14" s="403" customFormat="1" ht="26.25" customHeight="1">
      <c r="A19" s="69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512" t="s">
        <v>2841</v>
      </c>
      <c r="G20" s="1513"/>
      <c r="H20" s="1513"/>
      <c r="I20" s="1513"/>
      <c r="J20" s="1513"/>
      <c r="K20" s="1513"/>
      <c r="L20" s="1513"/>
      <c r="M20" s="1513"/>
      <c r="N20" s="1513"/>
    </row>
    <row r="21" spans="1:14" ht="26.25" customHeight="1">
      <c r="A21" s="1508"/>
      <c r="B21" s="1509"/>
      <c r="C21" s="1510"/>
      <c r="D21" s="1511"/>
      <c r="E21" s="1511"/>
      <c r="F21" s="683">
        <v>1</v>
      </c>
      <c r="G21" s="683">
        <v>2</v>
      </c>
      <c r="H21" s="683">
        <v>3</v>
      </c>
      <c r="I21" s="683">
        <v>4</v>
      </c>
      <c r="J21" s="683">
        <v>5</v>
      </c>
      <c r="K21" s="683">
        <v>6</v>
      </c>
      <c r="L21" s="683">
        <v>7</v>
      </c>
      <c r="M21" s="683" t="s">
        <v>230</v>
      </c>
      <c r="N21" s="683" t="s">
        <v>231</v>
      </c>
    </row>
    <row r="22" spans="1:14" ht="26.25" customHeight="1">
      <c r="A22" s="684" t="s">
        <v>232</v>
      </c>
      <c r="B22" s="673">
        <v>8000</v>
      </c>
      <c r="C22" s="698" t="s">
        <v>233</v>
      </c>
      <c r="D22" s="297">
        <f>B22*620/100000</f>
        <v>49.6</v>
      </c>
      <c r="E22" s="297">
        <v>5.1208</v>
      </c>
      <c r="F22" s="686">
        <v>0</v>
      </c>
      <c r="G22" s="686">
        <v>0</v>
      </c>
      <c r="H22" s="686">
        <v>3.1149</v>
      </c>
      <c r="I22" s="698"/>
      <c r="J22" s="698"/>
      <c r="K22" s="698"/>
      <c r="L22" s="698"/>
      <c r="M22" s="699">
        <f>F22+G22+H22</f>
        <v>3.1149</v>
      </c>
      <c r="N22" s="699">
        <f>M22/E22*100</f>
        <v>60.82838618965787</v>
      </c>
    </row>
    <row r="23" spans="1:14" ht="26.25" customHeight="1">
      <c r="A23" s="684" t="s">
        <v>2842</v>
      </c>
      <c r="B23" s="673">
        <v>1120</v>
      </c>
      <c r="C23" s="698" t="s">
        <v>233</v>
      </c>
      <c r="D23" s="297">
        <f>B23*620/100000</f>
        <v>6.944</v>
      </c>
      <c r="E23" s="297">
        <v>0</v>
      </c>
      <c r="F23" s="297">
        <v>0</v>
      </c>
      <c r="G23" s="297">
        <v>0</v>
      </c>
      <c r="H23" s="297">
        <v>0</v>
      </c>
      <c r="I23" s="673"/>
      <c r="J23" s="673"/>
      <c r="K23" s="673"/>
      <c r="L23" s="673"/>
      <c r="M23" s="699">
        <f t="shared" ref="M23:M30" si="0">F23+G23+H23</f>
        <v>0</v>
      </c>
      <c r="N23" s="301">
        <v>0</v>
      </c>
    </row>
    <row r="24" spans="1:14" ht="26.25" customHeight="1">
      <c r="A24" s="684" t="s">
        <v>235</v>
      </c>
      <c r="B24" s="673">
        <v>43000</v>
      </c>
      <c r="C24" s="698" t="s">
        <v>236</v>
      </c>
      <c r="D24" s="297">
        <v>0.43</v>
      </c>
      <c r="E24" s="297">
        <v>0.18</v>
      </c>
      <c r="F24" s="297">
        <v>0</v>
      </c>
      <c r="G24" s="297">
        <v>0</v>
      </c>
      <c r="H24" s="297">
        <v>0</v>
      </c>
      <c r="I24" s="673"/>
      <c r="J24" s="673"/>
      <c r="K24" s="673"/>
      <c r="L24" s="673"/>
      <c r="M24" s="699">
        <f t="shared" si="0"/>
        <v>0</v>
      </c>
      <c r="N24" s="301">
        <f t="shared" ref="N24:N30" si="1">M24/E24*100</f>
        <v>0</v>
      </c>
    </row>
    <row r="25" spans="1:14" ht="26.25" customHeight="1">
      <c r="A25" s="684" t="s">
        <v>237</v>
      </c>
      <c r="B25" s="673">
        <v>37000</v>
      </c>
      <c r="C25" s="698" t="s">
        <v>236</v>
      </c>
      <c r="D25" s="297">
        <v>0.37</v>
      </c>
      <c r="E25" s="297">
        <v>0.16</v>
      </c>
      <c r="F25" s="297">
        <v>0</v>
      </c>
      <c r="G25" s="297">
        <v>0</v>
      </c>
      <c r="H25" s="297">
        <v>0</v>
      </c>
      <c r="I25" s="673"/>
      <c r="J25" s="673"/>
      <c r="K25" s="673"/>
      <c r="L25" s="673"/>
      <c r="M25" s="699">
        <f t="shared" si="0"/>
        <v>0</v>
      </c>
      <c r="N25" s="301">
        <v>100</v>
      </c>
    </row>
    <row r="26" spans="1:14" ht="26.25" customHeight="1">
      <c r="A26" s="684" t="s">
        <v>238</v>
      </c>
      <c r="B26" s="673">
        <v>1200</v>
      </c>
      <c r="C26" s="698" t="s">
        <v>233</v>
      </c>
      <c r="D26" s="297">
        <f>B26*620/100000</f>
        <v>7.44</v>
      </c>
      <c r="E26" s="297">
        <v>2</v>
      </c>
      <c r="F26" s="297">
        <v>0</v>
      </c>
      <c r="G26" s="297">
        <v>0</v>
      </c>
      <c r="H26" s="297">
        <v>1.2781899999999999</v>
      </c>
      <c r="I26" s="673"/>
      <c r="J26" s="673"/>
      <c r="K26" s="673"/>
      <c r="L26" s="673"/>
      <c r="M26" s="699">
        <f t="shared" si="0"/>
        <v>1.2781899999999999</v>
      </c>
      <c r="N26" s="300">
        <f t="shared" si="1"/>
        <v>63.909499999999994</v>
      </c>
    </row>
    <row r="27" spans="1:14" ht="26.25" customHeight="1">
      <c r="A27" s="684" t="s">
        <v>667</v>
      </c>
      <c r="B27" s="673">
        <v>565</v>
      </c>
      <c r="C27" s="698" t="s">
        <v>233</v>
      </c>
      <c r="D27" s="297">
        <f>B27*620/100000</f>
        <v>3.5030000000000001</v>
      </c>
      <c r="E27" s="297">
        <v>0.62</v>
      </c>
      <c r="F27" s="297">
        <v>0</v>
      </c>
      <c r="G27" s="297">
        <v>0</v>
      </c>
      <c r="H27" s="297">
        <v>0.3</v>
      </c>
      <c r="I27" s="673"/>
      <c r="J27" s="673"/>
      <c r="K27" s="673"/>
      <c r="L27" s="673"/>
      <c r="M27" s="699">
        <f t="shared" si="0"/>
        <v>0.3</v>
      </c>
      <c r="N27" s="300">
        <f t="shared" si="1"/>
        <v>48.387096774193544</v>
      </c>
    </row>
    <row r="28" spans="1:14" ht="26.25" customHeight="1">
      <c r="A28" s="684" t="s">
        <v>2843</v>
      </c>
      <c r="B28" s="673">
        <v>1000</v>
      </c>
      <c r="C28" s="698" t="s">
        <v>233</v>
      </c>
      <c r="D28" s="297">
        <f>B28*620/100000</f>
        <v>6.2</v>
      </c>
      <c r="E28" s="297">
        <v>0</v>
      </c>
      <c r="F28" s="297">
        <v>0</v>
      </c>
      <c r="G28" s="297">
        <v>0</v>
      </c>
      <c r="H28" s="297">
        <v>0</v>
      </c>
      <c r="I28" s="673"/>
      <c r="J28" s="673"/>
      <c r="K28" s="673"/>
      <c r="L28" s="673"/>
      <c r="M28" s="699">
        <f t="shared" si="0"/>
        <v>0</v>
      </c>
      <c r="N28" s="301">
        <v>0</v>
      </c>
    </row>
    <row r="29" spans="1:14" ht="26.25" customHeight="1">
      <c r="A29" s="684" t="s">
        <v>2844</v>
      </c>
      <c r="B29" s="673">
        <v>2750</v>
      </c>
      <c r="C29" s="698" t="s">
        <v>242</v>
      </c>
      <c r="D29" s="297">
        <v>2.31</v>
      </c>
      <c r="E29" s="297">
        <v>0.33</v>
      </c>
      <c r="F29" s="297">
        <v>0</v>
      </c>
      <c r="G29" s="297">
        <v>0</v>
      </c>
      <c r="H29" s="297">
        <v>0.09</v>
      </c>
      <c r="I29" s="673"/>
      <c r="J29" s="673"/>
      <c r="K29" s="673"/>
      <c r="L29" s="673"/>
      <c r="M29" s="699">
        <f t="shared" si="0"/>
        <v>0.09</v>
      </c>
      <c r="N29" s="300">
        <f t="shared" si="1"/>
        <v>27.27272727272727</v>
      </c>
    </row>
    <row r="30" spans="1:14" ht="26.25" customHeight="1">
      <c r="A30" s="684" t="s">
        <v>670</v>
      </c>
      <c r="B30" s="673">
        <v>10000</v>
      </c>
      <c r="C30" s="698" t="s">
        <v>244</v>
      </c>
      <c r="D30" s="297">
        <v>0.1</v>
      </c>
      <c r="E30" s="297">
        <v>0.02</v>
      </c>
      <c r="F30" s="297">
        <v>0</v>
      </c>
      <c r="G30" s="297">
        <v>0</v>
      </c>
      <c r="H30" s="297">
        <v>0</v>
      </c>
      <c r="I30" s="673"/>
      <c r="J30" s="673"/>
      <c r="K30" s="673"/>
      <c r="L30" s="673"/>
      <c r="M30" s="699">
        <f t="shared" si="0"/>
        <v>0</v>
      </c>
      <c r="N30" s="301">
        <f t="shared" si="1"/>
        <v>0</v>
      </c>
    </row>
    <row r="31" spans="1:14" ht="26.25" customHeight="1">
      <c r="A31" s="694" t="s">
        <v>245</v>
      </c>
      <c r="B31" s="673">
        <f>SUM(B22:B30)</f>
        <v>104635</v>
      </c>
      <c r="C31" s="673"/>
      <c r="D31" s="297">
        <v>62.64</v>
      </c>
      <c r="E31" s="297">
        <f>SUM(E22:E30)</f>
        <v>8.4307999999999996</v>
      </c>
      <c r="F31" s="297">
        <f>SUM(F22:F30)</f>
        <v>0</v>
      </c>
      <c r="G31" s="297">
        <f t="shared" ref="G31:M31" si="2">SUM(G22:G30)</f>
        <v>0</v>
      </c>
      <c r="H31" s="297">
        <f t="shared" si="2"/>
        <v>4.7830899999999996</v>
      </c>
      <c r="I31" s="297">
        <f t="shared" si="2"/>
        <v>0</v>
      </c>
      <c r="J31" s="297">
        <f t="shared" si="2"/>
        <v>0</v>
      </c>
      <c r="K31" s="297">
        <f t="shared" si="2"/>
        <v>0</v>
      </c>
      <c r="L31" s="297">
        <f t="shared" si="2"/>
        <v>0</v>
      </c>
      <c r="M31" s="297">
        <f t="shared" si="2"/>
        <v>4.7830899999999996</v>
      </c>
      <c r="N31" s="302"/>
    </row>
    <row r="32" spans="1:14">
      <c r="M32" s="3"/>
    </row>
    <row r="34" spans="14:14">
      <c r="N34" s="3"/>
    </row>
  </sheetData>
  <mergeCells count="37">
    <mergeCell ref="C14:E14"/>
    <mergeCell ref="L16:M16"/>
    <mergeCell ref="A20:A21"/>
    <mergeCell ref="B20:B21"/>
    <mergeCell ref="C20:C21"/>
    <mergeCell ref="D20:D21"/>
    <mergeCell ref="E20:E21"/>
    <mergeCell ref="F20:N20"/>
    <mergeCell ref="B11:C11"/>
    <mergeCell ref="D11:F11"/>
    <mergeCell ref="H11:I11"/>
    <mergeCell ref="K11:L11"/>
    <mergeCell ref="B12:C12"/>
    <mergeCell ref="D12:F12"/>
    <mergeCell ref="G12:I12"/>
    <mergeCell ref="K12:L12"/>
    <mergeCell ref="B9:C9"/>
    <mergeCell ref="D9:F9"/>
    <mergeCell ref="H9:I9"/>
    <mergeCell ref="K9:L9"/>
    <mergeCell ref="B10:C10"/>
    <mergeCell ref="D10:F10"/>
    <mergeCell ref="H10:I10"/>
    <mergeCell ref="K10:L10"/>
    <mergeCell ref="A4:C4"/>
    <mergeCell ref="B5:E5"/>
    <mergeCell ref="F5:G5"/>
    <mergeCell ref="H5:J5"/>
    <mergeCell ref="B7:E7"/>
    <mergeCell ref="F7:G7"/>
    <mergeCell ref="H7:K7"/>
    <mergeCell ref="A1:L1"/>
    <mergeCell ref="A2:L2"/>
    <mergeCell ref="B3:E3"/>
    <mergeCell ref="F3:G3"/>
    <mergeCell ref="H3:I3"/>
    <mergeCell ref="L3:M3"/>
  </mergeCells>
  <hyperlinks>
    <hyperlink ref="A4" location="'Fact Sheet of VDC'!A1" display="&lt;&lt;Back"/>
  </hyperlinks>
  <pageMargins left="0.70866141732283472" right="0.70866141732283472" top="0.74803149606299213" bottom="0.19" header="0.31496062992125984" footer="0.1"/>
  <pageSetup paperSize="9" scale="70" orientation="landscape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4" sqref="A4:C4"/>
    </sheetView>
  </sheetViews>
  <sheetFormatPr defaultRowHeight="15"/>
  <cols>
    <col min="1" max="1" width="35.42578125" customWidth="1"/>
    <col min="2" max="2" width="10.140625" customWidth="1"/>
    <col min="3" max="3" width="11.140625" customWidth="1"/>
    <col min="4" max="4" width="12.42578125" customWidth="1"/>
    <col min="5" max="5" width="11.85546875" customWidth="1"/>
    <col min="6" max="6" width="12.42578125" customWidth="1"/>
    <col min="7" max="7" width="14.140625" customWidth="1"/>
    <col min="8" max="8" width="11.85546875" customWidth="1"/>
    <col min="9" max="9" width="11.7109375" customWidth="1"/>
    <col min="10" max="10" width="14.28515625" customWidth="1"/>
    <col min="11" max="11" width="9.42578125" bestFit="1" customWidth="1"/>
    <col min="12" max="12" width="11.85546875" customWidth="1"/>
    <col min="13" max="13" width="7.7109375" customWidth="1"/>
    <col min="257" max="257" width="35.42578125" customWidth="1"/>
    <col min="258" max="258" width="10.140625" customWidth="1"/>
    <col min="259" max="259" width="11.140625" customWidth="1"/>
    <col min="260" max="260" width="12.42578125" customWidth="1"/>
    <col min="261" max="261" width="11.85546875" customWidth="1"/>
    <col min="262" max="262" width="12.42578125" customWidth="1"/>
    <col min="263" max="263" width="14.140625" customWidth="1"/>
    <col min="264" max="264" width="11.85546875" customWidth="1"/>
    <col min="265" max="265" width="11.7109375" customWidth="1"/>
    <col min="266" max="266" width="14.28515625" customWidth="1"/>
    <col min="267" max="267" width="9.42578125" bestFit="1" customWidth="1"/>
    <col min="268" max="268" width="11.85546875" customWidth="1"/>
    <col min="269" max="269" width="7.7109375" customWidth="1"/>
    <col min="513" max="513" width="35.42578125" customWidth="1"/>
    <col min="514" max="514" width="10.140625" customWidth="1"/>
    <col min="515" max="515" width="11.140625" customWidth="1"/>
    <col min="516" max="516" width="12.42578125" customWidth="1"/>
    <col min="517" max="517" width="11.85546875" customWidth="1"/>
    <col min="518" max="518" width="12.42578125" customWidth="1"/>
    <col min="519" max="519" width="14.140625" customWidth="1"/>
    <col min="520" max="520" width="11.85546875" customWidth="1"/>
    <col min="521" max="521" width="11.7109375" customWidth="1"/>
    <col min="522" max="522" width="14.28515625" customWidth="1"/>
    <col min="523" max="523" width="9.42578125" bestFit="1" customWidth="1"/>
    <col min="524" max="524" width="11.85546875" customWidth="1"/>
    <col min="525" max="525" width="7.7109375" customWidth="1"/>
    <col min="769" max="769" width="35.42578125" customWidth="1"/>
    <col min="770" max="770" width="10.140625" customWidth="1"/>
    <col min="771" max="771" width="11.140625" customWidth="1"/>
    <col min="772" max="772" width="12.42578125" customWidth="1"/>
    <col min="773" max="773" width="11.85546875" customWidth="1"/>
    <col min="774" max="774" width="12.42578125" customWidth="1"/>
    <col min="775" max="775" width="14.140625" customWidth="1"/>
    <col min="776" max="776" width="11.85546875" customWidth="1"/>
    <col min="777" max="777" width="11.7109375" customWidth="1"/>
    <col min="778" max="778" width="14.28515625" customWidth="1"/>
    <col min="779" max="779" width="9.42578125" bestFit="1" customWidth="1"/>
    <col min="780" max="780" width="11.85546875" customWidth="1"/>
    <col min="781" max="781" width="7.7109375" customWidth="1"/>
    <col min="1025" max="1025" width="35.42578125" customWidth="1"/>
    <col min="1026" max="1026" width="10.140625" customWidth="1"/>
    <col min="1027" max="1027" width="11.140625" customWidth="1"/>
    <col min="1028" max="1028" width="12.42578125" customWidth="1"/>
    <col min="1029" max="1029" width="11.85546875" customWidth="1"/>
    <col min="1030" max="1030" width="12.42578125" customWidth="1"/>
    <col min="1031" max="1031" width="14.140625" customWidth="1"/>
    <col min="1032" max="1032" width="11.85546875" customWidth="1"/>
    <col min="1033" max="1033" width="11.7109375" customWidth="1"/>
    <col min="1034" max="1034" width="14.28515625" customWidth="1"/>
    <col min="1035" max="1035" width="9.42578125" bestFit="1" customWidth="1"/>
    <col min="1036" max="1036" width="11.85546875" customWidth="1"/>
    <col min="1037" max="1037" width="7.7109375" customWidth="1"/>
    <col min="1281" max="1281" width="35.42578125" customWidth="1"/>
    <col min="1282" max="1282" width="10.140625" customWidth="1"/>
    <col min="1283" max="1283" width="11.140625" customWidth="1"/>
    <col min="1284" max="1284" width="12.42578125" customWidth="1"/>
    <col min="1285" max="1285" width="11.85546875" customWidth="1"/>
    <col min="1286" max="1286" width="12.42578125" customWidth="1"/>
    <col min="1287" max="1287" width="14.140625" customWidth="1"/>
    <col min="1288" max="1288" width="11.85546875" customWidth="1"/>
    <col min="1289" max="1289" width="11.7109375" customWidth="1"/>
    <col min="1290" max="1290" width="14.28515625" customWidth="1"/>
    <col min="1291" max="1291" width="9.42578125" bestFit="1" customWidth="1"/>
    <col min="1292" max="1292" width="11.85546875" customWidth="1"/>
    <col min="1293" max="1293" width="7.7109375" customWidth="1"/>
    <col min="1537" max="1537" width="35.42578125" customWidth="1"/>
    <col min="1538" max="1538" width="10.140625" customWidth="1"/>
    <col min="1539" max="1539" width="11.140625" customWidth="1"/>
    <col min="1540" max="1540" width="12.42578125" customWidth="1"/>
    <col min="1541" max="1541" width="11.85546875" customWidth="1"/>
    <col min="1542" max="1542" width="12.42578125" customWidth="1"/>
    <col min="1543" max="1543" width="14.140625" customWidth="1"/>
    <col min="1544" max="1544" width="11.85546875" customWidth="1"/>
    <col min="1545" max="1545" width="11.7109375" customWidth="1"/>
    <col min="1546" max="1546" width="14.28515625" customWidth="1"/>
    <col min="1547" max="1547" width="9.42578125" bestFit="1" customWidth="1"/>
    <col min="1548" max="1548" width="11.85546875" customWidth="1"/>
    <col min="1549" max="1549" width="7.7109375" customWidth="1"/>
    <col min="1793" max="1793" width="35.42578125" customWidth="1"/>
    <col min="1794" max="1794" width="10.140625" customWidth="1"/>
    <col min="1795" max="1795" width="11.140625" customWidth="1"/>
    <col min="1796" max="1796" width="12.42578125" customWidth="1"/>
    <col min="1797" max="1797" width="11.85546875" customWidth="1"/>
    <col min="1798" max="1798" width="12.42578125" customWidth="1"/>
    <col min="1799" max="1799" width="14.140625" customWidth="1"/>
    <col min="1800" max="1800" width="11.85546875" customWidth="1"/>
    <col min="1801" max="1801" width="11.7109375" customWidth="1"/>
    <col min="1802" max="1802" width="14.28515625" customWidth="1"/>
    <col min="1803" max="1803" width="9.42578125" bestFit="1" customWidth="1"/>
    <col min="1804" max="1804" width="11.85546875" customWidth="1"/>
    <col min="1805" max="1805" width="7.7109375" customWidth="1"/>
    <col min="2049" max="2049" width="35.42578125" customWidth="1"/>
    <col min="2050" max="2050" width="10.140625" customWidth="1"/>
    <col min="2051" max="2051" width="11.140625" customWidth="1"/>
    <col min="2052" max="2052" width="12.42578125" customWidth="1"/>
    <col min="2053" max="2053" width="11.85546875" customWidth="1"/>
    <col min="2054" max="2054" width="12.42578125" customWidth="1"/>
    <col min="2055" max="2055" width="14.140625" customWidth="1"/>
    <col min="2056" max="2056" width="11.85546875" customWidth="1"/>
    <col min="2057" max="2057" width="11.7109375" customWidth="1"/>
    <col min="2058" max="2058" width="14.28515625" customWidth="1"/>
    <col min="2059" max="2059" width="9.42578125" bestFit="1" customWidth="1"/>
    <col min="2060" max="2060" width="11.85546875" customWidth="1"/>
    <col min="2061" max="2061" width="7.7109375" customWidth="1"/>
    <col min="2305" max="2305" width="35.42578125" customWidth="1"/>
    <col min="2306" max="2306" width="10.140625" customWidth="1"/>
    <col min="2307" max="2307" width="11.140625" customWidth="1"/>
    <col min="2308" max="2308" width="12.42578125" customWidth="1"/>
    <col min="2309" max="2309" width="11.85546875" customWidth="1"/>
    <col min="2310" max="2310" width="12.42578125" customWidth="1"/>
    <col min="2311" max="2311" width="14.140625" customWidth="1"/>
    <col min="2312" max="2312" width="11.85546875" customWidth="1"/>
    <col min="2313" max="2313" width="11.7109375" customWidth="1"/>
    <col min="2314" max="2314" width="14.28515625" customWidth="1"/>
    <col min="2315" max="2315" width="9.42578125" bestFit="1" customWidth="1"/>
    <col min="2316" max="2316" width="11.85546875" customWidth="1"/>
    <col min="2317" max="2317" width="7.7109375" customWidth="1"/>
    <col min="2561" max="2561" width="35.42578125" customWidth="1"/>
    <col min="2562" max="2562" width="10.140625" customWidth="1"/>
    <col min="2563" max="2563" width="11.140625" customWidth="1"/>
    <col min="2564" max="2564" width="12.42578125" customWidth="1"/>
    <col min="2565" max="2565" width="11.85546875" customWidth="1"/>
    <col min="2566" max="2566" width="12.42578125" customWidth="1"/>
    <col min="2567" max="2567" width="14.140625" customWidth="1"/>
    <col min="2568" max="2568" width="11.85546875" customWidth="1"/>
    <col min="2569" max="2569" width="11.7109375" customWidth="1"/>
    <col min="2570" max="2570" width="14.28515625" customWidth="1"/>
    <col min="2571" max="2571" width="9.42578125" bestFit="1" customWidth="1"/>
    <col min="2572" max="2572" width="11.85546875" customWidth="1"/>
    <col min="2573" max="2573" width="7.7109375" customWidth="1"/>
    <col min="2817" max="2817" width="35.42578125" customWidth="1"/>
    <col min="2818" max="2818" width="10.140625" customWidth="1"/>
    <col min="2819" max="2819" width="11.140625" customWidth="1"/>
    <col min="2820" max="2820" width="12.42578125" customWidth="1"/>
    <col min="2821" max="2821" width="11.85546875" customWidth="1"/>
    <col min="2822" max="2822" width="12.42578125" customWidth="1"/>
    <col min="2823" max="2823" width="14.140625" customWidth="1"/>
    <col min="2824" max="2824" width="11.85546875" customWidth="1"/>
    <col min="2825" max="2825" width="11.7109375" customWidth="1"/>
    <col min="2826" max="2826" width="14.28515625" customWidth="1"/>
    <col min="2827" max="2827" width="9.42578125" bestFit="1" customWidth="1"/>
    <col min="2828" max="2828" width="11.85546875" customWidth="1"/>
    <col min="2829" max="2829" width="7.7109375" customWidth="1"/>
    <col min="3073" max="3073" width="35.42578125" customWidth="1"/>
    <col min="3074" max="3074" width="10.140625" customWidth="1"/>
    <col min="3075" max="3075" width="11.140625" customWidth="1"/>
    <col min="3076" max="3076" width="12.42578125" customWidth="1"/>
    <col min="3077" max="3077" width="11.85546875" customWidth="1"/>
    <col min="3078" max="3078" width="12.42578125" customWidth="1"/>
    <col min="3079" max="3079" width="14.140625" customWidth="1"/>
    <col min="3080" max="3080" width="11.85546875" customWidth="1"/>
    <col min="3081" max="3081" width="11.7109375" customWidth="1"/>
    <col min="3082" max="3082" width="14.28515625" customWidth="1"/>
    <col min="3083" max="3083" width="9.42578125" bestFit="1" customWidth="1"/>
    <col min="3084" max="3084" width="11.85546875" customWidth="1"/>
    <col min="3085" max="3085" width="7.7109375" customWidth="1"/>
    <col min="3329" max="3329" width="35.42578125" customWidth="1"/>
    <col min="3330" max="3330" width="10.140625" customWidth="1"/>
    <col min="3331" max="3331" width="11.140625" customWidth="1"/>
    <col min="3332" max="3332" width="12.42578125" customWidth="1"/>
    <col min="3333" max="3333" width="11.85546875" customWidth="1"/>
    <col min="3334" max="3334" width="12.42578125" customWidth="1"/>
    <col min="3335" max="3335" width="14.140625" customWidth="1"/>
    <col min="3336" max="3336" width="11.85546875" customWidth="1"/>
    <col min="3337" max="3337" width="11.7109375" customWidth="1"/>
    <col min="3338" max="3338" width="14.28515625" customWidth="1"/>
    <col min="3339" max="3339" width="9.42578125" bestFit="1" customWidth="1"/>
    <col min="3340" max="3340" width="11.85546875" customWidth="1"/>
    <col min="3341" max="3341" width="7.7109375" customWidth="1"/>
    <col min="3585" max="3585" width="35.42578125" customWidth="1"/>
    <col min="3586" max="3586" width="10.140625" customWidth="1"/>
    <col min="3587" max="3587" width="11.140625" customWidth="1"/>
    <col min="3588" max="3588" width="12.42578125" customWidth="1"/>
    <col min="3589" max="3589" width="11.85546875" customWidth="1"/>
    <col min="3590" max="3590" width="12.42578125" customWidth="1"/>
    <col min="3591" max="3591" width="14.140625" customWidth="1"/>
    <col min="3592" max="3592" width="11.85546875" customWidth="1"/>
    <col min="3593" max="3593" width="11.7109375" customWidth="1"/>
    <col min="3594" max="3594" width="14.28515625" customWidth="1"/>
    <col min="3595" max="3595" width="9.42578125" bestFit="1" customWidth="1"/>
    <col min="3596" max="3596" width="11.85546875" customWidth="1"/>
    <col min="3597" max="3597" width="7.7109375" customWidth="1"/>
    <col min="3841" max="3841" width="35.42578125" customWidth="1"/>
    <col min="3842" max="3842" width="10.140625" customWidth="1"/>
    <col min="3843" max="3843" width="11.140625" customWidth="1"/>
    <col min="3844" max="3844" width="12.42578125" customWidth="1"/>
    <col min="3845" max="3845" width="11.85546875" customWidth="1"/>
    <col min="3846" max="3846" width="12.42578125" customWidth="1"/>
    <col min="3847" max="3847" width="14.140625" customWidth="1"/>
    <col min="3848" max="3848" width="11.85546875" customWidth="1"/>
    <col min="3849" max="3849" width="11.7109375" customWidth="1"/>
    <col min="3850" max="3850" width="14.28515625" customWidth="1"/>
    <col min="3851" max="3851" width="9.42578125" bestFit="1" customWidth="1"/>
    <col min="3852" max="3852" width="11.85546875" customWidth="1"/>
    <col min="3853" max="3853" width="7.7109375" customWidth="1"/>
    <col min="4097" max="4097" width="35.42578125" customWidth="1"/>
    <col min="4098" max="4098" width="10.140625" customWidth="1"/>
    <col min="4099" max="4099" width="11.140625" customWidth="1"/>
    <col min="4100" max="4100" width="12.42578125" customWidth="1"/>
    <col min="4101" max="4101" width="11.85546875" customWidth="1"/>
    <col min="4102" max="4102" width="12.42578125" customWidth="1"/>
    <col min="4103" max="4103" width="14.140625" customWidth="1"/>
    <col min="4104" max="4104" width="11.85546875" customWidth="1"/>
    <col min="4105" max="4105" width="11.7109375" customWidth="1"/>
    <col min="4106" max="4106" width="14.28515625" customWidth="1"/>
    <col min="4107" max="4107" width="9.42578125" bestFit="1" customWidth="1"/>
    <col min="4108" max="4108" width="11.85546875" customWidth="1"/>
    <col min="4109" max="4109" width="7.7109375" customWidth="1"/>
    <col min="4353" max="4353" width="35.42578125" customWidth="1"/>
    <col min="4354" max="4354" width="10.140625" customWidth="1"/>
    <col min="4355" max="4355" width="11.140625" customWidth="1"/>
    <col min="4356" max="4356" width="12.42578125" customWidth="1"/>
    <col min="4357" max="4357" width="11.85546875" customWidth="1"/>
    <col min="4358" max="4358" width="12.42578125" customWidth="1"/>
    <col min="4359" max="4359" width="14.140625" customWidth="1"/>
    <col min="4360" max="4360" width="11.85546875" customWidth="1"/>
    <col min="4361" max="4361" width="11.7109375" customWidth="1"/>
    <col min="4362" max="4362" width="14.28515625" customWidth="1"/>
    <col min="4363" max="4363" width="9.42578125" bestFit="1" customWidth="1"/>
    <col min="4364" max="4364" width="11.85546875" customWidth="1"/>
    <col min="4365" max="4365" width="7.7109375" customWidth="1"/>
    <col min="4609" max="4609" width="35.42578125" customWidth="1"/>
    <col min="4610" max="4610" width="10.140625" customWidth="1"/>
    <col min="4611" max="4611" width="11.140625" customWidth="1"/>
    <col min="4612" max="4612" width="12.42578125" customWidth="1"/>
    <col min="4613" max="4613" width="11.85546875" customWidth="1"/>
    <col min="4614" max="4614" width="12.42578125" customWidth="1"/>
    <col min="4615" max="4615" width="14.140625" customWidth="1"/>
    <col min="4616" max="4616" width="11.85546875" customWidth="1"/>
    <col min="4617" max="4617" width="11.7109375" customWidth="1"/>
    <col min="4618" max="4618" width="14.28515625" customWidth="1"/>
    <col min="4619" max="4619" width="9.42578125" bestFit="1" customWidth="1"/>
    <col min="4620" max="4620" width="11.85546875" customWidth="1"/>
    <col min="4621" max="4621" width="7.7109375" customWidth="1"/>
    <col min="4865" max="4865" width="35.42578125" customWidth="1"/>
    <col min="4866" max="4866" width="10.140625" customWidth="1"/>
    <col min="4867" max="4867" width="11.140625" customWidth="1"/>
    <col min="4868" max="4868" width="12.42578125" customWidth="1"/>
    <col min="4869" max="4869" width="11.85546875" customWidth="1"/>
    <col min="4870" max="4870" width="12.42578125" customWidth="1"/>
    <col min="4871" max="4871" width="14.140625" customWidth="1"/>
    <col min="4872" max="4872" width="11.85546875" customWidth="1"/>
    <col min="4873" max="4873" width="11.7109375" customWidth="1"/>
    <col min="4874" max="4874" width="14.28515625" customWidth="1"/>
    <col min="4875" max="4875" width="9.42578125" bestFit="1" customWidth="1"/>
    <col min="4876" max="4876" width="11.85546875" customWidth="1"/>
    <col min="4877" max="4877" width="7.7109375" customWidth="1"/>
    <col min="5121" max="5121" width="35.42578125" customWidth="1"/>
    <col min="5122" max="5122" width="10.140625" customWidth="1"/>
    <col min="5123" max="5123" width="11.140625" customWidth="1"/>
    <col min="5124" max="5124" width="12.42578125" customWidth="1"/>
    <col min="5125" max="5125" width="11.85546875" customWidth="1"/>
    <col min="5126" max="5126" width="12.42578125" customWidth="1"/>
    <col min="5127" max="5127" width="14.140625" customWidth="1"/>
    <col min="5128" max="5128" width="11.85546875" customWidth="1"/>
    <col min="5129" max="5129" width="11.7109375" customWidth="1"/>
    <col min="5130" max="5130" width="14.28515625" customWidth="1"/>
    <col min="5131" max="5131" width="9.42578125" bestFit="1" customWidth="1"/>
    <col min="5132" max="5132" width="11.85546875" customWidth="1"/>
    <col min="5133" max="5133" width="7.7109375" customWidth="1"/>
    <col min="5377" max="5377" width="35.42578125" customWidth="1"/>
    <col min="5378" max="5378" width="10.140625" customWidth="1"/>
    <col min="5379" max="5379" width="11.140625" customWidth="1"/>
    <col min="5380" max="5380" width="12.42578125" customWidth="1"/>
    <col min="5381" max="5381" width="11.85546875" customWidth="1"/>
    <col min="5382" max="5382" width="12.42578125" customWidth="1"/>
    <col min="5383" max="5383" width="14.140625" customWidth="1"/>
    <col min="5384" max="5384" width="11.85546875" customWidth="1"/>
    <col min="5385" max="5385" width="11.7109375" customWidth="1"/>
    <col min="5386" max="5386" width="14.28515625" customWidth="1"/>
    <col min="5387" max="5387" width="9.42578125" bestFit="1" customWidth="1"/>
    <col min="5388" max="5388" width="11.85546875" customWidth="1"/>
    <col min="5389" max="5389" width="7.7109375" customWidth="1"/>
    <col min="5633" max="5633" width="35.42578125" customWidth="1"/>
    <col min="5634" max="5634" width="10.140625" customWidth="1"/>
    <col min="5635" max="5635" width="11.140625" customWidth="1"/>
    <col min="5636" max="5636" width="12.42578125" customWidth="1"/>
    <col min="5637" max="5637" width="11.85546875" customWidth="1"/>
    <col min="5638" max="5638" width="12.42578125" customWidth="1"/>
    <col min="5639" max="5639" width="14.140625" customWidth="1"/>
    <col min="5640" max="5640" width="11.85546875" customWidth="1"/>
    <col min="5641" max="5641" width="11.7109375" customWidth="1"/>
    <col min="5642" max="5642" width="14.28515625" customWidth="1"/>
    <col min="5643" max="5643" width="9.42578125" bestFit="1" customWidth="1"/>
    <col min="5644" max="5644" width="11.85546875" customWidth="1"/>
    <col min="5645" max="5645" width="7.7109375" customWidth="1"/>
    <col min="5889" max="5889" width="35.42578125" customWidth="1"/>
    <col min="5890" max="5890" width="10.140625" customWidth="1"/>
    <col min="5891" max="5891" width="11.140625" customWidth="1"/>
    <col min="5892" max="5892" width="12.42578125" customWidth="1"/>
    <col min="5893" max="5893" width="11.85546875" customWidth="1"/>
    <col min="5894" max="5894" width="12.42578125" customWidth="1"/>
    <col min="5895" max="5895" width="14.140625" customWidth="1"/>
    <col min="5896" max="5896" width="11.85546875" customWidth="1"/>
    <col min="5897" max="5897" width="11.7109375" customWidth="1"/>
    <col min="5898" max="5898" width="14.28515625" customWidth="1"/>
    <col min="5899" max="5899" width="9.42578125" bestFit="1" customWidth="1"/>
    <col min="5900" max="5900" width="11.85546875" customWidth="1"/>
    <col min="5901" max="5901" width="7.7109375" customWidth="1"/>
    <col min="6145" max="6145" width="35.42578125" customWidth="1"/>
    <col min="6146" max="6146" width="10.140625" customWidth="1"/>
    <col min="6147" max="6147" width="11.140625" customWidth="1"/>
    <col min="6148" max="6148" width="12.42578125" customWidth="1"/>
    <col min="6149" max="6149" width="11.85546875" customWidth="1"/>
    <col min="6150" max="6150" width="12.42578125" customWidth="1"/>
    <col min="6151" max="6151" width="14.140625" customWidth="1"/>
    <col min="6152" max="6152" width="11.85546875" customWidth="1"/>
    <col min="6153" max="6153" width="11.7109375" customWidth="1"/>
    <col min="6154" max="6154" width="14.28515625" customWidth="1"/>
    <col min="6155" max="6155" width="9.42578125" bestFit="1" customWidth="1"/>
    <col min="6156" max="6156" width="11.85546875" customWidth="1"/>
    <col min="6157" max="6157" width="7.7109375" customWidth="1"/>
    <col min="6401" max="6401" width="35.42578125" customWidth="1"/>
    <col min="6402" max="6402" width="10.140625" customWidth="1"/>
    <col min="6403" max="6403" width="11.140625" customWidth="1"/>
    <col min="6404" max="6404" width="12.42578125" customWidth="1"/>
    <col min="6405" max="6405" width="11.85546875" customWidth="1"/>
    <col min="6406" max="6406" width="12.42578125" customWidth="1"/>
    <col min="6407" max="6407" width="14.140625" customWidth="1"/>
    <col min="6408" max="6408" width="11.85546875" customWidth="1"/>
    <col min="6409" max="6409" width="11.7109375" customWidth="1"/>
    <col min="6410" max="6410" width="14.28515625" customWidth="1"/>
    <col min="6411" max="6411" width="9.42578125" bestFit="1" customWidth="1"/>
    <col min="6412" max="6412" width="11.85546875" customWidth="1"/>
    <col min="6413" max="6413" width="7.7109375" customWidth="1"/>
    <col min="6657" max="6657" width="35.42578125" customWidth="1"/>
    <col min="6658" max="6658" width="10.140625" customWidth="1"/>
    <col min="6659" max="6659" width="11.140625" customWidth="1"/>
    <col min="6660" max="6660" width="12.42578125" customWidth="1"/>
    <col min="6661" max="6661" width="11.85546875" customWidth="1"/>
    <col min="6662" max="6662" width="12.42578125" customWidth="1"/>
    <col min="6663" max="6663" width="14.140625" customWidth="1"/>
    <col min="6664" max="6664" width="11.85546875" customWidth="1"/>
    <col min="6665" max="6665" width="11.7109375" customWidth="1"/>
    <col min="6666" max="6666" width="14.28515625" customWidth="1"/>
    <col min="6667" max="6667" width="9.42578125" bestFit="1" customWidth="1"/>
    <col min="6668" max="6668" width="11.85546875" customWidth="1"/>
    <col min="6669" max="6669" width="7.7109375" customWidth="1"/>
    <col min="6913" max="6913" width="35.42578125" customWidth="1"/>
    <col min="6914" max="6914" width="10.140625" customWidth="1"/>
    <col min="6915" max="6915" width="11.140625" customWidth="1"/>
    <col min="6916" max="6916" width="12.42578125" customWidth="1"/>
    <col min="6917" max="6917" width="11.85546875" customWidth="1"/>
    <col min="6918" max="6918" width="12.42578125" customWidth="1"/>
    <col min="6919" max="6919" width="14.140625" customWidth="1"/>
    <col min="6920" max="6920" width="11.85546875" customWidth="1"/>
    <col min="6921" max="6921" width="11.7109375" customWidth="1"/>
    <col min="6922" max="6922" width="14.28515625" customWidth="1"/>
    <col min="6923" max="6923" width="9.42578125" bestFit="1" customWidth="1"/>
    <col min="6924" max="6924" width="11.85546875" customWidth="1"/>
    <col min="6925" max="6925" width="7.7109375" customWidth="1"/>
    <col min="7169" max="7169" width="35.42578125" customWidth="1"/>
    <col min="7170" max="7170" width="10.140625" customWidth="1"/>
    <col min="7171" max="7171" width="11.140625" customWidth="1"/>
    <col min="7172" max="7172" width="12.42578125" customWidth="1"/>
    <col min="7173" max="7173" width="11.85546875" customWidth="1"/>
    <col min="7174" max="7174" width="12.42578125" customWidth="1"/>
    <col min="7175" max="7175" width="14.140625" customWidth="1"/>
    <col min="7176" max="7176" width="11.85546875" customWidth="1"/>
    <col min="7177" max="7177" width="11.7109375" customWidth="1"/>
    <col min="7178" max="7178" width="14.28515625" customWidth="1"/>
    <col min="7179" max="7179" width="9.42578125" bestFit="1" customWidth="1"/>
    <col min="7180" max="7180" width="11.85546875" customWidth="1"/>
    <col min="7181" max="7181" width="7.7109375" customWidth="1"/>
    <col min="7425" max="7425" width="35.42578125" customWidth="1"/>
    <col min="7426" max="7426" width="10.140625" customWidth="1"/>
    <col min="7427" max="7427" width="11.140625" customWidth="1"/>
    <col min="7428" max="7428" width="12.42578125" customWidth="1"/>
    <col min="7429" max="7429" width="11.85546875" customWidth="1"/>
    <col min="7430" max="7430" width="12.42578125" customWidth="1"/>
    <col min="7431" max="7431" width="14.140625" customWidth="1"/>
    <col min="7432" max="7432" width="11.85546875" customWidth="1"/>
    <col min="7433" max="7433" width="11.7109375" customWidth="1"/>
    <col min="7434" max="7434" width="14.28515625" customWidth="1"/>
    <col min="7435" max="7435" width="9.42578125" bestFit="1" customWidth="1"/>
    <col min="7436" max="7436" width="11.85546875" customWidth="1"/>
    <col min="7437" max="7437" width="7.7109375" customWidth="1"/>
    <col min="7681" max="7681" width="35.42578125" customWidth="1"/>
    <col min="7682" max="7682" width="10.140625" customWidth="1"/>
    <col min="7683" max="7683" width="11.140625" customWidth="1"/>
    <col min="7684" max="7684" width="12.42578125" customWidth="1"/>
    <col min="7685" max="7685" width="11.85546875" customWidth="1"/>
    <col min="7686" max="7686" width="12.42578125" customWidth="1"/>
    <col min="7687" max="7687" width="14.140625" customWidth="1"/>
    <col min="7688" max="7688" width="11.85546875" customWidth="1"/>
    <col min="7689" max="7689" width="11.7109375" customWidth="1"/>
    <col min="7690" max="7690" width="14.28515625" customWidth="1"/>
    <col min="7691" max="7691" width="9.42578125" bestFit="1" customWidth="1"/>
    <col min="7692" max="7692" width="11.85546875" customWidth="1"/>
    <col min="7693" max="7693" width="7.7109375" customWidth="1"/>
    <col min="7937" max="7937" width="35.42578125" customWidth="1"/>
    <col min="7938" max="7938" width="10.140625" customWidth="1"/>
    <col min="7939" max="7939" width="11.140625" customWidth="1"/>
    <col min="7940" max="7940" width="12.42578125" customWidth="1"/>
    <col min="7941" max="7941" width="11.85546875" customWidth="1"/>
    <col min="7942" max="7942" width="12.42578125" customWidth="1"/>
    <col min="7943" max="7943" width="14.140625" customWidth="1"/>
    <col min="7944" max="7944" width="11.85546875" customWidth="1"/>
    <col min="7945" max="7945" width="11.7109375" customWidth="1"/>
    <col min="7946" max="7946" width="14.28515625" customWidth="1"/>
    <col min="7947" max="7947" width="9.42578125" bestFit="1" customWidth="1"/>
    <col min="7948" max="7948" width="11.85546875" customWidth="1"/>
    <col min="7949" max="7949" width="7.7109375" customWidth="1"/>
    <col min="8193" max="8193" width="35.42578125" customWidth="1"/>
    <col min="8194" max="8194" width="10.140625" customWidth="1"/>
    <col min="8195" max="8195" width="11.140625" customWidth="1"/>
    <col min="8196" max="8196" width="12.42578125" customWidth="1"/>
    <col min="8197" max="8197" width="11.85546875" customWidth="1"/>
    <col min="8198" max="8198" width="12.42578125" customWidth="1"/>
    <col min="8199" max="8199" width="14.140625" customWidth="1"/>
    <col min="8200" max="8200" width="11.85546875" customWidth="1"/>
    <col min="8201" max="8201" width="11.7109375" customWidth="1"/>
    <col min="8202" max="8202" width="14.28515625" customWidth="1"/>
    <col min="8203" max="8203" width="9.42578125" bestFit="1" customWidth="1"/>
    <col min="8204" max="8204" width="11.85546875" customWidth="1"/>
    <col min="8205" max="8205" width="7.7109375" customWidth="1"/>
    <col min="8449" max="8449" width="35.42578125" customWidth="1"/>
    <col min="8450" max="8450" width="10.140625" customWidth="1"/>
    <col min="8451" max="8451" width="11.140625" customWidth="1"/>
    <col min="8452" max="8452" width="12.42578125" customWidth="1"/>
    <col min="8453" max="8453" width="11.85546875" customWidth="1"/>
    <col min="8454" max="8454" width="12.42578125" customWidth="1"/>
    <col min="8455" max="8455" width="14.140625" customWidth="1"/>
    <col min="8456" max="8456" width="11.85546875" customWidth="1"/>
    <col min="8457" max="8457" width="11.7109375" customWidth="1"/>
    <col min="8458" max="8458" width="14.28515625" customWidth="1"/>
    <col min="8459" max="8459" width="9.42578125" bestFit="1" customWidth="1"/>
    <col min="8460" max="8460" width="11.85546875" customWidth="1"/>
    <col min="8461" max="8461" width="7.7109375" customWidth="1"/>
    <col min="8705" max="8705" width="35.42578125" customWidth="1"/>
    <col min="8706" max="8706" width="10.140625" customWidth="1"/>
    <col min="8707" max="8707" width="11.140625" customWidth="1"/>
    <col min="8708" max="8708" width="12.42578125" customWidth="1"/>
    <col min="8709" max="8709" width="11.85546875" customWidth="1"/>
    <col min="8710" max="8710" width="12.42578125" customWidth="1"/>
    <col min="8711" max="8711" width="14.140625" customWidth="1"/>
    <col min="8712" max="8712" width="11.85546875" customWidth="1"/>
    <col min="8713" max="8713" width="11.7109375" customWidth="1"/>
    <col min="8714" max="8714" width="14.28515625" customWidth="1"/>
    <col min="8715" max="8715" width="9.42578125" bestFit="1" customWidth="1"/>
    <col min="8716" max="8716" width="11.85546875" customWidth="1"/>
    <col min="8717" max="8717" width="7.7109375" customWidth="1"/>
    <col min="8961" max="8961" width="35.42578125" customWidth="1"/>
    <col min="8962" max="8962" width="10.140625" customWidth="1"/>
    <col min="8963" max="8963" width="11.140625" customWidth="1"/>
    <col min="8964" max="8964" width="12.42578125" customWidth="1"/>
    <col min="8965" max="8965" width="11.85546875" customWidth="1"/>
    <col min="8966" max="8966" width="12.42578125" customWidth="1"/>
    <col min="8967" max="8967" width="14.140625" customWidth="1"/>
    <col min="8968" max="8968" width="11.85546875" customWidth="1"/>
    <col min="8969" max="8969" width="11.7109375" customWidth="1"/>
    <col min="8970" max="8970" width="14.28515625" customWidth="1"/>
    <col min="8971" max="8971" width="9.42578125" bestFit="1" customWidth="1"/>
    <col min="8972" max="8972" width="11.85546875" customWidth="1"/>
    <col min="8973" max="8973" width="7.7109375" customWidth="1"/>
    <col min="9217" max="9217" width="35.42578125" customWidth="1"/>
    <col min="9218" max="9218" width="10.140625" customWidth="1"/>
    <col min="9219" max="9219" width="11.140625" customWidth="1"/>
    <col min="9220" max="9220" width="12.42578125" customWidth="1"/>
    <col min="9221" max="9221" width="11.85546875" customWidth="1"/>
    <col min="9222" max="9222" width="12.42578125" customWidth="1"/>
    <col min="9223" max="9223" width="14.140625" customWidth="1"/>
    <col min="9224" max="9224" width="11.85546875" customWidth="1"/>
    <col min="9225" max="9225" width="11.7109375" customWidth="1"/>
    <col min="9226" max="9226" width="14.28515625" customWidth="1"/>
    <col min="9227" max="9227" width="9.42578125" bestFit="1" customWidth="1"/>
    <col min="9228" max="9228" width="11.85546875" customWidth="1"/>
    <col min="9229" max="9229" width="7.7109375" customWidth="1"/>
    <col min="9473" max="9473" width="35.42578125" customWidth="1"/>
    <col min="9474" max="9474" width="10.140625" customWidth="1"/>
    <col min="9475" max="9475" width="11.140625" customWidth="1"/>
    <col min="9476" max="9476" width="12.42578125" customWidth="1"/>
    <col min="9477" max="9477" width="11.85546875" customWidth="1"/>
    <col min="9478" max="9478" width="12.42578125" customWidth="1"/>
    <col min="9479" max="9479" width="14.140625" customWidth="1"/>
    <col min="9480" max="9480" width="11.85546875" customWidth="1"/>
    <col min="9481" max="9481" width="11.7109375" customWidth="1"/>
    <col min="9482" max="9482" width="14.28515625" customWidth="1"/>
    <col min="9483" max="9483" width="9.42578125" bestFit="1" customWidth="1"/>
    <col min="9484" max="9484" width="11.85546875" customWidth="1"/>
    <col min="9485" max="9485" width="7.7109375" customWidth="1"/>
    <col min="9729" max="9729" width="35.42578125" customWidth="1"/>
    <col min="9730" max="9730" width="10.140625" customWidth="1"/>
    <col min="9731" max="9731" width="11.140625" customWidth="1"/>
    <col min="9732" max="9732" width="12.42578125" customWidth="1"/>
    <col min="9733" max="9733" width="11.85546875" customWidth="1"/>
    <col min="9734" max="9734" width="12.42578125" customWidth="1"/>
    <col min="9735" max="9735" width="14.140625" customWidth="1"/>
    <col min="9736" max="9736" width="11.85546875" customWidth="1"/>
    <col min="9737" max="9737" width="11.7109375" customWidth="1"/>
    <col min="9738" max="9738" width="14.28515625" customWidth="1"/>
    <col min="9739" max="9739" width="9.42578125" bestFit="1" customWidth="1"/>
    <col min="9740" max="9740" width="11.85546875" customWidth="1"/>
    <col min="9741" max="9741" width="7.7109375" customWidth="1"/>
    <col min="9985" max="9985" width="35.42578125" customWidth="1"/>
    <col min="9986" max="9986" width="10.140625" customWidth="1"/>
    <col min="9987" max="9987" width="11.140625" customWidth="1"/>
    <col min="9988" max="9988" width="12.42578125" customWidth="1"/>
    <col min="9989" max="9989" width="11.85546875" customWidth="1"/>
    <col min="9990" max="9990" width="12.42578125" customWidth="1"/>
    <col min="9991" max="9991" width="14.140625" customWidth="1"/>
    <col min="9992" max="9992" width="11.85546875" customWidth="1"/>
    <col min="9993" max="9993" width="11.7109375" customWidth="1"/>
    <col min="9994" max="9994" width="14.28515625" customWidth="1"/>
    <col min="9995" max="9995" width="9.42578125" bestFit="1" customWidth="1"/>
    <col min="9996" max="9996" width="11.85546875" customWidth="1"/>
    <col min="9997" max="9997" width="7.7109375" customWidth="1"/>
    <col min="10241" max="10241" width="35.42578125" customWidth="1"/>
    <col min="10242" max="10242" width="10.140625" customWidth="1"/>
    <col min="10243" max="10243" width="11.140625" customWidth="1"/>
    <col min="10244" max="10244" width="12.42578125" customWidth="1"/>
    <col min="10245" max="10245" width="11.85546875" customWidth="1"/>
    <col min="10246" max="10246" width="12.42578125" customWidth="1"/>
    <col min="10247" max="10247" width="14.140625" customWidth="1"/>
    <col min="10248" max="10248" width="11.85546875" customWidth="1"/>
    <col min="10249" max="10249" width="11.7109375" customWidth="1"/>
    <col min="10250" max="10250" width="14.28515625" customWidth="1"/>
    <col min="10251" max="10251" width="9.42578125" bestFit="1" customWidth="1"/>
    <col min="10252" max="10252" width="11.85546875" customWidth="1"/>
    <col min="10253" max="10253" width="7.7109375" customWidth="1"/>
    <col min="10497" max="10497" width="35.42578125" customWidth="1"/>
    <col min="10498" max="10498" width="10.140625" customWidth="1"/>
    <col min="10499" max="10499" width="11.140625" customWidth="1"/>
    <col min="10500" max="10500" width="12.42578125" customWidth="1"/>
    <col min="10501" max="10501" width="11.85546875" customWidth="1"/>
    <col min="10502" max="10502" width="12.42578125" customWidth="1"/>
    <col min="10503" max="10503" width="14.140625" customWidth="1"/>
    <col min="10504" max="10504" width="11.85546875" customWidth="1"/>
    <col min="10505" max="10505" width="11.7109375" customWidth="1"/>
    <col min="10506" max="10506" width="14.28515625" customWidth="1"/>
    <col min="10507" max="10507" width="9.42578125" bestFit="1" customWidth="1"/>
    <col min="10508" max="10508" width="11.85546875" customWidth="1"/>
    <col min="10509" max="10509" width="7.7109375" customWidth="1"/>
    <col min="10753" max="10753" width="35.42578125" customWidth="1"/>
    <col min="10754" max="10754" width="10.140625" customWidth="1"/>
    <col min="10755" max="10755" width="11.140625" customWidth="1"/>
    <col min="10756" max="10756" width="12.42578125" customWidth="1"/>
    <col min="10757" max="10757" width="11.85546875" customWidth="1"/>
    <col min="10758" max="10758" width="12.42578125" customWidth="1"/>
    <col min="10759" max="10759" width="14.140625" customWidth="1"/>
    <col min="10760" max="10760" width="11.85546875" customWidth="1"/>
    <col min="10761" max="10761" width="11.7109375" customWidth="1"/>
    <col min="10762" max="10762" width="14.28515625" customWidth="1"/>
    <col min="10763" max="10763" width="9.42578125" bestFit="1" customWidth="1"/>
    <col min="10764" max="10764" width="11.85546875" customWidth="1"/>
    <col min="10765" max="10765" width="7.7109375" customWidth="1"/>
    <col min="11009" max="11009" width="35.42578125" customWidth="1"/>
    <col min="11010" max="11010" width="10.140625" customWidth="1"/>
    <col min="11011" max="11011" width="11.140625" customWidth="1"/>
    <col min="11012" max="11012" width="12.42578125" customWidth="1"/>
    <col min="11013" max="11013" width="11.85546875" customWidth="1"/>
    <col min="11014" max="11014" width="12.42578125" customWidth="1"/>
    <col min="11015" max="11015" width="14.140625" customWidth="1"/>
    <col min="11016" max="11016" width="11.85546875" customWidth="1"/>
    <col min="11017" max="11017" width="11.7109375" customWidth="1"/>
    <col min="11018" max="11018" width="14.28515625" customWidth="1"/>
    <col min="11019" max="11019" width="9.42578125" bestFit="1" customWidth="1"/>
    <col min="11020" max="11020" width="11.85546875" customWidth="1"/>
    <col min="11021" max="11021" width="7.7109375" customWidth="1"/>
    <col min="11265" max="11265" width="35.42578125" customWidth="1"/>
    <col min="11266" max="11266" width="10.140625" customWidth="1"/>
    <col min="11267" max="11267" width="11.140625" customWidth="1"/>
    <col min="11268" max="11268" width="12.42578125" customWidth="1"/>
    <col min="11269" max="11269" width="11.85546875" customWidth="1"/>
    <col min="11270" max="11270" width="12.42578125" customWidth="1"/>
    <col min="11271" max="11271" width="14.140625" customWidth="1"/>
    <col min="11272" max="11272" width="11.85546875" customWidth="1"/>
    <col min="11273" max="11273" width="11.7109375" customWidth="1"/>
    <col min="11274" max="11274" width="14.28515625" customWidth="1"/>
    <col min="11275" max="11275" width="9.42578125" bestFit="1" customWidth="1"/>
    <col min="11276" max="11276" width="11.85546875" customWidth="1"/>
    <col min="11277" max="11277" width="7.7109375" customWidth="1"/>
    <col min="11521" max="11521" width="35.42578125" customWidth="1"/>
    <col min="11522" max="11522" width="10.140625" customWidth="1"/>
    <col min="11523" max="11523" width="11.140625" customWidth="1"/>
    <col min="11524" max="11524" width="12.42578125" customWidth="1"/>
    <col min="11525" max="11525" width="11.85546875" customWidth="1"/>
    <col min="11526" max="11526" width="12.42578125" customWidth="1"/>
    <col min="11527" max="11527" width="14.140625" customWidth="1"/>
    <col min="11528" max="11528" width="11.85546875" customWidth="1"/>
    <col min="11529" max="11529" width="11.7109375" customWidth="1"/>
    <col min="11530" max="11530" width="14.28515625" customWidth="1"/>
    <col min="11531" max="11531" width="9.42578125" bestFit="1" customWidth="1"/>
    <col min="11532" max="11532" width="11.85546875" customWidth="1"/>
    <col min="11533" max="11533" width="7.7109375" customWidth="1"/>
    <col min="11777" max="11777" width="35.42578125" customWidth="1"/>
    <col min="11778" max="11778" width="10.140625" customWidth="1"/>
    <col min="11779" max="11779" width="11.140625" customWidth="1"/>
    <col min="11780" max="11780" width="12.42578125" customWidth="1"/>
    <col min="11781" max="11781" width="11.85546875" customWidth="1"/>
    <col min="11782" max="11782" width="12.42578125" customWidth="1"/>
    <col min="11783" max="11783" width="14.140625" customWidth="1"/>
    <col min="11784" max="11784" width="11.85546875" customWidth="1"/>
    <col min="11785" max="11785" width="11.7109375" customWidth="1"/>
    <col min="11786" max="11786" width="14.28515625" customWidth="1"/>
    <col min="11787" max="11787" width="9.42578125" bestFit="1" customWidth="1"/>
    <col min="11788" max="11788" width="11.85546875" customWidth="1"/>
    <col min="11789" max="11789" width="7.7109375" customWidth="1"/>
    <col min="12033" max="12033" width="35.42578125" customWidth="1"/>
    <col min="12034" max="12034" width="10.140625" customWidth="1"/>
    <col min="12035" max="12035" width="11.140625" customWidth="1"/>
    <col min="12036" max="12036" width="12.42578125" customWidth="1"/>
    <col min="12037" max="12037" width="11.85546875" customWidth="1"/>
    <col min="12038" max="12038" width="12.42578125" customWidth="1"/>
    <col min="12039" max="12039" width="14.140625" customWidth="1"/>
    <col min="12040" max="12040" width="11.85546875" customWidth="1"/>
    <col min="12041" max="12041" width="11.7109375" customWidth="1"/>
    <col min="12042" max="12042" width="14.28515625" customWidth="1"/>
    <col min="12043" max="12043" width="9.42578125" bestFit="1" customWidth="1"/>
    <col min="12044" max="12044" width="11.85546875" customWidth="1"/>
    <col min="12045" max="12045" width="7.7109375" customWidth="1"/>
    <col min="12289" max="12289" width="35.42578125" customWidth="1"/>
    <col min="12290" max="12290" width="10.140625" customWidth="1"/>
    <col min="12291" max="12291" width="11.140625" customWidth="1"/>
    <col min="12292" max="12292" width="12.42578125" customWidth="1"/>
    <col min="12293" max="12293" width="11.85546875" customWidth="1"/>
    <col min="12294" max="12294" width="12.42578125" customWidth="1"/>
    <col min="12295" max="12295" width="14.140625" customWidth="1"/>
    <col min="12296" max="12296" width="11.85546875" customWidth="1"/>
    <col min="12297" max="12297" width="11.7109375" customWidth="1"/>
    <col min="12298" max="12298" width="14.28515625" customWidth="1"/>
    <col min="12299" max="12299" width="9.42578125" bestFit="1" customWidth="1"/>
    <col min="12300" max="12300" width="11.85546875" customWidth="1"/>
    <col min="12301" max="12301" width="7.7109375" customWidth="1"/>
    <col min="12545" max="12545" width="35.42578125" customWidth="1"/>
    <col min="12546" max="12546" width="10.140625" customWidth="1"/>
    <col min="12547" max="12547" width="11.140625" customWidth="1"/>
    <col min="12548" max="12548" width="12.42578125" customWidth="1"/>
    <col min="12549" max="12549" width="11.85546875" customWidth="1"/>
    <col min="12550" max="12550" width="12.42578125" customWidth="1"/>
    <col min="12551" max="12551" width="14.140625" customWidth="1"/>
    <col min="12552" max="12552" width="11.85546875" customWidth="1"/>
    <col min="12553" max="12553" width="11.7109375" customWidth="1"/>
    <col min="12554" max="12554" width="14.28515625" customWidth="1"/>
    <col min="12555" max="12555" width="9.42578125" bestFit="1" customWidth="1"/>
    <col min="12556" max="12556" width="11.85546875" customWidth="1"/>
    <col min="12557" max="12557" width="7.7109375" customWidth="1"/>
    <col min="12801" max="12801" width="35.42578125" customWidth="1"/>
    <col min="12802" max="12802" width="10.140625" customWidth="1"/>
    <col min="12803" max="12803" width="11.140625" customWidth="1"/>
    <col min="12804" max="12804" width="12.42578125" customWidth="1"/>
    <col min="12805" max="12805" width="11.85546875" customWidth="1"/>
    <col min="12806" max="12806" width="12.42578125" customWidth="1"/>
    <col min="12807" max="12807" width="14.140625" customWidth="1"/>
    <col min="12808" max="12808" width="11.85546875" customWidth="1"/>
    <col min="12809" max="12809" width="11.7109375" customWidth="1"/>
    <col min="12810" max="12810" width="14.28515625" customWidth="1"/>
    <col min="12811" max="12811" width="9.42578125" bestFit="1" customWidth="1"/>
    <col min="12812" max="12812" width="11.85546875" customWidth="1"/>
    <col min="12813" max="12813" width="7.7109375" customWidth="1"/>
    <col min="13057" max="13057" width="35.42578125" customWidth="1"/>
    <col min="13058" max="13058" width="10.140625" customWidth="1"/>
    <col min="13059" max="13059" width="11.140625" customWidth="1"/>
    <col min="13060" max="13060" width="12.42578125" customWidth="1"/>
    <col min="13061" max="13061" width="11.85546875" customWidth="1"/>
    <col min="13062" max="13062" width="12.42578125" customWidth="1"/>
    <col min="13063" max="13063" width="14.140625" customWidth="1"/>
    <col min="13064" max="13064" width="11.85546875" customWidth="1"/>
    <col min="13065" max="13065" width="11.7109375" customWidth="1"/>
    <col min="13066" max="13066" width="14.28515625" customWidth="1"/>
    <col min="13067" max="13067" width="9.42578125" bestFit="1" customWidth="1"/>
    <col min="13068" max="13068" width="11.85546875" customWidth="1"/>
    <col min="13069" max="13069" width="7.7109375" customWidth="1"/>
    <col min="13313" max="13313" width="35.42578125" customWidth="1"/>
    <col min="13314" max="13314" width="10.140625" customWidth="1"/>
    <col min="13315" max="13315" width="11.140625" customWidth="1"/>
    <col min="13316" max="13316" width="12.42578125" customWidth="1"/>
    <col min="13317" max="13317" width="11.85546875" customWidth="1"/>
    <col min="13318" max="13318" width="12.42578125" customWidth="1"/>
    <col min="13319" max="13319" width="14.140625" customWidth="1"/>
    <col min="13320" max="13320" width="11.85546875" customWidth="1"/>
    <col min="13321" max="13321" width="11.7109375" customWidth="1"/>
    <col min="13322" max="13322" width="14.28515625" customWidth="1"/>
    <col min="13323" max="13323" width="9.42578125" bestFit="1" customWidth="1"/>
    <col min="13324" max="13324" width="11.85546875" customWidth="1"/>
    <col min="13325" max="13325" width="7.7109375" customWidth="1"/>
    <col min="13569" max="13569" width="35.42578125" customWidth="1"/>
    <col min="13570" max="13570" width="10.140625" customWidth="1"/>
    <col min="13571" max="13571" width="11.140625" customWidth="1"/>
    <col min="13572" max="13572" width="12.42578125" customWidth="1"/>
    <col min="13573" max="13573" width="11.85546875" customWidth="1"/>
    <col min="13574" max="13574" width="12.42578125" customWidth="1"/>
    <col min="13575" max="13575" width="14.140625" customWidth="1"/>
    <col min="13576" max="13576" width="11.85546875" customWidth="1"/>
    <col min="13577" max="13577" width="11.7109375" customWidth="1"/>
    <col min="13578" max="13578" width="14.28515625" customWidth="1"/>
    <col min="13579" max="13579" width="9.42578125" bestFit="1" customWidth="1"/>
    <col min="13580" max="13580" width="11.85546875" customWidth="1"/>
    <col min="13581" max="13581" width="7.7109375" customWidth="1"/>
    <col min="13825" max="13825" width="35.42578125" customWidth="1"/>
    <col min="13826" max="13826" width="10.140625" customWidth="1"/>
    <col min="13827" max="13827" width="11.140625" customWidth="1"/>
    <col min="13828" max="13828" width="12.42578125" customWidth="1"/>
    <col min="13829" max="13829" width="11.85546875" customWidth="1"/>
    <col min="13830" max="13830" width="12.42578125" customWidth="1"/>
    <col min="13831" max="13831" width="14.140625" customWidth="1"/>
    <col min="13832" max="13832" width="11.85546875" customWidth="1"/>
    <col min="13833" max="13833" width="11.7109375" customWidth="1"/>
    <col min="13834" max="13834" width="14.28515625" customWidth="1"/>
    <col min="13835" max="13835" width="9.42578125" bestFit="1" customWidth="1"/>
    <col min="13836" max="13836" width="11.85546875" customWidth="1"/>
    <col min="13837" max="13837" width="7.7109375" customWidth="1"/>
    <col min="14081" max="14081" width="35.42578125" customWidth="1"/>
    <col min="14082" max="14082" width="10.140625" customWidth="1"/>
    <col min="14083" max="14083" width="11.140625" customWidth="1"/>
    <col min="14084" max="14084" width="12.42578125" customWidth="1"/>
    <col min="14085" max="14085" width="11.85546875" customWidth="1"/>
    <col min="14086" max="14086" width="12.42578125" customWidth="1"/>
    <col min="14087" max="14087" width="14.140625" customWidth="1"/>
    <col min="14088" max="14088" width="11.85546875" customWidth="1"/>
    <col min="14089" max="14089" width="11.7109375" customWidth="1"/>
    <col min="14090" max="14090" width="14.28515625" customWidth="1"/>
    <col min="14091" max="14091" width="9.42578125" bestFit="1" customWidth="1"/>
    <col min="14092" max="14092" width="11.85546875" customWidth="1"/>
    <col min="14093" max="14093" width="7.7109375" customWidth="1"/>
    <col min="14337" max="14337" width="35.42578125" customWidth="1"/>
    <col min="14338" max="14338" width="10.140625" customWidth="1"/>
    <col min="14339" max="14339" width="11.140625" customWidth="1"/>
    <col min="14340" max="14340" width="12.42578125" customWidth="1"/>
    <col min="14341" max="14341" width="11.85546875" customWidth="1"/>
    <col min="14342" max="14342" width="12.42578125" customWidth="1"/>
    <col min="14343" max="14343" width="14.140625" customWidth="1"/>
    <col min="14344" max="14344" width="11.85546875" customWidth="1"/>
    <col min="14345" max="14345" width="11.7109375" customWidth="1"/>
    <col min="14346" max="14346" width="14.28515625" customWidth="1"/>
    <col min="14347" max="14347" width="9.42578125" bestFit="1" customWidth="1"/>
    <col min="14348" max="14348" width="11.85546875" customWidth="1"/>
    <col min="14349" max="14349" width="7.7109375" customWidth="1"/>
    <col min="14593" max="14593" width="35.42578125" customWidth="1"/>
    <col min="14594" max="14594" width="10.140625" customWidth="1"/>
    <col min="14595" max="14595" width="11.140625" customWidth="1"/>
    <col min="14596" max="14596" width="12.42578125" customWidth="1"/>
    <col min="14597" max="14597" width="11.85546875" customWidth="1"/>
    <col min="14598" max="14598" width="12.42578125" customWidth="1"/>
    <col min="14599" max="14599" width="14.140625" customWidth="1"/>
    <col min="14600" max="14600" width="11.85546875" customWidth="1"/>
    <col min="14601" max="14601" width="11.7109375" customWidth="1"/>
    <col min="14602" max="14602" width="14.28515625" customWidth="1"/>
    <col min="14603" max="14603" width="9.42578125" bestFit="1" customWidth="1"/>
    <col min="14604" max="14604" width="11.85546875" customWidth="1"/>
    <col min="14605" max="14605" width="7.7109375" customWidth="1"/>
    <col min="14849" max="14849" width="35.42578125" customWidth="1"/>
    <col min="14850" max="14850" width="10.140625" customWidth="1"/>
    <col min="14851" max="14851" width="11.140625" customWidth="1"/>
    <col min="14852" max="14852" width="12.42578125" customWidth="1"/>
    <col min="14853" max="14853" width="11.85546875" customWidth="1"/>
    <col min="14854" max="14854" width="12.42578125" customWidth="1"/>
    <col min="14855" max="14855" width="14.140625" customWidth="1"/>
    <col min="14856" max="14856" width="11.85546875" customWidth="1"/>
    <col min="14857" max="14857" width="11.7109375" customWidth="1"/>
    <col min="14858" max="14858" width="14.28515625" customWidth="1"/>
    <col min="14859" max="14859" width="9.42578125" bestFit="1" customWidth="1"/>
    <col min="14860" max="14860" width="11.85546875" customWidth="1"/>
    <col min="14861" max="14861" width="7.7109375" customWidth="1"/>
    <col min="15105" max="15105" width="35.42578125" customWidth="1"/>
    <col min="15106" max="15106" width="10.140625" customWidth="1"/>
    <col min="15107" max="15107" width="11.140625" customWidth="1"/>
    <col min="15108" max="15108" width="12.42578125" customWidth="1"/>
    <col min="15109" max="15109" width="11.85546875" customWidth="1"/>
    <col min="15110" max="15110" width="12.42578125" customWidth="1"/>
    <col min="15111" max="15111" width="14.140625" customWidth="1"/>
    <col min="15112" max="15112" width="11.85546875" customWidth="1"/>
    <col min="15113" max="15113" width="11.7109375" customWidth="1"/>
    <col min="15114" max="15114" width="14.28515625" customWidth="1"/>
    <col min="15115" max="15115" width="9.42578125" bestFit="1" customWidth="1"/>
    <col min="15116" max="15116" width="11.85546875" customWidth="1"/>
    <col min="15117" max="15117" width="7.7109375" customWidth="1"/>
    <col min="15361" max="15361" width="35.42578125" customWidth="1"/>
    <col min="15362" max="15362" width="10.140625" customWidth="1"/>
    <col min="15363" max="15363" width="11.140625" customWidth="1"/>
    <col min="15364" max="15364" width="12.42578125" customWidth="1"/>
    <col min="15365" max="15365" width="11.85546875" customWidth="1"/>
    <col min="15366" max="15366" width="12.42578125" customWidth="1"/>
    <col min="15367" max="15367" width="14.140625" customWidth="1"/>
    <col min="15368" max="15368" width="11.85546875" customWidth="1"/>
    <col min="15369" max="15369" width="11.7109375" customWidth="1"/>
    <col min="15370" max="15370" width="14.28515625" customWidth="1"/>
    <col min="15371" max="15371" width="9.42578125" bestFit="1" customWidth="1"/>
    <col min="15372" max="15372" width="11.85546875" customWidth="1"/>
    <col min="15373" max="15373" width="7.7109375" customWidth="1"/>
    <col min="15617" max="15617" width="35.42578125" customWidth="1"/>
    <col min="15618" max="15618" width="10.140625" customWidth="1"/>
    <col min="15619" max="15619" width="11.140625" customWidth="1"/>
    <col min="15620" max="15620" width="12.42578125" customWidth="1"/>
    <col min="15621" max="15621" width="11.85546875" customWidth="1"/>
    <col min="15622" max="15622" width="12.42578125" customWidth="1"/>
    <col min="15623" max="15623" width="14.140625" customWidth="1"/>
    <col min="15624" max="15624" width="11.85546875" customWidth="1"/>
    <col min="15625" max="15625" width="11.7109375" customWidth="1"/>
    <col min="15626" max="15626" width="14.28515625" customWidth="1"/>
    <col min="15627" max="15627" width="9.42578125" bestFit="1" customWidth="1"/>
    <col min="15628" max="15628" width="11.85546875" customWidth="1"/>
    <col min="15629" max="15629" width="7.7109375" customWidth="1"/>
    <col min="15873" max="15873" width="35.42578125" customWidth="1"/>
    <col min="15874" max="15874" width="10.140625" customWidth="1"/>
    <col min="15875" max="15875" width="11.140625" customWidth="1"/>
    <col min="15876" max="15876" width="12.42578125" customWidth="1"/>
    <col min="15877" max="15877" width="11.85546875" customWidth="1"/>
    <col min="15878" max="15878" width="12.42578125" customWidth="1"/>
    <col min="15879" max="15879" width="14.140625" customWidth="1"/>
    <col min="15880" max="15880" width="11.85546875" customWidth="1"/>
    <col min="15881" max="15881" width="11.7109375" customWidth="1"/>
    <col min="15882" max="15882" width="14.28515625" customWidth="1"/>
    <col min="15883" max="15883" width="9.42578125" bestFit="1" customWidth="1"/>
    <col min="15884" max="15884" width="11.85546875" customWidth="1"/>
    <col min="15885" max="15885" width="7.7109375" customWidth="1"/>
    <col min="16129" max="16129" width="35.42578125" customWidth="1"/>
    <col min="16130" max="16130" width="10.140625" customWidth="1"/>
    <col min="16131" max="16131" width="11.140625" customWidth="1"/>
    <col min="16132" max="16132" width="12.42578125" customWidth="1"/>
    <col min="16133" max="16133" width="11.85546875" customWidth="1"/>
    <col min="16134" max="16134" width="12.42578125" customWidth="1"/>
    <col min="16135" max="16135" width="14.140625" customWidth="1"/>
    <col min="16136" max="16136" width="11.85546875" customWidth="1"/>
    <col min="16137" max="16137" width="11.7109375" customWidth="1"/>
    <col min="16138" max="16138" width="14.28515625" customWidth="1"/>
    <col min="16139" max="16139" width="9.42578125" bestFit="1" customWidth="1"/>
    <col min="16140" max="16140" width="11.85546875" customWidth="1"/>
    <col min="16141" max="16141" width="7.7109375" customWidth="1"/>
  </cols>
  <sheetData>
    <row r="1" spans="1:14">
      <c r="A1" s="1003" t="s">
        <v>167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</row>
    <row r="2" spans="1:14">
      <c r="A2" s="1003" t="s">
        <v>168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</row>
    <row r="3" spans="1:14" ht="26.25" customHeight="1">
      <c r="A3" s="677" t="s">
        <v>2822</v>
      </c>
      <c r="B3" s="995" t="s">
        <v>2882</v>
      </c>
      <c r="C3" s="995"/>
      <c r="D3" s="995"/>
      <c r="E3" s="995"/>
      <c r="F3" s="1492" t="s">
        <v>171</v>
      </c>
      <c r="G3" s="1492"/>
      <c r="H3" s="1514" t="s">
        <v>2883</v>
      </c>
      <c r="I3" s="1514"/>
      <c r="J3" s="677" t="s">
        <v>5</v>
      </c>
      <c r="K3" s="80">
        <v>500</v>
      </c>
      <c r="L3" s="1504" t="s">
        <v>2860</v>
      </c>
      <c r="M3" s="1505"/>
      <c r="N3" s="80">
        <v>30</v>
      </c>
    </row>
    <row r="4" spans="1:14">
      <c r="A4" s="808" t="s">
        <v>4176</v>
      </c>
      <c r="B4" s="808"/>
      <c r="C4" s="808"/>
      <c r="D4" s="672"/>
      <c r="E4" s="672"/>
    </row>
    <row r="5" spans="1:14" ht="26.25" customHeight="1">
      <c r="A5" s="677" t="s">
        <v>2825</v>
      </c>
      <c r="B5" s="995" t="s">
        <v>2884</v>
      </c>
      <c r="C5" s="995"/>
      <c r="D5" s="995"/>
      <c r="E5" s="995"/>
      <c r="F5" s="1492" t="s">
        <v>2827</v>
      </c>
      <c r="G5" s="1492"/>
      <c r="H5" s="995" t="s">
        <v>2885</v>
      </c>
      <c r="I5" s="995"/>
      <c r="J5" s="995"/>
    </row>
    <row r="6" spans="1:14">
      <c r="B6" s="672"/>
      <c r="C6" s="672"/>
      <c r="D6" s="672"/>
      <c r="E6" s="672"/>
    </row>
    <row r="7" spans="1:14" ht="33" customHeight="1">
      <c r="A7" s="677" t="s">
        <v>178</v>
      </c>
      <c r="B7" s="995"/>
      <c r="C7" s="995"/>
      <c r="D7" s="995"/>
      <c r="E7" s="995"/>
      <c r="F7" s="1481" t="s">
        <v>2829</v>
      </c>
      <c r="G7" s="1481"/>
      <c r="H7" s="1515" t="s">
        <v>2886</v>
      </c>
      <c r="I7" s="1506"/>
      <c r="J7" s="1506"/>
      <c r="K7" s="1506"/>
    </row>
    <row r="9" spans="1:14" ht="26.25" customHeight="1">
      <c r="A9" s="677" t="s">
        <v>1909</v>
      </c>
      <c r="B9" s="995" t="s">
        <v>2887</v>
      </c>
      <c r="C9" s="995"/>
      <c r="D9" s="995" t="s">
        <v>2888</v>
      </c>
      <c r="E9" s="995"/>
      <c r="F9" s="995"/>
      <c r="G9" s="995" t="s">
        <v>2889</v>
      </c>
      <c r="H9" s="995"/>
      <c r="I9" s="995"/>
      <c r="J9" s="1488"/>
      <c r="K9" s="1488"/>
      <c r="L9" s="1488"/>
    </row>
    <row r="10" spans="1:14" ht="26.25" customHeight="1">
      <c r="A10" s="677" t="s">
        <v>187</v>
      </c>
      <c r="B10" s="995" t="s">
        <v>2890</v>
      </c>
      <c r="C10" s="995"/>
      <c r="D10" s="995" t="s">
        <v>2891</v>
      </c>
      <c r="E10" s="995"/>
      <c r="F10" s="995"/>
      <c r="G10" s="995" t="s">
        <v>2892</v>
      </c>
      <c r="H10" s="995"/>
      <c r="I10" s="995"/>
      <c r="J10" s="1488"/>
      <c r="K10" s="1488"/>
      <c r="L10" s="1488"/>
    </row>
    <row r="11" spans="1:14" ht="26.25" customHeight="1">
      <c r="A11" s="677" t="s">
        <v>192</v>
      </c>
      <c r="B11" s="995" t="s">
        <v>2893</v>
      </c>
      <c r="C11" s="995"/>
      <c r="D11" s="995" t="s">
        <v>2894</v>
      </c>
      <c r="E11" s="995"/>
      <c r="F11" s="995"/>
      <c r="G11" s="995" t="s">
        <v>2895</v>
      </c>
      <c r="H11" s="995"/>
      <c r="I11" s="995"/>
      <c r="J11" s="1488"/>
      <c r="K11" s="1488"/>
      <c r="L11" s="1488"/>
    </row>
    <row r="12" spans="1:14" ht="26.25" customHeight="1">
      <c r="A12" s="677" t="s">
        <v>197</v>
      </c>
      <c r="B12" s="995"/>
      <c r="C12" s="995"/>
      <c r="D12" s="995"/>
      <c r="E12" s="995"/>
      <c r="F12" s="995"/>
      <c r="G12" s="1488"/>
      <c r="H12" s="1488"/>
      <c r="I12" s="1488"/>
      <c r="J12" s="1488"/>
      <c r="K12" s="1488"/>
      <c r="L12" s="1488"/>
    </row>
    <row r="14" spans="1:14" ht="26.25" customHeight="1">
      <c r="A14" s="677" t="s">
        <v>198</v>
      </c>
      <c r="B14" s="80">
        <v>4</v>
      </c>
      <c r="C14" s="1492" t="s">
        <v>2838</v>
      </c>
      <c r="D14" s="1492"/>
      <c r="E14" s="1492"/>
      <c r="F14" s="80">
        <v>2</v>
      </c>
      <c r="G14" s="677" t="s">
        <v>1491</v>
      </c>
      <c r="H14" s="80">
        <v>17</v>
      </c>
      <c r="I14" s="700" t="s">
        <v>201</v>
      </c>
      <c r="J14" s="80">
        <v>2</v>
      </c>
      <c r="K14" s="697" t="s">
        <v>1386</v>
      </c>
      <c r="L14" s="80">
        <v>1</v>
      </c>
    </row>
    <row r="15" spans="1:14">
      <c r="B15" s="295"/>
    </row>
    <row r="16" spans="1:14" ht="26.25" customHeight="1">
      <c r="A16" s="674" t="s">
        <v>646</v>
      </c>
      <c r="B16" s="677" t="s">
        <v>204</v>
      </c>
      <c r="C16" s="80">
        <v>167</v>
      </c>
      <c r="D16" s="677" t="s">
        <v>205</v>
      </c>
      <c r="E16" s="80">
        <v>7</v>
      </c>
      <c r="F16" s="677" t="s">
        <v>206</v>
      </c>
      <c r="G16" s="80">
        <v>43</v>
      </c>
      <c r="H16" s="677" t="s">
        <v>230</v>
      </c>
      <c r="I16" s="80">
        <v>217</v>
      </c>
      <c r="J16" s="677" t="s">
        <v>207</v>
      </c>
      <c r="K16" s="80">
        <v>32</v>
      </c>
      <c r="L16" s="1504" t="s">
        <v>2881</v>
      </c>
      <c r="M16" s="1505"/>
      <c r="N16" s="80">
        <v>13</v>
      </c>
    </row>
    <row r="17" spans="1:14" ht="26.25" customHeight="1">
      <c r="A17" s="674" t="s">
        <v>2839</v>
      </c>
      <c r="B17" s="677" t="s">
        <v>210</v>
      </c>
      <c r="C17" s="80">
        <v>356</v>
      </c>
      <c r="D17" s="677" t="s">
        <v>211</v>
      </c>
      <c r="E17" s="80">
        <v>28</v>
      </c>
      <c r="F17" s="677" t="s">
        <v>212</v>
      </c>
      <c r="G17" s="80">
        <v>178</v>
      </c>
      <c r="H17" s="677" t="s">
        <v>411</v>
      </c>
      <c r="I17" s="80">
        <v>562</v>
      </c>
    </row>
    <row r="18" spans="1:14" ht="26.25" customHeight="1">
      <c r="B18" s="677" t="s">
        <v>213</v>
      </c>
      <c r="C18" s="80">
        <v>271</v>
      </c>
      <c r="D18" s="677" t="s">
        <v>214</v>
      </c>
      <c r="E18" s="80">
        <v>34</v>
      </c>
      <c r="F18" s="677" t="s">
        <v>215</v>
      </c>
      <c r="G18" s="80">
        <v>117</v>
      </c>
      <c r="H18" s="677" t="s">
        <v>410</v>
      </c>
      <c r="I18" s="80">
        <v>422</v>
      </c>
    </row>
    <row r="19" spans="1:14" s="403" customFormat="1" ht="26.25" customHeight="1">
      <c r="A19" s="69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496" t="s">
        <v>2841</v>
      </c>
      <c r="G20" s="1497"/>
      <c r="H20" s="1497"/>
      <c r="I20" s="1497"/>
      <c r="J20" s="1497"/>
      <c r="K20" s="1497"/>
      <c r="L20" s="1497"/>
      <c r="M20" s="1497"/>
      <c r="N20" s="1498"/>
    </row>
    <row r="21" spans="1:14" ht="26.25" customHeight="1">
      <c r="A21" s="1508"/>
      <c r="B21" s="1509"/>
      <c r="C21" s="1510"/>
      <c r="D21" s="1511"/>
      <c r="E21" s="1511"/>
      <c r="F21" s="693">
        <v>1</v>
      </c>
      <c r="G21" s="693">
        <v>2</v>
      </c>
      <c r="H21" s="693">
        <v>3</v>
      </c>
      <c r="I21" s="693">
        <v>4</v>
      </c>
      <c r="J21" s="693">
        <v>5</v>
      </c>
      <c r="K21" s="693">
        <v>6</v>
      </c>
      <c r="L21" s="693">
        <v>7</v>
      </c>
      <c r="M21" s="693" t="s">
        <v>230</v>
      </c>
      <c r="N21" s="693" t="s">
        <v>231</v>
      </c>
    </row>
    <row r="22" spans="1:14" ht="26.25" customHeight="1">
      <c r="A22" s="684" t="s">
        <v>232</v>
      </c>
      <c r="B22" s="296">
        <v>8000</v>
      </c>
      <c r="C22" s="687" t="s">
        <v>233</v>
      </c>
      <c r="D22" s="297">
        <f>B22*490/100000</f>
        <v>39.200000000000003</v>
      </c>
      <c r="E22" s="296">
        <v>3.9842300000000002</v>
      </c>
      <c r="F22" s="686">
        <v>0</v>
      </c>
      <c r="G22" s="701">
        <v>0</v>
      </c>
      <c r="H22" s="701">
        <v>1.2</v>
      </c>
      <c r="I22" s="687"/>
      <c r="J22" s="687"/>
      <c r="K22" s="687"/>
      <c r="L22" s="687"/>
      <c r="M22" s="702">
        <f>F22+G22+H22</f>
        <v>1.2</v>
      </c>
      <c r="N22" s="703">
        <v>0.3</v>
      </c>
    </row>
    <row r="23" spans="1:14" ht="26.25" customHeight="1">
      <c r="A23" s="684" t="s">
        <v>2842</v>
      </c>
      <c r="B23" s="296">
        <v>1120</v>
      </c>
      <c r="C23" s="687" t="s">
        <v>233</v>
      </c>
      <c r="D23" s="297">
        <f>B23*490/100000</f>
        <v>5.4880000000000004</v>
      </c>
      <c r="E23" s="296">
        <v>0</v>
      </c>
      <c r="F23" s="297">
        <v>0</v>
      </c>
      <c r="G23" s="303">
        <v>0</v>
      </c>
      <c r="H23" s="303">
        <v>0</v>
      </c>
      <c r="I23" s="296"/>
      <c r="J23" s="296"/>
      <c r="K23" s="296"/>
      <c r="L23" s="296"/>
      <c r="M23" s="702">
        <f t="shared" ref="M23:M30" si="0">F23+G23+H23</f>
        <v>0</v>
      </c>
      <c r="N23" s="305">
        <v>0</v>
      </c>
    </row>
    <row r="24" spans="1:14" ht="26.25" customHeight="1">
      <c r="A24" s="684" t="s">
        <v>235</v>
      </c>
      <c r="B24" s="296">
        <v>43000</v>
      </c>
      <c r="C24" s="687" t="s">
        <v>236</v>
      </c>
      <c r="D24" s="297">
        <v>0.43</v>
      </c>
      <c r="E24" s="296">
        <v>0.18</v>
      </c>
      <c r="F24" s="297">
        <v>0</v>
      </c>
      <c r="G24" s="303">
        <v>0</v>
      </c>
      <c r="H24" s="303">
        <v>0</v>
      </c>
      <c r="I24" s="296"/>
      <c r="J24" s="296"/>
      <c r="K24" s="296"/>
      <c r="L24" s="296"/>
      <c r="M24" s="702">
        <f t="shared" si="0"/>
        <v>0</v>
      </c>
      <c r="N24" s="304">
        <v>1</v>
      </c>
    </row>
    <row r="25" spans="1:14" ht="26.25" customHeight="1">
      <c r="A25" s="684" t="s">
        <v>237</v>
      </c>
      <c r="B25" s="296">
        <v>37000</v>
      </c>
      <c r="C25" s="687" t="s">
        <v>236</v>
      </c>
      <c r="D25" s="297">
        <v>0.37</v>
      </c>
      <c r="E25" s="296">
        <v>0.16</v>
      </c>
      <c r="F25" s="297">
        <v>0</v>
      </c>
      <c r="G25" s="303">
        <v>0</v>
      </c>
      <c r="H25" s="303">
        <v>0</v>
      </c>
      <c r="I25" s="296"/>
      <c r="J25" s="296"/>
      <c r="K25" s="296"/>
      <c r="L25" s="296"/>
      <c r="M25" s="702">
        <f t="shared" si="0"/>
        <v>0</v>
      </c>
      <c r="N25" s="304">
        <v>1</v>
      </c>
    </row>
    <row r="26" spans="1:14" ht="26.25" customHeight="1">
      <c r="A26" s="684" t="s">
        <v>238</v>
      </c>
      <c r="B26" s="296">
        <v>1200</v>
      </c>
      <c r="C26" s="687" t="s">
        <v>233</v>
      </c>
      <c r="D26" s="297">
        <f>B26*490/100000</f>
        <v>5.88</v>
      </c>
      <c r="E26" s="296">
        <v>2</v>
      </c>
      <c r="F26" s="297">
        <v>0</v>
      </c>
      <c r="G26" s="303">
        <v>0</v>
      </c>
      <c r="H26" s="303">
        <v>1.6835800000000001</v>
      </c>
      <c r="I26" s="296"/>
      <c r="J26" s="296"/>
      <c r="K26" s="296"/>
      <c r="L26" s="296"/>
      <c r="M26" s="702">
        <f t="shared" si="0"/>
        <v>1.6835800000000001</v>
      </c>
      <c r="N26" s="305">
        <v>84</v>
      </c>
    </row>
    <row r="27" spans="1:14" ht="26.25" customHeight="1">
      <c r="A27" s="684" t="s">
        <v>667</v>
      </c>
      <c r="B27" s="296">
        <v>565</v>
      </c>
      <c r="C27" s="687" t="s">
        <v>233</v>
      </c>
      <c r="D27" s="297">
        <f>B27*490/100000</f>
        <v>2.7685</v>
      </c>
      <c r="E27" s="296">
        <v>0.49</v>
      </c>
      <c r="F27" s="297">
        <v>0</v>
      </c>
      <c r="G27" s="303">
        <v>0</v>
      </c>
      <c r="H27" s="303">
        <v>0.13</v>
      </c>
      <c r="I27" s="296"/>
      <c r="J27" s="296"/>
      <c r="K27" s="296"/>
      <c r="L27" s="296"/>
      <c r="M27" s="702">
        <f t="shared" si="0"/>
        <v>0.13</v>
      </c>
      <c r="N27" s="306">
        <v>0.38700000000000001</v>
      </c>
    </row>
    <row r="28" spans="1:14" ht="26.25" customHeight="1">
      <c r="A28" s="684" t="s">
        <v>2843</v>
      </c>
      <c r="B28" s="296">
        <v>1000</v>
      </c>
      <c r="C28" s="687" t="s">
        <v>233</v>
      </c>
      <c r="D28" s="297">
        <f>B28*490/100000</f>
        <v>4.9000000000000004</v>
      </c>
      <c r="E28" s="296">
        <v>0</v>
      </c>
      <c r="F28" s="297">
        <v>0</v>
      </c>
      <c r="G28" s="303">
        <v>0</v>
      </c>
      <c r="H28" s="303">
        <v>0</v>
      </c>
      <c r="I28" s="296"/>
      <c r="J28" s="296"/>
      <c r="K28" s="296"/>
      <c r="L28" s="296"/>
      <c r="M28" s="702">
        <f t="shared" si="0"/>
        <v>0</v>
      </c>
      <c r="N28" s="305">
        <v>0</v>
      </c>
    </row>
    <row r="29" spans="1:14" ht="26.25" customHeight="1">
      <c r="A29" s="684" t="s">
        <v>2844</v>
      </c>
      <c r="B29" s="296">
        <v>2750</v>
      </c>
      <c r="C29" s="687" t="s">
        <v>242</v>
      </c>
      <c r="D29" s="297">
        <v>2.31</v>
      </c>
      <c r="E29" s="296">
        <v>0.33</v>
      </c>
      <c r="F29" s="297">
        <v>0</v>
      </c>
      <c r="G29" s="303">
        <v>0</v>
      </c>
      <c r="H29" s="303">
        <v>4.4999999999999998E-2</v>
      </c>
      <c r="I29" s="296"/>
      <c r="J29" s="296"/>
      <c r="K29" s="296"/>
      <c r="L29" s="296"/>
      <c r="M29" s="702">
        <f t="shared" si="0"/>
        <v>4.4999999999999998E-2</v>
      </c>
      <c r="N29" s="305">
        <v>0</v>
      </c>
    </row>
    <row r="30" spans="1:14" ht="26.25" customHeight="1">
      <c r="A30" s="684" t="s">
        <v>670</v>
      </c>
      <c r="B30" s="296">
        <v>10000</v>
      </c>
      <c r="C30" s="687" t="s">
        <v>244</v>
      </c>
      <c r="D30" s="297">
        <v>0.1</v>
      </c>
      <c r="E30" s="296">
        <v>0.02</v>
      </c>
      <c r="F30" s="297">
        <v>0</v>
      </c>
      <c r="G30" s="303">
        <v>0</v>
      </c>
      <c r="H30" s="303">
        <v>0</v>
      </c>
      <c r="I30" s="296"/>
      <c r="J30" s="296"/>
      <c r="K30" s="296"/>
      <c r="L30" s="296"/>
      <c r="M30" s="702">
        <f t="shared" si="0"/>
        <v>0</v>
      </c>
      <c r="N30" s="304">
        <v>1</v>
      </c>
    </row>
    <row r="31" spans="1:14" ht="26.25" customHeight="1">
      <c r="A31" s="694" t="s">
        <v>245</v>
      </c>
      <c r="B31" s="296">
        <f>SUM(B22:B30)</f>
        <v>104635</v>
      </c>
      <c r="C31" s="296"/>
      <c r="D31" s="297">
        <v>62.64</v>
      </c>
      <c r="E31" s="297">
        <f>SUM(E22:E30)</f>
        <v>7.1642299999999999</v>
      </c>
      <c r="F31" s="297">
        <f>SUM(F22:F30)</f>
        <v>0</v>
      </c>
      <c r="G31" s="297">
        <f t="shared" ref="G31:M31" si="1">SUM(G22:G30)</f>
        <v>0</v>
      </c>
      <c r="H31" s="297">
        <f t="shared" si="1"/>
        <v>3.0585800000000001</v>
      </c>
      <c r="I31" s="297">
        <f t="shared" si="1"/>
        <v>0</v>
      </c>
      <c r="J31" s="297">
        <f t="shared" si="1"/>
        <v>0</v>
      </c>
      <c r="K31" s="297">
        <f t="shared" si="1"/>
        <v>0</v>
      </c>
      <c r="L31" s="297">
        <f t="shared" si="1"/>
        <v>0</v>
      </c>
      <c r="M31" s="297">
        <f t="shared" si="1"/>
        <v>3.0585800000000001</v>
      </c>
      <c r="N31" s="297">
        <v>0</v>
      </c>
    </row>
  </sheetData>
  <mergeCells count="37">
    <mergeCell ref="C14:E14"/>
    <mergeCell ref="L16:M16"/>
    <mergeCell ref="A20:A21"/>
    <mergeCell ref="B20:B21"/>
    <mergeCell ref="C20:C21"/>
    <mergeCell ref="D20:D21"/>
    <mergeCell ref="E20:E21"/>
    <mergeCell ref="F20:N20"/>
    <mergeCell ref="B11:C11"/>
    <mergeCell ref="D11:F11"/>
    <mergeCell ref="G11:I11"/>
    <mergeCell ref="J11:L11"/>
    <mergeCell ref="B12:C12"/>
    <mergeCell ref="D12:F12"/>
    <mergeCell ref="G12:I12"/>
    <mergeCell ref="J12:L12"/>
    <mergeCell ref="B9:C9"/>
    <mergeCell ref="D9:F9"/>
    <mergeCell ref="G9:I9"/>
    <mergeCell ref="J9:L9"/>
    <mergeCell ref="B10:C10"/>
    <mergeCell ref="D10:F10"/>
    <mergeCell ref="G10:I10"/>
    <mergeCell ref="J10:L10"/>
    <mergeCell ref="A4:C4"/>
    <mergeCell ref="B5:E5"/>
    <mergeCell ref="F5:G5"/>
    <mergeCell ref="H5:J5"/>
    <mergeCell ref="B7:E7"/>
    <mergeCell ref="F7:G7"/>
    <mergeCell ref="H7:K7"/>
    <mergeCell ref="A1:L1"/>
    <mergeCell ref="A2:L2"/>
    <mergeCell ref="B3:E3"/>
    <mergeCell ref="F3:G3"/>
    <mergeCell ref="H3:I3"/>
    <mergeCell ref="L3:M3"/>
  </mergeCells>
  <hyperlinks>
    <hyperlink ref="A4" location="'Fact Sheet of VDC'!A1" display="&lt;&lt;Back"/>
  </hyperlinks>
  <pageMargins left="0.70866141732283472" right="0.70866141732283472" top="0.3" bottom="0.22" header="0.19" footer="0.18"/>
  <pageSetup paperSize="9" scale="70" orientation="landscape" r:id="rId1"/>
</worksheet>
</file>

<file path=xl/worksheets/sheet283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4" sqref="A4:C4"/>
    </sheetView>
  </sheetViews>
  <sheetFormatPr defaultRowHeight="15"/>
  <cols>
    <col min="1" max="1" width="35.42578125" customWidth="1"/>
    <col min="2" max="2" width="10.140625" customWidth="1"/>
    <col min="3" max="3" width="11.140625" customWidth="1"/>
    <col min="4" max="4" width="12.42578125" customWidth="1"/>
    <col min="5" max="5" width="11.85546875" customWidth="1"/>
    <col min="6" max="6" width="12.42578125" customWidth="1"/>
    <col min="7" max="7" width="14.140625" customWidth="1"/>
    <col min="8" max="8" width="11.85546875" customWidth="1"/>
    <col min="9" max="9" width="11.7109375" customWidth="1"/>
    <col min="10" max="10" width="14.28515625" customWidth="1"/>
    <col min="11" max="11" width="9.42578125" bestFit="1" customWidth="1"/>
    <col min="12" max="12" width="9.7109375" customWidth="1"/>
    <col min="13" max="13" width="7.7109375" customWidth="1"/>
    <col min="257" max="257" width="35.42578125" customWidth="1"/>
    <col min="258" max="258" width="10.140625" customWidth="1"/>
    <col min="259" max="259" width="11.140625" customWidth="1"/>
    <col min="260" max="260" width="12.42578125" customWidth="1"/>
    <col min="261" max="261" width="11.85546875" customWidth="1"/>
    <col min="262" max="262" width="12.42578125" customWidth="1"/>
    <col min="263" max="263" width="14.140625" customWidth="1"/>
    <col min="264" max="264" width="11.85546875" customWidth="1"/>
    <col min="265" max="265" width="11.7109375" customWidth="1"/>
    <col min="266" max="266" width="14.28515625" customWidth="1"/>
    <col min="267" max="267" width="9.42578125" bestFit="1" customWidth="1"/>
    <col min="268" max="268" width="9.7109375" customWidth="1"/>
    <col min="269" max="269" width="7.7109375" customWidth="1"/>
    <col min="513" max="513" width="35.42578125" customWidth="1"/>
    <col min="514" max="514" width="10.140625" customWidth="1"/>
    <col min="515" max="515" width="11.140625" customWidth="1"/>
    <col min="516" max="516" width="12.42578125" customWidth="1"/>
    <col min="517" max="517" width="11.85546875" customWidth="1"/>
    <col min="518" max="518" width="12.42578125" customWidth="1"/>
    <col min="519" max="519" width="14.140625" customWidth="1"/>
    <col min="520" max="520" width="11.85546875" customWidth="1"/>
    <col min="521" max="521" width="11.7109375" customWidth="1"/>
    <col min="522" max="522" width="14.28515625" customWidth="1"/>
    <col min="523" max="523" width="9.42578125" bestFit="1" customWidth="1"/>
    <col min="524" max="524" width="9.7109375" customWidth="1"/>
    <col min="525" max="525" width="7.7109375" customWidth="1"/>
    <col min="769" max="769" width="35.42578125" customWidth="1"/>
    <col min="770" max="770" width="10.140625" customWidth="1"/>
    <col min="771" max="771" width="11.140625" customWidth="1"/>
    <col min="772" max="772" width="12.42578125" customWidth="1"/>
    <col min="773" max="773" width="11.85546875" customWidth="1"/>
    <col min="774" max="774" width="12.42578125" customWidth="1"/>
    <col min="775" max="775" width="14.140625" customWidth="1"/>
    <col min="776" max="776" width="11.85546875" customWidth="1"/>
    <col min="777" max="777" width="11.7109375" customWidth="1"/>
    <col min="778" max="778" width="14.28515625" customWidth="1"/>
    <col min="779" max="779" width="9.42578125" bestFit="1" customWidth="1"/>
    <col min="780" max="780" width="9.7109375" customWidth="1"/>
    <col min="781" max="781" width="7.7109375" customWidth="1"/>
    <col min="1025" max="1025" width="35.42578125" customWidth="1"/>
    <col min="1026" max="1026" width="10.140625" customWidth="1"/>
    <col min="1027" max="1027" width="11.140625" customWidth="1"/>
    <col min="1028" max="1028" width="12.42578125" customWidth="1"/>
    <col min="1029" max="1029" width="11.85546875" customWidth="1"/>
    <col min="1030" max="1030" width="12.42578125" customWidth="1"/>
    <col min="1031" max="1031" width="14.140625" customWidth="1"/>
    <col min="1032" max="1032" width="11.85546875" customWidth="1"/>
    <col min="1033" max="1033" width="11.7109375" customWidth="1"/>
    <col min="1034" max="1034" width="14.28515625" customWidth="1"/>
    <col min="1035" max="1035" width="9.42578125" bestFit="1" customWidth="1"/>
    <col min="1036" max="1036" width="9.7109375" customWidth="1"/>
    <col min="1037" max="1037" width="7.7109375" customWidth="1"/>
    <col min="1281" max="1281" width="35.42578125" customWidth="1"/>
    <col min="1282" max="1282" width="10.140625" customWidth="1"/>
    <col min="1283" max="1283" width="11.140625" customWidth="1"/>
    <col min="1284" max="1284" width="12.42578125" customWidth="1"/>
    <col min="1285" max="1285" width="11.85546875" customWidth="1"/>
    <col min="1286" max="1286" width="12.42578125" customWidth="1"/>
    <col min="1287" max="1287" width="14.140625" customWidth="1"/>
    <col min="1288" max="1288" width="11.85546875" customWidth="1"/>
    <col min="1289" max="1289" width="11.7109375" customWidth="1"/>
    <col min="1290" max="1290" width="14.28515625" customWidth="1"/>
    <col min="1291" max="1291" width="9.42578125" bestFit="1" customWidth="1"/>
    <col min="1292" max="1292" width="9.7109375" customWidth="1"/>
    <col min="1293" max="1293" width="7.7109375" customWidth="1"/>
    <col min="1537" max="1537" width="35.42578125" customWidth="1"/>
    <col min="1538" max="1538" width="10.140625" customWidth="1"/>
    <col min="1539" max="1539" width="11.140625" customWidth="1"/>
    <col min="1540" max="1540" width="12.42578125" customWidth="1"/>
    <col min="1541" max="1541" width="11.85546875" customWidth="1"/>
    <col min="1542" max="1542" width="12.42578125" customWidth="1"/>
    <col min="1543" max="1543" width="14.140625" customWidth="1"/>
    <col min="1544" max="1544" width="11.85546875" customWidth="1"/>
    <col min="1545" max="1545" width="11.7109375" customWidth="1"/>
    <col min="1546" max="1546" width="14.28515625" customWidth="1"/>
    <col min="1547" max="1547" width="9.42578125" bestFit="1" customWidth="1"/>
    <col min="1548" max="1548" width="9.7109375" customWidth="1"/>
    <col min="1549" max="1549" width="7.7109375" customWidth="1"/>
    <col min="1793" max="1793" width="35.42578125" customWidth="1"/>
    <col min="1794" max="1794" width="10.140625" customWidth="1"/>
    <col min="1795" max="1795" width="11.140625" customWidth="1"/>
    <col min="1796" max="1796" width="12.42578125" customWidth="1"/>
    <col min="1797" max="1797" width="11.85546875" customWidth="1"/>
    <col min="1798" max="1798" width="12.42578125" customWidth="1"/>
    <col min="1799" max="1799" width="14.140625" customWidth="1"/>
    <col min="1800" max="1800" width="11.85546875" customWidth="1"/>
    <col min="1801" max="1801" width="11.7109375" customWidth="1"/>
    <col min="1802" max="1802" width="14.28515625" customWidth="1"/>
    <col min="1803" max="1803" width="9.42578125" bestFit="1" customWidth="1"/>
    <col min="1804" max="1804" width="9.7109375" customWidth="1"/>
    <col min="1805" max="1805" width="7.7109375" customWidth="1"/>
    <col min="2049" max="2049" width="35.42578125" customWidth="1"/>
    <col min="2050" max="2050" width="10.140625" customWidth="1"/>
    <col min="2051" max="2051" width="11.140625" customWidth="1"/>
    <col min="2052" max="2052" width="12.42578125" customWidth="1"/>
    <col min="2053" max="2053" width="11.85546875" customWidth="1"/>
    <col min="2054" max="2054" width="12.42578125" customWidth="1"/>
    <col min="2055" max="2055" width="14.140625" customWidth="1"/>
    <col min="2056" max="2056" width="11.85546875" customWidth="1"/>
    <col min="2057" max="2057" width="11.7109375" customWidth="1"/>
    <col min="2058" max="2058" width="14.28515625" customWidth="1"/>
    <col min="2059" max="2059" width="9.42578125" bestFit="1" customWidth="1"/>
    <col min="2060" max="2060" width="9.7109375" customWidth="1"/>
    <col min="2061" max="2061" width="7.7109375" customWidth="1"/>
    <col min="2305" max="2305" width="35.42578125" customWidth="1"/>
    <col min="2306" max="2306" width="10.140625" customWidth="1"/>
    <col min="2307" max="2307" width="11.140625" customWidth="1"/>
    <col min="2308" max="2308" width="12.42578125" customWidth="1"/>
    <col min="2309" max="2309" width="11.85546875" customWidth="1"/>
    <col min="2310" max="2310" width="12.42578125" customWidth="1"/>
    <col min="2311" max="2311" width="14.140625" customWidth="1"/>
    <col min="2312" max="2312" width="11.85546875" customWidth="1"/>
    <col min="2313" max="2313" width="11.7109375" customWidth="1"/>
    <col min="2314" max="2314" width="14.28515625" customWidth="1"/>
    <col min="2315" max="2315" width="9.42578125" bestFit="1" customWidth="1"/>
    <col min="2316" max="2316" width="9.7109375" customWidth="1"/>
    <col min="2317" max="2317" width="7.7109375" customWidth="1"/>
    <col min="2561" max="2561" width="35.42578125" customWidth="1"/>
    <col min="2562" max="2562" width="10.140625" customWidth="1"/>
    <col min="2563" max="2563" width="11.140625" customWidth="1"/>
    <col min="2564" max="2564" width="12.42578125" customWidth="1"/>
    <col min="2565" max="2565" width="11.85546875" customWidth="1"/>
    <col min="2566" max="2566" width="12.42578125" customWidth="1"/>
    <col min="2567" max="2567" width="14.140625" customWidth="1"/>
    <col min="2568" max="2568" width="11.85546875" customWidth="1"/>
    <col min="2569" max="2569" width="11.7109375" customWidth="1"/>
    <col min="2570" max="2570" width="14.28515625" customWidth="1"/>
    <col min="2571" max="2571" width="9.42578125" bestFit="1" customWidth="1"/>
    <col min="2572" max="2572" width="9.7109375" customWidth="1"/>
    <col min="2573" max="2573" width="7.7109375" customWidth="1"/>
    <col min="2817" max="2817" width="35.42578125" customWidth="1"/>
    <col min="2818" max="2818" width="10.140625" customWidth="1"/>
    <col min="2819" max="2819" width="11.140625" customWidth="1"/>
    <col min="2820" max="2820" width="12.42578125" customWidth="1"/>
    <col min="2821" max="2821" width="11.85546875" customWidth="1"/>
    <col min="2822" max="2822" width="12.42578125" customWidth="1"/>
    <col min="2823" max="2823" width="14.140625" customWidth="1"/>
    <col min="2824" max="2824" width="11.85546875" customWidth="1"/>
    <col min="2825" max="2825" width="11.7109375" customWidth="1"/>
    <col min="2826" max="2826" width="14.28515625" customWidth="1"/>
    <col min="2827" max="2827" width="9.42578125" bestFit="1" customWidth="1"/>
    <col min="2828" max="2828" width="9.7109375" customWidth="1"/>
    <col min="2829" max="2829" width="7.7109375" customWidth="1"/>
    <col min="3073" max="3073" width="35.42578125" customWidth="1"/>
    <col min="3074" max="3074" width="10.140625" customWidth="1"/>
    <col min="3075" max="3075" width="11.140625" customWidth="1"/>
    <col min="3076" max="3076" width="12.42578125" customWidth="1"/>
    <col min="3077" max="3077" width="11.85546875" customWidth="1"/>
    <col min="3078" max="3078" width="12.42578125" customWidth="1"/>
    <col min="3079" max="3079" width="14.140625" customWidth="1"/>
    <col min="3080" max="3080" width="11.85546875" customWidth="1"/>
    <col min="3081" max="3081" width="11.7109375" customWidth="1"/>
    <col min="3082" max="3082" width="14.28515625" customWidth="1"/>
    <col min="3083" max="3083" width="9.42578125" bestFit="1" customWidth="1"/>
    <col min="3084" max="3084" width="9.7109375" customWidth="1"/>
    <col min="3085" max="3085" width="7.7109375" customWidth="1"/>
    <col min="3329" max="3329" width="35.42578125" customWidth="1"/>
    <col min="3330" max="3330" width="10.140625" customWidth="1"/>
    <col min="3331" max="3331" width="11.140625" customWidth="1"/>
    <col min="3332" max="3332" width="12.42578125" customWidth="1"/>
    <col min="3333" max="3333" width="11.85546875" customWidth="1"/>
    <col min="3334" max="3334" width="12.42578125" customWidth="1"/>
    <col min="3335" max="3335" width="14.140625" customWidth="1"/>
    <col min="3336" max="3336" width="11.85546875" customWidth="1"/>
    <col min="3337" max="3337" width="11.7109375" customWidth="1"/>
    <col min="3338" max="3338" width="14.28515625" customWidth="1"/>
    <col min="3339" max="3339" width="9.42578125" bestFit="1" customWidth="1"/>
    <col min="3340" max="3340" width="9.7109375" customWidth="1"/>
    <col min="3341" max="3341" width="7.7109375" customWidth="1"/>
    <col min="3585" max="3585" width="35.42578125" customWidth="1"/>
    <col min="3586" max="3586" width="10.140625" customWidth="1"/>
    <col min="3587" max="3587" width="11.140625" customWidth="1"/>
    <col min="3588" max="3588" width="12.42578125" customWidth="1"/>
    <col min="3589" max="3589" width="11.85546875" customWidth="1"/>
    <col min="3590" max="3590" width="12.42578125" customWidth="1"/>
    <col min="3591" max="3591" width="14.140625" customWidth="1"/>
    <col min="3592" max="3592" width="11.85546875" customWidth="1"/>
    <col min="3593" max="3593" width="11.7109375" customWidth="1"/>
    <col min="3594" max="3594" width="14.28515625" customWidth="1"/>
    <col min="3595" max="3595" width="9.42578125" bestFit="1" customWidth="1"/>
    <col min="3596" max="3596" width="9.7109375" customWidth="1"/>
    <col min="3597" max="3597" width="7.7109375" customWidth="1"/>
    <col min="3841" max="3841" width="35.42578125" customWidth="1"/>
    <col min="3842" max="3842" width="10.140625" customWidth="1"/>
    <col min="3843" max="3843" width="11.140625" customWidth="1"/>
    <col min="3844" max="3844" width="12.42578125" customWidth="1"/>
    <col min="3845" max="3845" width="11.85546875" customWidth="1"/>
    <col min="3846" max="3846" width="12.42578125" customWidth="1"/>
    <col min="3847" max="3847" width="14.140625" customWidth="1"/>
    <col min="3848" max="3848" width="11.85546875" customWidth="1"/>
    <col min="3849" max="3849" width="11.7109375" customWidth="1"/>
    <col min="3850" max="3850" width="14.28515625" customWidth="1"/>
    <col min="3851" max="3851" width="9.42578125" bestFit="1" customWidth="1"/>
    <col min="3852" max="3852" width="9.7109375" customWidth="1"/>
    <col min="3853" max="3853" width="7.7109375" customWidth="1"/>
    <col min="4097" max="4097" width="35.42578125" customWidth="1"/>
    <col min="4098" max="4098" width="10.140625" customWidth="1"/>
    <col min="4099" max="4099" width="11.140625" customWidth="1"/>
    <col min="4100" max="4100" width="12.42578125" customWidth="1"/>
    <col min="4101" max="4101" width="11.85546875" customWidth="1"/>
    <col min="4102" max="4102" width="12.42578125" customWidth="1"/>
    <col min="4103" max="4103" width="14.140625" customWidth="1"/>
    <col min="4104" max="4104" width="11.85546875" customWidth="1"/>
    <col min="4105" max="4105" width="11.7109375" customWidth="1"/>
    <col min="4106" max="4106" width="14.28515625" customWidth="1"/>
    <col min="4107" max="4107" width="9.42578125" bestFit="1" customWidth="1"/>
    <col min="4108" max="4108" width="9.7109375" customWidth="1"/>
    <col min="4109" max="4109" width="7.7109375" customWidth="1"/>
    <col min="4353" max="4353" width="35.42578125" customWidth="1"/>
    <col min="4354" max="4354" width="10.140625" customWidth="1"/>
    <col min="4355" max="4355" width="11.140625" customWidth="1"/>
    <col min="4356" max="4356" width="12.42578125" customWidth="1"/>
    <col min="4357" max="4357" width="11.85546875" customWidth="1"/>
    <col min="4358" max="4358" width="12.42578125" customWidth="1"/>
    <col min="4359" max="4359" width="14.140625" customWidth="1"/>
    <col min="4360" max="4360" width="11.85546875" customWidth="1"/>
    <col min="4361" max="4361" width="11.7109375" customWidth="1"/>
    <col min="4362" max="4362" width="14.28515625" customWidth="1"/>
    <col min="4363" max="4363" width="9.42578125" bestFit="1" customWidth="1"/>
    <col min="4364" max="4364" width="9.7109375" customWidth="1"/>
    <col min="4365" max="4365" width="7.7109375" customWidth="1"/>
    <col min="4609" max="4609" width="35.42578125" customWidth="1"/>
    <col min="4610" max="4610" width="10.140625" customWidth="1"/>
    <col min="4611" max="4611" width="11.140625" customWidth="1"/>
    <col min="4612" max="4612" width="12.42578125" customWidth="1"/>
    <col min="4613" max="4613" width="11.85546875" customWidth="1"/>
    <col min="4614" max="4614" width="12.42578125" customWidth="1"/>
    <col min="4615" max="4615" width="14.140625" customWidth="1"/>
    <col min="4616" max="4616" width="11.85546875" customWidth="1"/>
    <col min="4617" max="4617" width="11.7109375" customWidth="1"/>
    <col min="4618" max="4618" width="14.28515625" customWidth="1"/>
    <col min="4619" max="4619" width="9.42578125" bestFit="1" customWidth="1"/>
    <col min="4620" max="4620" width="9.7109375" customWidth="1"/>
    <col min="4621" max="4621" width="7.7109375" customWidth="1"/>
    <col min="4865" max="4865" width="35.42578125" customWidth="1"/>
    <col min="4866" max="4866" width="10.140625" customWidth="1"/>
    <col min="4867" max="4867" width="11.140625" customWidth="1"/>
    <col min="4868" max="4868" width="12.42578125" customWidth="1"/>
    <col min="4869" max="4869" width="11.85546875" customWidth="1"/>
    <col min="4870" max="4870" width="12.42578125" customWidth="1"/>
    <col min="4871" max="4871" width="14.140625" customWidth="1"/>
    <col min="4872" max="4872" width="11.85546875" customWidth="1"/>
    <col min="4873" max="4873" width="11.7109375" customWidth="1"/>
    <col min="4874" max="4874" width="14.28515625" customWidth="1"/>
    <col min="4875" max="4875" width="9.42578125" bestFit="1" customWidth="1"/>
    <col min="4876" max="4876" width="9.7109375" customWidth="1"/>
    <col min="4877" max="4877" width="7.7109375" customWidth="1"/>
    <col min="5121" max="5121" width="35.42578125" customWidth="1"/>
    <col min="5122" max="5122" width="10.140625" customWidth="1"/>
    <col min="5123" max="5123" width="11.140625" customWidth="1"/>
    <col min="5124" max="5124" width="12.42578125" customWidth="1"/>
    <col min="5125" max="5125" width="11.85546875" customWidth="1"/>
    <col min="5126" max="5126" width="12.42578125" customWidth="1"/>
    <col min="5127" max="5127" width="14.140625" customWidth="1"/>
    <col min="5128" max="5128" width="11.85546875" customWidth="1"/>
    <col min="5129" max="5129" width="11.7109375" customWidth="1"/>
    <col min="5130" max="5130" width="14.28515625" customWidth="1"/>
    <col min="5131" max="5131" width="9.42578125" bestFit="1" customWidth="1"/>
    <col min="5132" max="5132" width="9.7109375" customWidth="1"/>
    <col min="5133" max="5133" width="7.7109375" customWidth="1"/>
    <col min="5377" max="5377" width="35.42578125" customWidth="1"/>
    <col min="5378" max="5378" width="10.140625" customWidth="1"/>
    <col min="5379" max="5379" width="11.140625" customWidth="1"/>
    <col min="5380" max="5380" width="12.42578125" customWidth="1"/>
    <col min="5381" max="5381" width="11.85546875" customWidth="1"/>
    <col min="5382" max="5382" width="12.42578125" customWidth="1"/>
    <col min="5383" max="5383" width="14.140625" customWidth="1"/>
    <col min="5384" max="5384" width="11.85546875" customWidth="1"/>
    <col min="5385" max="5385" width="11.7109375" customWidth="1"/>
    <col min="5386" max="5386" width="14.28515625" customWidth="1"/>
    <col min="5387" max="5387" width="9.42578125" bestFit="1" customWidth="1"/>
    <col min="5388" max="5388" width="9.7109375" customWidth="1"/>
    <col min="5389" max="5389" width="7.7109375" customWidth="1"/>
    <col min="5633" max="5633" width="35.42578125" customWidth="1"/>
    <col min="5634" max="5634" width="10.140625" customWidth="1"/>
    <col min="5635" max="5635" width="11.140625" customWidth="1"/>
    <col min="5636" max="5636" width="12.42578125" customWidth="1"/>
    <col min="5637" max="5637" width="11.85546875" customWidth="1"/>
    <col min="5638" max="5638" width="12.42578125" customWidth="1"/>
    <col min="5639" max="5639" width="14.140625" customWidth="1"/>
    <col min="5640" max="5640" width="11.85546875" customWidth="1"/>
    <col min="5641" max="5641" width="11.7109375" customWidth="1"/>
    <col min="5642" max="5642" width="14.28515625" customWidth="1"/>
    <col min="5643" max="5643" width="9.42578125" bestFit="1" customWidth="1"/>
    <col min="5644" max="5644" width="9.7109375" customWidth="1"/>
    <col min="5645" max="5645" width="7.7109375" customWidth="1"/>
    <col min="5889" max="5889" width="35.42578125" customWidth="1"/>
    <col min="5890" max="5890" width="10.140625" customWidth="1"/>
    <col min="5891" max="5891" width="11.140625" customWidth="1"/>
    <col min="5892" max="5892" width="12.42578125" customWidth="1"/>
    <col min="5893" max="5893" width="11.85546875" customWidth="1"/>
    <col min="5894" max="5894" width="12.42578125" customWidth="1"/>
    <col min="5895" max="5895" width="14.140625" customWidth="1"/>
    <col min="5896" max="5896" width="11.85546875" customWidth="1"/>
    <col min="5897" max="5897" width="11.7109375" customWidth="1"/>
    <col min="5898" max="5898" width="14.28515625" customWidth="1"/>
    <col min="5899" max="5899" width="9.42578125" bestFit="1" customWidth="1"/>
    <col min="5900" max="5900" width="9.7109375" customWidth="1"/>
    <col min="5901" max="5901" width="7.7109375" customWidth="1"/>
    <col min="6145" max="6145" width="35.42578125" customWidth="1"/>
    <col min="6146" max="6146" width="10.140625" customWidth="1"/>
    <col min="6147" max="6147" width="11.140625" customWidth="1"/>
    <col min="6148" max="6148" width="12.42578125" customWidth="1"/>
    <col min="6149" max="6149" width="11.85546875" customWidth="1"/>
    <col min="6150" max="6150" width="12.42578125" customWidth="1"/>
    <col min="6151" max="6151" width="14.140625" customWidth="1"/>
    <col min="6152" max="6152" width="11.85546875" customWidth="1"/>
    <col min="6153" max="6153" width="11.7109375" customWidth="1"/>
    <col min="6154" max="6154" width="14.28515625" customWidth="1"/>
    <col min="6155" max="6155" width="9.42578125" bestFit="1" customWidth="1"/>
    <col min="6156" max="6156" width="9.7109375" customWidth="1"/>
    <col min="6157" max="6157" width="7.7109375" customWidth="1"/>
    <col min="6401" max="6401" width="35.42578125" customWidth="1"/>
    <col min="6402" max="6402" width="10.140625" customWidth="1"/>
    <col min="6403" max="6403" width="11.140625" customWidth="1"/>
    <col min="6404" max="6404" width="12.42578125" customWidth="1"/>
    <col min="6405" max="6405" width="11.85546875" customWidth="1"/>
    <col min="6406" max="6406" width="12.42578125" customWidth="1"/>
    <col min="6407" max="6407" width="14.140625" customWidth="1"/>
    <col min="6408" max="6408" width="11.85546875" customWidth="1"/>
    <col min="6409" max="6409" width="11.7109375" customWidth="1"/>
    <col min="6410" max="6410" width="14.28515625" customWidth="1"/>
    <col min="6411" max="6411" width="9.42578125" bestFit="1" customWidth="1"/>
    <col min="6412" max="6412" width="9.7109375" customWidth="1"/>
    <col min="6413" max="6413" width="7.7109375" customWidth="1"/>
    <col min="6657" max="6657" width="35.42578125" customWidth="1"/>
    <col min="6658" max="6658" width="10.140625" customWidth="1"/>
    <col min="6659" max="6659" width="11.140625" customWidth="1"/>
    <col min="6660" max="6660" width="12.42578125" customWidth="1"/>
    <col min="6661" max="6661" width="11.85546875" customWidth="1"/>
    <col min="6662" max="6662" width="12.42578125" customWidth="1"/>
    <col min="6663" max="6663" width="14.140625" customWidth="1"/>
    <col min="6664" max="6664" width="11.85546875" customWidth="1"/>
    <col min="6665" max="6665" width="11.7109375" customWidth="1"/>
    <col min="6666" max="6666" width="14.28515625" customWidth="1"/>
    <col min="6667" max="6667" width="9.42578125" bestFit="1" customWidth="1"/>
    <col min="6668" max="6668" width="9.7109375" customWidth="1"/>
    <col min="6669" max="6669" width="7.7109375" customWidth="1"/>
    <col min="6913" max="6913" width="35.42578125" customWidth="1"/>
    <col min="6914" max="6914" width="10.140625" customWidth="1"/>
    <col min="6915" max="6915" width="11.140625" customWidth="1"/>
    <col min="6916" max="6916" width="12.42578125" customWidth="1"/>
    <col min="6917" max="6917" width="11.85546875" customWidth="1"/>
    <col min="6918" max="6918" width="12.42578125" customWidth="1"/>
    <col min="6919" max="6919" width="14.140625" customWidth="1"/>
    <col min="6920" max="6920" width="11.85546875" customWidth="1"/>
    <col min="6921" max="6921" width="11.7109375" customWidth="1"/>
    <col min="6922" max="6922" width="14.28515625" customWidth="1"/>
    <col min="6923" max="6923" width="9.42578125" bestFit="1" customWidth="1"/>
    <col min="6924" max="6924" width="9.7109375" customWidth="1"/>
    <col min="6925" max="6925" width="7.7109375" customWidth="1"/>
    <col min="7169" max="7169" width="35.42578125" customWidth="1"/>
    <col min="7170" max="7170" width="10.140625" customWidth="1"/>
    <col min="7171" max="7171" width="11.140625" customWidth="1"/>
    <col min="7172" max="7172" width="12.42578125" customWidth="1"/>
    <col min="7173" max="7173" width="11.85546875" customWidth="1"/>
    <col min="7174" max="7174" width="12.42578125" customWidth="1"/>
    <col min="7175" max="7175" width="14.140625" customWidth="1"/>
    <col min="7176" max="7176" width="11.85546875" customWidth="1"/>
    <col min="7177" max="7177" width="11.7109375" customWidth="1"/>
    <col min="7178" max="7178" width="14.28515625" customWidth="1"/>
    <col min="7179" max="7179" width="9.42578125" bestFit="1" customWidth="1"/>
    <col min="7180" max="7180" width="9.7109375" customWidth="1"/>
    <col min="7181" max="7181" width="7.7109375" customWidth="1"/>
    <col min="7425" max="7425" width="35.42578125" customWidth="1"/>
    <col min="7426" max="7426" width="10.140625" customWidth="1"/>
    <col min="7427" max="7427" width="11.140625" customWidth="1"/>
    <col min="7428" max="7428" width="12.42578125" customWidth="1"/>
    <col min="7429" max="7429" width="11.85546875" customWidth="1"/>
    <col min="7430" max="7430" width="12.42578125" customWidth="1"/>
    <col min="7431" max="7431" width="14.140625" customWidth="1"/>
    <col min="7432" max="7432" width="11.85546875" customWidth="1"/>
    <col min="7433" max="7433" width="11.7109375" customWidth="1"/>
    <col min="7434" max="7434" width="14.28515625" customWidth="1"/>
    <col min="7435" max="7435" width="9.42578125" bestFit="1" customWidth="1"/>
    <col min="7436" max="7436" width="9.7109375" customWidth="1"/>
    <col min="7437" max="7437" width="7.7109375" customWidth="1"/>
    <col min="7681" max="7681" width="35.42578125" customWidth="1"/>
    <col min="7682" max="7682" width="10.140625" customWidth="1"/>
    <col min="7683" max="7683" width="11.140625" customWidth="1"/>
    <col min="7684" max="7684" width="12.42578125" customWidth="1"/>
    <col min="7685" max="7685" width="11.85546875" customWidth="1"/>
    <col min="7686" max="7686" width="12.42578125" customWidth="1"/>
    <col min="7687" max="7687" width="14.140625" customWidth="1"/>
    <col min="7688" max="7688" width="11.85546875" customWidth="1"/>
    <col min="7689" max="7689" width="11.7109375" customWidth="1"/>
    <col min="7690" max="7690" width="14.28515625" customWidth="1"/>
    <col min="7691" max="7691" width="9.42578125" bestFit="1" customWidth="1"/>
    <col min="7692" max="7692" width="9.7109375" customWidth="1"/>
    <col min="7693" max="7693" width="7.7109375" customWidth="1"/>
    <col min="7937" max="7937" width="35.42578125" customWidth="1"/>
    <col min="7938" max="7938" width="10.140625" customWidth="1"/>
    <col min="7939" max="7939" width="11.140625" customWidth="1"/>
    <col min="7940" max="7940" width="12.42578125" customWidth="1"/>
    <col min="7941" max="7941" width="11.85546875" customWidth="1"/>
    <col min="7942" max="7942" width="12.42578125" customWidth="1"/>
    <col min="7943" max="7943" width="14.140625" customWidth="1"/>
    <col min="7944" max="7944" width="11.85546875" customWidth="1"/>
    <col min="7945" max="7945" width="11.7109375" customWidth="1"/>
    <col min="7946" max="7946" width="14.28515625" customWidth="1"/>
    <col min="7947" max="7947" width="9.42578125" bestFit="1" customWidth="1"/>
    <col min="7948" max="7948" width="9.7109375" customWidth="1"/>
    <col min="7949" max="7949" width="7.7109375" customWidth="1"/>
    <col min="8193" max="8193" width="35.42578125" customWidth="1"/>
    <col min="8194" max="8194" width="10.140625" customWidth="1"/>
    <col min="8195" max="8195" width="11.140625" customWidth="1"/>
    <col min="8196" max="8196" width="12.42578125" customWidth="1"/>
    <col min="8197" max="8197" width="11.85546875" customWidth="1"/>
    <col min="8198" max="8198" width="12.42578125" customWidth="1"/>
    <col min="8199" max="8199" width="14.140625" customWidth="1"/>
    <col min="8200" max="8200" width="11.85546875" customWidth="1"/>
    <col min="8201" max="8201" width="11.7109375" customWidth="1"/>
    <col min="8202" max="8202" width="14.28515625" customWidth="1"/>
    <col min="8203" max="8203" width="9.42578125" bestFit="1" customWidth="1"/>
    <col min="8204" max="8204" width="9.7109375" customWidth="1"/>
    <col min="8205" max="8205" width="7.7109375" customWidth="1"/>
    <col min="8449" max="8449" width="35.42578125" customWidth="1"/>
    <col min="8450" max="8450" width="10.140625" customWidth="1"/>
    <col min="8451" max="8451" width="11.140625" customWidth="1"/>
    <col min="8452" max="8452" width="12.42578125" customWidth="1"/>
    <col min="8453" max="8453" width="11.85546875" customWidth="1"/>
    <col min="8454" max="8454" width="12.42578125" customWidth="1"/>
    <col min="8455" max="8455" width="14.140625" customWidth="1"/>
    <col min="8456" max="8456" width="11.85546875" customWidth="1"/>
    <col min="8457" max="8457" width="11.7109375" customWidth="1"/>
    <col min="8458" max="8458" width="14.28515625" customWidth="1"/>
    <col min="8459" max="8459" width="9.42578125" bestFit="1" customWidth="1"/>
    <col min="8460" max="8460" width="9.7109375" customWidth="1"/>
    <col min="8461" max="8461" width="7.7109375" customWidth="1"/>
    <col min="8705" max="8705" width="35.42578125" customWidth="1"/>
    <col min="8706" max="8706" width="10.140625" customWidth="1"/>
    <col min="8707" max="8707" width="11.140625" customWidth="1"/>
    <col min="8708" max="8708" width="12.42578125" customWidth="1"/>
    <col min="8709" max="8709" width="11.85546875" customWidth="1"/>
    <col min="8710" max="8710" width="12.42578125" customWidth="1"/>
    <col min="8711" max="8711" width="14.140625" customWidth="1"/>
    <col min="8712" max="8712" width="11.85546875" customWidth="1"/>
    <col min="8713" max="8713" width="11.7109375" customWidth="1"/>
    <col min="8714" max="8714" width="14.28515625" customWidth="1"/>
    <col min="8715" max="8715" width="9.42578125" bestFit="1" customWidth="1"/>
    <col min="8716" max="8716" width="9.7109375" customWidth="1"/>
    <col min="8717" max="8717" width="7.7109375" customWidth="1"/>
    <col min="8961" max="8961" width="35.42578125" customWidth="1"/>
    <col min="8962" max="8962" width="10.140625" customWidth="1"/>
    <col min="8963" max="8963" width="11.140625" customWidth="1"/>
    <col min="8964" max="8964" width="12.42578125" customWidth="1"/>
    <col min="8965" max="8965" width="11.85546875" customWidth="1"/>
    <col min="8966" max="8966" width="12.42578125" customWidth="1"/>
    <col min="8967" max="8967" width="14.140625" customWidth="1"/>
    <col min="8968" max="8968" width="11.85546875" customWidth="1"/>
    <col min="8969" max="8969" width="11.7109375" customWidth="1"/>
    <col min="8970" max="8970" width="14.28515625" customWidth="1"/>
    <col min="8971" max="8971" width="9.42578125" bestFit="1" customWidth="1"/>
    <col min="8972" max="8972" width="9.7109375" customWidth="1"/>
    <col min="8973" max="8973" width="7.7109375" customWidth="1"/>
    <col min="9217" max="9217" width="35.42578125" customWidth="1"/>
    <col min="9218" max="9218" width="10.140625" customWidth="1"/>
    <col min="9219" max="9219" width="11.140625" customWidth="1"/>
    <col min="9220" max="9220" width="12.42578125" customWidth="1"/>
    <col min="9221" max="9221" width="11.85546875" customWidth="1"/>
    <col min="9222" max="9222" width="12.42578125" customWidth="1"/>
    <col min="9223" max="9223" width="14.140625" customWidth="1"/>
    <col min="9224" max="9224" width="11.85546875" customWidth="1"/>
    <col min="9225" max="9225" width="11.7109375" customWidth="1"/>
    <col min="9226" max="9226" width="14.28515625" customWidth="1"/>
    <col min="9227" max="9227" width="9.42578125" bestFit="1" customWidth="1"/>
    <col min="9228" max="9228" width="9.7109375" customWidth="1"/>
    <col min="9229" max="9229" width="7.7109375" customWidth="1"/>
    <col min="9473" max="9473" width="35.42578125" customWidth="1"/>
    <col min="9474" max="9474" width="10.140625" customWidth="1"/>
    <col min="9475" max="9475" width="11.140625" customWidth="1"/>
    <col min="9476" max="9476" width="12.42578125" customWidth="1"/>
    <col min="9477" max="9477" width="11.85546875" customWidth="1"/>
    <col min="9478" max="9478" width="12.42578125" customWidth="1"/>
    <col min="9479" max="9479" width="14.140625" customWidth="1"/>
    <col min="9480" max="9480" width="11.85546875" customWidth="1"/>
    <col min="9481" max="9481" width="11.7109375" customWidth="1"/>
    <col min="9482" max="9482" width="14.28515625" customWidth="1"/>
    <col min="9483" max="9483" width="9.42578125" bestFit="1" customWidth="1"/>
    <col min="9484" max="9484" width="9.7109375" customWidth="1"/>
    <col min="9485" max="9485" width="7.7109375" customWidth="1"/>
    <col min="9729" max="9729" width="35.42578125" customWidth="1"/>
    <col min="9730" max="9730" width="10.140625" customWidth="1"/>
    <col min="9731" max="9731" width="11.140625" customWidth="1"/>
    <col min="9732" max="9732" width="12.42578125" customWidth="1"/>
    <col min="9733" max="9733" width="11.85546875" customWidth="1"/>
    <col min="9734" max="9734" width="12.42578125" customWidth="1"/>
    <col min="9735" max="9735" width="14.140625" customWidth="1"/>
    <col min="9736" max="9736" width="11.85546875" customWidth="1"/>
    <col min="9737" max="9737" width="11.7109375" customWidth="1"/>
    <col min="9738" max="9738" width="14.28515625" customWidth="1"/>
    <col min="9739" max="9739" width="9.42578125" bestFit="1" customWidth="1"/>
    <col min="9740" max="9740" width="9.7109375" customWidth="1"/>
    <col min="9741" max="9741" width="7.7109375" customWidth="1"/>
    <col min="9985" max="9985" width="35.42578125" customWidth="1"/>
    <col min="9986" max="9986" width="10.140625" customWidth="1"/>
    <col min="9987" max="9987" width="11.140625" customWidth="1"/>
    <col min="9988" max="9988" width="12.42578125" customWidth="1"/>
    <col min="9989" max="9989" width="11.85546875" customWidth="1"/>
    <col min="9990" max="9990" width="12.42578125" customWidth="1"/>
    <col min="9991" max="9991" width="14.140625" customWidth="1"/>
    <col min="9992" max="9992" width="11.85546875" customWidth="1"/>
    <col min="9993" max="9993" width="11.7109375" customWidth="1"/>
    <col min="9994" max="9994" width="14.28515625" customWidth="1"/>
    <col min="9995" max="9995" width="9.42578125" bestFit="1" customWidth="1"/>
    <col min="9996" max="9996" width="9.7109375" customWidth="1"/>
    <col min="9997" max="9997" width="7.7109375" customWidth="1"/>
    <col min="10241" max="10241" width="35.42578125" customWidth="1"/>
    <col min="10242" max="10242" width="10.140625" customWidth="1"/>
    <col min="10243" max="10243" width="11.140625" customWidth="1"/>
    <col min="10244" max="10244" width="12.42578125" customWidth="1"/>
    <col min="10245" max="10245" width="11.85546875" customWidth="1"/>
    <col min="10246" max="10246" width="12.42578125" customWidth="1"/>
    <col min="10247" max="10247" width="14.140625" customWidth="1"/>
    <col min="10248" max="10248" width="11.85546875" customWidth="1"/>
    <col min="10249" max="10249" width="11.7109375" customWidth="1"/>
    <col min="10250" max="10250" width="14.28515625" customWidth="1"/>
    <col min="10251" max="10251" width="9.42578125" bestFit="1" customWidth="1"/>
    <col min="10252" max="10252" width="9.7109375" customWidth="1"/>
    <col min="10253" max="10253" width="7.7109375" customWidth="1"/>
    <col min="10497" max="10497" width="35.42578125" customWidth="1"/>
    <col min="10498" max="10498" width="10.140625" customWidth="1"/>
    <col min="10499" max="10499" width="11.140625" customWidth="1"/>
    <col min="10500" max="10500" width="12.42578125" customWidth="1"/>
    <col min="10501" max="10501" width="11.85546875" customWidth="1"/>
    <col min="10502" max="10502" width="12.42578125" customWidth="1"/>
    <col min="10503" max="10503" width="14.140625" customWidth="1"/>
    <col min="10504" max="10504" width="11.85546875" customWidth="1"/>
    <col min="10505" max="10505" width="11.7109375" customWidth="1"/>
    <col min="10506" max="10506" width="14.28515625" customWidth="1"/>
    <col min="10507" max="10507" width="9.42578125" bestFit="1" customWidth="1"/>
    <col min="10508" max="10508" width="9.7109375" customWidth="1"/>
    <col min="10509" max="10509" width="7.7109375" customWidth="1"/>
    <col min="10753" max="10753" width="35.42578125" customWidth="1"/>
    <col min="10754" max="10754" width="10.140625" customWidth="1"/>
    <col min="10755" max="10755" width="11.140625" customWidth="1"/>
    <col min="10756" max="10756" width="12.42578125" customWidth="1"/>
    <col min="10757" max="10757" width="11.85546875" customWidth="1"/>
    <col min="10758" max="10758" width="12.42578125" customWidth="1"/>
    <col min="10759" max="10759" width="14.140625" customWidth="1"/>
    <col min="10760" max="10760" width="11.85546875" customWidth="1"/>
    <col min="10761" max="10761" width="11.7109375" customWidth="1"/>
    <col min="10762" max="10762" width="14.28515625" customWidth="1"/>
    <col min="10763" max="10763" width="9.42578125" bestFit="1" customWidth="1"/>
    <col min="10764" max="10764" width="9.7109375" customWidth="1"/>
    <col min="10765" max="10765" width="7.7109375" customWidth="1"/>
    <col min="11009" max="11009" width="35.42578125" customWidth="1"/>
    <col min="11010" max="11010" width="10.140625" customWidth="1"/>
    <col min="11011" max="11011" width="11.140625" customWidth="1"/>
    <col min="11012" max="11012" width="12.42578125" customWidth="1"/>
    <col min="11013" max="11013" width="11.85546875" customWidth="1"/>
    <col min="11014" max="11014" width="12.42578125" customWidth="1"/>
    <col min="11015" max="11015" width="14.140625" customWidth="1"/>
    <col min="11016" max="11016" width="11.85546875" customWidth="1"/>
    <col min="11017" max="11017" width="11.7109375" customWidth="1"/>
    <col min="11018" max="11018" width="14.28515625" customWidth="1"/>
    <col min="11019" max="11019" width="9.42578125" bestFit="1" customWidth="1"/>
    <col min="11020" max="11020" width="9.7109375" customWidth="1"/>
    <col min="11021" max="11021" width="7.7109375" customWidth="1"/>
    <col min="11265" max="11265" width="35.42578125" customWidth="1"/>
    <col min="11266" max="11266" width="10.140625" customWidth="1"/>
    <col min="11267" max="11267" width="11.140625" customWidth="1"/>
    <col min="11268" max="11268" width="12.42578125" customWidth="1"/>
    <col min="11269" max="11269" width="11.85546875" customWidth="1"/>
    <col min="11270" max="11270" width="12.42578125" customWidth="1"/>
    <col min="11271" max="11271" width="14.140625" customWidth="1"/>
    <col min="11272" max="11272" width="11.85546875" customWidth="1"/>
    <col min="11273" max="11273" width="11.7109375" customWidth="1"/>
    <col min="11274" max="11274" width="14.28515625" customWidth="1"/>
    <col min="11275" max="11275" width="9.42578125" bestFit="1" customWidth="1"/>
    <col min="11276" max="11276" width="9.7109375" customWidth="1"/>
    <col min="11277" max="11277" width="7.7109375" customWidth="1"/>
    <col min="11521" max="11521" width="35.42578125" customWidth="1"/>
    <col min="11522" max="11522" width="10.140625" customWidth="1"/>
    <col min="11523" max="11523" width="11.140625" customWidth="1"/>
    <col min="11524" max="11524" width="12.42578125" customWidth="1"/>
    <col min="11525" max="11525" width="11.85546875" customWidth="1"/>
    <col min="11526" max="11526" width="12.42578125" customWidth="1"/>
    <col min="11527" max="11527" width="14.140625" customWidth="1"/>
    <col min="11528" max="11528" width="11.85546875" customWidth="1"/>
    <col min="11529" max="11529" width="11.7109375" customWidth="1"/>
    <col min="11530" max="11530" width="14.28515625" customWidth="1"/>
    <col min="11531" max="11531" width="9.42578125" bestFit="1" customWidth="1"/>
    <col min="11532" max="11532" width="9.7109375" customWidth="1"/>
    <col min="11533" max="11533" width="7.7109375" customWidth="1"/>
    <col min="11777" max="11777" width="35.42578125" customWidth="1"/>
    <col min="11778" max="11778" width="10.140625" customWidth="1"/>
    <col min="11779" max="11779" width="11.140625" customWidth="1"/>
    <col min="11780" max="11780" width="12.42578125" customWidth="1"/>
    <col min="11781" max="11781" width="11.85546875" customWidth="1"/>
    <col min="11782" max="11782" width="12.42578125" customWidth="1"/>
    <col min="11783" max="11783" width="14.140625" customWidth="1"/>
    <col min="11784" max="11784" width="11.85546875" customWidth="1"/>
    <col min="11785" max="11785" width="11.7109375" customWidth="1"/>
    <col min="11786" max="11786" width="14.28515625" customWidth="1"/>
    <col min="11787" max="11787" width="9.42578125" bestFit="1" customWidth="1"/>
    <col min="11788" max="11788" width="9.7109375" customWidth="1"/>
    <col min="11789" max="11789" width="7.7109375" customWidth="1"/>
    <col min="12033" max="12033" width="35.42578125" customWidth="1"/>
    <col min="12034" max="12034" width="10.140625" customWidth="1"/>
    <col min="12035" max="12035" width="11.140625" customWidth="1"/>
    <col min="12036" max="12036" width="12.42578125" customWidth="1"/>
    <col min="12037" max="12037" width="11.85546875" customWidth="1"/>
    <col min="12038" max="12038" width="12.42578125" customWidth="1"/>
    <col min="12039" max="12039" width="14.140625" customWidth="1"/>
    <col min="12040" max="12040" width="11.85546875" customWidth="1"/>
    <col min="12041" max="12041" width="11.7109375" customWidth="1"/>
    <col min="12042" max="12042" width="14.28515625" customWidth="1"/>
    <col min="12043" max="12043" width="9.42578125" bestFit="1" customWidth="1"/>
    <col min="12044" max="12044" width="9.7109375" customWidth="1"/>
    <col min="12045" max="12045" width="7.7109375" customWidth="1"/>
    <col min="12289" max="12289" width="35.42578125" customWidth="1"/>
    <col min="12290" max="12290" width="10.140625" customWidth="1"/>
    <col min="12291" max="12291" width="11.140625" customWidth="1"/>
    <col min="12292" max="12292" width="12.42578125" customWidth="1"/>
    <col min="12293" max="12293" width="11.85546875" customWidth="1"/>
    <col min="12294" max="12294" width="12.42578125" customWidth="1"/>
    <col min="12295" max="12295" width="14.140625" customWidth="1"/>
    <col min="12296" max="12296" width="11.85546875" customWidth="1"/>
    <col min="12297" max="12297" width="11.7109375" customWidth="1"/>
    <col min="12298" max="12298" width="14.28515625" customWidth="1"/>
    <col min="12299" max="12299" width="9.42578125" bestFit="1" customWidth="1"/>
    <col min="12300" max="12300" width="9.7109375" customWidth="1"/>
    <col min="12301" max="12301" width="7.7109375" customWidth="1"/>
    <col min="12545" max="12545" width="35.42578125" customWidth="1"/>
    <col min="12546" max="12546" width="10.140625" customWidth="1"/>
    <col min="12547" max="12547" width="11.140625" customWidth="1"/>
    <col min="12548" max="12548" width="12.42578125" customWidth="1"/>
    <col min="12549" max="12549" width="11.85546875" customWidth="1"/>
    <col min="12550" max="12550" width="12.42578125" customWidth="1"/>
    <col min="12551" max="12551" width="14.140625" customWidth="1"/>
    <col min="12552" max="12552" width="11.85546875" customWidth="1"/>
    <col min="12553" max="12553" width="11.7109375" customWidth="1"/>
    <col min="12554" max="12554" width="14.28515625" customWidth="1"/>
    <col min="12555" max="12555" width="9.42578125" bestFit="1" customWidth="1"/>
    <col min="12556" max="12556" width="9.7109375" customWidth="1"/>
    <col min="12557" max="12557" width="7.7109375" customWidth="1"/>
    <col min="12801" max="12801" width="35.42578125" customWidth="1"/>
    <col min="12802" max="12802" width="10.140625" customWidth="1"/>
    <col min="12803" max="12803" width="11.140625" customWidth="1"/>
    <col min="12804" max="12804" width="12.42578125" customWidth="1"/>
    <col min="12805" max="12805" width="11.85546875" customWidth="1"/>
    <col min="12806" max="12806" width="12.42578125" customWidth="1"/>
    <col min="12807" max="12807" width="14.140625" customWidth="1"/>
    <col min="12808" max="12808" width="11.85546875" customWidth="1"/>
    <col min="12809" max="12809" width="11.7109375" customWidth="1"/>
    <col min="12810" max="12810" width="14.28515625" customWidth="1"/>
    <col min="12811" max="12811" width="9.42578125" bestFit="1" customWidth="1"/>
    <col min="12812" max="12812" width="9.7109375" customWidth="1"/>
    <col min="12813" max="12813" width="7.7109375" customWidth="1"/>
    <col min="13057" max="13057" width="35.42578125" customWidth="1"/>
    <col min="13058" max="13058" width="10.140625" customWidth="1"/>
    <col min="13059" max="13059" width="11.140625" customWidth="1"/>
    <col min="13060" max="13060" width="12.42578125" customWidth="1"/>
    <col min="13061" max="13061" width="11.85546875" customWidth="1"/>
    <col min="13062" max="13062" width="12.42578125" customWidth="1"/>
    <col min="13063" max="13063" width="14.140625" customWidth="1"/>
    <col min="13064" max="13064" width="11.85546875" customWidth="1"/>
    <col min="13065" max="13065" width="11.7109375" customWidth="1"/>
    <col min="13066" max="13066" width="14.28515625" customWidth="1"/>
    <col min="13067" max="13067" width="9.42578125" bestFit="1" customWidth="1"/>
    <col min="13068" max="13068" width="9.7109375" customWidth="1"/>
    <col min="13069" max="13069" width="7.7109375" customWidth="1"/>
    <col min="13313" max="13313" width="35.42578125" customWidth="1"/>
    <col min="13314" max="13314" width="10.140625" customWidth="1"/>
    <col min="13315" max="13315" width="11.140625" customWidth="1"/>
    <col min="13316" max="13316" width="12.42578125" customWidth="1"/>
    <col min="13317" max="13317" width="11.85546875" customWidth="1"/>
    <col min="13318" max="13318" width="12.42578125" customWidth="1"/>
    <col min="13319" max="13319" width="14.140625" customWidth="1"/>
    <col min="13320" max="13320" width="11.85546875" customWidth="1"/>
    <col min="13321" max="13321" width="11.7109375" customWidth="1"/>
    <col min="13322" max="13322" width="14.28515625" customWidth="1"/>
    <col min="13323" max="13323" width="9.42578125" bestFit="1" customWidth="1"/>
    <col min="13324" max="13324" width="9.7109375" customWidth="1"/>
    <col min="13325" max="13325" width="7.7109375" customWidth="1"/>
    <col min="13569" max="13569" width="35.42578125" customWidth="1"/>
    <col min="13570" max="13570" width="10.140625" customWidth="1"/>
    <col min="13571" max="13571" width="11.140625" customWidth="1"/>
    <col min="13572" max="13572" width="12.42578125" customWidth="1"/>
    <col min="13573" max="13573" width="11.85546875" customWidth="1"/>
    <col min="13574" max="13574" width="12.42578125" customWidth="1"/>
    <col min="13575" max="13575" width="14.140625" customWidth="1"/>
    <col min="13576" max="13576" width="11.85546875" customWidth="1"/>
    <col min="13577" max="13577" width="11.7109375" customWidth="1"/>
    <col min="13578" max="13578" width="14.28515625" customWidth="1"/>
    <col min="13579" max="13579" width="9.42578125" bestFit="1" customWidth="1"/>
    <col min="13580" max="13580" width="9.7109375" customWidth="1"/>
    <col min="13581" max="13581" width="7.7109375" customWidth="1"/>
    <col min="13825" max="13825" width="35.42578125" customWidth="1"/>
    <col min="13826" max="13826" width="10.140625" customWidth="1"/>
    <col min="13827" max="13827" width="11.140625" customWidth="1"/>
    <col min="13828" max="13828" width="12.42578125" customWidth="1"/>
    <col min="13829" max="13829" width="11.85546875" customWidth="1"/>
    <col min="13830" max="13830" width="12.42578125" customWidth="1"/>
    <col min="13831" max="13831" width="14.140625" customWidth="1"/>
    <col min="13832" max="13832" width="11.85546875" customWidth="1"/>
    <col min="13833" max="13833" width="11.7109375" customWidth="1"/>
    <col min="13834" max="13834" width="14.28515625" customWidth="1"/>
    <col min="13835" max="13835" width="9.42578125" bestFit="1" customWidth="1"/>
    <col min="13836" max="13836" width="9.7109375" customWidth="1"/>
    <col min="13837" max="13837" width="7.7109375" customWidth="1"/>
    <col min="14081" max="14081" width="35.42578125" customWidth="1"/>
    <col min="14082" max="14082" width="10.140625" customWidth="1"/>
    <col min="14083" max="14083" width="11.140625" customWidth="1"/>
    <col min="14084" max="14084" width="12.42578125" customWidth="1"/>
    <col min="14085" max="14085" width="11.85546875" customWidth="1"/>
    <col min="14086" max="14086" width="12.42578125" customWidth="1"/>
    <col min="14087" max="14087" width="14.140625" customWidth="1"/>
    <col min="14088" max="14088" width="11.85546875" customWidth="1"/>
    <col min="14089" max="14089" width="11.7109375" customWidth="1"/>
    <col min="14090" max="14090" width="14.28515625" customWidth="1"/>
    <col min="14091" max="14091" width="9.42578125" bestFit="1" customWidth="1"/>
    <col min="14092" max="14092" width="9.7109375" customWidth="1"/>
    <col min="14093" max="14093" width="7.7109375" customWidth="1"/>
    <col min="14337" max="14337" width="35.42578125" customWidth="1"/>
    <col min="14338" max="14338" width="10.140625" customWidth="1"/>
    <col min="14339" max="14339" width="11.140625" customWidth="1"/>
    <col min="14340" max="14340" width="12.42578125" customWidth="1"/>
    <col min="14341" max="14341" width="11.85546875" customWidth="1"/>
    <col min="14342" max="14342" width="12.42578125" customWidth="1"/>
    <col min="14343" max="14343" width="14.140625" customWidth="1"/>
    <col min="14344" max="14344" width="11.85546875" customWidth="1"/>
    <col min="14345" max="14345" width="11.7109375" customWidth="1"/>
    <col min="14346" max="14346" width="14.28515625" customWidth="1"/>
    <col min="14347" max="14347" width="9.42578125" bestFit="1" customWidth="1"/>
    <col min="14348" max="14348" width="9.7109375" customWidth="1"/>
    <col min="14349" max="14349" width="7.7109375" customWidth="1"/>
    <col min="14593" max="14593" width="35.42578125" customWidth="1"/>
    <col min="14594" max="14594" width="10.140625" customWidth="1"/>
    <col min="14595" max="14595" width="11.140625" customWidth="1"/>
    <col min="14596" max="14596" width="12.42578125" customWidth="1"/>
    <col min="14597" max="14597" width="11.85546875" customWidth="1"/>
    <col min="14598" max="14598" width="12.42578125" customWidth="1"/>
    <col min="14599" max="14599" width="14.140625" customWidth="1"/>
    <col min="14600" max="14600" width="11.85546875" customWidth="1"/>
    <col min="14601" max="14601" width="11.7109375" customWidth="1"/>
    <col min="14602" max="14602" width="14.28515625" customWidth="1"/>
    <col min="14603" max="14603" width="9.42578125" bestFit="1" customWidth="1"/>
    <col min="14604" max="14604" width="9.7109375" customWidth="1"/>
    <col min="14605" max="14605" width="7.7109375" customWidth="1"/>
    <col min="14849" max="14849" width="35.42578125" customWidth="1"/>
    <col min="14850" max="14850" width="10.140625" customWidth="1"/>
    <col min="14851" max="14851" width="11.140625" customWidth="1"/>
    <col min="14852" max="14852" width="12.42578125" customWidth="1"/>
    <col min="14853" max="14853" width="11.85546875" customWidth="1"/>
    <col min="14854" max="14854" width="12.42578125" customWidth="1"/>
    <col min="14855" max="14855" width="14.140625" customWidth="1"/>
    <col min="14856" max="14856" width="11.85546875" customWidth="1"/>
    <col min="14857" max="14857" width="11.7109375" customWidth="1"/>
    <col min="14858" max="14858" width="14.28515625" customWidth="1"/>
    <col min="14859" max="14859" width="9.42578125" bestFit="1" customWidth="1"/>
    <col min="14860" max="14860" width="9.7109375" customWidth="1"/>
    <col min="14861" max="14861" width="7.7109375" customWidth="1"/>
    <col min="15105" max="15105" width="35.42578125" customWidth="1"/>
    <col min="15106" max="15106" width="10.140625" customWidth="1"/>
    <col min="15107" max="15107" width="11.140625" customWidth="1"/>
    <col min="15108" max="15108" width="12.42578125" customWidth="1"/>
    <col min="15109" max="15109" width="11.85546875" customWidth="1"/>
    <col min="15110" max="15110" width="12.42578125" customWidth="1"/>
    <col min="15111" max="15111" width="14.140625" customWidth="1"/>
    <col min="15112" max="15112" width="11.85546875" customWidth="1"/>
    <col min="15113" max="15113" width="11.7109375" customWidth="1"/>
    <col min="15114" max="15114" width="14.28515625" customWidth="1"/>
    <col min="15115" max="15115" width="9.42578125" bestFit="1" customWidth="1"/>
    <col min="15116" max="15116" width="9.7109375" customWidth="1"/>
    <col min="15117" max="15117" width="7.7109375" customWidth="1"/>
    <col min="15361" max="15361" width="35.42578125" customWidth="1"/>
    <col min="15362" max="15362" width="10.140625" customWidth="1"/>
    <col min="15363" max="15363" width="11.140625" customWidth="1"/>
    <col min="15364" max="15364" width="12.42578125" customWidth="1"/>
    <col min="15365" max="15365" width="11.85546875" customWidth="1"/>
    <col min="15366" max="15366" width="12.42578125" customWidth="1"/>
    <col min="15367" max="15367" width="14.140625" customWidth="1"/>
    <col min="15368" max="15368" width="11.85546875" customWidth="1"/>
    <col min="15369" max="15369" width="11.7109375" customWidth="1"/>
    <col min="15370" max="15370" width="14.28515625" customWidth="1"/>
    <col min="15371" max="15371" width="9.42578125" bestFit="1" customWidth="1"/>
    <col min="15372" max="15372" width="9.7109375" customWidth="1"/>
    <col min="15373" max="15373" width="7.7109375" customWidth="1"/>
    <col min="15617" max="15617" width="35.42578125" customWidth="1"/>
    <col min="15618" max="15618" width="10.140625" customWidth="1"/>
    <col min="15619" max="15619" width="11.140625" customWidth="1"/>
    <col min="15620" max="15620" width="12.42578125" customWidth="1"/>
    <col min="15621" max="15621" width="11.85546875" customWidth="1"/>
    <col min="15622" max="15622" width="12.42578125" customWidth="1"/>
    <col min="15623" max="15623" width="14.140625" customWidth="1"/>
    <col min="15624" max="15624" width="11.85546875" customWidth="1"/>
    <col min="15625" max="15625" width="11.7109375" customWidth="1"/>
    <col min="15626" max="15626" width="14.28515625" customWidth="1"/>
    <col min="15627" max="15627" width="9.42578125" bestFit="1" customWidth="1"/>
    <col min="15628" max="15628" width="9.7109375" customWidth="1"/>
    <col min="15629" max="15629" width="7.7109375" customWidth="1"/>
    <col min="15873" max="15873" width="35.42578125" customWidth="1"/>
    <col min="15874" max="15874" width="10.140625" customWidth="1"/>
    <col min="15875" max="15875" width="11.140625" customWidth="1"/>
    <col min="15876" max="15876" width="12.42578125" customWidth="1"/>
    <col min="15877" max="15877" width="11.85546875" customWidth="1"/>
    <col min="15878" max="15878" width="12.42578125" customWidth="1"/>
    <col min="15879" max="15879" width="14.140625" customWidth="1"/>
    <col min="15880" max="15880" width="11.85546875" customWidth="1"/>
    <col min="15881" max="15881" width="11.7109375" customWidth="1"/>
    <col min="15882" max="15882" width="14.28515625" customWidth="1"/>
    <col min="15883" max="15883" width="9.42578125" bestFit="1" customWidth="1"/>
    <col min="15884" max="15884" width="9.7109375" customWidth="1"/>
    <col min="15885" max="15885" width="7.7109375" customWidth="1"/>
    <col min="16129" max="16129" width="35.42578125" customWidth="1"/>
    <col min="16130" max="16130" width="10.140625" customWidth="1"/>
    <col min="16131" max="16131" width="11.140625" customWidth="1"/>
    <col min="16132" max="16132" width="12.42578125" customWidth="1"/>
    <col min="16133" max="16133" width="11.85546875" customWidth="1"/>
    <col min="16134" max="16134" width="12.42578125" customWidth="1"/>
    <col min="16135" max="16135" width="14.140625" customWidth="1"/>
    <col min="16136" max="16136" width="11.85546875" customWidth="1"/>
    <col min="16137" max="16137" width="11.7109375" customWidth="1"/>
    <col min="16138" max="16138" width="14.28515625" customWidth="1"/>
    <col min="16139" max="16139" width="9.42578125" bestFit="1" customWidth="1"/>
    <col min="16140" max="16140" width="9.7109375" customWidth="1"/>
    <col min="16141" max="16141" width="7.7109375" customWidth="1"/>
  </cols>
  <sheetData>
    <row r="1" spans="1:14">
      <c r="A1" s="1003" t="s">
        <v>167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</row>
    <row r="2" spans="1:14">
      <c r="A2" s="1003" t="s">
        <v>168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</row>
    <row r="3" spans="1:14" ht="26.25" customHeight="1">
      <c r="A3" s="677" t="s">
        <v>2822</v>
      </c>
      <c r="B3" s="995" t="s">
        <v>2896</v>
      </c>
      <c r="C3" s="995"/>
      <c r="D3" s="995"/>
      <c r="E3" s="995"/>
      <c r="F3" s="1492" t="s">
        <v>171</v>
      </c>
      <c r="G3" s="1492"/>
      <c r="H3" s="1503" t="s">
        <v>2897</v>
      </c>
      <c r="I3" s="1503"/>
      <c r="J3" s="677" t="s">
        <v>5</v>
      </c>
      <c r="K3" s="80">
        <v>500</v>
      </c>
      <c r="L3" s="1504" t="s">
        <v>2860</v>
      </c>
      <c r="M3" s="1492"/>
      <c r="N3" s="80">
        <v>30</v>
      </c>
    </row>
    <row r="4" spans="1:14">
      <c r="A4" s="808" t="s">
        <v>4176</v>
      </c>
      <c r="B4" s="808"/>
      <c r="C4" s="808"/>
      <c r="D4" s="672"/>
      <c r="E4" s="672"/>
    </row>
    <row r="5" spans="1:14" ht="26.25" customHeight="1">
      <c r="A5" s="677" t="s">
        <v>2825</v>
      </c>
      <c r="B5" s="995" t="s">
        <v>2898</v>
      </c>
      <c r="C5" s="995"/>
      <c r="D5" s="995"/>
      <c r="E5" s="995"/>
      <c r="F5" s="1492" t="s">
        <v>2827</v>
      </c>
      <c r="G5" s="1492"/>
      <c r="H5" s="995" t="s">
        <v>2899</v>
      </c>
      <c r="I5" s="995"/>
      <c r="J5" s="995"/>
    </row>
    <row r="6" spans="1:14">
      <c r="B6" s="672"/>
      <c r="C6" s="672"/>
      <c r="D6" s="672"/>
      <c r="E6" s="672"/>
    </row>
    <row r="7" spans="1:14" ht="33" customHeight="1">
      <c r="A7" s="677" t="s">
        <v>178</v>
      </c>
      <c r="B7" s="995"/>
      <c r="C7" s="995"/>
      <c r="D7" s="995"/>
      <c r="E7" s="995"/>
      <c r="F7" s="1481" t="s">
        <v>2829</v>
      </c>
      <c r="G7" s="1481"/>
      <c r="H7" s="1506" t="s">
        <v>2900</v>
      </c>
      <c r="I7" s="1506"/>
      <c r="J7" s="1506"/>
      <c r="K7" s="1506"/>
    </row>
    <row r="9" spans="1:14" ht="26.25" customHeight="1">
      <c r="A9" s="674" t="s">
        <v>1909</v>
      </c>
      <c r="B9" s="995" t="s">
        <v>1701</v>
      </c>
      <c r="C9" s="995"/>
      <c r="D9" s="995" t="s">
        <v>2901</v>
      </c>
      <c r="E9" s="995"/>
      <c r="F9" s="995"/>
      <c r="G9" s="1488"/>
      <c r="H9" s="1488"/>
      <c r="I9" s="1488"/>
      <c r="J9" s="1488"/>
      <c r="K9" s="1488"/>
      <c r="L9" s="1488"/>
    </row>
    <row r="10" spans="1:14" ht="26.25" customHeight="1">
      <c r="A10" s="674" t="s">
        <v>187</v>
      </c>
      <c r="B10" s="995" t="s">
        <v>2902</v>
      </c>
      <c r="C10" s="995"/>
      <c r="D10" s="995" t="s">
        <v>2903</v>
      </c>
      <c r="E10" s="995"/>
      <c r="F10" s="995"/>
      <c r="G10" s="1488"/>
      <c r="H10" s="1488"/>
      <c r="I10" s="1488"/>
      <c r="J10" s="1488"/>
      <c r="K10" s="1488"/>
      <c r="L10" s="1488"/>
    </row>
    <row r="11" spans="1:14" ht="26.25" customHeight="1">
      <c r="A11" s="674" t="s">
        <v>192</v>
      </c>
      <c r="B11" s="995" t="s">
        <v>2904</v>
      </c>
      <c r="C11" s="995"/>
      <c r="D11" s="995" t="s">
        <v>2905</v>
      </c>
      <c r="E11" s="995"/>
      <c r="F11" s="995"/>
      <c r="G11" s="1488"/>
      <c r="H11" s="1488"/>
      <c r="I11" s="1488"/>
      <c r="J11" s="1488"/>
      <c r="K11" s="1488"/>
      <c r="L11" s="1488"/>
    </row>
    <row r="12" spans="1:14" ht="26.25" customHeight="1">
      <c r="A12" s="674" t="s">
        <v>197</v>
      </c>
      <c r="B12" s="995"/>
      <c r="C12" s="995"/>
      <c r="D12" s="995"/>
      <c r="E12" s="995"/>
      <c r="F12" s="995"/>
      <c r="G12" s="1488"/>
      <c r="H12" s="1488"/>
      <c r="I12" s="1488"/>
      <c r="J12" s="1488"/>
      <c r="K12" s="1488"/>
      <c r="L12" s="1488"/>
    </row>
    <row r="14" spans="1:14" ht="26.25" customHeight="1">
      <c r="A14" s="677" t="s">
        <v>198</v>
      </c>
      <c r="B14" s="80">
        <v>2</v>
      </c>
      <c r="C14" s="1492" t="s">
        <v>2838</v>
      </c>
      <c r="D14" s="1492"/>
      <c r="E14" s="1492"/>
      <c r="F14" s="80">
        <v>2</v>
      </c>
      <c r="G14" s="677" t="s">
        <v>1491</v>
      </c>
      <c r="H14" s="80">
        <v>24</v>
      </c>
      <c r="I14" s="697" t="s">
        <v>201</v>
      </c>
      <c r="J14" s="80">
        <v>2</v>
      </c>
      <c r="K14" s="697" t="s">
        <v>1386</v>
      </c>
      <c r="L14" s="80">
        <v>1</v>
      </c>
    </row>
    <row r="15" spans="1:14">
      <c r="B15" s="295"/>
    </row>
    <row r="16" spans="1:14" ht="26.25" customHeight="1">
      <c r="A16" s="674" t="s">
        <v>646</v>
      </c>
      <c r="B16" s="677" t="s">
        <v>204</v>
      </c>
      <c r="C16" s="80">
        <v>252</v>
      </c>
      <c r="D16" s="677" t="s">
        <v>205</v>
      </c>
      <c r="E16" s="80">
        <v>65</v>
      </c>
      <c r="F16" s="677" t="s">
        <v>206</v>
      </c>
      <c r="G16" s="80">
        <v>35</v>
      </c>
      <c r="H16" s="677" t="s">
        <v>230</v>
      </c>
      <c r="I16" s="80">
        <v>352</v>
      </c>
      <c r="J16" s="677" t="s">
        <v>207</v>
      </c>
      <c r="K16" s="80">
        <v>22</v>
      </c>
      <c r="L16" s="1504" t="s">
        <v>2881</v>
      </c>
      <c r="M16" s="1492"/>
      <c r="N16" s="80">
        <v>10</v>
      </c>
    </row>
    <row r="17" spans="1:14" ht="26.25" customHeight="1">
      <c r="A17" s="674" t="s">
        <v>2839</v>
      </c>
      <c r="B17" s="677" t="s">
        <v>210</v>
      </c>
      <c r="C17" s="80">
        <v>423</v>
      </c>
      <c r="D17" s="677" t="s">
        <v>211</v>
      </c>
      <c r="E17" s="80">
        <v>53</v>
      </c>
      <c r="F17" s="677" t="s">
        <v>212</v>
      </c>
      <c r="G17" s="80">
        <v>46</v>
      </c>
      <c r="H17" s="677" t="s">
        <v>411</v>
      </c>
      <c r="I17" s="80">
        <v>522</v>
      </c>
    </row>
    <row r="18" spans="1:14" ht="26.25" customHeight="1">
      <c r="B18" s="677" t="s">
        <v>213</v>
      </c>
      <c r="C18" s="80">
        <v>352</v>
      </c>
      <c r="D18" s="677" t="s">
        <v>214</v>
      </c>
      <c r="E18" s="80">
        <v>50</v>
      </c>
      <c r="F18" s="677" t="s">
        <v>215</v>
      </c>
      <c r="G18" s="80">
        <v>31</v>
      </c>
      <c r="H18" s="677" t="s">
        <v>410</v>
      </c>
      <c r="I18" s="80">
        <v>433</v>
      </c>
    </row>
    <row r="19" spans="1:14" s="403" customFormat="1" ht="26.25" customHeight="1">
      <c r="A19" s="69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496" t="s">
        <v>2841</v>
      </c>
      <c r="G20" s="1497"/>
      <c r="H20" s="1497"/>
      <c r="I20" s="1497"/>
      <c r="J20" s="1497"/>
      <c r="K20" s="1497"/>
      <c r="L20" s="1497"/>
      <c r="M20" s="1497"/>
      <c r="N20" s="1498"/>
    </row>
    <row r="21" spans="1:14" ht="26.25" customHeight="1">
      <c r="A21" s="1508"/>
      <c r="B21" s="1509"/>
      <c r="C21" s="1510"/>
      <c r="D21" s="1511"/>
      <c r="E21" s="1511"/>
      <c r="F21" s="683">
        <v>1</v>
      </c>
      <c r="G21" s="683">
        <v>2</v>
      </c>
      <c r="H21" s="683">
        <v>3</v>
      </c>
      <c r="I21" s="683">
        <v>4</v>
      </c>
      <c r="J21" s="683">
        <v>5</v>
      </c>
      <c r="K21" s="683">
        <v>6</v>
      </c>
      <c r="L21" s="683">
        <v>7</v>
      </c>
      <c r="M21" s="683" t="s">
        <v>230</v>
      </c>
      <c r="N21" s="683" t="s">
        <v>231</v>
      </c>
    </row>
    <row r="22" spans="1:14" ht="26.25" customHeight="1">
      <c r="A22" s="684" t="s">
        <v>232</v>
      </c>
      <c r="B22" s="673">
        <v>8000</v>
      </c>
      <c r="C22" s="698" t="s">
        <v>233</v>
      </c>
      <c r="D22" s="297">
        <f>B22*470/100000</f>
        <v>37.6</v>
      </c>
      <c r="E22" s="297">
        <v>3.8092999999999999</v>
      </c>
      <c r="F22" s="686">
        <v>0</v>
      </c>
      <c r="G22" s="686">
        <v>0</v>
      </c>
      <c r="H22" s="686">
        <v>2.895</v>
      </c>
      <c r="I22" s="687"/>
      <c r="J22" s="687"/>
      <c r="K22" s="687"/>
      <c r="L22" s="687"/>
      <c r="M22" s="688">
        <f>F22+G22+H22</f>
        <v>2.895</v>
      </c>
      <c r="N22" s="688">
        <f>M22/E22*100</f>
        <v>75.998214895125088</v>
      </c>
    </row>
    <row r="23" spans="1:14" ht="26.25" customHeight="1">
      <c r="A23" s="684" t="s">
        <v>2842</v>
      </c>
      <c r="B23" s="673">
        <v>1120</v>
      </c>
      <c r="C23" s="698" t="s">
        <v>233</v>
      </c>
      <c r="D23" s="297">
        <f>B23*470/100000</f>
        <v>5.2640000000000002</v>
      </c>
      <c r="E23" s="297">
        <v>0</v>
      </c>
      <c r="F23" s="297">
        <v>0</v>
      </c>
      <c r="G23" s="686">
        <v>0</v>
      </c>
      <c r="H23" s="297">
        <v>0</v>
      </c>
      <c r="I23" s="296"/>
      <c r="J23" s="296"/>
      <c r="K23" s="296"/>
      <c r="L23" s="296"/>
      <c r="M23" s="688">
        <f t="shared" ref="M23:M30" si="0">F23+G23+H23</f>
        <v>0</v>
      </c>
      <c r="N23" s="299">
        <v>0</v>
      </c>
    </row>
    <row r="24" spans="1:14" ht="26.25" customHeight="1">
      <c r="A24" s="684" t="s">
        <v>235</v>
      </c>
      <c r="B24" s="673">
        <v>43000</v>
      </c>
      <c r="C24" s="698" t="s">
        <v>236</v>
      </c>
      <c r="D24" s="297">
        <v>0.43</v>
      </c>
      <c r="E24" s="297">
        <v>0.18</v>
      </c>
      <c r="F24" s="297">
        <v>0</v>
      </c>
      <c r="G24" s="686">
        <v>0</v>
      </c>
      <c r="H24" s="297">
        <v>0</v>
      </c>
      <c r="I24" s="296"/>
      <c r="J24" s="296"/>
      <c r="K24" s="296"/>
      <c r="L24" s="296"/>
      <c r="M24" s="688">
        <f t="shared" si="0"/>
        <v>0</v>
      </c>
      <c r="N24" s="299">
        <f t="shared" ref="N24:N30" si="1">M24/E24*100</f>
        <v>0</v>
      </c>
    </row>
    <row r="25" spans="1:14" ht="26.25" customHeight="1">
      <c r="A25" s="684" t="s">
        <v>237</v>
      </c>
      <c r="B25" s="673">
        <v>37000</v>
      </c>
      <c r="C25" s="698" t="s">
        <v>236</v>
      </c>
      <c r="D25" s="297">
        <v>0.37</v>
      </c>
      <c r="E25" s="297">
        <v>0.16</v>
      </c>
      <c r="F25" s="297">
        <v>0</v>
      </c>
      <c r="G25" s="686">
        <v>0</v>
      </c>
      <c r="H25" s="297">
        <v>0</v>
      </c>
      <c r="I25" s="296"/>
      <c r="J25" s="296"/>
      <c r="K25" s="296"/>
      <c r="L25" s="296"/>
      <c r="M25" s="688">
        <f t="shared" si="0"/>
        <v>0</v>
      </c>
      <c r="N25" s="299">
        <f t="shared" si="1"/>
        <v>0</v>
      </c>
    </row>
    <row r="26" spans="1:14" ht="26.25" customHeight="1">
      <c r="A26" s="684" t="s">
        <v>238</v>
      </c>
      <c r="B26" s="673">
        <v>1200</v>
      </c>
      <c r="C26" s="698" t="s">
        <v>233</v>
      </c>
      <c r="D26" s="297">
        <f>B26*470/100000</f>
        <v>5.64</v>
      </c>
      <c r="E26" s="297">
        <v>2</v>
      </c>
      <c r="F26" s="297">
        <v>0</v>
      </c>
      <c r="G26" s="686">
        <v>0</v>
      </c>
      <c r="H26" s="297">
        <v>1.8670800000000001</v>
      </c>
      <c r="I26" s="296"/>
      <c r="J26" s="296"/>
      <c r="K26" s="296"/>
      <c r="L26" s="296"/>
      <c r="M26" s="688">
        <f t="shared" si="0"/>
        <v>1.8670800000000001</v>
      </c>
      <c r="N26" s="298">
        <f t="shared" si="1"/>
        <v>93.353999999999999</v>
      </c>
    </row>
    <row r="27" spans="1:14" ht="26.25" customHeight="1">
      <c r="A27" s="684" t="s">
        <v>667</v>
      </c>
      <c r="B27" s="673">
        <v>565</v>
      </c>
      <c r="C27" s="698" t="s">
        <v>233</v>
      </c>
      <c r="D27" s="297">
        <f>B27*470/100000</f>
        <v>2.6555</v>
      </c>
      <c r="E27" s="297">
        <v>0.47</v>
      </c>
      <c r="F27" s="297">
        <v>0</v>
      </c>
      <c r="G27" s="686">
        <v>0</v>
      </c>
      <c r="H27" s="297">
        <v>0.04</v>
      </c>
      <c r="I27" s="296"/>
      <c r="J27" s="296"/>
      <c r="K27" s="296"/>
      <c r="L27" s="296"/>
      <c r="M27" s="688">
        <f t="shared" si="0"/>
        <v>0.04</v>
      </c>
      <c r="N27" s="298">
        <f t="shared" si="1"/>
        <v>8.5106382978723421</v>
      </c>
    </row>
    <row r="28" spans="1:14" ht="26.25" customHeight="1">
      <c r="A28" s="684" t="s">
        <v>2843</v>
      </c>
      <c r="B28" s="673">
        <v>1000</v>
      </c>
      <c r="C28" s="698" t="s">
        <v>233</v>
      </c>
      <c r="D28" s="297">
        <f>B28*470/100000</f>
        <v>4.7</v>
      </c>
      <c r="E28" s="297">
        <v>0</v>
      </c>
      <c r="F28" s="297">
        <v>0</v>
      </c>
      <c r="G28" s="686">
        <v>0</v>
      </c>
      <c r="H28" s="297">
        <v>0</v>
      </c>
      <c r="I28" s="296"/>
      <c r="J28" s="296"/>
      <c r="K28" s="296"/>
      <c r="L28" s="296"/>
      <c r="M28" s="688">
        <f t="shared" si="0"/>
        <v>0</v>
      </c>
      <c r="N28" s="299">
        <v>0</v>
      </c>
    </row>
    <row r="29" spans="1:14" ht="26.25" customHeight="1">
      <c r="A29" s="684" t="s">
        <v>2844</v>
      </c>
      <c r="B29" s="673">
        <v>2750</v>
      </c>
      <c r="C29" s="698" t="s">
        <v>242</v>
      </c>
      <c r="D29" s="297">
        <v>2.31</v>
      </c>
      <c r="E29" s="297">
        <v>0.33</v>
      </c>
      <c r="F29" s="297">
        <v>0</v>
      </c>
      <c r="G29" s="686">
        <v>0</v>
      </c>
      <c r="H29" s="297">
        <v>0</v>
      </c>
      <c r="I29" s="296"/>
      <c r="J29" s="296"/>
      <c r="K29" s="296"/>
      <c r="L29" s="296"/>
      <c r="M29" s="688">
        <f t="shared" si="0"/>
        <v>0</v>
      </c>
      <c r="N29" s="299">
        <f t="shared" si="1"/>
        <v>0</v>
      </c>
    </row>
    <row r="30" spans="1:14" ht="26.25" customHeight="1">
      <c r="A30" s="684" t="s">
        <v>670</v>
      </c>
      <c r="B30" s="673">
        <v>10000</v>
      </c>
      <c r="C30" s="698" t="s">
        <v>244</v>
      </c>
      <c r="D30" s="297">
        <v>0.1</v>
      </c>
      <c r="E30" s="297">
        <v>0.02</v>
      </c>
      <c r="F30" s="297">
        <v>0</v>
      </c>
      <c r="G30" s="686">
        <v>0</v>
      </c>
      <c r="H30" s="297">
        <v>0</v>
      </c>
      <c r="I30" s="296"/>
      <c r="J30" s="296"/>
      <c r="K30" s="296"/>
      <c r="L30" s="296"/>
      <c r="M30" s="688">
        <f t="shared" si="0"/>
        <v>0</v>
      </c>
      <c r="N30" s="299">
        <f t="shared" si="1"/>
        <v>0</v>
      </c>
    </row>
    <row r="31" spans="1:14" ht="26.25" customHeight="1">
      <c r="A31" s="694" t="s">
        <v>245</v>
      </c>
      <c r="B31" s="673">
        <f>SUM(B22:B30)</f>
        <v>104635</v>
      </c>
      <c r="C31" s="673"/>
      <c r="D31" s="297">
        <f t="shared" ref="D31:M31" si="2">SUM(D22:D30)</f>
        <v>59.069500000000012</v>
      </c>
      <c r="E31" s="297">
        <f t="shared" si="2"/>
        <v>6.9692999999999996</v>
      </c>
      <c r="F31" s="297">
        <f t="shared" si="2"/>
        <v>0</v>
      </c>
      <c r="G31" s="297">
        <f t="shared" si="2"/>
        <v>0</v>
      </c>
      <c r="H31" s="297">
        <f t="shared" si="2"/>
        <v>4.8020800000000001</v>
      </c>
      <c r="I31" s="297">
        <f t="shared" si="2"/>
        <v>0</v>
      </c>
      <c r="J31" s="297">
        <f t="shared" si="2"/>
        <v>0</v>
      </c>
      <c r="K31" s="297">
        <f t="shared" si="2"/>
        <v>0</v>
      </c>
      <c r="L31" s="297">
        <f t="shared" si="2"/>
        <v>0</v>
      </c>
      <c r="M31" s="297">
        <f t="shared" si="2"/>
        <v>4.8020800000000001</v>
      </c>
      <c r="N31" s="297"/>
    </row>
  </sheetData>
  <mergeCells count="37">
    <mergeCell ref="C14:E14"/>
    <mergeCell ref="L16:M16"/>
    <mergeCell ref="A20:A21"/>
    <mergeCell ref="B20:B21"/>
    <mergeCell ref="C20:C21"/>
    <mergeCell ref="D20:D21"/>
    <mergeCell ref="E20:E21"/>
    <mergeCell ref="F20:N20"/>
    <mergeCell ref="B11:C11"/>
    <mergeCell ref="D11:F11"/>
    <mergeCell ref="G11:I11"/>
    <mergeCell ref="J11:L11"/>
    <mergeCell ref="B12:C12"/>
    <mergeCell ref="D12:F12"/>
    <mergeCell ref="G12:I12"/>
    <mergeCell ref="J12:L12"/>
    <mergeCell ref="B9:C9"/>
    <mergeCell ref="D9:F9"/>
    <mergeCell ref="G9:I9"/>
    <mergeCell ref="J9:L9"/>
    <mergeCell ref="B10:C10"/>
    <mergeCell ref="D10:F10"/>
    <mergeCell ref="G10:I10"/>
    <mergeCell ref="J10:L10"/>
    <mergeCell ref="A4:C4"/>
    <mergeCell ref="B5:E5"/>
    <mergeCell ref="F5:G5"/>
    <mergeCell ref="H5:J5"/>
    <mergeCell ref="B7:E7"/>
    <mergeCell ref="F7:G7"/>
    <mergeCell ref="H7:K7"/>
    <mergeCell ref="A1:L1"/>
    <mergeCell ref="A2:L2"/>
    <mergeCell ref="B3:E3"/>
    <mergeCell ref="F3:G3"/>
    <mergeCell ref="H3:I3"/>
    <mergeCell ref="L3:M3"/>
  </mergeCells>
  <hyperlinks>
    <hyperlink ref="A4" location="'Fact Sheet of VDC'!A1" display="&lt;&lt;Back"/>
  </hyperlinks>
  <pageMargins left="0.70866141732283472" right="0.70866141732283472" top="0.39" bottom="0.51" header="0.31496062992125984" footer="0.31496062992125984"/>
  <pageSetup paperSize="9" scale="70" orientation="landscape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4" sqref="A4:C4"/>
    </sheetView>
  </sheetViews>
  <sheetFormatPr defaultRowHeight="15"/>
  <cols>
    <col min="1" max="1" width="35.42578125" customWidth="1"/>
    <col min="2" max="2" width="10.140625" customWidth="1"/>
    <col min="3" max="3" width="11.140625" customWidth="1"/>
    <col min="4" max="4" width="12.42578125" customWidth="1"/>
    <col min="5" max="5" width="11.85546875" customWidth="1"/>
    <col min="6" max="6" width="12.42578125" customWidth="1"/>
    <col min="7" max="7" width="14.140625" customWidth="1"/>
    <col min="8" max="8" width="11.85546875" customWidth="1"/>
    <col min="9" max="9" width="11.7109375" customWidth="1"/>
    <col min="10" max="10" width="14.28515625" customWidth="1"/>
    <col min="11" max="11" width="9.42578125" bestFit="1" customWidth="1"/>
    <col min="12" max="12" width="9.7109375" customWidth="1"/>
    <col min="13" max="13" width="7.7109375" customWidth="1"/>
    <col min="257" max="257" width="35.42578125" customWidth="1"/>
    <col min="258" max="258" width="10.140625" customWidth="1"/>
    <col min="259" max="259" width="11.140625" customWidth="1"/>
    <col min="260" max="260" width="12.42578125" customWidth="1"/>
    <col min="261" max="261" width="11.85546875" customWidth="1"/>
    <col min="262" max="262" width="12.42578125" customWidth="1"/>
    <col min="263" max="263" width="14.140625" customWidth="1"/>
    <col min="264" max="264" width="11.85546875" customWidth="1"/>
    <col min="265" max="265" width="11.7109375" customWidth="1"/>
    <col min="266" max="266" width="14.28515625" customWidth="1"/>
    <col min="267" max="267" width="9.42578125" bestFit="1" customWidth="1"/>
    <col min="268" max="268" width="9.7109375" customWidth="1"/>
    <col min="269" max="269" width="7.7109375" customWidth="1"/>
    <col min="513" max="513" width="35.42578125" customWidth="1"/>
    <col min="514" max="514" width="10.140625" customWidth="1"/>
    <col min="515" max="515" width="11.140625" customWidth="1"/>
    <col min="516" max="516" width="12.42578125" customWidth="1"/>
    <col min="517" max="517" width="11.85546875" customWidth="1"/>
    <col min="518" max="518" width="12.42578125" customWidth="1"/>
    <col min="519" max="519" width="14.140625" customWidth="1"/>
    <col min="520" max="520" width="11.85546875" customWidth="1"/>
    <col min="521" max="521" width="11.7109375" customWidth="1"/>
    <col min="522" max="522" width="14.28515625" customWidth="1"/>
    <col min="523" max="523" width="9.42578125" bestFit="1" customWidth="1"/>
    <col min="524" max="524" width="9.7109375" customWidth="1"/>
    <col min="525" max="525" width="7.7109375" customWidth="1"/>
    <col min="769" max="769" width="35.42578125" customWidth="1"/>
    <col min="770" max="770" width="10.140625" customWidth="1"/>
    <col min="771" max="771" width="11.140625" customWidth="1"/>
    <col min="772" max="772" width="12.42578125" customWidth="1"/>
    <col min="773" max="773" width="11.85546875" customWidth="1"/>
    <col min="774" max="774" width="12.42578125" customWidth="1"/>
    <col min="775" max="775" width="14.140625" customWidth="1"/>
    <col min="776" max="776" width="11.85546875" customWidth="1"/>
    <col min="777" max="777" width="11.7109375" customWidth="1"/>
    <col min="778" max="778" width="14.28515625" customWidth="1"/>
    <col min="779" max="779" width="9.42578125" bestFit="1" customWidth="1"/>
    <col min="780" max="780" width="9.7109375" customWidth="1"/>
    <col min="781" max="781" width="7.7109375" customWidth="1"/>
    <col min="1025" max="1025" width="35.42578125" customWidth="1"/>
    <col min="1026" max="1026" width="10.140625" customWidth="1"/>
    <col min="1027" max="1027" width="11.140625" customWidth="1"/>
    <col min="1028" max="1028" width="12.42578125" customWidth="1"/>
    <col min="1029" max="1029" width="11.85546875" customWidth="1"/>
    <col min="1030" max="1030" width="12.42578125" customWidth="1"/>
    <col min="1031" max="1031" width="14.140625" customWidth="1"/>
    <col min="1032" max="1032" width="11.85546875" customWidth="1"/>
    <col min="1033" max="1033" width="11.7109375" customWidth="1"/>
    <col min="1034" max="1034" width="14.28515625" customWidth="1"/>
    <col min="1035" max="1035" width="9.42578125" bestFit="1" customWidth="1"/>
    <col min="1036" max="1036" width="9.7109375" customWidth="1"/>
    <col min="1037" max="1037" width="7.7109375" customWidth="1"/>
    <col min="1281" max="1281" width="35.42578125" customWidth="1"/>
    <col min="1282" max="1282" width="10.140625" customWidth="1"/>
    <col min="1283" max="1283" width="11.140625" customWidth="1"/>
    <col min="1284" max="1284" width="12.42578125" customWidth="1"/>
    <col min="1285" max="1285" width="11.85546875" customWidth="1"/>
    <col min="1286" max="1286" width="12.42578125" customWidth="1"/>
    <col min="1287" max="1287" width="14.140625" customWidth="1"/>
    <col min="1288" max="1288" width="11.85546875" customWidth="1"/>
    <col min="1289" max="1289" width="11.7109375" customWidth="1"/>
    <col min="1290" max="1290" width="14.28515625" customWidth="1"/>
    <col min="1291" max="1291" width="9.42578125" bestFit="1" customWidth="1"/>
    <col min="1292" max="1292" width="9.7109375" customWidth="1"/>
    <col min="1293" max="1293" width="7.7109375" customWidth="1"/>
    <col min="1537" max="1537" width="35.42578125" customWidth="1"/>
    <col min="1538" max="1538" width="10.140625" customWidth="1"/>
    <col min="1539" max="1539" width="11.140625" customWidth="1"/>
    <col min="1540" max="1540" width="12.42578125" customWidth="1"/>
    <col min="1541" max="1541" width="11.85546875" customWidth="1"/>
    <col min="1542" max="1542" width="12.42578125" customWidth="1"/>
    <col min="1543" max="1543" width="14.140625" customWidth="1"/>
    <col min="1544" max="1544" width="11.85546875" customWidth="1"/>
    <col min="1545" max="1545" width="11.7109375" customWidth="1"/>
    <col min="1546" max="1546" width="14.28515625" customWidth="1"/>
    <col min="1547" max="1547" width="9.42578125" bestFit="1" customWidth="1"/>
    <col min="1548" max="1548" width="9.7109375" customWidth="1"/>
    <col min="1549" max="1549" width="7.7109375" customWidth="1"/>
    <col min="1793" max="1793" width="35.42578125" customWidth="1"/>
    <col min="1794" max="1794" width="10.140625" customWidth="1"/>
    <col min="1795" max="1795" width="11.140625" customWidth="1"/>
    <col min="1796" max="1796" width="12.42578125" customWidth="1"/>
    <col min="1797" max="1797" width="11.85546875" customWidth="1"/>
    <col min="1798" max="1798" width="12.42578125" customWidth="1"/>
    <col min="1799" max="1799" width="14.140625" customWidth="1"/>
    <col min="1800" max="1800" width="11.85546875" customWidth="1"/>
    <col min="1801" max="1801" width="11.7109375" customWidth="1"/>
    <col min="1802" max="1802" width="14.28515625" customWidth="1"/>
    <col min="1803" max="1803" width="9.42578125" bestFit="1" customWidth="1"/>
    <col min="1804" max="1804" width="9.7109375" customWidth="1"/>
    <col min="1805" max="1805" width="7.7109375" customWidth="1"/>
    <col min="2049" max="2049" width="35.42578125" customWidth="1"/>
    <col min="2050" max="2050" width="10.140625" customWidth="1"/>
    <col min="2051" max="2051" width="11.140625" customWidth="1"/>
    <col min="2052" max="2052" width="12.42578125" customWidth="1"/>
    <col min="2053" max="2053" width="11.85546875" customWidth="1"/>
    <col min="2054" max="2054" width="12.42578125" customWidth="1"/>
    <col min="2055" max="2055" width="14.140625" customWidth="1"/>
    <col min="2056" max="2056" width="11.85546875" customWidth="1"/>
    <col min="2057" max="2057" width="11.7109375" customWidth="1"/>
    <col min="2058" max="2058" width="14.28515625" customWidth="1"/>
    <col min="2059" max="2059" width="9.42578125" bestFit="1" customWidth="1"/>
    <col min="2060" max="2060" width="9.7109375" customWidth="1"/>
    <col min="2061" max="2061" width="7.7109375" customWidth="1"/>
    <col min="2305" max="2305" width="35.42578125" customWidth="1"/>
    <col min="2306" max="2306" width="10.140625" customWidth="1"/>
    <col min="2307" max="2307" width="11.140625" customWidth="1"/>
    <col min="2308" max="2308" width="12.42578125" customWidth="1"/>
    <col min="2309" max="2309" width="11.85546875" customWidth="1"/>
    <col min="2310" max="2310" width="12.42578125" customWidth="1"/>
    <col min="2311" max="2311" width="14.140625" customWidth="1"/>
    <col min="2312" max="2312" width="11.85546875" customWidth="1"/>
    <col min="2313" max="2313" width="11.7109375" customWidth="1"/>
    <col min="2314" max="2314" width="14.28515625" customWidth="1"/>
    <col min="2315" max="2315" width="9.42578125" bestFit="1" customWidth="1"/>
    <col min="2316" max="2316" width="9.7109375" customWidth="1"/>
    <col min="2317" max="2317" width="7.7109375" customWidth="1"/>
    <col min="2561" max="2561" width="35.42578125" customWidth="1"/>
    <col min="2562" max="2562" width="10.140625" customWidth="1"/>
    <col min="2563" max="2563" width="11.140625" customWidth="1"/>
    <col min="2564" max="2564" width="12.42578125" customWidth="1"/>
    <col min="2565" max="2565" width="11.85546875" customWidth="1"/>
    <col min="2566" max="2566" width="12.42578125" customWidth="1"/>
    <col min="2567" max="2567" width="14.140625" customWidth="1"/>
    <col min="2568" max="2568" width="11.85546875" customWidth="1"/>
    <col min="2569" max="2569" width="11.7109375" customWidth="1"/>
    <col min="2570" max="2570" width="14.28515625" customWidth="1"/>
    <col min="2571" max="2571" width="9.42578125" bestFit="1" customWidth="1"/>
    <col min="2572" max="2572" width="9.7109375" customWidth="1"/>
    <col min="2573" max="2573" width="7.7109375" customWidth="1"/>
    <col min="2817" max="2817" width="35.42578125" customWidth="1"/>
    <col min="2818" max="2818" width="10.140625" customWidth="1"/>
    <col min="2819" max="2819" width="11.140625" customWidth="1"/>
    <col min="2820" max="2820" width="12.42578125" customWidth="1"/>
    <col min="2821" max="2821" width="11.85546875" customWidth="1"/>
    <col min="2822" max="2822" width="12.42578125" customWidth="1"/>
    <col min="2823" max="2823" width="14.140625" customWidth="1"/>
    <col min="2824" max="2824" width="11.85546875" customWidth="1"/>
    <col min="2825" max="2825" width="11.7109375" customWidth="1"/>
    <col min="2826" max="2826" width="14.28515625" customWidth="1"/>
    <col min="2827" max="2827" width="9.42578125" bestFit="1" customWidth="1"/>
    <col min="2828" max="2828" width="9.7109375" customWidth="1"/>
    <col min="2829" max="2829" width="7.7109375" customWidth="1"/>
    <col min="3073" max="3073" width="35.42578125" customWidth="1"/>
    <col min="3074" max="3074" width="10.140625" customWidth="1"/>
    <col min="3075" max="3075" width="11.140625" customWidth="1"/>
    <col min="3076" max="3076" width="12.42578125" customWidth="1"/>
    <col min="3077" max="3077" width="11.85546875" customWidth="1"/>
    <col min="3078" max="3078" width="12.42578125" customWidth="1"/>
    <col min="3079" max="3079" width="14.140625" customWidth="1"/>
    <col min="3080" max="3080" width="11.85546875" customWidth="1"/>
    <col min="3081" max="3081" width="11.7109375" customWidth="1"/>
    <col min="3082" max="3082" width="14.28515625" customWidth="1"/>
    <col min="3083" max="3083" width="9.42578125" bestFit="1" customWidth="1"/>
    <col min="3084" max="3084" width="9.7109375" customWidth="1"/>
    <col min="3085" max="3085" width="7.7109375" customWidth="1"/>
    <col min="3329" max="3329" width="35.42578125" customWidth="1"/>
    <col min="3330" max="3330" width="10.140625" customWidth="1"/>
    <col min="3331" max="3331" width="11.140625" customWidth="1"/>
    <col min="3332" max="3332" width="12.42578125" customWidth="1"/>
    <col min="3333" max="3333" width="11.85546875" customWidth="1"/>
    <col min="3334" max="3334" width="12.42578125" customWidth="1"/>
    <col min="3335" max="3335" width="14.140625" customWidth="1"/>
    <col min="3336" max="3336" width="11.85546875" customWidth="1"/>
    <col min="3337" max="3337" width="11.7109375" customWidth="1"/>
    <col min="3338" max="3338" width="14.28515625" customWidth="1"/>
    <col min="3339" max="3339" width="9.42578125" bestFit="1" customWidth="1"/>
    <col min="3340" max="3340" width="9.7109375" customWidth="1"/>
    <col min="3341" max="3341" width="7.7109375" customWidth="1"/>
    <col min="3585" max="3585" width="35.42578125" customWidth="1"/>
    <col min="3586" max="3586" width="10.140625" customWidth="1"/>
    <col min="3587" max="3587" width="11.140625" customWidth="1"/>
    <col min="3588" max="3588" width="12.42578125" customWidth="1"/>
    <col min="3589" max="3589" width="11.85546875" customWidth="1"/>
    <col min="3590" max="3590" width="12.42578125" customWidth="1"/>
    <col min="3591" max="3591" width="14.140625" customWidth="1"/>
    <col min="3592" max="3592" width="11.85546875" customWidth="1"/>
    <col min="3593" max="3593" width="11.7109375" customWidth="1"/>
    <col min="3594" max="3594" width="14.28515625" customWidth="1"/>
    <col min="3595" max="3595" width="9.42578125" bestFit="1" customWidth="1"/>
    <col min="3596" max="3596" width="9.7109375" customWidth="1"/>
    <col min="3597" max="3597" width="7.7109375" customWidth="1"/>
    <col min="3841" max="3841" width="35.42578125" customWidth="1"/>
    <col min="3842" max="3842" width="10.140625" customWidth="1"/>
    <col min="3843" max="3843" width="11.140625" customWidth="1"/>
    <col min="3844" max="3844" width="12.42578125" customWidth="1"/>
    <col min="3845" max="3845" width="11.85546875" customWidth="1"/>
    <col min="3846" max="3846" width="12.42578125" customWidth="1"/>
    <col min="3847" max="3847" width="14.140625" customWidth="1"/>
    <col min="3848" max="3848" width="11.85546875" customWidth="1"/>
    <col min="3849" max="3849" width="11.7109375" customWidth="1"/>
    <col min="3850" max="3850" width="14.28515625" customWidth="1"/>
    <col min="3851" max="3851" width="9.42578125" bestFit="1" customWidth="1"/>
    <col min="3852" max="3852" width="9.7109375" customWidth="1"/>
    <col min="3853" max="3853" width="7.7109375" customWidth="1"/>
    <col min="4097" max="4097" width="35.42578125" customWidth="1"/>
    <col min="4098" max="4098" width="10.140625" customWidth="1"/>
    <col min="4099" max="4099" width="11.140625" customWidth="1"/>
    <col min="4100" max="4100" width="12.42578125" customWidth="1"/>
    <col min="4101" max="4101" width="11.85546875" customWidth="1"/>
    <col min="4102" max="4102" width="12.42578125" customWidth="1"/>
    <col min="4103" max="4103" width="14.140625" customWidth="1"/>
    <col min="4104" max="4104" width="11.85546875" customWidth="1"/>
    <col min="4105" max="4105" width="11.7109375" customWidth="1"/>
    <col min="4106" max="4106" width="14.28515625" customWidth="1"/>
    <col min="4107" max="4107" width="9.42578125" bestFit="1" customWidth="1"/>
    <col min="4108" max="4108" width="9.7109375" customWidth="1"/>
    <col min="4109" max="4109" width="7.7109375" customWidth="1"/>
    <col min="4353" max="4353" width="35.42578125" customWidth="1"/>
    <col min="4354" max="4354" width="10.140625" customWidth="1"/>
    <col min="4355" max="4355" width="11.140625" customWidth="1"/>
    <col min="4356" max="4356" width="12.42578125" customWidth="1"/>
    <col min="4357" max="4357" width="11.85546875" customWidth="1"/>
    <col min="4358" max="4358" width="12.42578125" customWidth="1"/>
    <col min="4359" max="4359" width="14.140625" customWidth="1"/>
    <col min="4360" max="4360" width="11.85546875" customWidth="1"/>
    <col min="4361" max="4361" width="11.7109375" customWidth="1"/>
    <col min="4362" max="4362" width="14.28515625" customWidth="1"/>
    <col min="4363" max="4363" width="9.42578125" bestFit="1" customWidth="1"/>
    <col min="4364" max="4364" width="9.7109375" customWidth="1"/>
    <col min="4365" max="4365" width="7.7109375" customWidth="1"/>
    <col min="4609" max="4609" width="35.42578125" customWidth="1"/>
    <col min="4610" max="4610" width="10.140625" customWidth="1"/>
    <col min="4611" max="4611" width="11.140625" customWidth="1"/>
    <col min="4612" max="4612" width="12.42578125" customWidth="1"/>
    <col min="4613" max="4613" width="11.85546875" customWidth="1"/>
    <col min="4614" max="4614" width="12.42578125" customWidth="1"/>
    <col min="4615" max="4615" width="14.140625" customWidth="1"/>
    <col min="4616" max="4616" width="11.85546875" customWidth="1"/>
    <col min="4617" max="4617" width="11.7109375" customWidth="1"/>
    <col min="4618" max="4618" width="14.28515625" customWidth="1"/>
    <col min="4619" max="4619" width="9.42578125" bestFit="1" customWidth="1"/>
    <col min="4620" max="4620" width="9.7109375" customWidth="1"/>
    <col min="4621" max="4621" width="7.7109375" customWidth="1"/>
    <col min="4865" max="4865" width="35.42578125" customWidth="1"/>
    <col min="4866" max="4866" width="10.140625" customWidth="1"/>
    <col min="4867" max="4867" width="11.140625" customWidth="1"/>
    <col min="4868" max="4868" width="12.42578125" customWidth="1"/>
    <col min="4869" max="4869" width="11.85546875" customWidth="1"/>
    <col min="4870" max="4870" width="12.42578125" customWidth="1"/>
    <col min="4871" max="4871" width="14.140625" customWidth="1"/>
    <col min="4872" max="4872" width="11.85546875" customWidth="1"/>
    <col min="4873" max="4873" width="11.7109375" customWidth="1"/>
    <col min="4874" max="4874" width="14.28515625" customWidth="1"/>
    <col min="4875" max="4875" width="9.42578125" bestFit="1" customWidth="1"/>
    <col min="4876" max="4876" width="9.7109375" customWidth="1"/>
    <col min="4877" max="4877" width="7.7109375" customWidth="1"/>
    <col min="5121" max="5121" width="35.42578125" customWidth="1"/>
    <col min="5122" max="5122" width="10.140625" customWidth="1"/>
    <col min="5123" max="5123" width="11.140625" customWidth="1"/>
    <col min="5124" max="5124" width="12.42578125" customWidth="1"/>
    <col min="5125" max="5125" width="11.85546875" customWidth="1"/>
    <col min="5126" max="5126" width="12.42578125" customWidth="1"/>
    <col min="5127" max="5127" width="14.140625" customWidth="1"/>
    <col min="5128" max="5128" width="11.85546875" customWidth="1"/>
    <col min="5129" max="5129" width="11.7109375" customWidth="1"/>
    <col min="5130" max="5130" width="14.28515625" customWidth="1"/>
    <col min="5131" max="5131" width="9.42578125" bestFit="1" customWidth="1"/>
    <col min="5132" max="5132" width="9.7109375" customWidth="1"/>
    <col min="5133" max="5133" width="7.7109375" customWidth="1"/>
    <col min="5377" max="5377" width="35.42578125" customWidth="1"/>
    <col min="5378" max="5378" width="10.140625" customWidth="1"/>
    <col min="5379" max="5379" width="11.140625" customWidth="1"/>
    <col min="5380" max="5380" width="12.42578125" customWidth="1"/>
    <col min="5381" max="5381" width="11.85546875" customWidth="1"/>
    <col min="5382" max="5382" width="12.42578125" customWidth="1"/>
    <col min="5383" max="5383" width="14.140625" customWidth="1"/>
    <col min="5384" max="5384" width="11.85546875" customWidth="1"/>
    <col min="5385" max="5385" width="11.7109375" customWidth="1"/>
    <col min="5386" max="5386" width="14.28515625" customWidth="1"/>
    <col min="5387" max="5387" width="9.42578125" bestFit="1" customWidth="1"/>
    <col min="5388" max="5388" width="9.7109375" customWidth="1"/>
    <col min="5389" max="5389" width="7.7109375" customWidth="1"/>
    <col min="5633" max="5633" width="35.42578125" customWidth="1"/>
    <col min="5634" max="5634" width="10.140625" customWidth="1"/>
    <col min="5635" max="5635" width="11.140625" customWidth="1"/>
    <col min="5636" max="5636" width="12.42578125" customWidth="1"/>
    <col min="5637" max="5637" width="11.85546875" customWidth="1"/>
    <col min="5638" max="5638" width="12.42578125" customWidth="1"/>
    <col min="5639" max="5639" width="14.140625" customWidth="1"/>
    <col min="5640" max="5640" width="11.85546875" customWidth="1"/>
    <col min="5641" max="5641" width="11.7109375" customWidth="1"/>
    <col min="5642" max="5642" width="14.28515625" customWidth="1"/>
    <col min="5643" max="5643" width="9.42578125" bestFit="1" customWidth="1"/>
    <col min="5644" max="5644" width="9.7109375" customWidth="1"/>
    <col min="5645" max="5645" width="7.7109375" customWidth="1"/>
    <col min="5889" max="5889" width="35.42578125" customWidth="1"/>
    <col min="5890" max="5890" width="10.140625" customWidth="1"/>
    <col min="5891" max="5891" width="11.140625" customWidth="1"/>
    <col min="5892" max="5892" width="12.42578125" customWidth="1"/>
    <col min="5893" max="5893" width="11.85546875" customWidth="1"/>
    <col min="5894" max="5894" width="12.42578125" customWidth="1"/>
    <col min="5895" max="5895" width="14.140625" customWidth="1"/>
    <col min="5896" max="5896" width="11.85546875" customWidth="1"/>
    <col min="5897" max="5897" width="11.7109375" customWidth="1"/>
    <col min="5898" max="5898" width="14.28515625" customWidth="1"/>
    <col min="5899" max="5899" width="9.42578125" bestFit="1" customWidth="1"/>
    <col min="5900" max="5900" width="9.7109375" customWidth="1"/>
    <col min="5901" max="5901" width="7.7109375" customWidth="1"/>
    <col min="6145" max="6145" width="35.42578125" customWidth="1"/>
    <col min="6146" max="6146" width="10.140625" customWidth="1"/>
    <col min="6147" max="6147" width="11.140625" customWidth="1"/>
    <col min="6148" max="6148" width="12.42578125" customWidth="1"/>
    <col min="6149" max="6149" width="11.85546875" customWidth="1"/>
    <col min="6150" max="6150" width="12.42578125" customWidth="1"/>
    <col min="6151" max="6151" width="14.140625" customWidth="1"/>
    <col min="6152" max="6152" width="11.85546875" customWidth="1"/>
    <col min="6153" max="6153" width="11.7109375" customWidth="1"/>
    <col min="6154" max="6154" width="14.28515625" customWidth="1"/>
    <col min="6155" max="6155" width="9.42578125" bestFit="1" customWidth="1"/>
    <col min="6156" max="6156" width="9.7109375" customWidth="1"/>
    <col min="6157" max="6157" width="7.7109375" customWidth="1"/>
    <col min="6401" max="6401" width="35.42578125" customWidth="1"/>
    <col min="6402" max="6402" width="10.140625" customWidth="1"/>
    <col min="6403" max="6403" width="11.140625" customWidth="1"/>
    <col min="6404" max="6404" width="12.42578125" customWidth="1"/>
    <col min="6405" max="6405" width="11.85546875" customWidth="1"/>
    <col min="6406" max="6406" width="12.42578125" customWidth="1"/>
    <col min="6407" max="6407" width="14.140625" customWidth="1"/>
    <col min="6408" max="6408" width="11.85546875" customWidth="1"/>
    <col min="6409" max="6409" width="11.7109375" customWidth="1"/>
    <col min="6410" max="6410" width="14.28515625" customWidth="1"/>
    <col min="6411" max="6411" width="9.42578125" bestFit="1" customWidth="1"/>
    <col min="6412" max="6412" width="9.7109375" customWidth="1"/>
    <col min="6413" max="6413" width="7.7109375" customWidth="1"/>
    <col min="6657" max="6657" width="35.42578125" customWidth="1"/>
    <col min="6658" max="6658" width="10.140625" customWidth="1"/>
    <col min="6659" max="6659" width="11.140625" customWidth="1"/>
    <col min="6660" max="6660" width="12.42578125" customWidth="1"/>
    <col min="6661" max="6661" width="11.85546875" customWidth="1"/>
    <col min="6662" max="6662" width="12.42578125" customWidth="1"/>
    <col min="6663" max="6663" width="14.140625" customWidth="1"/>
    <col min="6664" max="6664" width="11.85546875" customWidth="1"/>
    <col min="6665" max="6665" width="11.7109375" customWidth="1"/>
    <col min="6666" max="6666" width="14.28515625" customWidth="1"/>
    <col min="6667" max="6667" width="9.42578125" bestFit="1" customWidth="1"/>
    <col min="6668" max="6668" width="9.7109375" customWidth="1"/>
    <col min="6669" max="6669" width="7.7109375" customWidth="1"/>
    <col min="6913" max="6913" width="35.42578125" customWidth="1"/>
    <col min="6914" max="6914" width="10.140625" customWidth="1"/>
    <col min="6915" max="6915" width="11.140625" customWidth="1"/>
    <col min="6916" max="6916" width="12.42578125" customWidth="1"/>
    <col min="6917" max="6917" width="11.85546875" customWidth="1"/>
    <col min="6918" max="6918" width="12.42578125" customWidth="1"/>
    <col min="6919" max="6919" width="14.140625" customWidth="1"/>
    <col min="6920" max="6920" width="11.85546875" customWidth="1"/>
    <col min="6921" max="6921" width="11.7109375" customWidth="1"/>
    <col min="6922" max="6922" width="14.28515625" customWidth="1"/>
    <col min="6923" max="6923" width="9.42578125" bestFit="1" customWidth="1"/>
    <col min="6924" max="6924" width="9.7109375" customWidth="1"/>
    <col min="6925" max="6925" width="7.7109375" customWidth="1"/>
    <col min="7169" max="7169" width="35.42578125" customWidth="1"/>
    <col min="7170" max="7170" width="10.140625" customWidth="1"/>
    <col min="7171" max="7171" width="11.140625" customWidth="1"/>
    <col min="7172" max="7172" width="12.42578125" customWidth="1"/>
    <col min="7173" max="7173" width="11.85546875" customWidth="1"/>
    <col min="7174" max="7174" width="12.42578125" customWidth="1"/>
    <col min="7175" max="7175" width="14.140625" customWidth="1"/>
    <col min="7176" max="7176" width="11.85546875" customWidth="1"/>
    <col min="7177" max="7177" width="11.7109375" customWidth="1"/>
    <col min="7178" max="7178" width="14.28515625" customWidth="1"/>
    <col min="7179" max="7179" width="9.42578125" bestFit="1" customWidth="1"/>
    <col min="7180" max="7180" width="9.7109375" customWidth="1"/>
    <col min="7181" max="7181" width="7.7109375" customWidth="1"/>
    <col min="7425" max="7425" width="35.42578125" customWidth="1"/>
    <col min="7426" max="7426" width="10.140625" customWidth="1"/>
    <col min="7427" max="7427" width="11.140625" customWidth="1"/>
    <col min="7428" max="7428" width="12.42578125" customWidth="1"/>
    <col min="7429" max="7429" width="11.85546875" customWidth="1"/>
    <col min="7430" max="7430" width="12.42578125" customWidth="1"/>
    <col min="7431" max="7431" width="14.140625" customWidth="1"/>
    <col min="7432" max="7432" width="11.85546875" customWidth="1"/>
    <col min="7433" max="7433" width="11.7109375" customWidth="1"/>
    <col min="7434" max="7434" width="14.28515625" customWidth="1"/>
    <col min="7435" max="7435" width="9.42578125" bestFit="1" customWidth="1"/>
    <col min="7436" max="7436" width="9.7109375" customWidth="1"/>
    <col min="7437" max="7437" width="7.7109375" customWidth="1"/>
    <col min="7681" max="7681" width="35.42578125" customWidth="1"/>
    <col min="7682" max="7682" width="10.140625" customWidth="1"/>
    <col min="7683" max="7683" width="11.140625" customWidth="1"/>
    <col min="7684" max="7684" width="12.42578125" customWidth="1"/>
    <col min="7685" max="7685" width="11.85546875" customWidth="1"/>
    <col min="7686" max="7686" width="12.42578125" customWidth="1"/>
    <col min="7687" max="7687" width="14.140625" customWidth="1"/>
    <col min="7688" max="7688" width="11.85546875" customWidth="1"/>
    <col min="7689" max="7689" width="11.7109375" customWidth="1"/>
    <col min="7690" max="7690" width="14.28515625" customWidth="1"/>
    <col min="7691" max="7691" width="9.42578125" bestFit="1" customWidth="1"/>
    <col min="7692" max="7692" width="9.7109375" customWidth="1"/>
    <col min="7693" max="7693" width="7.7109375" customWidth="1"/>
    <col min="7937" max="7937" width="35.42578125" customWidth="1"/>
    <col min="7938" max="7938" width="10.140625" customWidth="1"/>
    <col min="7939" max="7939" width="11.140625" customWidth="1"/>
    <col min="7940" max="7940" width="12.42578125" customWidth="1"/>
    <col min="7941" max="7941" width="11.85546875" customWidth="1"/>
    <col min="7942" max="7942" width="12.42578125" customWidth="1"/>
    <col min="7943" max="7943" width="14.140625" customWidth="1"/>
    <col min="7944" max="7944" width="11.85546875" customWidth="1"/>
    <col min="7945" max="7945" width="11.7109375" customWidth="1"/>
    <col min="7946" max="7946" width="14.28515625" customWidth="1"/>
    <col min="7947" max="7947" width="9.42578125" bestFit="1" customWidth="1"/>
    <col min="7948" max="7948" width="9.7109375" customWidth="1"/>
    <col min="7949" max="7949" width="7.7109375" customWidth="1"/>
    <col min="8193" max="8193" width="35.42578125" customWidth="1"/>
    <col min="8194" max="8194" width="10.140625" customWidth="1"/>
    <col min="8195" max="8195" width="11.140625" customWidth="1"/>
    <col min="8196" max="8196" width="12.42578125" customWidth="1"/>
    <col min="8197" max="8197" width="11.85546875" customWidth="1"/>
    <col min="8198" max="8198" width="12.42578125" customWidth="1"/>
    <col min="8199" max="8199" width="14.140625" customWidth="1"/>
    <col min="8200" max="8200" width="11.85546875" customWidth="1"/>
    <col min="8201" max="8201" width="11.7109375" customWidth="1"/>
    <col min="8202" max="8202" width="14.28515625" customWidth="1"/>
    <col min="8203" max="8203" width="9.42578125" bestFit="1" customWidth="1"/>
    <col min="8204" max="8204" width="9.7109375" customWidth="1"/>
    <col min="8205" max="8205" width="7.7109375" customWidth="1"/>
    <col min="8449" max="8449" width="35.42578125" customWidth="1"/>
    <col min="8450" max="8450" width="10.140625" customWidth="1"/>
    <col min="8451" max="8451" width="11.140625" customWidth="1"/>
    <col min="8452" max="8452" width="12.42578125" customWidth="1"/>
    <col min="8453" max="8453" width="11.85546875" customWidth="1"/>
    <col min="8454" max="8454" width="12.42578125" customWidth="1"/>
    <col min="8455" max="8455" width="14.140625" customWidth="1"/>
    <col min="8456" max="8456" width="11.85546875" customWidth="1"/>
    <col min="8457" max="8457" width="11.7109375" customWidth="1"/>
    <col min="8458" max="8458" width="14.28515625" customWidth="1"/>
    <col min="8459" max="8459" width="9.42578125" bestFit="1" customWidth="1"/>
    <col min="8460" max="8460" width="9.7109375" customWidth="1"/>
    <col min="8461" max="8461" width="7.7109375" customWidth="1"/>
    <col min="8705" max="8705" width="35.42578125" customWidth="1"/>
    <col min="8706" max="8706" width="10.140625" customWidth="1"/>
    <col min="8707" max="8707" width="11.140625" customWidth="1"/>
    <col min="8708" max="8708" width="12.42578125" customWidth="1"/>
    <col min="8709" max="8709" width="11.85546875" customWidth="1"/>
    <col min="8710" max="8710" width="12.42578125" customWidth="1"/>
    <col min="8711" max="8711" width="14.140625" customWidth="1"/>
    <col min="8712" max="8712" width="11.85546875" customWidth="1"/>
    <col min="8713" max="8713" width="11.7109375" customWidth="1"/>
    <col min="8714" max="8714" width="14.28515625" customWidth="1"/>
    <col min="8715" max="8715" width="9.42578125" bestFit="1" customWidth="1"/>
    <col min="8716" max="8716" width="9.7109375" customWidth="1"/>
    <col min="8717" max="8717" width="7.7109375" customWidth="1"/>
    <col min="8961" max="8961" width="35.42578125" customWidth="1"/>
    <col min="8962" max="8962" width="10.140625" customWidth="1"/>
    <col min="8963" max="8963" width="11.140625" customWidth="1"/>
    <col min="8964" max="8964" width="12.42578125" customWidth="1"/>
    <col min="8965" max="8965" width="11.85546875" customWidth="1"/>
    <col min="8966" max="8966" width="12.42578125" customWidth="1"/>
    <col min="8967" max="8967" width="14.140625" customWidth="1"/>
    <col min="8968" max="8968" width="11.85546875" customWidth="1"/>
    <col min="8969" max="8969" width="11.7109375" customWidth="1"/>
    <col min="8970" max="8970" width="14.28515625" customWidth="1"/>
    <col min="8971" max="8971" width="9.42578125" bestFit="1" customWidth="1"/>
    <col min="8972" max="8972" width="9.7109375" customWidth="1"/>
    <col min="8973" max="8973" width="7.7109375" customWidth="1"/>
    <col min="9217" max="9217" width="35.42578125" customWidth="1"/>
    <col min="9218" max="9218" width="10.140625" customWidth="1"/>
    <col min="9219" max="9219" width="11.140625" customWidth="1"/>
    <col min="9220" max="9220" width="12.42578125" customWidth="1"/>
    <col min="9221" max="9221" width="11.85546875" customWidth="1"/>
    <col min="9222" max="9222" width="12.42578125" customWidth="1"/>
    <col min="9223" max="9223" width="14.140625" customWidth="1"/>
    <col min="9224" max="9224" width="11.85546875" customWidth="1"/>
    <col min="9225" max="9225" width="11.7109375" customWidth="1"/>
    <col min="9226" max="9226" width="14.28515625" customWidth="1"/>
    <col min="9227" max="9227" width="9.42578125" bestFit="1" customWidth="1"/>
    <col min="9228" max="9228" width="9.7109375" customWidth="1"/>
    <col min="9229" max="9229" width="7.7109375" customWidth="1"/>
    <col min="9473" max="9473" width="35.42578125" customWidth="1"/>
    <col min="9474" max="9474" width="10.140625" customWidth="1"/>
    <col min="9475" max="9475" width="11.140625" customWidth="1"/>
    <col min="9476" max="9476" width="12.42578125" customWidth="1"/>
    <col min="9477" max="9477" width="11.85546875" customWidth="1"/>
    <col min="9478" max="9478" width="12.42578125" customWidth="1"/>
    <col min="9479" max="9479" width="14.140625" customWidth="1"/>
    <col min="9480" max="9480" width="11.85546875" customWidth="1"/>
    <col min="9481" max="9481" width="11.7109375" customWidth="1"/>
    <col min="9482" max="9482" width="14.28515625" customWidth="1"/>
    <col min="9483" max="9483" width="9.42578125" bestFit="1" customWidth="1"/>
    <col min="9484" max="9484" width="9.7109375" customWidth="1"/>
    <col min="9485" max="9485" width="7.7109375" customWidth="1"/>
    <col min="9729" max="9729" width="35.42578125" customWidth="1"/>
    <col min="9730" max="9730" width="10.140625" customWidth="1"/>
    <col min="9731" max="9731" width="11.140625" customWidth="1"/>
    <col min="9732" max="9732" width="12.42578125" customWidth="1"/>
    <col min="9733" max="9733" width="11.85546875" customWidth="1"/>
    <col min="9734" max="9734" width="12.42578125" customWidth="1"/>
    <col min="9735" max="9735" width="14.140625" customWidth="1"/>
    <col min="9736" max="9736" width="11.85546875" customWidth="1"/>
    <col min="9737" max="9737" width="11.7109375" customWidth="1"/>
    <col min="9738" max="9738" width="14.28515625" customWidth="1"/>
    <col min="9739" max="9739" width="9.42578125" bestFit="1" customWidth="1"/>
    <col min="9740" max="9740" width="9.7109375" customWidth="1"/>
    <col min="9741" max="9741" width="7.7109375" customWidth="1"/>
    <col min="9985" max="9985" width="35.42578125" customWidth="1"/>
    <col min="9986" max="9986" width="10.140625" customWidth="1"/>
    <col min="9987" max="9987" width="11.140625" customWidth="1"/>
    <col min="9988" max="9988" width="12.42578125" customWidth="1"/>
    <col min="9989" max="9989" width="11.85546875" customWidth="1"/>
    <col min="9990" max="9990" width="12.42578125" customWidth="1"/>
    <col min="9991" max="9991" width="14.140625" customWidth="1"/>
    <col min="9992" max="9992" width="11.85546875" customWidth="1"/>
    <col min="9993" max="9993" width="11.7109375" customWidth="1"/>
    <col min="9994" max="9994" width="14.28515625" customWidth="1"/>
    <col min="9995" max="9995" width="9.42578125" bestFit="1" customWidth="1"/>
    <col min="9996" max="9996" width="9.7109375" customWidth="1"/>
    <col min="9997" max="9997" width="7.7109375" customWidth="1"/>
    <col min="10241" max="10241" width="35.42578125" customWidth="1"/>
    <col min="10242" max="10242" width="10.140625" customWidth="1"/>
    <col min="10243" max="10243" width="11.140625" customWidth="1"/>
    <col min="10244" max="10244" width="12.42578125" customWidth="1"/>
    <col min="10245" max="10245" width="11.85546875" customWidth="1"/>
    <col min="10246" max="10246" width="12.42578125" customWidth="1"/>
    <col min="10247" max="10247" width="14.140625" customWidth="1"/>
    <col min="10248" max="10248" width="11.85546875" customWidth="1"/>
    <col min="10249" max="10249" width="11.7109375" customWidth="1"/>
    <col min="10250" max="10250" width="14.28515625" customWidth="1"/>
    <col min="10251" max="10251" width="9.42578125" bestFit="1" customWidth="1"/>
    <col min="10252" max="10252" width="9.7109375" customWidth="1"/>
    <col min="10253" max="10253" width="7.7109375" customWidth="1"/>
    <col min="10497" max="10497" width="35.42578125" customWidth="1"/>
    <col min="10498" max="10498" width="10.140625" customWidth="1"/>
    <col min="10499" max="10499" width="11.140625" customWidth="1"/>
    <col min="10500" max="10500" width="12.42578125" customWidth="1"/>
    <col min="10501" max="10501" width="11.85546875" customWidth="1"/>
    <col min="10502" max="10502" width="12.42578125" customWidth="1"/>
    <col min="10503" max="10503" width="14.140625" customWidth="1"/>
    <col min="10504" max="10504" width="11.85546875" customWidth="1"/>
    <col min="10505" max="10505" width="11.7109375" customWidth="1"/>
    <col min="10506" max="10506" width="14.28515625" customWidth="1"/>
    <col min="10507" max="10507" width="9.42578125" bestFit="1" customWidth="1"/>
    <col min="10508" max="10508" width="9.7109375" customWidth="1"/>
    <col min="10509" max="10509" width="7.7109375" customWidth="1"/>
    <col min="10753" max="10753" width="35.42578125" customWidth="1"/>
    <col min="10754" max="10754" width="10.140625" customWidth="1"/>
    <col min="10755" max="10755" width="11.140625" customWidth="1"/>
    <col min="10756" max="10756" width="12.42578125" customWidth="1"/>
    <col min="10757" max="10757" width="11.85546875" customWidth="1"/>
    <col min="10758" max="10758" width="12.42578125" customWidth="1"/>
    <col min="10759" max="10759" width="14.140625" customWidth="1"/>
    <col min="10760" max="10760" width="11.85546875" customWidth="1"/>
    <col min="10761" max="10761" width="11.7109375" customWidth="1"/>
    <col min="10762" max="10762" width="14.28515625" customWidth="1"/>
    <col min="10763" max="10763" width="9.42578125" bestFit="1" customWidth="1"/>
    <col min="10764" max="10764" width="9.7109375" customWidth="1"/>
    <col min="10765" max="10765" width="7.7109375" customWidth="1"/>
    <col min="11009" max="11009" width="35.42578125" customWidth="1"/>
    <col min="11010" max="11010" width="10.140625" customWidth="1"/>
    <col min="11011" max="11011" width="11.140625" customWidth="1"/>
    <col min="11012" max="11012" width="12.42578125" customWidth="1"/>
    <col min="11013" max="11013" width="11.85546875" customWidth="1"/>
    <col min="11014" max="11014" width="12.42578125" customWidth="1"/>
    <col min="11015" max="11015" width="14.140625" customWidth="1"/>
    <col min="11016" max="11016" width="11.85546875" customWidth="1"/>
    <col min="11017" max="11017" width="11.7109375" customWidth="1"/>
    <col min="11018" max="11018" width="14.28515625" customWidth="1"/>
    <col min="11019" max="11019" width="9.42578125" bestFit="1" customWidth="1"/>
    <col min="11020" max="11020" width="9.7109375" customWidth="1"/>
    <col min="11021" max="11021" width="7.7109375" customWidth="1"/>
    <col min="11265" max="11265" width="35.42578125" customWidth="1"/>
    <col min="11266" max="11266" width="10.140625" customWidth="1"/>
    <col min="11267" max="11267" width="11.140625" customWidth="1"/>
    <col min="11268" max="11268" width="12.42578125" customWidth="1"/>
    <col min="11269" max="11269" width="11.85546875" customWidth="1"/>
    <col min="11270" max="11270" width="12.42578125" customWidth="1"/>
    <col min="11271" max="11271" width="14.140625" customWidth="1"/>
    <col min="11272" max="11272" width="11.85546875" customWidth="1"/>
    <col min="11273" max="11273" width="11.7109375" customWidth="1"/>
    <col min="11274" max="11274" width="14.28515625" customWidth="1"/>
    <col min="11275" max="11275" width="9.42578125" bestFit="1" customWidth="1"/>
    <col min="11276" max="11276" width="9.7109375" customWidth="1"/>
    <col min="11277" max="11277" width="7.7109375" customWidth="1"/>
    <col min="11521" max="11521" width="35.42578125" customWidth="1"/>
    <col min="11522" max="11522" width="10.140625" customWidth="1"/>
    <col min="11523" max="11523" width="11.140625" customWidth="1"/>
    <col min="11524" max="11524" width="12.42578125" customWidth="1"/>
    <col min="11525" max="11525" width="11.85546875" customWidth="1"/>
    <col min="11526" max="11526" width="12.42578125" customWidth="1"/>
    <col min="11527" max="11527" width="14.140625" customWidth="1"/>
    <col min="11528" max="11528" width="11.85546875" customWidth="1"/>
    <col min="11529" max="11529" width="11.7109375" customWidth="1"/>
    <col min="11530" max="11530" width="14.28515625" customWidth="1"/>
    <col min="11531" max="11531" width="9.42578125" bestFit="1" customWidth="1"/>
    <col min="11532" max="11532" width="9.7109375" customWidth="1"/>
    <col min="11533" max="11533" width="7.7109375" customWidth="1"/>
    <col min="11777" max="11777" width="35.42578125" customWidth="1"/>
    <col min="11778" max="11778" width="10.140625" customWidth="1"/>
    <col min="11779" max="11779" width="11.140625" customWidth="1"/>
    <col min="11780" max="11780" width="12.42578125" customWidth="1"/>
    <col min="11781" max="11781" width="11.85546875" customWidth="1"/>
    <col min="11782" max="11782" width="12.42578125" customWidth="1"/>
    <col min="11783" max="11783" width="14.140625" customWidth="1"/>
    <col min="11784" max="11784" width="11.85546875" customWidth="1"/>
    <col min="11785" max="11785" width="11.7109375" customWidth="1"/>
    <col min="11786" max="11786" width="14.28515625" customWidth="1"/>
    <col min="11787" max="11787" width="9.42578125" bestFit="1" customWidth="1"/>
    <col min="11788" max="11788" width="9.7109375" customWidth="1"/>
    <col min="11789" max="11789" width="7.7109375" customWidth="1"/>
    <col min="12033" max="12033" width="35.42578125" customWidth="1"/>
    <col min="12034" max="12034" width="10.140625" customWidth="1"/>
    <col min="12035" max="12035" width="11.140625" customWidth="1"/>
    <col min="12036" max="12036" width="12.42578125" customWidth="1"/>
    <col min="12037" max="12037" width="11.85546875" customWidth="1"/>
    <col min="12038" max="12038" width="12.42578125" customWidth="1"/>
    <col min="12039" max="12039" width="14.140625" customWidth="1"/>
    <col min="12040" max="12040" width="11.85546875" customWidth="1"/>
    <col min="12041" max="12041" width="11.7109375" customWidth="1"/>
    <col min="12042" max="12042" width="14.28515625" customWidth="1"/>
    <col min="12043" max="12043" width="9.42578125" bestFit="1" customWidth="1"/>
    <col min="12044" max="12044" width="9.7109375" customWidth="1"/>
    <col min="12045" max="12045" width="7.7109375" customWidth="1"/>
    <col min="12289" max="12289" width="35.42578125" customWidth="1"/>
    <col min="12290" max="12290" width="10.140625" customWidth="1"/>
    <col min="12291" max="12291" width="11.140625" customWidth="1"/>
    <col min="12292" max="12292" width="12.42578125" customWidth="1"/>
    <col min="12293" max="12293" width="11.85546875" customWidth="1"/>
    <col min="12294" max="12294" width="12.42578125" customWidth="1"/>
    <col min="12295" max="12295" width="14.140625" customWidth="1"/>
    <col min="12296" max="12296" width="11.85546875" customWidth="1"/>
    <col min="12297" max="12297" width="11.7109375" customWidth="1"/>
    <col min="12298" max="12298" width="14.28515625" customWidth="1"/>
    <col min="12299" max="12299" width="9.42578125" bestFit="1" customWidth="1"/>
    <col min="12300" max="12300" width="9.7109375" customWidth="1"/>
    <col min="12301" max="12301" width="7.7109375" customWidth="1"/>
    <col min="12545" max="12545" width="35.42578125" customWidth="1"/>
    <col min="12546" max="12546" width="10.140625" customWidth="1"/>
    <col min="12547" max="12547" width="11.140625" customWidth="1"/>
    <col min="12548" max="12548" width="12.42578125" customWidth="1"/>
    <col min="12549" max="12549" width="11.85546875" customWidth="1"/>
    <col min="12550" max="12550" width="12.42578125" customWidth="1"/>
    <col min="12551" max="12551" width="14.140625" customWidth="1"/>
    <col min="12552" max="12552" width="11.85546875" customWidth="1"/>
    <col min="12553" max="12553" width="11.7109375" customWidth="1"/>
    <col min="12554" max="12554" width="14.28515625" customWidth="1"/>
    <col min="12555" max="12555" width="9.42578125" bestFit="1" customWidth="1"/>
    <col min="12556" max="12556" width="9.7109375" customWidth="1"/>
    <col min="12557" max="12557" width="7.7109375" customWidth="1"/>
    <col min="12801" max="12801" width="35.42578125" customWidth="1"/>
    <col min="12802" max="12802" width="10.140625" customWidth="1"/>
    <col min="12803" max="12803" width="11.140625" customWidth="1"/>
    <col min="12804" max="12804" width="12.42578125" customWidth="1"/>
    <col min="12805" max="12805" width="11.85546875" customWidth="1"/>
    <col min="12806" max="12806" width="12.42578125" customWidth="1"/>
    <col min="12807" max="12807" width="14.140625" customWidth="1"/>
    <col min="12808" max="12808" width="11.85546875" customWidth="1"/>
    <col min="12809" max="12809" width="11.7109375" customWidth="1"/>
    <col min="12810" max="12810" width="14.28515625" customWidth="1"/>
    <col min="12811" max="12811" width="9.42578125" bestFit="1" customWidth="1"/>
    <col min="12812" max="12812" width="9.7109375" customWidth="1"/>
    <col min="12813" max="12813" width="7.7109375" customWidth="1"/>
    <col min="13057" max="13057" width="35.42578125" customWidth="1"/>
    <col min="13058" max="13058" width="10.140625" customWidth="1"/>
    <col min="13059" max="13059" width="11.140625" customWidth="1"/>
    <col min="13060" max="13060" width="12.42578125" customWidth="1"/>
    <col min="13061" max="13061" width="11.85546875" customWidth="1"/>
    <col min="13062" max="13062" width="12.42578125" customWidth="1"/>
    <col min="13063" max="13063" width="14.140625" customWidth="1"/>
    <col min="13064" max="13064" width="11.85546875" customWidth="1"/>
    <col min="13065" max="13065" width="11.7109375" customWidth="1"/>
    <col min="13066" max="13066" width="14.28515625" customWidth="1"/>
    <col min="13067" max="13067" width="9.42578125" bestFit="1" customWidth="1"/>
    <col min="13068" max="13068" width="9.7109375" customWidth="1"/>
    <col min="13069" max="13069" width="7.7109375" customWidth="1"/>
    <col min="13313" max="13313" width="35.42578125" customWidth="1"/>
    <col min="13314" max="13314" width="10.140625" customWidth="1"/>
    <col min="13315" max="13315" width="11.140625" customWidth="1"/>
    <col min="13316" max="13316" width="12.42578125" customWidth="1"/>
    <col min="13317" max="13317" width="11.85546875" customWidth="1"/>
    <col min="13318" max="13318" width="12.42578125" customWidth="1"/>
    <col min="13319" max="13319" width="14.140625" customWidth="1"/>
    <col min="13320" max="13320" width="11.85546875" customWidth="1"/>
    <col min="13321" max="13321" width="11.7109375" customWidth="1"/>
    <col min="13322" max="13322" width="14.28515625" customWidth="1"/>
    <col min="13323" max="13323" width="9.42578125" bestFit="1" customWidth="1"/>
    <col min="13324" max="13324" width="9.7109375" customWidth="1"/>
    <col min="13325" max="13325" width="7.7109375" customWidth="1"/>
    <col min="13569" max="13569" width="35.42578125" customWidth="1"/>
    <col min="13570" max="13570" width="10.140625" customWidth="1"/>
    <col min="13571" max="13571" width="11.140625" customWidth="1"/>
    <col min="13572" max="13572" width="12.42578125" customWidth="1"/>
    <col min="13573" max="13573" width="11.85546875" customWidth="1"/>
    <col min="13574" max="13574" width="12.42578125" customWidth="1"/>
    <col min="13575" max="13575" width="14.140625" customWidth="1"/>
    <col min="13576" max="13576" width="11.85546875" customWidth="1"/>
    <col min="13577" max="13577" width="11.7109375" customWidth="1"/>
    <col min="13578" max="13578" width="14.28515625" customWidth="1"/>
    <col min="13579" max="13579" width="9.42578125" bestFit="1" customWidth="1"/>
    <col min="13580" max="13580" width="9.7109375" customWidth="1"/>
    <col min="13581" max="13581" width="7.7109375" customWidth="1"/>
    <col min="13825" max="13825" width="35.42578125" customWidth="1"/>
    <col min="13826" max="13826" width="10.140625" customWidth="1"/>
    <col min="13827" max="13827" width="11.140625" customWidth="1"/>
    <col min="13828" max="13828" width="12.42578125" customWidth="1"/>
    <col min="13829" max="13829" width="11.85546875" customWidth="1"/>
    <col min="13830" max="13830" width="12.42578125" customWidth="1"/>
    <col min="13831" max="13831" width="14.140625" customWidth="1"/>
    <col min="13832" max="13832" width="11.85546875" customWidth="1"/>
    <col min="13833" max="13833" width="11.7109375" customWidth="1"/>
    <col min="13834" max="13834" width="14.28515625" customWidth="1"/>
    <col min="13835" max="13835" width="9.42578125" bestFit="1" customWidth="1"/>
    <col min="13836" max="13836" width="9.7109375" customWidth="1"/>
    <col min="13837" max="13837" width="7.7109375" customWidth="1"/>
    <col min="14081" max="14081" width="35.42578125" customWidth="1"/>
    <col min="14082" max="14082" width="10.140625" customWidth="1"/>
    <col min="14083" max="14083" width="11.140625" customWidth="1"/>
    <col min="14084" max="14084" width="12.42578125" customWidth="1"/>
    <col min="14085" max="14085" width="11.85546875" customWidth="1"/>
    <col min="14086" max="14086" width="12.42578125" customWidth="1"/>
    <col min="14087" max="14087" width="14.140625" customWidth="1"/>
    <col min="14088" max="14088" width="11.85546875" customWidth="1"/>
    <col min="14089" max="14089" width="11.7109375" customWidth="1"/>
    <col min="14090" max="14090" width="14.28515625" customWidth="1"/>
    <col min="14091" max="14091" width="9.42578125" bestFit="1" customWidth="1"/>
    <col min="14092" max="14092" width="9.7109375" customWidth="1"/>
    <col min="14093" max="14093" width="7.7109375" customWidth="1"/>
    <col min="14337" max="14337" width="35.42578125" customWidth="1"/>
    <col min="14338" max="14338" width="10.140625" customWidth="1"/>
    <col min="14339" max="14339" width="11.140625" customWidth="1"/>
    <col min="14340" max="14340" width="12.42578125" customWidth="1"/>
    <col min="14341" max="14341" width="11.85546875" customWidth="1"/>
    <col min="14342" max="14342" width="12.42578125" customWidth="1"/>
    <col min="14343" max="14343" width="14.140625" customWidth="1"/>
    <col min="14344" max="14344" width="11.85546875" customWidth="1"/>
    <col min="14345" max="14345" width="11.7109375" customWidth="1"/>
    <col min="14346" max="14346" width="14.28515625" customWidth="1"/>
    <col min="14347" max="14347" width="9.42578125" bestFit="1" customWidth="1"/>
    <col min="14348" max="14348" width="9.7109375" customWidth="1"/>
    <col min="14349" max="14349" width="7.7109375" customWidth="1"/>
    <col min="14593" max="14593" width="35.42578125" customWidth="1"/>
    <col min="14594" max="14594" width="10.140625" customWidth="1"/>
    <col min="14595" max="14595" width="11.140625" customWidth="1"/>
    <col min="14596" max="14596" width="12.42578125" customWidth="1"/>
    <col min="14597" max="14597" width="11.85546875" customWidth="1"/>
    <col min="14598" max="14598" width="12.42578125" customWidth="1"/>
    <col min="14599" max="14599" width="14.140625" customWidth="1"/>
    <col min="14600" max="14600" width="11.85546875" customWidth="1"/>
    <col min="14601" max="14601" width="11.7109375" customWidth="1"/>
    <col min="14602" max="14602" width="14.28515625" customWidth="1"/>
    <col min="14603" max="14603" width="9.42578125" bestFit="1" customWidth="1"/>
    <col min="14604" max="14604" width="9.7109375" customWidth="1"/>
    <col min="14605" max="14605" width="7.7109375" customWidth="1"/>
    <col min="14849" max="14849" width="35.42578125" customWidth="1"/>
    <col min="14850" max="14850" width="10.140625" customWidth="1"/>
    <col min="14851" max="14851" width="11.140625" customWidth="1"/>
    <col min="14852" max="14852" width="12.42578125" customWidth="1"/>
    <col min="14853" max="14853" width="11.85546875" customWidth="1"/>
    <col min="14854" max="14854" width="12.42578125" customWidth="1"/>
    <col min="14855" max="14855" width="14.140625" customWidth="1"/>
    <col min="14856" max="14856" width="11.85546875" customWidth="1"/>
    <col min="14857" max="14857" width="11.7109375" customWidth="1"/>
    <col min="14858" max="14858" width="14.28515625" customWidth="1"/>
    <col min="14859" max="14859" width="9.42578125" bestFit="1" customWidth="1"/>
    <col min="14860" max="14860" width="9.7109375" customWidth="1"/>
    <col min="14861" max="14861" width="7.7109375" customWidth="1"/>
    <col min="15105" max="15105" width="35.42578125" customWidth="1"/>
    <col min="15106" max="15106" width="10.140625" customWidth="1"/>
    <col min="15107" max="15107" width="11.140625" customWidth="1"/>
    <col min="15108" max="15108" width="12.42578125" customWidth="1"/>
    <col min="15109" max="15109" width="11.85546875" customWidth="1"/>
    <col min="15110" max="15110" width="12.42578125" customWidth="1"/>
    <col min="15111" max="15111" width="14.140625" customWidth="1"/>
    <col min="15112" max="15112" width="11.85546875" customWidth="1"/>
    <col min="15113" max="15113" width="11.7109375" customWidth="1"/>
    <col min="15114" max="15114" width="14.28515625" customWidth="1"/>
    <col min="15115" max="15115" width="9.42578125" bestFit="1" customWidth="1"/>
    <col min="15116" max="15116" width="9.7109375" customWidth="1"/>
    <col min="15117" max="15117" width="7.7109375" customWidth="1"/>
    <col min="15361" max="15361" width="35.42578125" customWidth="1"/>
    <col min="15362" max="15362" width="10.140625" customWidth="1"/>
    <col min="15363" max="15363" width="11.140625" customWidth="1"/>
    <col min="15364" max="15364" width="12.42578125" customWidth="1"/>
    <col min="15365" max="15365" width="11.85546875" customWidth="1"/>
    <col min="15366" max="15366" width="12.42578125" customWidth="1"/>
    <col min="15367" max="15367" width="14.140625" customWidth="1"/>
    <col min="15368" max="15368" width="11.85546875" customWidth="1"/>
    <col min="15369" max="15369" width="11.7109375" customWidth="1"/>
    <col min="15370" max="15370" width="14.28515625" customWidth="1"/>
    <col min="15371" max="15371" width="9.42578125" bestFit="1" customWidth="1"/>
    <col min="15372" max="15372" width="9.7109375" customWidth="1"/>
    <col min="15373" max="15373" width="7.7109375" customWidth="1"/>
    <col min="15617" max="15617" width="35.42578125" customWidth="1"/>
    <col min="15618" max="15618" width="10.140625" customWidth="1"/>
    <col min="15619" max="15619" width="11.140625" customWidth="1"/>
    <col min="15620" max="15620" width="12.42578125" customWidth="1"/>
    <col min="15621" max="15621" width="11.85546875" customWidth="1"/>
    <col min="15622" max="15622" width="12.42578125" customWidth="1"/>
    <col min="15623" max="15623" width="14.140625" customWidth="1"/>
    <col min="15624" max="15624" width="11.85546875" customWidth="1"/>
    <col min="15625" max="15625" width="11.7109375" customWidth="1"/>
    <col min="15626" max="15626" width="14.28515625" customWidth="1"/>
    <col min="15627" max="15627" width="9.42578125" bestFit="1" customWidth="1"/>
    <col min="15628" max="15628" width="9.7109375" customWidth="1"/>
    <col min="15629" max="15629" width="7.7109375" customWidth="1"/>
    <col min="15873" max="15873" width="35.42578125" customWidth="1"/>
    <col min="15874" max="15874" width="10.140625" customWidth="1"/>
    <col min="15875" max="15875" width="11.140625" customWidth="1"/>
    <col min="15876" max="15876" width="12.42578125" customWidth="1"/>
    <col min="15877" max="15877" width="11.85546875" customWidth="1"/>
    <col min="15878" max="15878" width="12.42578125" customWidth="1"/>
    <col min="15879" max="15879" width="14.140625" customWidth="1"/>
    <col min="15880" max="15880" width="11.85546875" customWidth="1"/>
    <col min="15881" max="15881" width="11.7109375" customWidth="1"/>
    <col min="15882" max="15882" width="14.28515625" customWidth="1"/>
    <col min="15883" max="15883" width="9.42578125" bestFit="1" customWidth="1"/>
    <col min="15884" max="15884" width="9.7109375" customWidth="1"/>
    <col min="15885" max="15885" width="7.7109375" customWidth="1"/>
    <col min="16129" max="16129" width="35.42578125" customWidth="1"/>
    <col min="16130" max="16130" width="10.140625" customWidth="1"/>
    <col min="16131" max="16131" width="11.140625" customWidth="1"/>
    <col min="16132" max="16132" width="12.42578125" customWidth="1"/>
    <col min="16133" max="16133" width="11.85546875" customWidth="1"/>
    <col min="16134" max="16134" width="12.42578125" customWidth="1"/>
    <col min="16135" max="16135" width="14.140625" customWidth="1"/>
    <col min="16136" max="16136" width="11.85546875" customWidth="1"/>
    <col min="16137" max="16137" width="11.7109375" customWidth="1"/>
    <col min="16138" max="16138" width="14.28515625" customWidth="1"/>
    <col min="16139" max="16139" width="9.42578125" bestFit="1" customWidth="1"/>
    <col min="16140" max="16140" width="9.7109375" customWidth="1"/>
    <col min="16141" max="16141" width="7.7109375" customWidth="1"/>
  </cols>
  <sheetData>
    <row r="1" spans="1:14">
      <c r="A1" s="999" t="s">
        <v>167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</row>
    <row r="2" spans="1:14">
      <c r="A2" s="999" t="s">
        <v>168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</row>
    <row r="3" spans="1:14" ht="26.25" customHeight="1">
      <c r="A3" s="677" t="s">
        <v>2822</v>
      </c>
      <c r="B3" s="995" t="s">
        <v>2906</v>
      </c>
      <c r="C3" s="995"/>
      <c r="D3" s="995"/>
      <c r="E3" s="995"/>
      <c r="F3" s="1492" t="s">
        <v>171</v>
      </c>
      <c r="G3" s="1492"/>
      <c r="H3" s="1503" t="s">
        <v>2907</v>
      </c>
      <c r="I3" s="1503"/>
      <c r="J3" s="677" t="s">
        <v>5</v>
      </c>
      <c r="K3" s="80">
        <v>500</v>
      </c>
      <c r="L3" s="1504" t="s">
        <v>2860</v>
      </c>
      <c r="M3" s="1492"/>
      <c r="N3" s="80">
        <v>30</v>
      </c>
    </row>
    <row r="4" spans="1:14">
      <c r="A4" s="808" t="s">
        <v>4176</v>
      </c>
      <c r="B4" s="808"/>
      <c r="C4" s="808"/>
      <c r="D4" s="672"/>
      <c r="E4" s="672"/>
    </row>
    <row r="5" spans="1:14" ht="26.25" customHeight="1">
      <c r="A5" s="677" t="s">
        <v>2825</v>
      </c>
      <c r="B5" s="995" t="s">
        <v>2908</v>
      </c>
      <c r="C5" s="995"/>
      <c r="D5" s="995"/>
      <c r="E5" s="995"/>
      <c r="F5" s="1492" t="s">
        <v>2827</v>
      </c>
      <c r="G5" s="1492"/>
      <c r="H5" s="995" t="s">
        <v>2909</v>
      </c>
      <c r="I5" s="995"/>
      <c r="J5" s="995"/>
    </row>
    <row r="6" spans="1:14">
      <c r="B6" s="672"/>
      <c r="C6" s="672"/>
      <c r="D6" s="672"/>
      <c r="E6" s="672"/>
    </row>
    <row r="7" spans="1:14" ht="33" customHeight="1">
      <c r="A7" s="677" t="s">
        <v>178</v>
      </c>
      <c r="B7" s="995"/>
      <c r="C7" s="995"/>
      <c r="D7" s="995"/>
      <c r="E7" s="995"/>
      <c r="F7" s="1481" t="s">
        <v>2829</v>
      </c>
      <c r="G7" s="1481"/>
      <c r="H7" s="1506" t="s">
        <v>2910</v>
      </c>
      <c r="I7" s="1506"/>
      <c r="J7" s="1506"/>
      <c r="K7" s="1506"/>
    </row>
    <row r="9" spans="1:14" ht="26.25" customHeight="1">
      <c r="A9" s="677" t="s">
        <v>1909</v>
      </c>
      <c r="B9" s="995" t="s">
        <v>2911</v>
      </c>
      <c r="C9" s="995"/>
      <c r="D9" s="995" t="s">
        <v>2912</v>
      </c>
      <c r="E9" s="995"/>
      <c r="F9" s="995"/>
      <c r="G9" s="1488"/>
      <c r="H9" s="1488"/>
      <c r="I9" s="1488"/>
      <c r="J9" s="1488"/>
      <c r="K9" s="1488"/>
      <c r="L9" s="1488"/>
    </row>
    <row r="10" spans="1:14" ht="26.25" customHeight="1">
      <c r="A10" s="677" t="s">
        <v>187</v>
      </c>
      <c r="B10" s="995" t="s">
        <v>2913</v>
      </c>
      <c r="C10" s="995"/>
      <c r="D10" s="995" t="s">
        <v>2914</v>
      </c>
      <c r="E10" s="995"/>
      <c r="F10" s="995"/>
      <c r="G10" s="1488"/>
      <c r="H10" s="1488"/>
      <c r="I10" s="1488"/>
      <c r="J10" s="1488"/>
      <c r="K10" s="1488"/>
      <c r="L10" s="1488"/>
    </row>
    <row r="11" spans="1:14" ht="26.25" customHeight="1">
      <c r="A11" s="677" t="s">
        <v>192</v>
      </c>
      <c r="B11" s="995" t="s">
        <v>2915</v>
      </c>
      <c r="C11" s="995"/>
      <c r="D11" s="995" t="s">
        <v>2916</v>
      </c>
      <c r="E11" s="995"/>
      <c r="F11" s="995"/>
      <c r="G11" s="1488"/>
      <c r="H11" s="1488"/>
      <c r="I11" s="1488"/>
      <c r="J11" s="1488"/>
      <c r="K11" s="1488"/>
      <c r="L11" s="1488"/>
    </row>
    <row r="12" spans="1:14" ht="26.25" customHeight="1">
      <c r="A12" s="677" t="s">
        <v>197</v>
      </c>
      <c r="B12" s="995"/>
      <c r="C12" s="995"/>
      <c r="D12" s="995"/>
      <c r="E12" s="995"/>
      <c r="F12" s="995"/>
      <c r="G12" s="1488"/>
      <c r="H12" s="1488"/>
      <c r="I12" s="1488"/>
      <c r="J12" s="1488"/>
      <c r="K12" s="1488"/>
      <c r="L12" s="1488"/>
    </row>
    <row r="14" spans="1:14" ht="26.25" customHeight="1">
      <c r="A14" s="677" t="s">
        <v>198</v>
      </c>
      <c r="B14" s="80">
        <v>2</v>
      </c>
      <c r="C14" s="1492" t="s">
        <v>2838</v>
      </c>
      <c r="D14" s="1492"/>
      <c r="E14" s="1492"/>
      <c r="F14" s="80">
        <v>2</v>
      </c>
      <c r="G14" s="677" t="s">
        <v>1491</v>
      </c>
      <c r="H14" s="80">
        <v>11</v>
      </c>
      <c r="I14" s="697" t="s">
        <v>201</v>
      </c>
      <c r="J14" s="80">
        <v>1</v>
      </c>
      <c r="K14" s="697" t="s">
        <v>1386</v>
      </c>
      <c r="L14" s="80">
        <v>1</v>
      </c>
    </row>
    <row r="15" spans="1:14">
      <c r="B15" s="295"/>
    </row>
    <row r="16" spans="1:14" ht="26.25" customHeight="1">
      <c r="A16" s="674" t="s">
        <v>646</v>
      </c>
      <c r="B16" s="677" t="s">
        <v>204</v>
      </c>
      <c r="C16" s="80">
        <v>25</v>
      </c>
      <c r="D16" s="677" t="s">
        <v>205</v>
      </c>
      <c r="E16" s="80">
        <v>13</v>
      </c>
      <c r="F16" s="677" t="s">
        <v>206</v>
      </c>
      <c r="G16" s="80">
        <v>6</v>
      </c>
      <c r="H16" s="677" t="s">
        <v>230</v>
      </c>
      <c r="I16" s="80">
        <v>44</v>
      </c>
      <c r="J16" s="677" t="s">
        <v>207</v>
      </c>
      <c r="K16" s="80">
        <v>31</v>
      </c>
      <c r="L16" s="1504" t="s">
        <v>2881</v>
      </c>
      <c r="M16" s="1492"/>
      <c r="N16" s="80">
        <v>11</v>
      </c>
    </row>
    <row r="17" spans="1:14" ht="26.25" customHeight="1">
      <c r="A17" s="674" t="s">
        <v>2839</v>
      </c>
      <c r="B17" s="677" t="s">
        <v>210</v>
      </c>
      <c r="C17" s="80">
        <v>322</v>
      </c>
      <c r="D17" s="677" t="s">
        <v>211</v>
      </c>
      <c r="E17" s="80">
        <v>48</v>
      </c>
      <c r="F17" s="677" t="s">
        <v>212</v>
      </c>
      <c r="G17" s="80">
        <v>9</v>
      </c>
      <c r="H17" s="677" t="s">
        <v>411</v>
      </c>
      <c r="I17" s="80">
        <v>379</v>
      </c>
    </row>
    <row r="18" spans="1:14" ht="26.25" customHeight="1">
      <c r="B18" s="677" t="s">
        <v>213</v>
      </c>
      <c r="C18" s="80">
        <v>302</v>
      </c>
      <c r="D18" s="677" t="s">
        <v>214</v>
      </c>
      <c r="E18" s="80">
        <v>46</v>
      </c>
      <c r="F18" s="677" t="s">
        <v>215</v>
      </c>
      <c r="G18" s="80">
        <v>17</v>
      </c>
      <c r="H18" s="677" t="s">
        <v>410</v>
      </c>
      <c r="I18" s="80">
        <v>365</v>
      </c>
    </row>
    <row r="19" spans="1:14" s="403" customFormat="1" ht="26.25" customHeight="1">
      <c r="A19" s="69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496" t="s">
        <v>2841</v>
      </c>
      <c r="G20" s="1497"/>
      <c r="H20" s="1497"/>
      <c r="I20" s="1497"/>
      <c r="J20" s="1497"/>
      <c r="K20" s="1497"/>
      <c r="L20" s="1497"/>
      <c r="M20" s="1497"/>
      <c r="N20" s="1498"/>
    </row>
    <row r="21" spans="1:14" ht="26.25" customHeight="1">
      <c r="A21" s="1508"/>
      <c r="B21" s="1509"/>
      <c r="C21" s="1510"/>
      <c r="D21" s="1511"/>
      <c r="E21" s="1511"/>
      <c r="F21" s="693">
        <v>1</v>
      </c>
      <c r="G21" s="693">
        <v>2</v>
      </c>
      <c r="H21" s="693">
        <v>3</v>
      </c>
      <c r="I21" s="693">
        <v>4</v>
      </c>
      <c r="J21" s="693">
        <v>5</v>
      </c>
      <c r="K21" s="693">
        <v>6</v>
      </c>
      <c r="L21" s="693">
        <v>7</v>
      </c>
      <c r="M21" s="693" t="s">
        <v>230</v>
      </c>
      <c r="N21" s="693" t="s">
        <v>231</v>
      </c>
    </row>
    <row r="22" spans="1:14" ht="26.25" customHeight="1">
      <c r="A22" s="684" t="s">
        <v>232</v>
      </c>
      <c r="B22" s="673">
        <v>8000</v>
      </c>
      <c r="C22" s="698" t="s">
        <v>233</v>
      </c>
      <c r="D22" s="297">
        <f>B22*680/100000</f>
        <v>54.4</v>
      </c>
      <c r="E22" s="296">
        <v>5.6454599999999999</v>
      </c>
      <c r="F22" s="686">
        <v>0</v>
      </c>
      <c r="G22" s="686">
        <v>0</v>
      </c>
      <c r="H22" s="686">
        <v>3.14</v>
      </c>
      <c r="I22" s="687"/>
      <c r="J22" s="687"/>
      <c r="K22" s="687"/>
      <c r="L22" s="687"/>
      <c r="M22" s="704">
        <f>F22+G22+H22</f>
        <v>3.14</v>
      </c>
      <c r="N22" s="705">
        <v>0.55600000000000005</v>
      </c>
    </row>
    <row r="23" spans="1:14" ht="26.25" customHeight="1">
      <c r="A23" s="684" t="s">
        <v>2842</v>
      </c>
      <c r="B23" s="673">
        <v>1120</v>
      </c>
      <c r="C23" s="698" t="s">
        <v>233</v>
      </c>
      <c r="D23" s="297">
        <f>B23*680/100000</f>
        <v>7.6159999999999997</v>
      </c>
      <c r="E23" s="296"/>
      <c r="F23" s="297">
        <v>0</v>
      </c>
      <c r="G23" s="686">
        <v>0</v>
      </c>
      <c r="H23" s="297">
        <v>0</v>
      </c>
      <c r="I23" s="296"/>
      <c r="J23" s="296"/>
      <c r="K23" s="296"/>
      <c r="L23" s="296"/>
      <c r="M23" s="704">
        <f t="shared" ref="M23:M30" si="0">F23+G23+H23</f>
        <v>0</v>
      </c>
      <c r="N23" s="305">
        <v>0</v>
      </c>
    </row>
    <row r="24" spans="1:14" ht="26.25" customHeight="1">
      <c r="A24" s="684" t="s">
        <v>235</v>
      </c>
      <c r="B24" s="673">
        <v>43000</v>
      </c>
      <c r="C24" s="698" t="s">
        <v>236</v>
      </c>
      <c r="D24" s="297">
        <v>0.43</v>
      </c>
      <c r="E24" s="296">
        <v>0.18</v>
      </c>
      <c r="F24" s="297">
        <v>0</v>
      </c>
      <c r="G24" s="686">
        <v>0</v>
      </c>
      <c r="H24" s="297">
        <v>0</v>
      </c>
      <c r="I24" s="296"/>
      <c r="J24" s="296"/>
      <c r="K24" s="296"/>
      <c r="L24" s="296"/>
      <c r="M24" s="704">
        <f t="shared" si="0"/>
        <v>0</v>
      </c>
      <c r="N24" s="304">
        <v>1</v>
      </c>
    </row>
    <row r="25" spans="1:14" ht="26.25" customHeight="1">
      <c r="A25" s="684" t="s">
        <v>237</v>
      </c>
      <c r="B25" s="673">
        <v>37000</v>
      </c>
      <c r="C25" s="698" t="s">
        <v>236</v>
      </c>
      <c r="D25" s="297">
        <v>0.37</v>
      </c>
      <c r="E25" s="296">
        <v>0.16</v>
      </c>
      <c r="F25" s="297">
        <v>0</v>
      </c>
      <c r="G25" s="686">
        <v>0</v>
      </c>
      <c r="H25" s="297">
        <v>0</v>
      </c>
      <c r="I25" s="296"/>
      <c r="J25" s="296"/>
      <c r="K25" s="296"/>
      <c r="L25" s="296"/>
      <c r="M25" s="704">
        <f t="shared" si="0"/>
        <v>0</v>
      </c>
      <c r="N25" s="304">
        <v>1</v>
      </c>
    </row>
    <row r="26" spans="1:14" ht="26.25" customHeight="1">
      <c r="A26" s="684" t="s">
        <v>238</v>
      </c>
      <c r="B26" s="673">
        <v>1200</v>
      </c>
      <c r="C26" s="698" t="s">
        <v>233</v>
      </c>
      <c r="D26" s="297">
        <f>B26*680/100000</f>
        <v>8.16</v>
      </c>
      <c r="E26" s="296">
        <v>2</v>
      </c>
      <c r="F26" s="297">
        <v>0</v>
      </c>
      <c r="G26" s="686">
        <v>0</v>
      </c>
      <c r="H26" s="297">
        <v>1.8791800000000001</v>
      </c>
      <c r="I26" s="296"/>
      <c r="J26" s="296"/>
      <c r="K26" s="296"/>
      <c r="L26" s="296"/>
      <c r="M26" s="704">
        <f t="shared" si="0"/>
        <v>1.8791800000000001</v>
      </c>
      <c r="N26" s="304">
        <v>0.89</v>
      </c>
    </row>
    <row r="27" spans="1:14" ht="26.25" customHeight="1">
      <c r="A27" s="684" t="s">
        <v>667</v>
      </c>
      <c r="B27" s="673">
        <v>565</v>
      </c>
      <c r="C27" s="698" t="s">
        <v>233</v>
      </c>
      <c r="D27" s="297">
        <f>B27*680/100000</f>
        <v>3.8420000000000001</v>
      </c>
      <c r="E27" s="296">
        <v>0.68</v>
      </c>
      <c r="F27" s="297">
        <v>0</v>
      </c>
      <c r="G27" s="686">
        <v>0</v>
      </c>
      <c r="H27" s="297">
        <v>0.15</v>
      </c>
      <c r="I27" s="296"/>
      <c r="J27" s="296"/>
      <c r="K27" s="296"/>
      <c r="L27" s="296"/>
      <c r="M27" s="704">
        <f t="shared" si="0"/>
        <v>0.15</v>
      </c>
      <c r="N27" s="304">
        <v>0.28999999999999998</v>
      </c>
    </row>
    <row r="28" spans="1:14" ht="26.25" customHeight="1">
      <c r="A28" s="684" t="s">
        <v>2843</v>
      </c>
      <c r="B28" s="673">
        <v>1000</v>
      </c>
      <c r="C28" s="698" t="s">
        <v>233</v>
      </c>
      <c r="D28" s="297">
        <f>B28*680/100000</f>
        <v>6.8</v>
      </c>
      <c r="E28" s="296"/>
      <c r="F28" s="297">
        <v>0</v>
      </c>
      <c r="G28" s="686">
        <v>0</v>
      </c>
      <c r="H28" s="297">
        <v>0</v>
      </c>
      <c r="I28" s="296"/>
      <c r="J28" s="296"/>
      <c r="K28" s="296"/>
      <c r="L28" s="296"/>
      <c r="M28" s="704">
        <f t="shared" si="0"/>
        <v>0</v>
      </c>
      <c r="N28" s="305">
        <v>0</v>
      </c>
    </row>
    <row r="29" spans="1:14" ht="26.25" customHeight="1">
      <c r="A29" s="684" t="s">
        <v>2844</v>
      </c>
      <c r="B29" s="673">
        <v>2750</v>
      </c>
      <c r="C29" s="698" t="s">
        <v>242</v>
      </c>
      <c r="D29" s="297">
        <v>2.31</v>
      </c>
      <c r="E29" s="296">
        <v>0.33</v>
      </c>
      <c r="F29" s="297">
        <v>0</v>
      </c>
      <c r="G29" s="686">
        <v>0</v>
      </c>
      <c r="H29" s="297">
        <v>0</v>
      </c>
      <c r="I29" s="296"/>
      <c r="J29" s="296"/>
      <c r="K29" s="296"/>
      <c r="L29" s="296"/>
      <c r="M29" s="704">
        <f t="shared" si="0"/>
        <v>0</v>
      </c>
      <c r="N29" s="304">
        <v>0.27</v>
      </c>
    </row>
    <row r="30" spans="1:14" ht="26.25" customHeight="1">
      <c r="A30" s="684" t="s">
        <v>670</v>
      </c>
      <c r="B30" s="673">
        <v>10000</v>
      </c>
      <c r="C30" s="698" t="s">
        <v>244</v>
      </c>
      <c r="D30" s="297">
        <v>0.1</v>
      </c>
      <c r="E30" s="296">
        <v>0.02</v>
      </c>
      <c r="F30" s="297">
        <v>0</v>
      </c>
      <c r="G30" s="686">
        <v>0</v>
      </c>
      <c r="H30" s="297">
        <v>0</v>
      </c>
      <c r="I30" s="296"/>
      <c r="J30" s="296"/>
      <c r="K30" s="296"/>
      <c r="L30" s="296"/>
      <c r="M30" s="704">
        <f t="shared" si="0"/>
        <v>0</v>
      </c>
      <c r="N30" s="304">
        <v>1</v>
      </c>
    </row>
    <row r="31" spans="1:14" ht="26.25" customHeight="1">
      <c r="A31" s="694" t="s">
        <v>245</v>
      </c>
      <c r="B31" s="673"/>
      <c r="C31" s="673"/>
      <c r="D31" s="297">
        <f>SUM(D22:D30)</f>
        <v>84.027999999999992</v>
      </c>
      <c r="E31" s="297">
        <f>SUM(E22:E30)</f>
        <v>9.0154599999999991</v>
      </c>
      <c r="F31" s="297">
        <f>SUM(F22:F30)</f>
        <v>0</v>
      </c>
      <c r="G31" s="297">
        <f t="shared" ref="G31:M31" si="1">SUM(G22:G30)</f>
        <v>0</v>
      </c>
      <c r="H31" s="297">
        <f t="shared" si="1"/>
        <v>5.1691800000000008</v>
      </c>
      <c r="I31" s="297">
        <f t="shared" si="1"/>
        <v>0</v>
      </c>
      <c r="J31" s="297">
        <f t="shared" si="1"/>
        <v>0</v>
      </c>
      <c r="K31" s="297">
        <f t="shared" si="1"/>
        <v>0</v>
      </c>
      <c r="L31" s="297">
        <f t="shared" si="1"/>
        <v>0</v>
      </c>
      <c r="M31" s="297">
        <f t="shared" si="1"/>
        <v>5.1691800000000008</v>
      </c>
      <c r="N31" s="297"/>
    </row>
  </sheetData>
  <mergeCells count="37">
    <mergeCell ref="C14:E14"/>
    <mergeCell ref="L16:M16"/>
    <mergeCell ref="A20:A21"/>
    <mergeCell ref="B20:B21"/>
    <mergeCell ref="C20:C21"/>
    <mergeCell ref="D20:D21"/>
    <mergeCell ref="E20:E21"/>
    <mergeCell ref="F20:N20"/>
    <mergeCell ref="B11:C11"/>
    <mergeCell ref="D11:F11"/>
    <mergeCell ref="G11:I11"/>
    <mergeCell ref="J11:L11"/>
    <mergeCell ref="B12:C12"/>
    <mergeCell ref="D12:F12"/>
    <mergeCell ref="G12:I12"/>
    <mergeCell ref="J12:L12"/>
    <mergeCell ref="B9:C9"/>
    <mergeCell ref="D9:F9"/>
    <mergeCell ref="G9:I9"/>
    <mergeCell ref="J9:L9"/>
    <mergeCell ref="B10:C10"/>
    <mergeCell ref="D10:F10"/>
    <mergeCell ref="G10:I10"/>
    <mergeCell ref="J10:L10"/>
    <mergeCell ref="A4:C4"/>
    <mergeCell ref="B5:E5"/>
    <mergeCell ref="F5:G5"/>
    <mergeCell ref="H5:J5"/>
    <mergeCell ref="B7:E7"/>
    <mergeCell ref="F7:G7"/>
    <mergeCell ref="H7:K7"/>
    <mergeCell ref="A1:L1"/>
    <mergeCell ref="A2:L2"/>
    <mergeCell ref="B3:E3"/>
    <mergeCell ref="F3:G3"/>
    <mergeCell ref="H3:I3"/>
    <mergeCell ref="L3:M3"/>
  </mergeCells>
  <hyperlinks>
    <hyperlink ref="A4" location="'Fact Sheet of VDC'!A1" display="&lt;&lt;Back"/>
  </hyperlinks>
  <pageMargins left="0.70866141732283472" right="0.70866141732283472" top="0.42" bottom="0.36" header="0.31496062992125984" footer="0.31496062992125984"/>
  <pageSetup paperSize="9" scale="70" orientation="landscape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4" sqref="A4:C4"/>
    </sheetView>
  </sheetViews>
  <sheetFormatPr defaultRowHeight="15"/>
  <cols>
    <col min="1" max="1" width="35.42578125" customWidth="1"/>
    <col min="2" max="2" width="10.140625" customWidth="1"/>
    <col min="3" max="3" width="11.140625" customWidth="1"/>
    <col min="4" max="4" width="12.42578125" customWidth="1"/>
    <col min="5" max="5" width="11.85546875" customWidth="1"/>
    <col min="6" max="6" width="13.5703125" customWidth="1"/>
    <col min="7" max="7" width="14.140625" customWidth="1"/>
    <col min="8" max="8" width="11.85546875" customWidth="1"/>
    <col min="9" max="9" width="11.7109375" customWidth="1"/>
    <col min="10" max="10" width="14.28515625" customWidth="1"/>
    <col min="11" max="11" width="9.42578125" bestFit="1" customWidth="1"/>
    <col min="12" max="12" width="11.28515625" customWidth="1"/>
    <col min="13" max="13" width="7.7109375" customWidth="1"/>
    <col min="14" max="14" width="11.5703125" bestFit="1" customWidth="1"/>
    <col min="257" max="257" width="35.42578125" customWidth="1"/>
    <col min="258" max="258" width="10.140625" customWidth="1"/>
    <col min="259" max="259" width="11.140625" customWidth="1"/>
    <col min="260" max="260" width="12.42578125" customWidth="1"/>
    <col min="261" max="261" width="11.85546875" customWidth="1"/>
    <col min="262" max="262" width="13.5703125" customWidth="1"/>
    <col min="263" max="263" width="14.140625" customWidth="1"/>
    <col min="264" max="264" width="11.85546875" customWidth="1"/>
    <col min="265" max="265" width="11.7109375" customWidth="1"/>
    <col min="266" max="266" width="14.28515625" customWidth="1"/>
    <col min="267" max="267" width="9.42578125" bestFit="1" customWidth="1"/>
    <col min="268" max="268" width="11.28515625" customWidth="1"/>
    <col min="269" max="269" width="7.7109375" customWidth="1"/>
    <col min="270" max="270" width="11.5703125" bestFit="1" customWidth="1"/>
    <col min="513" max="513" width="35.42578125" customWidth="1"/>
    <col min="514" max="514" width="10.140625" customWidth="1"/>
    <col min="515" max="515" width="11.140625" customWidth="1"/>
    <col min="516" max="516" width="12.42578125" customWidth="1"/>
    <col min="517" max="517" width="11.85546875" customWidth="1"/>
    <col min="518" max="518" width="13.5703125" customWidth="1"/>
    <col min="519" max="519" width="14.140625" customWidth="1"/>
    <col min="520" max="520" width="11.85546875" customWidth="1"/>
    <col min="521" max="521" width="11.7109375" customWidth="1"/>
    <col min="522" max="522" width="14.28515625" customWidth="1"/>
    <col min="523" max="523" width="9.42578125" bestFit="1" customWidth="1"/>
    <col min="524" max="524" width="11.28515625" customWidth="1"/>
    <col min="525" max="525" width="7.7109375" customWidth="1"/>
    <col min="526" max="526" width="11.5703125" bestFit="1" customWidth="1"/>
    <col min="769" max="769" width="35.42578125" customWidth="1"/>
    <col min="770" max="770" width="10.140625" customWidth="1"/>
    <col min="771" max="771" width="11.140625" customWidth="1"/>
    <col min="772" max="772" width="12.42578125" customWidth="1"/>
    <col min="773" max="773" width="11.85546875" customWidth="1"/>
    <col min="774" max="774" width="13.5703125" customWidth="1"/>
    <col min="775" max="775" width="14.140625" customWidth="1"/>
    <col min="776" max="776" width="11.85546875" customWidth="1"/>
    <col min="777" max="777" width="11.7109375" customWidth="1"/>
    <col min="778" max="778" width="14.28515625" customWidth="1"/>
    <col min="779" max="779" width="9.42578125" bestFit="1" customWidth="1"/>
    <col min="780" max="780" width="11.28515625" customWidth="1"/>
    <col min="781" max="781" width="7.7109375" customWidth="1"/>
    <col min="782" max="782" width="11.5703125" bestFit="1" customWidth="1"/>
    <col min="1025" max="1025" width="35.42578125" customWidth="1"/>
    <col min="1026" max="1026" width="10.140625" customWidth="1"/>
    <col min="1027" max="1027" width="11.140625" customWidth="1"/>
    <col min="1028" max="1028" width="12.42578125" customWidth="1"/>
    <col min="1029" max="1029" width="11.85546875" customWidth="1"/>
    <col min="1030" max="1030" width="13.5703125" customWidth="1"/>
    <col min="1031" max="1031" width="14.140625" customWidth="1"/>
    <col min="1032" max="1032" width="11.85546875" customWidth="1"/>
    <col min="1033" max="1033" width="11.7109375" customWidth="1"/>
    <col min="1034" max="1034" width="14.28515625" customWidth="1"/>
    <col min="1035" max="1035" width="9.42578125" bestFit="1" customWidth="1"/>
    <col min="1036" max="1036" width="11.28515625" customWidth="1"/>
    <col min="1037" max="1037" width="7.7109375" customWidth="1"/>
    <col min="1038" max="1038" width="11.5703125" bestFit="1" customWidth="1"/>
    <col min="1281" max="1281" width="35.42578125" customWidth="1"/>
    <col min="1282" max="1282" width="10.140625" customWidth="1"/>
    <col min="1283" max="1283" width="11.140625" customWidth="1"/>
    <col min="1284" max="1284" width="12.42578125" customWidth="1"/>
    <col min="1285" max="1285" width="11.85546875" customWidth="1"/>
    <col min="1286" max="1286" width="13.5703125" customWidth="1"/>
    <col min="1287" max="1287" width="14.140625" customWidth="1"/>
    <col min="1288" max="1288" width="11.85546875" customWidth="1"/>
    <col min="1289" max="1289" width="11.7109375" customWidth="1"/>
    <col min="1290" max="1290" width="14.28515625" customWidth="1"/>
    <col min="1291" max="1291" width="9.42578125" bestFit="1" customWidth="1"/>
    <col min="1292" max="1292" width="11.28515625" customWidth="1"/>
    <col min="1293" max="1293" width="7.7109375" customWidth="1"/>
    <col min="1294" max="1294" width="11.5703125" bestFit="1" customWidth="1"/>
    <col min="1537" max="1537" width="35.42578125" customWidth="1"/>
    <col min="1538" max="1538" width="10.140625" customWidth="1"/>
    <col min="1539" max="1539" width="11.140625" customWidth="1"/>
    <col min="1540" max="1540" width="12.42578125" customWidth="1"/>
    <col min="1541" max="1541" width="11.85546875" customWidth="1"/>
    <col min="1542" max="1542" width="13.5703125" customWidth="1"/>
    <col min="1543" max="1543" width="14.140625" customWidth="1"/>
    <col min="1544" max="1544" width="11.85546875" customWidth="1"/>
    <col min="1545" max="1545" width="11.7109375" customWidth="1"/>
    <col min="1546" max="1546" width="14.28515625" customWidth="1"/>
    <col min="1547" max="1547" width="9.42578125" bestFit="1" customWidth="1"/>
    <col min="1548" max="1548" width="11.28515625" customWidth="1"/>
    <col min="1549" max="1549" width="7.7109375" customWidth="1"/>
    <col min="1550" max="1550" width="11.5703125" bestFit="1" customWidth="1"/>
    <col min="1793" max="1793" width="35.42578125" customWidth="1"/>
    <col min="1794" max="1794" width="10.140625" customWidth="1"/>
    <col min="1795" max="1795" width="11.140625" customWidth="1"/>
    <col min="1796" max="1796" width="12.42578125" customWidth="1"/>
    <col min="1797" max="1797" width="11.85546875" customWidth="1"/>
    <col min="1798" max="1798" width="13.5703125" customWidth="1"/>
    <col min="1799" max="1799" width="14.140625" customWidth="1"/>
    <col min="1800" max="1800" width="11.85546875" customWidth="1"/>
    <col min="1801" max="1801" width="11.7109375" customWidth="1"/>
    <col min="1802" max="1802" width="14.28515625" customWidth="1"/>
    <col min="1803" max="1803" width="9.42578125" bestFit="1" customWidth="1"/>
    <col min="1804" max="1804" width="11.28515625" customWidth="1"/>
    <col min="1805" max="1805" width="7.7109375" customWidth="1"/>
    <col min="1806" max="1806" width="11.5703125" bestFit="1" customWidth="1"/>
    <col min="2049" max="2049" width="35.42578125" customWidth="1"/>
    <col min="2050" max="2050" width="10.140625" customWidth="1"/>
    <col min="2051" max="2051" width="11.140625" customWidth="1"/>
    <col min="2052" max="2052" width="12.42578125" customWidth="1"/>
    <col min="2053" max="2053" width="11.85546875" customWidth="1"/>
    <col min="2054" max="2054" width="13.5703125" customWidth="1"/>
    <col min="2055" max="2055" width="14.140625" customWidth="1"/>
    <col min="2056" max="2056" width="11.85546875" customWidth="1"/>
    <col min="2057" max="2057" width="11.7109375" customWidth="1"/>
    <col min="2058" max="2058" width="14.28515625" customWidth="1"/>
    <col min="2059" max="2059" width="9.42578125" bestFit="1" customWidth="1"/>
    <col min="2060" max="2060" width="11.28515625" customWidth="1"/>
    <col min="2061" max="2061" width="7.7109375" customWidth="1"/>
    <col min="2062" max="2062" width="11.5703125" bestFit="1" customWidth="1"/>
    <col min="2305" max="2305" width="35.42578125" customWidth="1"/>
    <col min="2306" max="2306" width="10.140625" customWidth="1"/>
    <col min="2307" max="2307" width="11.140625" customWidth="1"/>
    <col min="2308" max="2308" width="12.42578125" customWidth="1"/>
    <col min="2309" max="2309" width="11.85546875" customWidth="1"/>
    <col min="2310" max="2310" width="13.5703125" customWidth="1"/>
    <col min="2311" max="2311" width="14.140625" customWidth="1"/>
    <col min="2312" max="2312" width="11.85546875" customWidth="1"/>
    <col min="2313" max="2313" width="11.7109375" customWidth="1"/>
    <col min="2314" max="2314" width="14.28515625" customWidth="1"/>
    <col min="2315" max="2315" width="9.42578125" bestFit="1" customWidth="1"/>
    <col min="2316" max="2316" width="11.28515625" customWidth="1"/>
    <col min="2317" max="2317" width="7.7109375" customWidth="1"/>
    <col min="2318" max="2318" width="11.5703125" bestFit="1" customWidth="1"/>
    <col min="2561" max="2561" width="35.42578125" customWidth="1"/>
    <col min="2562" max="2562" width="10.140625" customWidth="1"/>
    <col min="2563" max="2563" width="11.140625" customWidth="1"/>
    <col min="2564" max="2564" width="12.42578125" customWidth="1"/>
    <col min="2565" max="2565" width="11.85546875" customWidth="1"/>
    <col min="2566" max="2566" width="13.5703125" customWidth="1"/>
    <col min="2567" max="2567" width="14.140625" customWidth="1"/>
    <col min="2568" max="2568" width="11.85546875" customWidth="1"/>
    <col min="2569" max="2569" width="11.7109375" customWidth="1"/>
    <col min="2570" max="2570" width="14.28515625" customWidth="1"/>
    <col min="2571" max="2571" width="9.42578125" bestFit="1" customWidth="1"/>
    <col min="2572" max="2572" width="11.28515625" customWidth="1"/>
    <col min="2573" max="2573" width="7.7109375" customWidth="1"/>
    <col min="2574" max="2574" width="11.5703125" bestFit="1" customWidth="1"/>
    <col min="2817" max="2817" width="35.42578125" customWidth="1"/>
    <col min="2818" max="2818" width="10.140625" customWidth="1"/>
    <col min="2819" max="2819" width="11.140625" customWidth="1"/>
    <col min="2820" max="2820" width="12.42578125" customWidth="1"/>
    <col min="2821" max="2821" width="11.85546875" customWidth="1"/>
    <col min="2822" max="2822" width="13.5703125" customWidth="1"/>
    <col min="2823" max="2823" width="14.140625" customWidth="1"/>
    <col min="2824" max="2824" width="11.85546875" customWidth="1"/>
    <col min="2825" max="2825" width="11.7109375" customWidth="1"/>
    <col min="2826" max="2826" width="14.28515625" customWidth="1"/>
    <col min="2827" max="2827" width="9.42578125" bestFit="1" customWidth="1"/>
    <col min="2828" max="2828" width="11.28515625" customWidth="1"/>
    <col min="2829" max="2829" width="7.7109375" customWidth="1"/>
    <col min="2830" max="2830" width="11.5703125" bestFit="1" customWidth="1"/>
    <col min="3073" max="3073" width="35.42578125" customWidth="1"/>
    <col min="3074" max="3074" width="10.140625" customWidth="1"/>
    <col min="3075" max="3075" width="11.140625" customWidth="1"/>
    <col min="3076" max="3076" width="12.42578125" customWidth="1"/>
    <col min="3077" max="3077" width="11.85546875" customWidth="1"/>
    <col min="3078" max="3078" width="13.5703125" customWidth="1"/>
    <col min="3079" max="3079" width="14.140625" customWidth="1"/>
    <col min="3080" max="3080" width="11.85546875" customWidth="1"/>
    <col min="3081" max="3081" width="11.7109375" customWidth="1"/>
    <col min="3082" max="3082" width="14.28515625" customWidth="1"/>
    <col min="3083" max="3083" width="9.42578125" bestFit="1" customWidth="1"/>
    <col min="3084" max="3084" width="11.28515625" customWidth="1"/>
    <col min="3085" max="3085" width="7.7109375" customWidth="1"/>
    <col min="3086" max="3086" width="11.5703125" bestFit="1" customWidth="1"/>
    <col min="3329" max="3329" width="35.42578125" customWidth="1"/>
    <col min="3330" max="3330" width="10.140625" customWidth="1"/>
    <col min="3331" max="3331" width="11.140625" customWidth="1"/>
    <col min="3332" max="3332" width="12.42578125" customWidth="1"/>
    <col min="3333" max="3333" width="11.85546875" customWidth="1"/>
    <col min="3334" max="3334" width="13.5703125" customWidth="1"/>
    <col min="3335" max="3335" width="14.140625" customWidth="1"/>
    <col min="3336" max="3336" width="11.85546875" customWidth="1"/>
    <col min="3337" max="3337" width="11.7109375" customWidth="1"/>
    <col min="3338" max="3338" width="14.28515625" customWidth="1"/>
    <col min="3339" max="3339" width="9.42578125" bestFit="1" customWidth="1"/>
    <col min="3340" max="3340" width="11.28515625" customWidth="1"/>
    <col min="3341" max="3341" width="7.7109375" customWidth="1"/>
    <col min="3342" max="3342" width="11.5703125" bestFit="1" customWidth="1"/>
    <col min="3585" max="3585" width="35.42578125" customWidth="1"/>
    <col min="3586" max="3586" width="10.140625" customWidth="1"/>
    <col min="3587" max="3587" width="11.140625" customWidth="1"/>
    <col min="3588" max="3588" width="12.42578125" customWidth="1"/>
    <col min="3589" max="3589" width="11.85546875" customWidth="1"/>
    <col min="3590" max="3590" width="13.5703125" customWidth="1"/>
    <col min="3591" max="3591" width="14.140625" customWidth="1"/>
    <col min="3592" max="3592" width="11.85546875" customWidth="1"/>
    <col min="3593" max="3593" width="11.7109375" customWidth="1"/>
    <col min="3594" max="3594" width="14.28515625" customWidth="1"/>
    <col min="3595" max="3595" width="9.42578125" bestFit="1" customWidth="1"/>
    <col min="3596" max="3596" width="11.28515625" customWidth="1"/>
    <col min="3597" max="3597" width="7.7109375" customWidth="1"/>
    <col min="3598" max="3598" width="11.5703125" bestFit="1" customWidth="1"/>
    <col min="3841" max="3841" width="35.42578125" customWidth="1"/>
    <col min="3842" max="3842" width="10.140625" customWidth="1"/>
    <col min="3843" max="3843" width="11.140625" customWidth="1"/>
    <col min="3844" max="3844" width="12.42578125" customWidth="1"/>
    <col min="3845" max="3845" width="11.85546875" customWidth="1"/>
    <col min="3846" max="3846" width="13.5703125" customWidth="1"/>
    <col min="3847" max="3847" width="14.140625" customWidth="1"/>
    <col min="3848" max="3848" width="11.85546875" customWidth="1"/>
    <col min="3849" max="3849" width="11.7109375" customWidth="1"/>
    <col min="3850" max="3850" width="14.28515625" customWidth="1"/>
    <col min="3851" max="3851" width="9.42578125" bestFit="1" customWidth="1"/>
    <col min="3852" max="3852" width="11.28515625" customWidth="1"/>
    <col min="3853" max="3853" width="7.7109375" customWidth="1"/>
    <col min="3854" max="3854" width="11.5703125" bestFit="1" customWidth="1"/>
    <col min="4097" max="4097" width="35.42578125" customWidth="1"/>
    <col min="4098" max="4098" width="10.140625" customWidth="1"/>
    <col min="4099" max="4099" width="11.140625" customWidth="1"/>
    <col min="4100" max="4100" width="12.42578125" customWidth="1"/>
    <col min="4101" max="4101" width="11.85546875" customWidth="1"/>
    <col min="4102" max="4102" width="13.5703125" customWidth="1"/>
    <col min="4103" max="4103" width="14.140625" customWidth="1"/>
    <col min="4104" max="4104" width="11.85546875" customWidth="1"/>
    <col min="4105" max="4105" width="11.7109375" customWidth="1"/>
    <col min="4106" max="4106" width="14.28515625" customWidth="1"/>
    <col min="4107" max="4107" width="9.42578125" bestFit="1" customWidth="1"/>
    <col min="4108" max="4108" width="11.28515625" customWidth="1"/>
    <col min="4109" max="4109" width="7.7109375" customWidth="1"/>
    <col min="4110" max="4110" width="11.5703125" bestFit="1" customWidth="1"/>
    <col min="4353" max="4353" width="35.42578125" customWidth="1"/>
    <col min="4354" max="4354" width="10.140625" customWidth="1"/>
    <col min="4355" max="4355" width="11.140625" customWidth="1"/>
    <col min="4356" max="4356" width="12.42578125" customWidth="1"/>
    <col min="4357" max="4357" width="11.85546875" customWidth="1"/>
    <col min="4358" max="4358" width="13.5703125" customWidth="1"/>
    <col min="4359" max="4359" width="14.140625" customWidth="1"/>
    <col min="4360" max="4360" width="11.85546875" customWidth="1"/>
    <col min="4361" max="4361" width="11.7109375" customWidth="1"/>
    <col min="4362" max="4362" width="14.28515625" customWidth="1"/>
    <col min="4363" max="4363" width="9.42578125" bestFit="1" customWidth="1"/>
    <col min="4364" max="4364" width="11.28515625" customWidth="1"/>
    <col min="4365" max="4365" width="7.7109375" customWidth="1"/>
    <col min="4366" max="4366" width="11.5703125" bestFit="1" customWidth="1"/>
    <col min="4609" max="4609" width="35.42578125" customWidth="1"/>
    <col min="4610" max="4610" width="10.140625" customWidth="1"/>
    <col min="4611" max="4611" width="11.140625" customWidth="1"/>
    <col min="4612" max="4612" width="12.42578125" customWidth="1"/>
    <col min="4613" max="4613" width="11.85546875" customWidth="1"/>
    <col min="4614" max="4614" width="13.5703125" customWidth="1"/>
    <col min="4615" max="4615" width="14.140625" customWidth="1"/>
    <col min="4616" max="4616" width="11.85546875" customWidth="1"/>
    <col min="4617" max="4617" width="11.7109375" customWidth="1"/>
    <col min="4618" max="4618" width="14.28515625" customWidth="1"/>
    <col min="4619" max="4619" width="9.42578125" bestFit="1" customWidth="1"/>
    <col min="4620" max="4620" width="11.28515625" customWidth="1"/>
    <col min="4621" max="4621" width="7.7109375" customWidth="1"/>
    <col min="4622" max="4622" width="11.5703125" bestFit="1" customWidth="1"/>
    <col min="4865" max="4865" width="35.42578125" customWidth="1"/>
    <col min="4866" max="4866" width="10.140625" customWidth="1"/>
    <col min="4867" max="4867" width="11.140625" customWidth="1"/>
    <col min="4868" max="4868" width="12.42578125" customWidth="1"/>
    <col min="4869" max="4869" width="11.85546875" customWidth="1"/>
    <col min="4870" max="4870" width="13.5703125" customWidth="1"/>
    <col min="4871" max="4871" width="14.140625" customWidth="1"/>
    <col min="4872" max="4872" width="11.85546875" customWidth="1"/>
    <col min="4873" max="4873" width="11.7109375" customWidth="1"/>
    <col min="4874" max="4874" width="14.28515625" customWidth="1"/>
    <col min="4875" max="4875" width="9.42578125" bestFit="1" customWidth="1"/>
    <col min="4876" max="4876" width="11.28515625" customWidth="1"/>
    <col min="4877" max="4877" width="7.7109375" customWidth="1"/>
    <col min="4878" max="4878" width="11.5703125" bestFit="1" customWidth="1"/>
    <col min="5121" max="5121" width="35.42578125" customWidth="1"/>
    <col min="5122" max="5122" width="10.140625" customWidth="1"/>
    <col min="5123" max="5123" width="11.140625" customWidth="1"/>
    <col min="5124" max="5124" width="12.42578125" customWidth="1"/>
    <col min="5125" max="5125" width="11.85546875" customWidth="1"/>
    <col min="5126" max="5126" width="13.5703125" customWidth="1"/>
    <col min="5127" max="5127" width="14.140625" customWidth="1"/>
    <col min="5128" max="5128" width="11.85546875" customWidth="1"/>
    <col min="5129" max="5129" width="11.7109375" customWidth="1"/>
    <col min="5130" max="5130" width="14.28515625" customWidth="1"/>
    <col min="5131" max="5131" width="9.42578125" bestFit="1" customWidth="1"/>
    <col min="5132" max="5132" width="11.28515625" customWidth="1"/>
    <col min="5133" max="5133" width="7.7109375" customWidth="1"/>
    <col min="5134" max="5134" width="11.5703125" bestFit="1" customWidth="1"/>
    <col min="5377" max="5377" width="35.42578125" customWidth="1"/>
    <col min="5378" max="5378" width="10.140625" customWidth="1"/>
    <col min="5379" max="5379" width="11.140625" customWidth="1"/>
    <col min="5380" max="5380" width="12.42578125" customWidth="1"/>
    <col min="5381" max="5381" width="11.85546875" customWidth="1"/>
    <col min="5382" max="5382" width="13.5703125" customWidth="1"/>
    <col min="5383" max="5383" width="14.140625" customWidth="1"/>
    <col min="5384" max="5384" width="11.85546875" customWidth="1"/>
    <col min="5385" max="5385" width="11.7109375" customWidth="1"/>
    <col min="5386" max="5386" width="14.28515625" customWidth="1"/>
    <col min="5387" max="5387" width="9.42578125" bestFit="1" customWidth="1"/>
    <col min="5388" max="5388" width="11.28515625" customWidth="1"/>
    <col min="5389" max="5389" width="7.7109375" customWidth="1"/>
    <col min="5390" max="5390" width="11.5703125" bestFit="1" customWidth="1"/>
    <col min="5633" max="5633" width="35.42578125" customWidth="1"/>
    <col min="5634" max="5634" width="10.140625" customWidth="1"/>
    <col min="5635" max="5635" width="11.140625" customWidth="1"/>
    <col min="5636" max="5636" width="12.42578125" customWidth="1"/>
    <col min="5637" max="5637" width="11.85546875" customWidth="1"/>
    <col min="5638" max="5638" width="13.5703125" customWidth="1"/>
    <col min="5639" max="5639" width="14.140625" customWidth="1"/>
    <col min="5640" max="5640" width="11.85546875" customWidth="1"/>
    <col min="5641" max="5641" width="11.7109375" customWidth="1"/>
    <col min="5642" max="5642" width="14.28515625" customWidth="1"/>
    <col min="5643" max="5643" width="9.42578125" bestFit="1" customWidth="1"/>
    <col min="5644" max="5644" width="11.28515625" customWidth="1"/>
    <col min="5645" max="5645" width="7.7109375" customWidth="1"/>
    <col min="5646" max="5646" width="11.5703125" bestFit="1" customWidth="1"/>
    <col min="5889" max="5889" width="35.42578125" customWidth="1"/>
    <col min="5890" max="5890" width="10.140625" customWidth="1"/>
    <col min="5891" max="5891" width="11.140625" customWidth="1"/>
    <col min="5892" max="5892" width="12.42578125" customWidth="1"/>
    <col min="5893" max="5893" width="11.85546875" customWidth="1"/>
    <col min="5894" max="5894" width="13.5703125" customWidth="1"/>
    <col min="5895" max="5895" width="14.140625" customWidth="1"/>
    <col min="5896" max="5896" width="11.85546875" customWidth="1"/>
    <col min="5897" max="5897" width="11.7109375" customWidth="1"/>
    <col min="5898" max="5898" width="14.28515625" customWidth="1"/>
    <col min="5899" max="5899" width="9.42578125" bestFit="1" customWidth="1"/>
    <col min="5900" max="5900" width="11.28515625" customWidth="1"/>
    <col min="5901" max="5901" width="7.7109375" customWidth="1"/>
    <col min="5902" max="5902" width="11.5703125" bestFit="1" customWidth="1"/>
    <col min="6145" max="6145" width="35.42578125" customWidth="1"/>
    <col min="6146" max="6146" width="10.140625" customWidth="1"/>
    <col min="6147" max="6147" width="11.140625" customWidth="1"/>
    <col min="6148" max="6148" width="12.42578125" customWidth="1"/>
    <col min="6149" max="6149" width="11.85546875" customWidth="1"/>
    <col min="6150" max="6150" width="13.5703125" customWidth="1"/>
    <col min="6151" max="6151" width="14.140625" customWidth="1"/>
    <col min="6152" max="6152" width="11.85546875" customWidth="1"/>
    <col min="6153" max="6153" width="11.7109375" customWidth="1"/>
    <col min="6154" max="6154" width="14.28515625" customWidth="1"/>
    <col min="6155" max="6155" width="9.42578125" bestFit="1" customWidth="1"/>
    <col min="6156" max="6156" width="11.28515625" customWidth="1"/>
    <col min="6157" max="6157" width="7.7109375" customWidth="1"/>
    <col min="6158" max="6158" width="11.5703125" bestFit="1" customWidth="1"/>
    <col min="6401" max="6401" width="35.42578125" customWidth="1"/>
    <col min="6402" max="6402" width="10.140625" customWidth="1"/>
    <col min="6403" max="6403" width="11.140625" customWidth="1"/>
    <col min="6404" max="6404" width="12.42578125" customWidth="1"/>
    <col min="6405" max="6405" width="11.85546875" customWidth="1"/>
    <col min="6406" max="6406" width="13.5703125" customWidth="1"/>
    <col min="6407" max="6407" width="14.140625" customWidth="1"/>
    <col min="6408" max="6408" width="11.85546875" customWidth="1"/>
    <col min="6409" max="6409" width="11.7109375" customWidth="1"/>
    <col min="6410" max="6410" width="14.28515625" customWidth="1"/>
    <col min="6411" max="6411" width="9.42578125" bestFit="1" customWidth="1"/>
    <col min="6412" max="6412" width="11.28515625" customWidth="1"/>
    <col min="6413" max="6413" width="7.7109375" customWidth="1"/>
    <col min="6414" max="6414" width="11.5703125" bestFit="1" customWidth="1"/>
    <col min="6657" max="6657" width="35.42578125" customWidth="1"/>
    <col min="6658" max="6658" width="10.140625" customWidth="1"/>
    <col min="6659" max="6659" width="11.140625" customWidth="1"/>
    <col min="6660" max="6660" width="12.42578125" customWidth="1"/>
    <col min="6661" max="6661" width="11.85546875" customWidth="1"/>
    <col min="6662" max="6662" width="13.5703125" customWidth="1"/>
    <col min="6663" max="6663" width="14.140625" customWidth="1"/>
    <col min="6664" max="6664" width="11.85546875" customWidth="1"/>
    <col min="6665" max="6665" width="11.7109375" customWidth="1"/>
    <col min="6666" max="6666" width="14.28515625" customWidth="1"/>
    <col min="6667" max="6667" width="9.42578125" bestFit="1" customWidth="1"/>
    <col min="6668" max="6668" width="11.28515625" customWidth="1"/>
    <col min="6669" max="6669" width="7.7109375" customWidth="1"/>
    <col min="6670" max="6670" width="11.5703125" bestFit="1" customWidth="1"/>
    <col min="6913" max="6913" width="35.42578125" customWidth="1"/>
    <col min="6914" max="6914" width="10.140625" customWidth="1"/>
    <col min="6915" max="6915" width="11.140625" customWidth="1"/>
    <col min="6916" max="6916" width="12.42578125" customWidth="1"/>
    <col min="6917" max="6917" width="11.85546875" customWidth="1"/>
    <col min="6918" max="6918" width="13.5703125" customWidth="1"/>
    <col min="6919" max="6919" width="14.140625" customWidth="1"/>
    <col min="6920" max="6920" width="11.85546875" customWidth="1"/>
    <col min="6921" max="6921" width="11.7109375" customWidth="1"/>
    <col min="6922" max="6922" width="14.28515625" customWidth="1"/>
    <col min="6923" max="6923" width="9.42578125" bestFit="1" customWidth="1"/>
    <col min="6924" max="6924" width="11.28515625" customWidth="1"/>
    <col min="6925" max="6925" width="7.7109375" customWidth="1"/>
    <col min="6926" max="6926" width="11.5703125" bestFit="1" customWidth="1"/>
    <col min="7169" max="7169" width="35.42578125" customWidth="1"/>
    <col min="7170" max="7170" width="10.140625" customWidth="1"/>
    <col min="7171" max="7171" width="11.140625" customWidth="1"/>
    <col min="7172" max="7172" width="12.42578125" customWidth="1"/>
    <col min="7173" max="7173" width="11.85546875" customWidth="1"/>
    <col min="7174" max="7174" width="13.5703125" customWidth="1"/>
    <col min="7175" max="7175" width="14.140625" customWidth="1"/>
    <col min="7176" max="7176" width="11.85546875" customWidth="1"/>
    <col min="7177" max="7177" width="11.7109375" customWidth="1"/>
    <col min="7178" max="7178" width="14.28515625" customWidth="1"/>
    <col min="7179" max="7179" width="9.42578125" bestFit="1" customWidth="1"/>
    <col min="7180" max="7180" width="11.28515625" customWidth="1"/>
    <col min="7181" max="7181" width="7.7109375" customWidth="1"/>
    <col min="7182" max="7182" width="11.5703125" bestFit="1" customWidth="1"/>
    <col min="7425" max="7425" width="35.42578125" customWidth="1"/>
    <col min="7426" max="7426" width="10.140625" customWidth="1"/>
    <col min="7427" max="7427" width="11.140625" customWidth="1"/>
    <col min="7428" max="7428" width="12.42578125" customWidth="1"/>
    <col min="7429" max="7429" width="11.85546875" customWidth="1"/>
    <col min="7430" max="7430" width="13.5703125" customWidth="1"/>
    <col min="7431" max="7431" width="14.140625" customWidth="1"/>
    <col min="7432" max="7432" width="11.85546875" customWidth="1"/>
    <col min="7433" max="7433" width="11.7109375" customWidth="1"/>
    <col min="7434" max="7434" width="14.28515625" customWidth="1"/>
    <col min="7435" max="7435" width="9.42578125" bestFit="1" customWidth="1"/>
    <col min="7436" max="7436" width="11.28515625" customWidth="1"/>
    <col min="7437" max="7437" width="7.7109375" customWidth="1"/>
    <col min="7438" max="7438" width="11.5703125" bestFit="1" customWidth="1"/>
    <col min="7681" max="7681" width="35.42578125" customWidth="1"/>
    <col min="7682" max="7682" width="10.140625" customWidth="1"/>
    <col min="7683" max="7683" width="11.140625" customWidth="1"/>
    <col min="7684" max="7684" width="12.42578125" customWidth="1"/>
    <col min="7685" max="7685" width="11.85546875" customWidth="1"/>
    <col min="7686" max="7686" width="13.5703125" customWidth="1"/>
    <col min="7687" max="7687" width="14.140625" customWidth="1"/>
    <col min="7688" max="7688" width="11.85546875" customWidth="1"/>
    <col min="7689" max="7689" width="11.7109375" customWidth="1"/>
    <col min="7690" max="7690" width="14.28515625" customWidth="1"/>
    <col min="7691" max="7691" width="9.42578125" bestFit="1" customWidth="1"/>
    <col min="7692" max="7692" width="11.28515625" customWidth="1"/>
    <col min="7693" max="7693" width="7.7109375" customWidth="1"/>
    <col min="7694" max="7694" width="11.5703125" bestFit="1" customWidth="1"/>
    <col min="7937" max="7937" width="35.42578125" customWidth="1"/>
    <col min="7938" max="7938" width="10.140625" customWidth="1"/>
    <col min="7939" max="7939" width="11.140625" customWidth="1"/>
    <col min="7940" max="7940" width="12.42578125" customWidth="1"/>
    <col min="7941" max="7941" width="11.85546875" customWidth="1"/>
    <col min="7942" max="7942" width="13.5703125" customWidth="1"/>
    <col min="7943" max="7943" width="14.140625" customWidth="1"/>
    <col min="7944" max="7944" width="11.85546875" customWidth="1"/>
    <col min="7945" max="7945" width="11.7109375" customWidth="1"/>
    <col min="7946" max="7946" width="14.28515625" customWidth="1"/>
    <col min="7947" max="7947" width="9.42578125" bestFit="1" customWidth="1"/>
    <col min="7948" max="7948" width="11.28515625" customWidth="1"/>
    <col min="7949" max="7949" width="7.7109375" customWidth="1"/>
    <col min="7950" max="7950" width="11.5703125" bestFit="1" customWidth="1"/>
    <col min="8193" max="8193" width="35.42578125" customWidth="1"/>
    <col min="8194" max="8194" width="10.140625" customWidth="1"/>
    <col min="8195" max="8195" width="11.140625" customWidth="1"/>
    <col min="8196" max="8196" width="12.42578125" customWidth="1"/>
    <col min="8197" max="8197" width="11.85546875" customWidth="1"/>
    <col min="8198" max="8198" width="13.5703125" customWidth="1"/>
    <col min="8199" max="8199" width="14.140625" customWidth="1"/>
    <col min="8200" max="8200" width="11.85546875" customWidth="1"/>
    <col min="8201" max="8201" width="11.7109375" customWidth="1"/>
    <col min="8202" max="8202" width="14.28515625" customWidth="1"/>
    <col min="8203" max="8203" width="9.42578125" bestFit="1" customWidth="1"/>
    <col min="8204" max="8204" width="11.28515625" customWidth="1"/>
    <col min="8205" max="8205" width="7.7109375" customWidth="1"/>
    <col min="8206" max="8206" width="11.5703125" bestFit="1" customWidth="1"/>
    <col min="8449" max="8449" width="35.42578125" customWidth="1"/>
    <col min="8450" max="8450" width="10.140625" customWidth="1"/>
    <col min="8451" max="8451" width="11.140625" customWidth="1"/>
    <col min="8452" max="8452" width="12.42578125" customWidth="1"/>
    <col min="8453" max="8453" width="11.85546875" customWidth="1"/>
    <col min="8454" max="8454" width="13.5703125" customWidth="1"/>
    <col min="8455" max="8455" width="14.140625" customWidth="1"/>
    <col min="8456" max="8456" width="11.85546875" customWidth="1"/>
    <col min="8457" max="8457" width="11.7109375" customWidth="1"/>
    <col min="8458" max="8458" width="14.28515625" customWidth="1"/>
    <col min="8459" max="8459" width="9.42578125" bestFit="1" customWidth="1"/>
    <col min="8460" max="8460" width="11.28515625" customWidth="1"/>
    <col min="8461" max="8461" width="7.7109375" customWidth="1"/>
    <col min="8462" max="8462" width="11.5703125" bestFit="1" customWidth="1"/>
    <col min="8705" max="8705" width="35.42578125" customWidth="1"/>
    <col min="8706" max="8706" width="10.140625" customWidth="1"/>
    <col min="8707" max="8707" width="11.140625" customWidth="1"/>
    <col min="8708" max="8708" width="12.42578125" customWidth="1"/>
    <col min="8709" max="8709" width="11.85546875" customWidth="1"/>
    <col min="8710" max="8710" width="13.5703125" customWidth="1"/>
    <col min="8711" max="8711" width="14.140625" customWidth="1"/>
    <col min="8712" max="8712" width="11.85546875" customWidth="1"/>
    <col min="8713" max="8713" width="11.7109375" customWidth="1"/>
    <col min="8714" max="8714" width="14.28515625" customWidth="1"/>
    <col min="8715" max="8715" width="9.42578125" bestFit="1" customWidth="1"/>
    <col min="8716" max="8716" width="11.28515625" customWidth="1"/>
    <col min="8717" max="8717" width="7.7109375" customWidth="1"/>
    <col min="8718" max="8718" width="11.5703125" bestFit="1" customWidth="1"/>
    <col min="8961" max="8961" width="35.42578125" customWidth="1"/>
    <col min="8962" max="8962" width="10.140625" customWidth="1"/>
    <col min="8963" max="8963" width="11.140625" customWidth="1"/>
    <col min="8964" max="8964" width="12.42578125" customWidth="1"/>
    <col min="8965" max="8965" width="11.85546875" customWidth="1"/>
    <col min="8966" max="8966" width="13.5703125" customWidth="1"/>
    <col min="8967" max="8967" width="14.140625" customWidth="1"/>
    <col min="8968" max="8968" width="11.85546875" customWidth="1"/>
    <col min="8969" max="8969" width="11.7109375" customWidth="1"/>
    <col min="8970" max="8970" width="14.28515625" customWidth="1"/>
    <col min="8971" max="8971" width="9.42578125" bestFit="1" customWidth="1"/>
    <col min="8972" max="8972" width="11.28515625" customWidth="1"/>
    <col min="8973" max="8973" width="7.7109375" customWidth="1"/>
    <col min="8974" max="8974" width="11.5703125" bestFit="1" customWidth="1"/>
    <col min="9217" max="9217" width="35.42578125" customWidth="1"/>
    <col min="9218" max="9218" width="10.140625" customWidth="1"/>
    <col min="9219" max="9219" width="11.140625" customWidth="1"/>
    <col min="9220" max="9220" width="12.42578125" customWidth="1"/>
    <col min="9221" max="9221" width="11.85546875" customWidth="1"/>
    <col min="9222" max="9222" width="13.5703125" customWidth="1"/>
    <col min="9223" max="9223" width="14.140625" customWidth="1"/>
    <col min="9224" max="9224" width="11.85546875" customWidth="1"/>
    <col min="9225" max="9225" width="11.7109375" customWidth="1"/>
    <col min="9226" max="9226" width="14.28515625" customWidth="1"/>
    <col min="9227" max="9227" width="9.42578125" bestFit="1" customWidth="1"/>
    <col min="9228" max="9228" width="11.28515625" customWidth="1"/>
    <col min="9229" max="9229" width="7.7109375" customWidth="1"/>
    <col min="9230" max="9230" width="11.5703125" bestFit="1" customWidth="1"/>
    <col min="9473" max="9473" width="35.42578125" customWidth="1"/>
    <col min="9474" max="9474" width="10.140625" customWidth="1"/>
    <col min="9475" max="9475" width="11.140625" customWidth="1"/>
    <col min="9476" max="9476" width="12.42578125" customWidth="1"/>
    <col min="9477" max="9477" width="11.85546875" customWidth="1"/>
    <col min="9478" max="9478" width="13.5703125" customWidth="1"/>
    <col min="9479" max="9479" width="14.140625" customWidth="1"/>
    <col min="9480" max="9480" width="11.85546875" customWidth="1"/>
    <col min="9481" max="9481" width="11.7109375" customWidth="1"/>
    <col min="9482" max="9482" width="14.28515625" customWidth="1"/>
    <col min="9483" max="9483" width="9.42578125" bestFit="1" customWidth="1"/>
    <col min="9484" max="9484" width="11.28515625" customWidth="1"/>
    <col min="9485" max="9485" width="7.7109375" customWidth="1"/>
    <col min="9486" max="9486" width="11.5703125" bestFit="1" customWidth="1"/>
    <col min="9729" max="9729" width="35.42578125" customWidth="1"/>
    <col min="9730" max="9730" width="10.140625" customWidth="1"/>
    <col min="9731" max="9731" width="11.140625" customWidth="1"/>
    <col min="9732" max="9732" width="12.42578125" customWidth="1"/>
    <col min="9733" max="9733" width="11.85546875" customWidth="1"/>
    <col min="9734" max="9734" width="13.5703125" customWidth="1"/>
    <col min="9735" max="9735" width="14.140625" customWidth="1"/>
    <col min="9736" max="9736" width="11.85546875" customWidth="1"/>
    <col min="9737" max="9737" width="11.7109375" customWidth="1"/>
    <col min="9738" max="9738" width="14.28515625" customWidth="1"/>
    <col min="9739" max="9739" width="9.42578125" bestFit="1" customWidth="1"/>
    <col min="9740" max="9740" width="11.28515625" customWidth="1"/>
    <col min="9741" max="9741" width="7.7109375" customWidth="1"/>
    <col min="9742" max="9742" width="11.5703125" bestFit="1" customWidth="1"/>
    <col min="9985" max="9985" width="35.42578125" customWidth="1"/>
    <col min="9986" max="9986" width="10.140625" customWidth="1"/>
    <col min="9987" max="9987" width="11.140625" customWidth="1"/>
    <col min="9988" max="9988" width="12.42578125" customWidth="1"/>
    <col min="9989" max="9989" width="11.85546875" customWidth="1"/>
    <col min="9990" max="9990" width="13.5703125" customWidth="1"/>
    <col min="9991" max="9991" width="14.140625" customWidth="1"/>
    <col min="9992" max="9992" width="11.85546875" customWidth="1"/>
    <col min="9993" max="9993" width="11.7109375" customWidth="1"/>
    <col min="9994" max="9994" width="14.28515625" customWidth="1"/>
    <col min="9995" max="9995" width="9.42578125" bestFit="1" customWidth="1"/>
    <col min="9996" max="9996" width="11.28515625" customWidth="1"/>
    <col min="9997" max="9997" width="7.7109375" customWidth="1"/>
    <col min="9998" max="9998" width="11.5703125" bestFit="1" customWidth="1"/>
    <col min="10241" max="10241" width="35.42578125" customWidth="1"/>
    <col min="10242" max="10242" width="10.140625" customWidth="1"/>
    <col min="10243" max="10243" width="11.140625" customWidth="1"/>
    <col min="10244" max="10244" width="12.42578125" customWidth="1"/>
    <col min="10245" max="10245" width="11.85546875" customWidth="1"/>
    <col min="10246" max="10246" width="13.5703125" customWidth="1"/>
    <col min="10247" max="10247" width="14.140625" customWidth="1"/>
    <col min="10248" max="10248" width="11.85546875" customWidth="1"/>
    <col min="10249" max="10249" width="11.7109375" customWidth="1"/>
    <col min="10250" max="10250" width="14.28515625" customWidth="1"/>
    <col min="10251" max="10251" width="9.42578125" bestFit="1" customWidth="1"/>
    <col min="10252" max="10252" width="11.28515625" customWidth="1"/>
    <col min="10253" max="10253" width="7.7109375" customWidth="1"/>
    <col min="10254" max="10254" width="11.5703125" bestFit="1" customWidth="1"/>
    <col min="10497" max="10497" width="35.42578125" customWidth="1"/>
    <col min="10498" max="10498" width="10.140625" customWidth="1"/>
    <col min="10499" max="10499" width="11.140625" customWidth="1"/>
    <col min="10500" max="10500" width="12.42578125" customWidth="1"/>
    <col min="10501" max="10501" width="11.85546875" customWidth="1"/>
    <col min="10502" max="10502" width="13.5703125" customWidth="1"/>
    <col min="10503" max="10503" width="14.140625" customWidth="1"/>
    <col min="10504" max="10504" width="11.85546875" customWidth="1"/>
    <col min="10505" max="10505" width="11.7109375" customWidth="1"/>
    <col min="10506" max="10506" width="14.28515625" customWidth="1"/>
    <col min="10507" max="10507" width="9.42578125" bestFit="1" customWidth="1"/>
    <col min="10508" max="10508" width="11.28515625" customWidth="1"/>
    <col min="10509" max="10509" width="7.7109375" customWidth="1"/>
    <col min="10510" max="10510" width="11.5703125" bestFit="1" customWidth="1"/>
    <col min="10753" max="10753" width="35.42578125" customWidth="1"/>
    <col min="10754" max="10754" width="10.140625" customWidth="1"/>
    <col min="10755" max="10755" width="11.140625" customWidth="1"/>
    <col min="10756" max="10756" width="12.42578125" customWidth="1"/>
    <col min="10757" max="10757" width="11.85546875" customWidth="1"/>
    <col min="10758" max="10758" width="13.5703125" customWidth="1"/>
    <col min="10759" max="10759" width="14.140625" customWidth="1"/>
    <col min="10760" max="10760" width="11.85546875" customWidth="1"/>
    <col min="10761" max="10761" width="11.7109375" customWidth="1"/>
    <col min="10762" max="10762" width="14.28515625" customWidth="1"/>
    <col min="10763" max="10763" width="9.42578125" bestFit="1" customWidth="1"/>
    <col min="10764" max="10764" width="11.28515625" customWidth="1"/>
    <col min="10765" max="10765" width="7.7109375" customWidth="1"/>
    <col min="10766" max="10766" width="11.5703125" bestFit="1" customWidth="1"/>
    <col min="11009" max="11009" width="35.42578125" customWidth="1"/>
    <col min="11010" max="11010" width="10.140625" customWidth="1"/>
    <col min="11011" max="11011" width="11.140625" customWidth="1"/>
    <col min="11012" max="11012" width="12.42578125" customWidth="1"/>
    <col min="11013" max="11013" width="11.85546875" customWidth="1"/>
    <col min="11014" max="11014" width="13.5703125" customWidth="1"/>
    <col min="11015" max="11015" width="14.140625" customWidth="1"/>
    <col min="11016" max="11016" width="11.85546875" customWidth="1"/>
    <col min="11017" max="11017" width="11.7109375" customWidth="1"/>
    <col min="11018" max="11018" width="14.28515625" customWidth="1"/>
    <col min="11019" max="11019" width="9.42578125" bestFit="1" customWidth="1"/>
    <col min="11020" max="11020" width="11.28515625" customWidth="1"/>
    <col min="11021" max="11021" width="7.7109375" customWidth="1"/>
    <col min="11022" max="11022" width="11.5703125" bestFit="1" customWidth="1"/>
    <col min="11265" max="11265" width="35.42578125" customWidth="1"/>
    <col min="11266" max="11266" width="10.140625" customWidth="1"/>
    <col min="11267" max="11267" width="11.140625" customWidth="1"/>
    <col min="11268" max="11268" width="12.42578125" customWidth="1"/>
    <col min="11269" max="11269" width="11.85546875" customWidth="1"/>
    <col min="11270" max="11270" width="13.5703125" customWidth="1"/>
    <col min="11271" max="11271" width="14.140625" customWidth="1"/>
    <col min="11272" max="11272" width="11.85546875" customWidth="1"/>
    <col min="11273" max="11273" width="11.7109375" customWidth="1"/>
    <col min="11274" max="11274" width="14.28515625" customWidth="1"/>
    <col min="11275" max="11275" width="9.42578125" bestFit="1" customWidth="1"/>
    <col min="11276" max="11276" width="11.28515625" customWidth="1"/>
    <col min="11277" max="11277" width="7.7109375" customWidth="1"/>
    <col min="11278" max="11278" width="11.5703125" bestFit="1" customWidth="1"/>
    <col min="11521" max="11521" width="35.42578125" customWidth="1"/>
    <col min="11522" max="11522" width="10.140625" customWidth="1"/>
    <col min="11523" max="11523" width="11.140625" customWidth="1"/>
    <col min="11524" max="11524" width="12.42578125" customWidth="1"/>
    <col min="11525" max="11525" width="11.85546875" customWidth="1"/>
    <col min="11526" max="11526" width="13.5703125" customWidth="1"/>
    <col min="11527" max="11527" width="14.140625" customWidth="1"/>
    <col min="11528" max="11528" width="11.85546875" customWidth="1"/>
    <col min="11529" max="11529" width="11.7109375" customWidth="1"/>
    <col min="11530" max="11530" width="14.28515625" customWidth="1"/>
    <col min="11531" max="11531" width="9.42578125" bestFit="1" customWidth="1"/>
    <col min="11532" max="11532" width="11.28515625" customWidth="1"/>
    <col min="11533" max="11533" width="7.7109375" customWidth="1"/>
    <col min="11534" max="11534" width="11.5703125" bestFit="1" customWidth="1"/>
    <col min="11777" max="11777" width="35.42578125" customWidth="1"/>
    <col min="11778" max="11778" width="10.140625" customWidth="1"/>
    <col min="11779" max="11779" width="11.140625" customWidth="1"/>
    <col min="11780" max="11780" width="12.42578125" customWidth="1"/>
    <col min="11781" max="11781" width="11.85546875" customWidth="1"/>
    <col min="11782" max="11782" width="13.5703125" customWidth="1"/>
    <col min="11783" max="11783" width="14.140625" customWidth="1"/>
    <col min="11784" max="11784" width="11.85546875" customWidth="1"/>
    <col min="11785" max="11785" width="11.7109375" customWidth="1"/>
    <col min="11786" max="11786" width="14.28515625" customWidth="1"/>
    <col min="11787" max="11787" width="9.42578125" bestFit="1" customWidth="1"/>
    <col min="11788" max="11788" width="11.28515625" customWidth="1"/>
    <col min="11789" max="11789" width="7.7109375" customWidth="1"/>
    <col min="11790" max="11790" width="11.5703125" bestFit="1" customWidth="1"/>
    <col min="12033" max="12033" width="35.42578125" customWidth="1"/>
    <col min="12034" max="12034" width="10.140625" customWidth="1"/>
    <col min="12035" max="12035" width="11.140625" customWidth="1"/>
    <col min="12036" max="12036" width="12.42578125" customWidth="1"/>
    <col min="12037" max="12037" width="11.85546875" customWidth="1"/>
    <col min="12038" max="12038" width="13.5703125" customWidth="1"/>
    <col min="12039" max="12039" width="14.140625" customWidth="1"/>
    <col min="12040" max="12040" width="11.85546875" customWidth="1"/>
    <col min="12041" max="12041" width="11.7109375" customWidth="1"/>
    <col min="12042" max="12042" width="14.28515625" customWidth="1"/>
    <col min="12043" max="12043" width="9.42578125" bestFit="1" customWidth="1"/>
    <col min="12044" max="12044" width="11.28515625" customWidth="1"/>
    <col min="12045" max="12045" width="7.7109375" customWidth="1"/>
    <col min="12046" max="12046" width="11.5703125" bestFit="1" customWidth="1"/>
    <col min="12289" max="12289" width="35.42578125" customWidth="1"/>
    <col min="12290" max="12290" width="10.140625" customWidth="1"/>
    <col min="12291" max="12291" width="11.140625" customWidth="1"/>
    <col min="12292" max="12292" width="12.42578125" customWidth="1"/>
    <col min="12293" max="12293" width="11.85546875" customWidth="1"/>
    <col min="12294" max="12294" width="13.5703125" customWidth="1"/>
    <col min="12295" max="12295" width="14.140625" customWidth="1"/>
    <col min="12296" max="12296" width="11.85546875" customWidth="1"/>
    <col min="12297" max="12297" width="11.7109375" customWidth="1"/>
    <col min="12298" max="12298" width="14.28515625" customWidth="1"/>
    <col min="12299" max="12299" width="9.42578125" bestFit="1" customWidth="1"/>
    <col min="12300" max="12300" width="11.28515625" customWidth="1"/>
    <col min="12301" max="12301" width="7.7109375" customWidth="1"/>
    <col min="12302" max="12302" width="11.5703125" bestFit="1" customWidth="1"/>
    <col min="12545" max="12545" width="35.42578125" customWidth="1"/>
    <col min="12546" max="12546" width="10.140625" customWidth="1"/>
    <col min="12547" max="12547" width="11.140625" customWidth="1"/>
    <col min="12548" max="12548" width="12.42578125" customWidth="1"/>
    <col min="12549" max="12549" width="11.85546875" customWidth="1"/>
    <col min="12550" max="12550" width="13.5703125" customWidth="1"/>
    <col min="12551" max="12551" width="14.140625" customWidth="1"/>
    <col min="12552" max="12552" width="11.85546875" customWidth="1"/>
    <col min="12553" max="12553" width="11.7109375" customWidth="1"/>
    <col min="12554" max="12554" width="14.28515625" customWidth="1"/>
    <col min="12555" max="12555" width="9.42578125" bestFit="1" customWidth="1"/>
    <col min="12556" max="12556" width="11.28515625" customWidth="1"/>
    <col min="12557" max="12557" width="7.7109375" customWidth="1"/>
    <col min="12558" max="12558" width="11.5703125" bestFit="1" customWidth="1"/>
    <col min="12801" max="12801" width="35.42578125" customWidth="1"/>
    <col min="12802" max="12802" width="10.140625" customWidth="1"/>
    <col min="12803" max="12803" width="11.140625" customWidth="1"/>
    <col min="12804" max="12804" width="12.42578125" customWidth="1"/>
    <col min="12805" max="12805" width="11.85546875" customWidth="1"/>
    <col min="12806" max="12806" width="13.5703125" customWidth="1"/>
    <col min="12807" max="12807" width="14.140625" customWidth="1"/>
    <col min="12808" max="12808" width="11.85546875" customWidth="1"/>
    <col min="12809" max="12809" width="11.7109375" customWidth="1"/>
    <col min="12810" max="12810" width="14.28515625" customWidth="1"/>
    <col min="12811" max="12811" width="9.42578125" bestFit="1" customWidth="1"/>
    <col min="12812" max="12812" width="11.28515625" customWidth="1"/>
    <col min="12813" max="12813" width="7.7109375" customWidth="1"/>
    <col min="12814" max="12814" width="11.5703125" bestFit="1" customWidth="1"/>
    <col min="13057" max="13057" width="35.42578125" customWidth="1"/>
    <col min="13058" max="13058" width="10.140625" customWidth="1"/>
    <col min="13059" max="13059" width="11.140625" customWidth="1"/>
    <col min="13060" max="13060" width="12.42578125" customWidth="1"/>
    <col min="13061" max="13061" width="11.85546875" customWidth="1"/>
    <col min="13062" max="13062" width="13.5703125" customWidth="1"/>
    <col min="13063" max="13063" width="14.140625" customWidth="1"/>
    <col min="13064" max="13064" width="11.85546875" customWidth="1"/>
    <col min="13065" max="13065" width="11.7109375" customWidth="1"/>
    <col min="13066" max="13066" width="14.28515625" customWidth="1"/>
    <col min="13067" max="13067" width="9.42578125" bestFit="1" customWidth="1"/>
    <col min="13068" max="13068" width="11.28515625" customWidth="1"/>
    <col min="13069" max="13069" width="7.7109375" customWidth="1"/>
    <col min="13070" max="13070" width="11.5703125" bestFit="1" customWidth="1"/>
    <col min="13313" max="13313" width="35.42578125" customWidth="1"/>
    <col min="13314" max="13314" width="10.140625" customWidth="1"/>
    <col min="13315" max="13315" width="11.140625" customWidth="1"/>
    <col min="13316" max="13316" width="12.42578125" customWidth="1"/>
    <col min="13317" max="13317" width="11.85546875" customWidth="1"/>
    <col min="13318" max="13318" width="13.5703125" customWidth="1"/>
    <col min="13319" max="13319" width="14.140625" customWidth="1"/>
    <col min="13320" max="13320" width="11.85546875" customWidth="1"/>
    <col min="13321" max="13321" width="11.7109375" customWidth="1"/>
    <col min="13322" max="13322" width="14.28515625" customWidth="1"/>
    <col min="13323" max="13323" width="9.42578125" bestFit="1" customWidth="1"/>
    <col min="13324" max="13324" width="11.28515625" customWidth="1"/>
    <col min="13325" max="13325" width="7.7109375" customWidth="1"/>
    <col min="13326" max="13326" width="11.5703125" bestFit="1" customWidth="1"/>
    <col min="13569" max="13569" width="35.42578125" customWidth="1"/>
    <col min="13570" max="13570" width="10.140625" customWidth="1"/>
    <col min="13571" max="13571" width="11.140625" customWidth="1"/>
    <col min="13572" max="13572" width="12.42578125" customWidth="1"/>
    <col min="13573" max="13573" width="11.85546875" customWidth="1"/>
    <col min="13574" max="13574" width="13.5703125" customWidth="1"/>
    <col min="13575" max="13575" width="14.140625" customWidth="1"/>
    <col min="13576" max="13576" width="11.85546875" customWidth="1"/>
    <col min="13577" max="13577" width="11.7109375" customWidth="1"/>
    <col min="13578" max="13578" width="14.28515625" customWidth="1"/>
    <col min="13579" max="13579" width="9.42578125" bestFit="1" customWidth="1"/>
    <col min="13580" max="13580" width="11.28515625" customWidth="1"/>
    <col min="13581" max="13581" width="7.7109375" customWidth="1"/>
    <col min="13582" max="13582" width="11.5703125" bestFit="1" customWidth="1"/>
    <col min="13825" max="13825" width="35.42578125" customWidth="1"/>
    <col min="13826" max="13826" width="10.140625" customWidth="1"/>
    <col min="13827" max="13827" width="11.140625" customWidth="1"/>
    <col min="13828" max="13828" width="12.42578125" customWidth="1"/>
    <col min="13829" max="13829" width="11.85546875" customWidth="1"/>
    <col min="13830" max="13830" width="13.5703125" customWidth="1"/>
    <col min="13831" max="13831" width="14.140625" customWidth="1"/>
    <col min="13832" max="13832" width="11.85546875" customWidth="1"/>
    <col min="13833" max="13833" width="11.7109375" customWidth="1"/>
    <col min="13834" max="13834" width="14.28515625" customWidth="1"/>
    <col min="13835" max="13835" width="9.42578125" bestFit="1" customWidth="1"/>
    <col min="13836" max="13836" width="11.28515625" customWidth="1"/>
    <col min="13837" max="13837" width="7.7109375" customWidth="1"/>
    <col min="13838" max="13838" width="11.5703125" bestFit="1" customWidth="1"/>
    <col min="14081" max="14081" width="35.42578125" customWidth="1"/>
    <col min="14082" max="14082" width="10.140625" customWidth="1"/>
    <col min="14083" max="14083" width="11.140625" customWidth="1"/>
    <col min="14084" max="14084" width="12.42578125" customWidth="1"/>
    <col min="14085" max="14085" width="11.85546875" customWidth="1"/>
    <col min="14086" max="14086" width="13.5703125" customWidth="1"/>
    <col min="14087" max="14087" width="14.140625" customWidth="1"/>
    <col min="14088" max="14088" width="11.85546875" customWidth="1"/>
    <col min="14089" max="14089" width="11.7109375" customWidth="1"/>
    <col min="14090" max="14090" width="14.28515625" customWidth="1"/>
    <col min="14091" max="14091" width="9.42578125" bestFit="1" customWidth="1"/>
    <col min="14092" max="14092" width="11.28515625" customWidth="1"/>
    <col min="14093" max="14093" width="7.7109375" customWidth="1"/>
    <col min="14094" max="14094" width="11.5703125" bestFit="1" customWidth="1"/>
    <col min="14337" max="14337" width="35.42578125" customWidth="1"/>
    <col min="14338" max="14338" width="10.140625" customWidth="1"/>
    <col min="14339" max="14339" width="11.140625" customWidth="1"/>
    <col min="14340" max="14340" width="12.42578125" customWidth="1"/>
    <col min="14341" max="14341" width="11.85546875" customWidth="1"/>
    <col min="14342" max="14342" width="13.5703125" customWidth="1"/>
    <col min="14343" max="14343" width="14.140625" customWidth="1"/>
    <col min="14344" max="14344" width="11.85546875" customWidth="1"/>
    <col min="14345" max="14345" width="11.7109375" customWidth="1"/>
    <col min="14346" max="14346" width="14.28515625" customWidth="1"/>
    <col min="14347" max="14347" width="9.42578125" bestFit="1" customWidth="1"/>
    <col min="14348" max="14348" width="11.28515625" customWidth="1"/>
    <col min="14349" max="14349" width="7.7109375" customWidth="1"/>
    <col min="14350" max="14350" width="11.5703125" bestFit="1" customWidth="1"/>
    <col min="14593" max="14593" width="35.42578125" customWidth="1"/>
    <col min="14594" max="14594" width="10.140625" customWidth="1"/>
    <col min="14595" max="14595" width="11.140625" customWidth="1"/>
    <col min="14596" max="14596" width="12.42578125" customWidth="1"/>
    <col min="14597" max="14597" width="11.85546875" customWidth="1"/>
    <col min="14598" max="14598" width="13.5703125" customWidth="1"/>
    <col min="14599" max="14599" width="14.140625" customWidth="1"/>
    <col min="14600" max="14600" width="11.85546875" customWidth="1"/>
    <col min="14601" max="14601" width="11.7109375" customWidth="1"/>
    <col min="14602" max="14602" width="14.28515625" customWidth="1"/>
    <col min="14603" max="14603" width="9.42578125" bestFit="1" customWidth="1"/>
    <col min="14604" max="14604" width="11.28515625" customWidth="1"/>
    <col min="14605" max="14605" width="7.7109375" customWidth="1"/>
    <col min="14606" max="14606" width="11.5703125" bestFit="1" customWidth="1"/>
    <col min="14849" max="14849" width="35.42578125" customWidth="1"/>
    <col min="14850" max="14850" width="10.140625" customWidth="1"/>
    <col min="14851" max="14851" width="11.140625" customWidth="1"/>
    <col min="14852" max="14852" width="12.42578125" customWidth="1"/>
    <col min="14853" max="14853" width="11.85546875" customWidth="1"/>
    <col min="14854" max="14854" width="13.5703125" customWidth="1"/>
    <col min="14855" max="14855" width="14.140625" customWidth="1"/>
    <col min="14856" max="14856" width="11.85546875" customWidth="1"/>
    <col min="14857" max="14857" width="11.7109375" customWidth="1"/>
    <col min="14858" max="14858" width="14.28515625" customWidth="1"/>
    <col min="14859" max="14859" width="9.42578125" bestFit="1" customWidth="1"/>
    <col min="14860" max="14860" width="11.28515625" customWidth="1"/>
    <col min="14861" max="14861" width="7.7109375" customWidth="1"/>
    <col min="14862" max="14862" width="11.5703125" bestFit="1" customWidth="1"/>
    <col min="15105" max="15105" width="35.42578125" customWidth="1"/>
    <col min="15106" max="15106" width="10.140625" customWidth="1"/>
    <col min="15107" max="15107" width="11.140625" customWidth="1"/>
    <col min="15108" max="15108" width="12.42578125" customWidth="1"/>
    <col min="15109" max="15109" width="11.85546875" customWidth="1"/>
    <col min="15110" max="15110" width="13.5703125" customWidth="1"/>
    <col min="15111" max="15111" width="14.140625" customWidth="1"/>
    <col min="15112" max="15112" width="11.85546875" customWidth="1"/>
    <col min="15113" max="15113" width="11.7109375" customWidth="1"/>
    <col min="15114" max="15114" width="14.28515625" customWidth="1"/>
    <col min="15115" max="15115" width="9.42578125" bestFit="1" customWidth="1"/>
    <col min="15116" max="15116" width="11.28515625" customWidth="1"/>
    <col min="15117" max="15117" width="7.7109375" customWidth="1"/>
    <col min="15118" max="15118" width="11.5703125" bestFit="1" customWidth="1"/>
    <col min="15361" max="15361" width="35.42578125" customWidth="1"/>
    <col min="15362" max="15362" width="10.140625" customWidth="1"/>
    <col min="15363" max="15363" width="11.140625" customWidth="1"/>
    <col min="15364" max="15364" width="12.42578125" customWidth="1"/>
    <col min="15365" max="15365" width="11.85546875" customWidth="1"/>
    <col min="15366" max="15366" width="13.5703125" customWidth="1"/>
    <col min="15367" max="15367" width="14.140625" customWidth="1"/>
    <col min="15368" max="15368" width="11.85546875" customWidth="1"/>
    <col min="15369" max="15369" width="11.7109375" customWidth="1"/>
    <col min="15370" max="15370" width="14.28515625" customWidth="1"/>
    <col min="15371" max="15371" width="9.42578125" bestFit="1" customWidth="1"/>
    <col min="15372" max="15372" width="11.28515625" customWidth="1"/>
    <col min="15373" max="15373" width="7.7109375" customWidth="1"/>
    <col min="15374" max="15374" width="11.5703125" bestFit="1" customWidth="1"/>
    <col min="15617" max="15617" width="35.42578125" customWidth="1"/>
    <col min="15618" max="15618" width="10.140625" customWidth="1"/>
    <col min="15619" max="15619" width="11.140625" customWidth="1"/>
    <col min="15620" max="15620" width="12.42578125" customWidth="1"/>
    <col min="15621" max="15621" width="11.85546875" customWidth="1"/>
    <col min="15622" max="15622" width="13.5703125" customWidth="1"/>
    <col min="15623" max="15623" width="14.140625" customWidth="1"/>
    <col min="15624" max="15624" width="11.85546875" customWidth="1"/>
    <col min="15625" max="15625" width="11.7109375" customWidth="1"/>
    <col min="15626" max="15626" width="14.28515625" customWidth="1"/>
    <col min="15627" max="15627" width="9.42578125" bestFit="1" customWidth="1"/>
    <col min="15628" max="15628" width="11.28515625" customWidth="1"/>
    <col min="15629" max="15629" width="7.7109375" customWidth="1"/>
    <col min="15630" max="15630" width="11.5703125" bestFit="1" customWidth="1"/>
    <col min="15873" max="15873" width="35.42578125" customWidth="1"/>
    <col min="15874" max="15874" width="10.140625" customWidth="1"/>
    <col min="15875" max="15875" width="11.140625" customWidth="1"/>
    <col min="15876" max="15876" width="12.42578125" customWidth="1"/>
    <col min="15877" max="15877" width="11.85546875" customWidth="1"/>
    <col min="15878" max="15878" width="13.5703125" customWidth="1"/>
    <col min="15879" max="15879" width="14.140625" customWidth="1"/>
    <col min="15880" max="15880" width="11.85546875" customWidth="1"/>
    <col min="15881" max="15881" width="11.7109375" customWidth="1"/>
    <col min="15882" max="15882" width="14.28515625" customWidth="1"/>
    <col min="15883" max="15883" width="9.42578125" bestFit="1" customWidth="1"/>
    <col min="15884" max="15884" width="11.28515625" customWidth="1"/>
    <col min="15885" max="15885" width="7.7109375" customWidth="1"/>
    <col min="15886" max="15886" width="11.5703125" bestFit="1" customWidth="1"/>
    <col min="16129" max="16129" width="35.42578125" customWidth="1"/>
    <col min="16130" max="16130" width="10.140625" customWidth="1"/>
    <col min="16131" max="16131" width="11.140625" customWidth="1"/>
    <col min="16132" max="16132" width="12.42578125" customWidth="1"/>
    <col min="16133" max="16133" width="11.85546875" customWidth="1"/>
    <col min="16134" max="16134" width="13.5703125" customWidth="1"/>
    <col min="16135" max="16135" width="14.140625" customWidth="1"/>
    <col min="16136" max="16136" width="11.85546875" customWidth="1"/>
    <col min="16137" max="16137" width="11.7109375" customWidth="1"/>
    <col min="16138" max="16138" width="14.28515625" customWidth="1"/>
    <col min="16139" max="16139" width="9.42578125" bestFit="1" customWidth="1"/>
    <col min="16140" max="16140" width="11.28515625" customWidth="1"/>
    <col min="16141" max="16141" width="7.7109375" customWidth="1"/>
    <col min="16142" max="16142" width="11.5703125" bestFit="1" customWidth="1"/>
  </cols>
  <sheetData>
    <row r="1" spans="1:14">
      <c r="A1" s="1003" t="s">
        <v>167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</row>
    <row r="2" spans="1:14">
      <c r="A2" s="1003" t="s">
        <v>168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</row>
    <row r="3" spans="1:14" ht="26.25" customHeight="1">
      <c r="A3" s="677" t="s">
        <v>2822</v>
      </c>
      <c r="B3" s="995" t="s">
        <v>2917</v>
      </c>
      <c r="C3" s="995"/>
      <c r="D3" s="995"/>
      <c r="E3" s="995"/>
      <c r="F3" s="1492" t="s">
        <v>171</v>
      </c>
      <c r="G3" s="1492"/>
      <c r="H3" s="1503" t="s">
        <v>2918</v>
      </c>
      <c r="I3" s="1503"/>
      <c r="J3" s="677" t="s">
        <v>5</v>
      </c>
      <c r="K3" s="80">
        <v>500</v>
      </c>
      <c r="L3" s="1504" t="s">
        <v>2860</v>
      </c>
      <c r="M3" s="1505"/>
      <c r="N3" s="80">
        <v>30</v>
      </c>
    </row>
    <row r="4" spans="1:14">
      <c r="A4" s="808" t="s">
        <v>4176</v>
      </c>
      <c r="B4" s="808"/>
      <c r="C4" s="808"/>
      <c r="D4" s="672"/>
      <c r="E4" s="672"/>
    </row>
    <row r="5" spans="1:14" ht="26.25" customHeight="1">
      <c r="A5" s="677" t="s">
        <v>2825</v>
      </c>
      <c r="B5" s="995" t="s">
        <v>2919</v>
      </c>
      <c r="C5" s="995"/>
      <c r="D5" s="995"/>
      <c r="E5" s="995"/>
      <c r="F5" s="1492" t="s">
        <v>2827</v>
      </c>
      <c r="G5" s="1492"/>
      <c r="H5" s="995" t="s">
        <v>2920</v>
      </c>
      <c r="I5" s="995"/>
      <c r="J5" s="995"/>
    </row>
    <row r="6" spans="1:14">
      <c r="B6" s="672"/>
      <c r="C6" s="672"/>
      <c r="D6" s="672"/>
      <c r="E6" s="672"/>
    </row>
    <row r="7" spans="1:14" ht="33" customHeight="1">
      <c r="A7" s="677" t="s">
        <v>178</v>
      </c>
      <c r="B7" s="995"/>
      <c r="C7" s="995"/>
      <c r="D7" s="995"/>
      <c r="E7" s="995"/>
      <c r="F7" s="1481" t="s">
        <v>2829</v>
      </c>
      <c r="G7" s="1481"/>
      <c r="H7" s="1506" t="s">
        <v>2921</v>
      </c>
      <c r="I7" s="1506"/>
      <c r="J7" s="1506"/>
      <c r="K7" s="1506"/>
    </row>
    <row r="9" spans="1:14" ht="26.25" customHeight="1">
      <c r="A9" s="674" t="s">
        <v>1909</v>
      </c>
      <c r="B9" s="995" t="s">
        <v>2922</v>
      </c>
      <c r="C9" s="995"/>
      <c r="D9" s="995" t="s">
        <v>2923</v>
      </c>
      <c r="E9" s="995"/>
      <c r="F9" s="995"/>
      <c r="G9" s="1488"/>
      <c r="H9" s="1488"/>
      <c r="I9" s="1488"/>
      <c r="J9" s="1488"/>
      <c r="K9" s="1488"/>
      <c r="L9" s="1488"/>
    </row>
    <row r="10" spans="1:14" ht="26.25" customHeight="1">
      <c r="A10" s="674" t="s">
        <v>187</v>
      </c>
      <c r="B10" s="995" t="s">
        <v>2924</v>
      </c>
      <c r="C10" s="995"/>
      <c r="D10" s="995" t="s">
        <v>2925</v>
      </c>
      <c r="E10" s="995"/>
      <c r="F10" s="995"/>
      <c r="G10" s="1488"/>
      <c r="H10" s="1488"/>
      <c r="I10" s="1488"/>
      <c r="J10" s="1488"/>
      <c r="K10" s="1488"/>
      <c r="L10" s="1488"/>
    </row>
    <row r="11" spans="1:14" ht="26.25" customHeight="1">
      <c r="A11" s="674" t="s">
        <v>192</v>
      </c>
      <c r="B11" s="995" t="s">
        <v>2926</v>
      </c>
      <c r="C11" s="995"/>
      <c r="D11" s="995" t="s">
        <v>2927</v>
      </c>
      <c r="E11" s="995"/>
      <c r="F11" s="995"/>
      <c r="G11" s="1488"/>
      <c r="H11" s="1488"/>
      <c r="I11" s="1488"/>
      <c r="J11" s="1488"/>
      <c r="K11" s="1488"/>
      <c r="L11" s="1488"/>
    </row>
    <row r="12" spans="1:14" ht="26.25" customHeight="1">
      <c r="A12" s="674" t="s">
        <v>197</v>
      </c>
      <c r="B12" s="995"/>
      <c r="C12" s="995"/>
      <c r="D12" s="995"/>
      <c r="E12" s="995"/>
      <c r="F12" s="995"/>
      <c r="G12" s="1488"/>
      <c r="H12" s="1488"/>
      <c r="I12" s="1488"/>
      <c r="J12" s="1488"/>
      <c r="K12" s="1488"/>
      <c r="L12" s="1488"/>
    </row>
    <row r="14" spans="1:14" ht="26.25" customHeight="1">
      <c r="A14" s="677" t="s">
        <v>198</v>
      </c>
      <c r="B14" s="80">
        <v>2</v>
      </c>
      <c r="C14" s="1492" t="s">
        <v>2838</v>
      </c>
      <c r="D14" s="1492"/>
      <c r="E14" s="1492"/>
      <c r="F14" s="80">
        <v>2</v>
      </c>
      <c r="G14" s="677" t="s">
        <v>1491</v>
      </c>
      <c r="H14" s="80">
        <v>13</v>
      </c>
      <c r="I14" s="700" t="s">
        <v>201</v>
      </c>
      <c r="J14" s="80">
        <v>2</v>
      </c>
      <c r="K14" s="697" t="s">
        <v>1386</v>
      </c>
      <c r="L14" s="80">
        <v>2</v>
      </c>
    </row>
    <row r="15" spans="1:14">
      <c r="B15" s="295"/>
    </row>
    <row r="16" spans="1:14" ht="26.25" customHeight="1">
      <c r="A16" s="674" t="s">
        <v>646</v>
      </c>
      <c r="B16" s="677" t="s">
        <v>204</v>
      </c>
      <c r="C16" s="80">
        <v>136</v>
      </c>
      <c r="D16" s="677" t="s">
        <v>205</v>
      </c>
      <c r="E16" s="80"/>
      <c r="F16" s="677" t="s">
        <v>206</v>
      </c>
      <c r="G16" s="80">
        <v>30</v>
      </c>
      <c r="H16" s="677" t="s">
        <v>230</v>
      </c>
      <c r="I16" s="80">
        <v>166</v>
      </c>
      <c r="J16" s="677" t="s">
        <v>207</v>
      </c>
      <c r="K16" s="80">
        <v>41</v>
      </c>
      <c r="L16" s="1504" t="s">
        <v>2881</v>
      </c>
      <c r="M16" s="1505"/>
      <c r="N16" s="80">
        <v>9</v>
      </c>
    </row>
    <row r="17" spans="1:14" ht="26.25" customHeight="1">
      <c r="A17" s="674" t="s">
        <v>2839</v>
      </c>
      <c r="B17" s="677" t="s">
        <v>210</v>
      </c>
      <c r="C17" s="80">
        <v>308</v>
      </c>
      <c r="D17" s="677" t="s">
        <v>211</v>
      </c>
      <c r="E17" s="80"/>
      <c r="F17" s="677" t="s">
        <v>212</v>
      </c>
      <c r="G17" s="80">
        <v>73</v>
      </c>
      <c r="H17" s="677" t="s">
        <v>411</v>
      </c>
      <c r="I17" s="80">
        <v>381</v>
      </c>
    </row>
    <row r="18" spans="1:14" ht="26.25" customHeight="1">
      <c r="B18" s="677" t="s">
        <v>213</v>
      </c>
      <c r="C18" s="80">
        <v>314</v>
      </c>
      <c r="D18" s="677" t="s">
        <v>214</v>
      </c>
      <c r="E18" s="80"/>
      <c r="F18" s="677" t="s">
        <v>215</v>
      </c>
      <c r="G18" s="80">
        <v>56</v>
      </c>
      <c r="H18" s="677" t="s">
        <v>410</v>
      </c>
      <c r="I18" s="80">
        <v>370</v>
      </c>
    </row>
    <row r="19" spans="1:14" s="403" customFormat="1" ht="26.25" customHeight="1">
      <c r="A19" s="69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496" t="s">
        <v>2841</v>
      </c>
      <c r="G20" s="1497"/>
      <c r="H20" s="1497"/>
      <c r="I20" s="1497"/>
      <c r="J20" s="1497"/>
      <c r="K20" s="1497"/>
      <c r="L20" s="1497"/>
      <c r="M20" s="1497"/>
      <c r="N20" s="1498"/>
    </row>
    <row r="21" spans="1:14" ht="26.25" customHeight="1">
      <c r="A21" s="1508"/>
      <c r="B21" s="1509"/>
      <c r="C21" s="1510"/>
      <c r="D21" s="1511"/>
      <c r="E21" s="1511"/>
      <c r="F21" s="683">
        <v>1</v>
      </c>
      <c r="G21" s="683">
        <v>2</v>
      </c>
      <c r="H21" s="683">
        <v>3</v>
      </c>
      <c r="I21" s="683">
        <v>4</v>
      </c>
      <c r="J21" s="683">
        <v>5</v>
      </c>
      <c r="K21" s="683">
        <v>6</v>
      </c>
      <c r="L21" s="683">
        <v>7</v>
      </c>
      <c r="M21" s="683" t="s">
        <v>230</v>
      </c>
      <c r="N21" s="683" t="s">
        <v>231</v>
      </c>
    </row>
    <row r="22" spans="1:14" ht="26.25" customHeight="1">
      <c r="A22" s="684" t="s">
        <v>232</v>
      </c>
      <c r="B22" s="673">
        <v>8000</v>
      </c>
      <c r="C22" s="698" t="s">
        <v>233</v>
      </c>
      <c r="D22" s="297">
        <f>B22*510/100000</f>
        <v>40.799999999999997</v>
      </c>
      <c r="E22" s="296">
        <v>4.1590999999999996</v>
      </c>
      <c r="F22" s="686">
        <v>0</v>
      </c>
      <c r="G22" s="686">
        <v>0</v>
      </c>
      <c r="H22" s="686">
        <v>5.19625</v>
      </c>
      <c r="I22" s="687"/>
      <c r="J22" s="687"/>
      <c r="K22" s="687"/>
      <c r="L22" s="687"/>
      <c r="M22" s="704">
        <f>F22+G22+H22</f>
        <v>5.19625</v>
      </c>
      <c r="N22" s="704">
        <f>M22/E22*100</f>
        <v>124.9368853838571</v>
      </c>
    </row>
    <row r="23" spans="1:14" ht="26.25" customHeight="1">
      <c r="A23" s="684" t="s">
        <v>2842</v>
      </c>
      <c r="B23" s="673">
        <v>1120</v>
      </c>
      <c r="C23" s="698" t="s">
        <v>233</v>
      </c>
      <c r="D23" s="297">
        <f>B23*510/100000</f>
        <v>5.7119999999999997</v>
      </c>
      <c r="E23" s="296"/>
      <c r="F23" s="297">
        <v>0</v>
      </c>
      <c r="G23" s="686">
        <v>0</v>
      </c>
      <c r="H23" s="297">
        <v>0</v>
      </c>
      <c r="I23" s="296"/>
      <c r="J23" s="296"/>
      <c r="K23" s="296"/>
      <c r="L23" s="296"/>
      <c r="M23" s="704">
        <f t="shared" ref="M23:M30" si="0">F23+G23+H23</f>
        <v>0</v>
      </c>
      <c r="N23" s="308">
        <v>0</v>
      </c>
    </row>
    <row r="24" spans="1:14" ht="26.25" customHeight="1">
      <c r="A24" s="684" t="s">
        <v>235</v>
      </c>
      <c r="B24" s="673">
        <v>43000</v>
      </c>
      <c r="C24" s="698" t="s">
        <v>236</v>
      </c>
      <c r="D24" s="297">
        <v>0.43</v>
      </c>
      <c r="E24" s="296">
        <v>0.18</v>
      </c>
      <c r="F24" s="297">
        <v>0</v>
      </c>
      <c r="G24" s="686">
        <v>0</v>
      </c>
      <c r="H24" s="297">
        <v>0</v>
      </c>
      <c r="I24" s="296"/>
      <c r="J24" s="296"/>
      <c r="K24" s="296"/>
      <c r="L24" s="296"/>
      <c r="M24" s="704">
        <f t="shared" si="0"/>
        <v>0</v>
      </c>
      <c r="N24" s="308">
        <f t="shared" ref="N24:N30" si="1">M24/E24*100</f>
        <v>0</v>
      </c>
    </row>
    <row r="25" spans="1:14" ht="26.25" customHeight="1">
      <c r="A25" s="684" t="s">
        <v>237</v>
      </c>
      <c r="B25" s="673">
        <v>37000</v>
      </c>
      <c r="C25" s="698" t="s">
        <v>236</v>
      </c>
      <c r="D25" s="297">
        <v>0.37</v>
      </c>
      <c r="E25" s="296">
        <v>0.16</v>
      </c>
      <c r="F25" s="297">
        <v>0</v>
      </c>
      <c r="G25" s="686">
        <v>0</v>
      </c>
      <c r="H25" s="297">
        <v>0</v>
      </c>
      <c r="I25" s="296"/>
      <c r="J25" s="296"/>
      <c r="K25" s="296"/>
      <c r="L25" s="296"/>
      <c r="M25" s="704">
        <f t="shared" si="0"/>
        <v>0</v>
      </c>
      <c r="N25" s="308">
        <f t="shared" si="1"/>
        <v>0</v>
      </c>
    </row>
    <row r="26" spans="1:14" ht="26.25" customHeight="1">
      <c r="A26" s="684" t="s">
        <v>238</v>
      </c>
      <c r="B26" s="673">
        <v>1200</v>
      </c>
      <c r="C26" s="698" t="s">
        <v>233</v>
      </c>
      <c r="D26" s="297">
        <f>B26*510/100000</f>
        <v>6.12</v>
      </c>
      <c r="E26" s="296">
        <v>2</v>
      </c>
      <c r="F26" s="297">
        <v>0</v>
      </c>
      <c r="G26" s="686">
        <v>0</v>
      </c>
      <c r="H26" s="297">
        <v>1.8690100000000001</v>
      </c>
      <c r="I26" s="296"/>
      <c r="J26" s="296"/>
      <c r="K26" s="296"/>
      <c r="L26" s="296"/>
      <c r="M26" s="704">
        <f t="shared" si="0"/>
        <v>1.8690100000000001</v>
      </c>
      <c r="N26" s="307">
        <f t="shared" si="1"/>
        <v>93.450500000000005</v>
      </c>
    </row>
    <row r="27" spans="1:14" ht="26.25" customHeight="1">
      <c r="A27" s="684" t="s">
        <v>667</v>
      </c>
      <c r="B27" s="673">
        <v>565</v>
      </c>
      <c r="C27" s="698" t="s">
        <v>233</v>
      </c>
      <c r="D27" s="297">
        <f>B27*510/100000</f>
        <v>2.8815</v>
      </c>
      <c r="E27" s="296">
        <v>0.51</v>
      </c>
      <c r="F27" s="297">
        <v>0</v>
      </c>
      <c r="G27" s="686">
        <v>0</v>
      </c>
      <c r="H27" s="297">
        <v>0.10199999999999999</v>
      </c>
      <c r="I27" s="296"/>
      <c r="J27" s="296"/>
      <c r="K27" s="296"/>
      <c r="L27" s="296"/>
      <c r="M27" s="704">
        <f t="shared" si="0"/>
        <v>0.10199999999999999</v>
      </c>
      <c r="N27" s="307">
        <f t="shared" si="1"/>
        <v>20</v>
      </c>
    </row>
    <row r="28" spans="1:14" ht="26.25" customHeight="1">
      <c r="A28" s="684" t="s">
        <v>2843</v>
      </c>
      <c r="B28" s="673">
        <v>1000</v>
      </c>
      <c r="C28" s="698" t="s">
        <v>233</v>
      </c>
      <c r="D28" s="297">
        <f>B28*510/100000</f>
        <v>5.0999999999999996</v>
      </c>
      <c r="E28" s="296"/>
      <c r="F28" s="297">
        <v>0</v>
      </c>
      <c r="G28" s="686">
        <v>0</v>
      </c>
      <c r="H28" s="297">
        <v>0</v>
      </c>
      <c r="I28" s="296"/>
      <c r="J28" s="296"/>
      <c r="K28" s="296"/>
      <c r="L28" s="296"/>
      <c r="M28" s="704">
        <f t="shared" si="0"/>
        <v>0</v>
      </c>
      <c r="N28" s="308">
        <v>0</v>
      </c>
    </row>
    <row r="29" spans="1:14" ht="26.25" customHeight="1">
      <c r="A29" s="684" t="s">
        <v>2844</v>
      </c>
      <c r="B29" s="673">
        <v>2750</v>
      </c>
      <c r="C29" s="698" t="s">
        <v>242</v>
      </c>
      <c r="D29" s="297">
        <v>2.31</v>
      </c>
      <c r="E29" s="296">
        <v>0.33</v>
      </c>
      <c r="F29" s="297">
        <v>0</v>
      </c>
      <c r="G29" s="686">
        <v>0</v>
      </c>
      <c r="H29" s="297">
        <v>0</v>
      </c>
      <c r="I29" s="296"/>
      <c r="J29" s="296"/>
      <c r="K29" s="296"/>
      <c r="L29" s="296"/>
      <c r="M29" s="704">
        <f t="shared" si="0"/>
        <v>0</v>
      </c>
      <c r="N29" s="307">
        <f t="shared" si="1"/>
        <v>0</v>
      </c>
    </row>
    <row r="30" spans="1:14" ht="26.25" customHeight="1">
      <c r="A30" s="684" t="s">
        <v>670</v>
      </c>
      <c r="B30" s="673">
        <v>10000</v>
      </c>
      <c r="C30" s="698" t="s">
        <v>244</v>
      </c>
      <c r="D30" s="297">
        <v>0.1</v>
      </c>
      <c r="E30" s="296">
        <v>0.02</v>
      </c>
      <c r="F30" s="297">
        <v>0</v>
      </c>
      <c r="G30" s="686">
        <v>0</v>
      </c>
      <c r="H30" s="297">
        <v>0</v>
      </c>
      <c r="I30" s="296"/>
      <c r="J30" s="296"/>
      <c r="K30" s="296"/>
      <c r="L30" s="296"/>
      <c r="M30" s="704">
        <f t="shared" si="0"/>
        <v>0</v>
      </c>
      <c r="N30" s="308">
        <f t="shared" si="1"/>
        <v>0</v>
      </c>
    </row>
    <row r="31" spans="1:14" ht="26.25" customHeight="1">
      <c r="A31" s="694" t="s">
        <v>245</v>
      </c>
      <c r="B31" s="673">
        <f>SUM(B22:B30)</f>
        <v>104635</v>
      </c>
      <c r="C31" s="673"/>
      <c r="D31" s="297">
        <f>SUM(D22:D30)</f>
        <v>63.823500000000003</v>
      </c>
      <c r="E31" s="297">
        <f>SUM(E22:E30)</f>
        <v>7.3590999999999989</v>
      </c>
      <c r="F31" s="297">
        <f>SUM(F22:F30)</f>
        <v>0</v>
      </c>
      <c r="G31" s="297">
        <f t="shared" ref="G31:M31" si="2">SUM(G22:G30)</f>
        <v>0</v>
      </c>
      <c r="H31" s="297">
        <f t="shared" si="2"/>
        <v>7.1672600000000006</v>
      </c>
      <c r="I31" s="297">
        <f t="shared" si="2"/>
        <v>0</v>
      </c>
      <c r="J31" s="297">
        <f t="shared" si="2"/>
        <v>0</v>
      </c>
      <c r="K31" s="297">
        <f t="shared" si="2"/>
        <v>0</v>
      </c>
      <c r="L31" s="297">
        <f t="shared" si="2"/>
        <v>0</v>
      </c>
      <c r="M31" s="297">
        <f t="shared" si="2"/>
        <v>7.1672600000000006</v>
      </c>
      <c r="N31" s="309">
        <v>0</v>
      </c>
    </row>
  </sheetData>
  <mergeCells count="37">
    <mergeCell ref="C14:E14"/>
    <mergeCell ref="L16:M16"/>
    <mergeCell ref="A20:A21"/>
    <mergeCell ref="B20:B21"/>
    <mergeCell ref="C20:C21"/>
    <mergeCell ref="D20:D21"/>
    <mergeCell ref="E20:E21"/>
    <mergeCell ref="F20:N20"/>
    <mergeCell ref="B11:C11"/>
    <mergeCell ref="D11:F11"/>
    <mergeCell ref="G11:I11"/>
    <mergeCell ref="J11:L11"/>
    <mergeCell ref="B12:C12"/>
    <mergeCell ref="D12:F12"/>
    <mergeCell ref="G12:I12"/>
    <mergeCell ref="J12:L12"/>
    <mergeCell ref="B9:C9"/>
    <mergeCell ref="D9:F9"/>
    <mergeCell ref="G9:I9"/>
    <mergeCell ref="J9:L9"/>
    <mergeCell ref="B10:C10"/>
    <mergeCell ref="D10:F10"/>
    <mergeCell ref="G10:I10"/>
    <mergeCell ref="J10:L10"/>
    <mergeCell ref="A4:C4"/>
    <mergeCell ref="B5:E5"/>
    <mergeCell ref="F5:G5"/>
    <mergeCell ref="H5:J5"/>
    <mergeCell ref="B7:E7"/>
    <mergeCell ref="F7:G7"/>
    <mergeCell ref="H7:K7"/>
    <mergeCell ref="A1:L1"/>
    <mergeCell ref="A2:L2"/>
    <mergeCell ref="B3:E3"/>
    <mergeCell ref="F3:G3"/>
    <mergeCell ref="H3:I3"/>
    <mergeCell ref="L3:M3"/>
  </mergeCells>
  <hyperlinks>
    <hyperlink ref="A4" location="'Fact Sheet of VDC'!A1" display="&lt;&lt;Back"/>
  </hyperlinks>
  <pageMargins left="0.70866141732283472" right="0.70866141732283472" top="0.74803149606299213" bottom="0.28999999999999998" header="0.31496062992125984" footer="0.17"/>
  <pageSetup paperSize="9" scale="70" orientation="landscape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>
  <dimension ref="A1:N57"/>
  <sheetViews>
    <sheetView workbookViewId="0">
      <selection activeCell="A4" sqref="A4:C4"/>
    </sheetView>
  </sheetViews>
  <sheetFormatPr defaultRowHeight="15"/>
  <cols>
    <col min="1" max="1" width="34.28515625" customWidth="1"/>
    <col min="2" max="2" width="10.28515625" customWidth="1"/>
    <col min="3" max="3" width="11.140625" customWidth="1"/>
    <col min="4" max="4" width="10.85546875" customWidth="1"/>
    <col min="5" max="5" width="9.7109375" customWidth="1"/>
    <col min="6" max="6" width="14" customWidth="1"/>
    <col min="7" max="7" width="11.7109375" customWidth="1"/>
    <col min="8" max="8" width="12.5703125" customWidth="1"/>
    <col min="9" max="9" width="11.7109375" customWidth="1"/>
    <col min="10" max="10" width="14.5703125" customWidth="1"/>
    <col min="11" max="11" width="9.42578125" bestFit="1" customWidth="1"/>
    <col min="12" max="12" width="14.28515625" customWidth="1"/>
    <col min="13" max="13" width="7.7109375" customWidth="1"/>
    <col min="257" max="257" width="34.28515625" customWidth="1"/>
    <col min="258" max="258" width="10.28515625" customWidth="1"/>
    <col min="259" max="259" width="11.140625" customWidth="1"/>
    <col min="260" max="260" width="10.85546875" customWidth="1"/>
    <col min="261" max="261" width="9.7109375" customWidth="1"/>
    <col min="262" max="262" width="14" customWidth="1"/>
    <col min="263" max="263" width="11.7109375" customWidth="1"/>
    <col min="264" max="264" width="12.5703125" customWidth="1"/>
    <col min="265" max="265" width="11.7109375" customWidth="1"/>
    <col min="266" max="266" width="14.5703125" customWidth="1"/>
    <col min="267" max="267" width="9.42578125" bestFit="1" customWidth="1"/>
    <col min="268" max="268" width="14.28515625" customWidth="1"/>
    <col min="269" max="269" width="7.7109375" customWidth="1"/>
    <col min="513" max="513" width="34.28515625" customWidth="1"/>
    <col min="514" max="514" width="10.28515625" customWidth="1"/>
    <col min="515" max="515" width="11.140625" customWidth="1"/>
    <col min="516" max="516" width="10.85546875" customWidth="1"/>
    <col min="517" max="517" width="9.7109375" customWidth="1"/>
    <col min="518" max="518" width="14" customWidth="1"/>
    <col min="519" max="519" width="11.7109375" customWidth="1"/>
    <col min="520" max="520" width="12.5703125" customWidth="1"/>
    <col min="521" max="521" width="11.7109375" customWidth="1"/>
    <col min="522" max="522" width="14.5703125" customWidth="1"/>
    <col min="523" max="523" width="9.42578125" bestFit="1" customWidth="1"/>
    <col min="524" max="524" width="14.28515625" customWidth="1"/>
    <col min="525" max="525" width="7.7109375" customWidth="1"/>
    <col min="769" max="769" width="34.28515625" customWidth="1"/>
    <col min="770" max="770" width="10.28515625" customWidth="1"/>
    <col min="771" max="771" width="11.140625" customWidth="1"/>
    <col min="772" max="772" width="10.85546875" customWidth="1"/>
    <col min="773" max="773" width="9.7109375" customWidth="1"/>
    <col min="774" max="774" width="14" customWidth="1"/>
    <col min="775" max="775" width="11.7109375" customWidth="1"/>
    <col min="776" max="776" width="12.5703125" customWidth="1"/>
    <col min="777" max="777" width="11.7109375" customWidth="1"/>
    <col min="778" max="778" width="14.5703125" customWidth="1"/>
    <col min="779" max="779" width="9.42578125" bestFit="1" customWidth="1"/>
    <col min="780" max="780" width="14.28515625" customWidth="1"/>
    <col min="781" max="781" width="7.7109375" customWidth="1"/>
    <col min="1025" max="1025" width="34.28515625" customWidth="1"/>
    <col min="1026" max="1026" width="10.28515625" customWidth="1"/>
    <col min="1027" max="1027" width="11.140625" customWidth="1"/>
    <col min="1028" max="1028" width="10.85546875" customWidth="1"/>
    <col min="1029" max="1029" width="9.7109375" customWidth="1"/>
    <col min="1030" max="1030" width="14" customWidth="1"/>
    <col min="1031" max="1031" width="11.7109375" customWidth="1"/>
    <col min="1032" max="1032" width="12.5703125" customWidth="1"/>
    <col min="1033" max="1033" width="11.7109375" customWidth="1"/>
    <col min="1034" max="1034" width="14.5703125" customWidth="1"/>
    <col min="1035" max="1035" width="9.42578125" bestFit="1" customWidth="1"/>
    <col min="1036" max="1036" width="14.28515625" customWidth="1"/>
    <col min="1037" max="1037" width="7.7109375" customWidth="1"/>
    <col min="1281" max="1281" width="34.28515625" customWidth="1"/>
    <col min="1282" max="1282" width="10.28515625" customWidth="1"/>
    <col min="1283" max="1283" width="11.140625" customWidth="1"/>
    <col min="1284" max="1284" width="10.85546875" customWidth="1"/>
    <col min="1285" max="1285" width="9.7109375" customWidth="1"/>
    <col min="1286" max="1286" width="14" customWidth="1"/>
    <col min="1287" max="1287" width="11.7109375" customWidth="1"/>
    <col min="1288" max="1288" width="12.5703125" customWidth="1"/>
    <col min="1289" max="1289" width="11.7109375" customWidth="1"/>
    <col min="1290" max="1290" width="14.5703125" customWidth="1"/>
    <col min="1291" max="1291" width="9.42578125" bestFit="1" customWidth="1"/>
    <col min="1292" max="1292" width="14.28515625" customWidth="1"/>
    <col min="1293" max="1293" width="7.7109375" customWidth="1"/>
    <col min="1537" max="1537" width="34.28515625" customWidth="1"/>
    <col min="1538" max="1538" width="10.28515625" customWidth="1"/>
    <col min="1539" max="1539" width="11.140625" customWidth="1"/>
    <col min="1540" max="1540" width="10.85546875" customWidth="1"/>
    <col min="1541" max="1541" width="9.7109375" customWidth="1"/>
    <col min="1542" max="1542" width="14" customWidth="1"/>
    <col min="1543" max="1543" width="11.7109375" customWidth="1"/>
    <col min="1544" max="1544" width="12.5703125" customWidth="1"/>
    <col min="1545" max="1545" width="11.7109375" customWidth="1"/>
    <col min="1546" max="1546" width="14.5703125" customWidth="1"/>
    <col min="1547" max="1547" width="9.42578125" bestFit="1" customWidth="1"/>
    <col min="1548" max="1548" width="14.28515625" customWidth="1"/>
    <col min="1549" max="1549" width="7.7109375" customWidth="1"/>
    <col min="1793" max="1793" width="34.28515625" customWidth="1"/>
    <col min="1794" max="1794" width="10.28515625" customWidth="1"/>
    <col min="1795" max="1795" width="11.140625" customWidth="1"/>
    <col min="1796" max="1796" width="10.85546875" customWidth="1"/>
    <col min="1797" max="1797" width="9.7109375" customWidth="1"/>
    <col min="1798" max="1798" width="14" customWidth="1"/>
    <col min="1799" max="1799" width="11.7109375" customWidth="1"/>
    <col min="1800" max="1800" width="12.5703125" customWidth="1"/>
    <col min="1801" max="1801" width="11.7109375" customWidth="1"/>
    <col min="1802" max="1802" width="14.5703125" customWidth="1"/>
    <col min="1803" max="1803" width="9.42578125" bestFit="1" customWidth="1"/>
    <col min="1804" max="1804" width="14.28515625" customWidth="1"/>
    <col min="1805" max="1805" width="7.7109375" customWidth="1"/>
    <col min="2049" max="2049" width="34.28515625" customWidth="1"/>
    <col min="2050" max="2050" width="10.28515625" customWidth="1"/>
    <col min="2051" max="2051" width="11.140625" customWidth="1"/>
    <col min="2052" max="2052" width="10.85546875" customWidth="1"/>
    <col min="2053" max="2053" width="9.7109375" customWidth="1"/>
    <col min="2054" max="2054" width="14" customWidth="1"/>
    <col min="2055" max="2055" width="11.7109375" customWidth="1"/>
    <col min="2056" max="2056" width="12.5703125" customWidth="1"/>
    <col min="2057" max="2057" width="11.7109375" customWidth="1"/>
    <col min="2058" max="2058" width="14.5703125" customWidth="1"/>
    <col min="2059" max="2059" width="9.42578125" bestFit="1" customWidth="1"/>
    <col min="2060" max="2060" width="14.28515625" customWidth="1"/>
    <col min="2061" max="2061" width="7.7109375" customWidth="1"/>
    <col min="2305" max="2305" width="34.28515625" customWidth="1"/>
    <col min="2306" max="2306" width="10.28515625" customWidth="1"/>
    <col min="2307" max="2307" width="11.140625" customWidth="1"/>
    <col min="2308" max="2308" width="10.85546875" customWidth="1"/>
    <col min="2309" max="2309" width="9.7109375" customWidth="1"/>
    <col min="2310" max="2310" width="14" customWidth="1"/>
    <col min="2311" max="2311" width="11.7109375" customWidth="1"/>
    <col min="2312" max="2312" width="12.5703125" customWidth="1"/>
    <col min="2313" max="2313" width="11.7109375" customWidth="1"/>
    <col min="2314" max="2314" width="14.5703125" customWidth="1"/>
    <col min="2315" max="2315" width="9.42578125" bestFit="1" customWidth="1"/>
    <col min="2316" max="2316" width="14.28515625" customWidth="1"/>
    <col min="2317" max="2317" width="7.7109375" customWidth="1"/>
    <col min="2561" max="2561" width="34.28515625" customWidth="1"/>
    <col min="2562" max="2562" width="10.28515625" customWidth="1"/>
    <col min="2563" max="2563" width="11.140625" customWidth="1"/>
    <col min="2564" max="2564" width="10.85546875" customWidth="1"/>
    <col min="2565" max="2565" width="9.7109375" customWidth="1"/>
    <col min="2566" max="2566" width="14" customWidth="1"/>
    <col min="2567" max="2567" width="11.7109375" customWidth="1"/>
    <col min="2568" max="2568" width="12.5703125" customWidth="1"/>
    <col min="2569" max="2569" width="11.7109375" customWidth="1"/>
    <col min="2570" max="2570" width="14.5703125" customWidth="1"/>
    <col min="2571" max="2571" width="9.42578125" bestFit="1" customWidth="1"/>
    <col min="2572" max="2572" width="14.28515625" customWidth="1"/>
    <col min="2573" max="2573" width="7.7109375" customWidth="1"/>
    <col min="2817" max="2817" width="34.28515625" customWidth="1"/>
    <col min="2818" max="2818" width="10.28515625" customWidth="1"/>
    <col min="2819" max="2819" width="11.140625" customWidth="1"/>
    <col min="2820" max="2820" width="10.85546875" customWidth="1"/>
    <col min="2821" max="2821" width="9.7109375" customWidth="1"/>
    <col min="2822" max="2822" width="14" customWidth="1"/>
    <col min="2823" max="2823" width="11.7109375" customWidth="1"/>
    <col min="2824" max="2824" width="12.5703125" customWidth="1"/>
    <col min="2825" max="2825" width="11.7109375" customWidth="1"/>
    <col min="2826" max="2826" width="14.5703125" customWidth="1"/>
    <col min="2827" max="2827" width="9.42578125" bestFit="1" customWidth="1"/>
    <col min="2828" max="2828" width="14.28515625" customWidth="1"/>
    <col min="2829" max="2829" width="7.7109375" customWidth="1"/>
    <col min="3073" max="3073" width="34.28515625" customWidth="1"/>
    <col min="3074" max="3074" width="10.28515625" customWidth="1"/>
    <col min="3075" max="3075" width="11.140625" customWidth="1"/>
    <col min="3076" max="3076" width="10.85546875" customWidth="1"/>
    <col min="3077" max="3077" width="9.7109375" customWidth="1"/>
    <col min="3078" max="3078" width="14" customWidth="1"/>
    <col min="3079" max="3079" width="11.7109375" customWidth="1"/>
    <col min="3080" max="3080" width="12.5703125" customWidth="1"/>
    <col min="3081" max="3081" width="11.7109375" customWidth="1"/>
    <col min="3082" max="3082" width="14.5703125" customWidth="1"/>
    <col min="3083" max="3083" width="9.42578125" bestFit="1" customWidth="1"/>
    <col min="3084" max="3084" width="14.28515625" customWidth="1"/>
    <col min="3085" max="3085" width="7.7109375" customWidth="1"/>
    <col min="3329" max="3329" width="34.28515625" customWidth="1"/>
    <col min="3330" max="3330" width="10.28515625" customWidth="1"/>
    <col min="3331" max="3331" width="11.140625" customWidth="1"/>
    <col min="3332" max="3332" width="10.85546875" customWidth="1"/>
    <col min="3333" max="3333" width="9.7109375" customWidth="1"/>
    <col min="3334" max="3334" width="14" customWidth="1"/>
    <col min="3335" max="3335" width="11.7109375" customWidth="1"/>
    <col min="3336" max="3336" width="12.5703125" customWidth="1"/>
    <col min="3337" max="3337" width="11.7109375" customWidth="1"/>
    <col min="3338" max="3338" width="14.5703125" customWidth="1"/>
    <col min="3339" max="3339" width="9.42578125" bestFit="1" customWidth="1"/>
    <col min="3340" max="3340" width="14.28515625" customWidth="1"/>
    <col min="3341" max="3341" width="7.7109375" customWidth="1"/>
    <col min="3585" max="3585" width="34.28515625" customWidth="1"/>
    <col min="3586" max="3586" width="10.28515625" customWidth="1"/>
    <col min="3587" max="3587" width="11.140625" customWidth="1"/>
    <col min="3588" max="3588" width="10.85546875" customWidth="1"/>
    <col min="3589" max="3589" width="9.7109375" customWidth="1"/>
    <col min="3590" max="3590" width="14" customWidth="1"/>
    <col min="3591" max="3591" width="11.7109375" customWidth="1"/>
    <col min="3592" max="3592" width="12.5703125" customWidth="1"/>
    <col min="3593" max="3593" width="11.7109375" customWidth="1"/>
    <col min="3594" max="3594" width="14.5703125" customWidth="1"/>
    <col min="3595" max="3595" width="9.42578125" bestFit="1" customWidth="1"/>
    <col min="3596" max="3596" width="14.28515625" customWidth="1"/>
    <col min="3597" max="3597" width="7.7109375" customWidth="1"/>
    <col min="3841" max="3841" width="34.28515625" customWidth="1"/>
    <col min="3842" max="3842" width="10.28515625" customWidth="1"/>
    <col min="3843" max="3843" width="11.140625" customWidth="1"/>
    <col min="3844" max="3844" width="10.85546875" customWidth="1"/>
    <col min="3845" max="3845" width="9.7109375" customWidth="1"/>
    <col min="3846" max="3846" width="14" customWidth="1"/>
    <col min="3847" max="3847" width="11.7109375" customWidth="1"/>
    <col min="3848" max="3848" width="12.5703125" customWidth="1"/>
    <col min="3849" max="3849" width="11.7109375" customWidth="1"/>
    <col min="3850" max="3850" width="14.5703125" customWidth="1"/>
    <col min="3851" max="3851" width="9.42578125" bestFit="1" customWidth="1"/>
    <col min="3852" max="3852" width="14.28515625" customWidth="1"/>
    <col min="3853" max="3853" width="7.7109375" customWidth="1"/>
    <col min="4097" max="4097" width="34.28515625" customWidth="1"/>
    <col min="4098" max="4098" width="10.28515625" customWidth="1"/>
    <col min="4099" max="4099" width="11.140625" customWidth="1"/>
    <col min="4100" max="4100" width="10.85546875" customWidth="1"/>
    <col min="4101" max="4101" width="9.7109375" customWidth="1"/>
    <col min="4102" max="4102" width="14" customWidth="1"/>
    <col min="4103" max="4103" width="11.7109375" customWidth="1"/>
    <col min="4104" max="4104" width="12.5703125" customWidth="1"/>
    <col min="4105" max="4105" width="11.7109375" customWidth="1"/>
    <col min="4106" max="4106" width="14.5703125" customWidth="1"/>
    <col min="4107" max="4107" width="9.42578125" bestFit="1" customWidth="1"/>
    <col min="4108" max="4108" width="14.28515625" customWidth="1"/>
    <col min="4109" max="4109" width="7.7109375" customWidth="1"/>
    <col min="4353" max="4353" width="34.28515625" customWidth="1"/>
    <col min="4354" max="4354" width="10.28515625" customWidth="1"/>
    <col min="4355" max="4355" width="11.140625" customWidth="1"/>
    <col min="4356" max="4356" width="10.85546875" customWidth="1"/>
    <col min="4357" max="4357" width="9.7109375" customWidth="1"/>
    <col min="4358" max="4358" width="14" customWidth="1"/>
    <col min="4359" max="4359" width="11.7109375" customWidth="1"/>
    <col min="4360" max="4360" width="12.5703125" customWidth="1"/>
    <col min="4361" max="4361" width="11.7109375" customWidth="1"/>
    <col min="4362" max="4362" width="14.5703125" customWidth="1"/>
    <col min="4363" max="4363" width="9.42578125" bestFit="1" customWidth="1"/>
    <col min="4364" max="4364" width="14.28515625" customWidth="1"/>
    <col min="4365" max="4365" width="7.7109375" customWidth="1"/>
    <col min="4609" max="4609" width="34.28515625" customWidth="1"/>
    <col min="4610" max="4610" width="10.28515625" customWidth="1"/>
    <col min="4611" max="4611" width="11.140625" customWidth="1"/>
    <col min="4612" max="4612" width="10.85546875" customWidth="1"/>
    <col min="4613" max="4613" width="9.7109375" customWidth="1"/>
    <col min="4614" max="4614" width="14" customWidth="1"/>
    <col min="4615" max="4615" width="11.7109375" customWidth="1"/>
    <col min="4616" max="4616" width="12.5703125" customWidth="1"/>
    <col min="4617" max="4617" width="11.7109375" customWidth="1"/>
    <col min="4618" max="4618" width="14.5703125" customWidth="1"/>
    <col min="4619" max="4619" width="9.42578125" bestFit="1" customWidth="1"/>
    <col min="4620" max="4620" width="14.28515625" customWidth="1"/>
    <col min="4621" max="4621" width="7.7109375" customWidth="1"/>
    <col min="4865" max="4865" width="34.28515625" customWidth="1"/>
    <col min="4866" max="4866" width="10.28515625" customWidth="1"/>
    <col min="4867" max="4867" width="11.140625" customWidth="1"/>
    <col min="4868" max="4868" width="10.85546875" customWidth="1"/>
    <col min="4869" max="4869" width="9.7109375" customWidth="1"/>
    <col min="4870" max="4870" width="14" customWidth="1"/>
    <col min="4871" max="4871" width="11.7109375" customWidth="1"/>
    <col min="4872" max="4872" width="12.5703125" customWidth="1"/>
    <col min="4873" max="4873" width="11.7109375" customWidth="1"/>
    <col min="4874" max="4874" width="14.5703125" customWidth="1"/>
    <col min="4875" max="4875" width="9.42578125" bestFit="1" customWidth="1"/>
    <col min="4876" max="4876" width="14.28515625" customWidth="1"/>
    <col min="4877" max="4877" width="7.7109375" customWidth="1"/>
    <col min="5121" max="5121" width="34.28515625" customWidth="1"/>
    <col min="5122" max="5122" width="10.28515625" customWidth="1"/>
    <col min="5123" max="5123" width="11.140625" customWidth="1"/>
    <col min="5124" max="5124" width="10.85546875" customWidth="1"/>
    <col min="5125" max="5125" width="9.7109375" customWidth="1"/>
    <col min="5126" max="5126" width="14" customWidth="1"/>
    <col min="5127" max="5127" width="11.7109375" customWidth="1"/>
    <col min="5128" max="5128" width="12.5703125" customWidth="1"/>
    <col min="5129" max="5129" width="11.7109375" customWidth="1"/>
    <col min="5130" max="5130" width="14.5703125" customWidth="1"/>
    <col min="5131" max="5131" width="9.42578125" bestFit="1" customWidth="1"/>
    <col min="5132" max="5132" width="14.28515625" customWidth="1"/>
    <col min="5133" max="5133" width="7.7109375" customWidth="1"/>
    <col min="5377" max="5377" width="34.28515625" customWidth="1"/>
    <col min="5378" max="5378" width="10.28515625" customWidth="1"/>
    <col min="5379" max="5379" width="11.140625" customWidth="1"/>
    <col min="5380" max="5380" width="10.85546875" customWidth="1"/>
    <col min="5381" max="5381" width="9.7109375" customWidth="1"/>
    <col min="5382" max="5382" width="14" customWidth="1"/>
    <col min="5383" max="5383" width="11.7109375" customWidth="1"/>
    <col min="5384" max="5384" width="12.5703125" customWidth="1"/>
    <col min="5385" max="5385" width="11.7109375" customWidth="1"/>
    <col min="5386" max="5386" width="14.5703125" customWidth="1"/>
    <col min="5387" max="5387" width="9.42578125" bestFit="1" customWidth="1"/>
    <col min="5388" max="5388" width="14.28515625" customWidth="1"/>
    <col min="5389" max="5389" width="7.7109375" customWidth="1"/>
    <col min="5633" max="5633" width="34.28515625" customWidth="1"/>
    <col min="5634" max="5634" width="10.28515625" customWidth="1"/>
    <col min="5635" max="5635" width="11.140625" customWidth="1"/>
    <col min="5636" max="5636" width="10.85546875" customWidth="1"/>
    <col min="5637" max="5637" width="9.7109375" customWidth="1"/>
    <col min="5638" max="5638" width="14" customWidth="1"/>
    <col min="5639" max="5639" width="11.7109375" customWidth="1"/>
    <col min="5640" max="5640" width="12.5703125" customWidth="1"/>
    <col min="5641" max="5641" width="11.7109375" customWidth="1"/>
    <col min="5642" max="5642" width="14.5703125" customWidth="1"/>
    <col min="5643" max="5643" width="9.42578125" bestFit="1" customWidth="1"/>
    <col min="5644" max="5644" width="14.28515625" customWidth="1"/>
    <col min="5645" max="5645" width="7.7109375" customWidth="1"/>
    <col min="5889" max="5889" width="34.28515625" customWidth="1"/>
    <col min="5890" max="5890" width="10.28515625" customWidth="1"/>
    <col min="5891" max="5891" width="11.140625" customWidth="1"/>
    <col min="5892" max="5892" width="10.85546875" customWidth="1"/>
    <col min="5893" max="5893" width="9.7109375" customWidth="1"/>
    <col min="5894" max="5894" width="14" customWidth="1"/>
    <col min="5895" max="5895" width="11.7109375" customWidth="1"/>
    <col min="5896" max="5896" width="12.5703125" customWidth="1"/>
    <col min="5897" max="5897" width="11.7109375" customWidth="1"/>
    <col min="5898" max="5898" width="14.5703125" customWidth="1"/>
    <col min="5899" max="5899" width="9.42578125" bestFit="1" customWidth="1"/>
    <col min="5900" max="5900" width="14.28515625" customWidth="1"/>
    <col min="5901" max="5901" width="7.7109375" customWidth="1"/>
    <col min="6145" max="6145" width="34.28515625" customWidth="1"/>
    <col min="6146" max="6146" width="10.28515625" customWidth="1"/>
    <col min="6147" max="6147" width="11.140625" customWidth="1"/>
    <col min="6148" max="6148" width="10.85546875" customWidth="1"/>
    <col min="6149" max="6149" width="9.7109375" customWidth="1"/>
    <col min="6150" max="6150" width="14" customWidth="1"/>
    <col min="6151" max="6151" width="11.7109375" customWidth="1"/>
    <col min="6152" max="6152" width="12.5703125" customWidth="1"/>
    <col min="6153" max="6153" width="11.7109375" customWidth="1"/>
    <col min="6154" max="6154" width="14.5703125" customWidth="1"/>
    <col min="6155" max="6155" width="9.42578125" bestFit="1" customWidth="1"/>
    <col min="6156" max="6156" width="14.28515625" customWidth="1"/>
    <col min="6157" max="6157" width="7.7109375" customWidth="1"/>
    <col min="6401" max="6401" width="34.28515625" customWidth="1"/>
    <col min="6402" max="6402" width="10.28515625" customWidth="1"/>
    <col min="6403" max="6403" width="11.140625" customWidth="1"/>
    <col min="6404" max="6404" width="10.85546875" customWidth="1"/>
    <col min="6405" max="6405" width="9.7109375" customWidth="1"/>
    <col min="6406" max="6406" width="14" customWidth="1"/>
    <col min="6407" max="6407" width="11.7109375" customWidth="1"/>
    <col min="6408" max="6408" width="12.5703125" customWidth="1"/>
    <col min="6409" max="6409" width="11.7109375" customWidth="1"/>
    <col min="6410" max="6410" width="14.5703125" customWidth="1"/>
    <col min="6411" max="6411" width="9.42578125" bestFit="1" customWidth="1"/>
    <col min="6412" max="6412" width="14.28515625" customWidth="1"/>
    <col min="6413" max="6413" width="7.7109375" customWidth="1"/>
    <col min="6657" max="6657" width="34.28515625" customWidth="1"/>
    <col min="6658" max="6658" width="10.28515625" customWidth="1"/>
    <col min="6659" max="6659" width="11.140625" customWidth="1"/>
    <col min="6660" max="6660" width="10.85546875" customWidth="1"/>
    <col min="6661" max="6661" width="9.7109375" customWidth="1"/>
    <col min="6662" max="6662" width="14" customWidth="1"/>
    <col min="6663" max="6663" width="11.7109375" customWidth="1"/>
    <col min="6664" max="6664" width="12.5703125" customWidth="1"/>
    <col min="6665" max="6665" width="11.7109375" customWidth="1"/>
    <col min="6666" max="6666" width="14.5703125" customWidth="1"/>
    <col min="6667" max="6667" width="9.42578125" bestFit="1" customWidth="1"/>
    <col min="6668" max="6668" width="14.28515625" customWidth="1"/>
    <col min="6669" max="6669" width="7.7109375" customWidth="1"/>
    <col min="6913" max="6913" width="34.28515625" customWidth="1"/>
    <col min="6914" max="6914" width="10.28515625" customWidth="1"/>
    <col min="6915" max="6915" width="11.140625" customWidth="1"/>
    <col min="6916" max="6916" width="10.85546875" customWidth="1"/>
    <col min="6917" max="6917" width="9.7109375" customWidth="1"/>
    <col min="6918" max="6918" width="14" customWidth="1"/>
    <col min="6919" max="6919" width="11.7109375" customWidth="1"/>
    <col min="6920" max="6920" width="12.5703125" customWidth="1"/>
    <col min="6921" max="6921" width="11.7109375" customWidth="1"/>
    <col min="6922" max="6922" width="14.5703125" customWidth="1"/>
    <col min="6923" max="6923" width="9.42578125" bestFit="1" customWidth="1"/>
    <col min="6924" max="6924" width="14.28515625" customWidth="1"/>
    <col min="6925" max="6925" width="7.7109375" customWidth="1"/>
    <col min="7169" max="7169" width="34.28515625" customWidth="1"/>
    <col min="7170" max="7170" width="10.28515625" customWidth="1"/>
    <col min="7171" max="7171" width="11.140625" customWidth="1"/>
    <col min="7172" max="7172" width="10.85546875" customWidth="1"/>
    <col min="7173" max="7173" width="9.7109375" customWidth="1"/>
    <col min="7174" max="7174" width="14" customWidth="1"/>
    <col min="7175" max="7175" width="11.7109375" customWidth="1"/>
    <col min="7176" max="7176" width="12.5703125" customWidth="1"/>
    <col min="7177" max="7177" width="11.7109375" customWidth="1"/>
    <col min="7178" max="7178" width="14.5703125" customWidth="1"/>
    <col min="7179" max="7179" width="9.42578125" bestFit="1" customWidth="1"/>
    <col min="7180" max="7180" width="14.28515625" customWidth="1"/>
    <col min="7181" max="7181" width="7.7109375" customWidth="1"/>
    <col min="7425" max="7425" width="34.28515625" customWidth="1"/>
    <col min="7426" max="7426" width="10.28515625" customWidth="1"/>
    <col min="7427" max="7427" width="11.140625" customWidth="1"/>
    <col min="7428" max="7428" width="10.85546875" customWidth="1"/>
    <col min="7429" max="7429" width="9.7109375" customWidth="1"/>
    <col min="7430" max="7430" width="14" customWidth="1"/>
    <col min="7431" max="7431" width="11.7109375" customWidth="1"/>
    <col min="7432" max="7432" width="12.5703125" customWidth="1"/>
    <col min="7433" max="7433" width="11.7109375" customWidth="1"/>
    <col min="7434" max="7434" width="14.5703125" customWidth="1"/>
    <col min="7435" max="7435" width="9.42578125" bestFit="1" customWidth="1"/>
    <col min="7436" max="7436" width="14.28515625" customWidth="1"/>
    <col min="7437" max="7437" width="7.7109375" customWidth="1"/>
    <col min="7681" max="7681" width="34.28515625" customWidth="1"/>
    <col min="7682" max="7682" width="10.28515625" customWidth="1"/>
    <col min="7683" max="7683" width="11.140625" customWidth="1"/>
    <col min="7684" max="7684" width="10.85546875" customWidth="1"/>
    <col min="7685" max="7685" width="9.7109375" customWidth="1"/>
    <col min="7686" max="7686" width="14" customWidth="1"/>
    <col min="7687" max="7687" width="11.7109375" customWidth="1"/>
    <col min="7688" max="7688" width="12.5703125" customWidth="1"/>
    <col min="7689" max="7689" width="11.7109375" customWidth="1"/>
    <col min="7690" max="7690" width="14.5703125" customWidth="1"/>
    <col min="7691" max="7691" width="9.42578125" bestFit="1" customWidth="1"/>
    <col min="7692" max="7692" width="14.28515625" customWidth="1"/>
    <col min="7693" max="7693" width="7.7109375" customWidth="1"/>
    <col min="7937" max="7937" width="34.28515625" customWidth="1"/>
    <col min="7938" max="7938" width="10.28515625" customWidth="1"/>
    <col min="7939" max="7939" width="11.140625" customWidth="1"/>
    <col min="7940" max="7940" width="10.85546875" customWidth="1"/>
    <col min="7941" max="7941" width="9.7109375" customWidth="1"/>
    <col min="7942" max="7942" width="14" customWidth="1"/>
    <col min="7943" max="7943" width="11.7109375" customWidth="1"/>
    <col min="7944" max="7944" width="12.5703125" customWidth="1"/>
    <col min="7945" max="7945" width="11.7109375" customWidth="1"/>
    <col min="7946" max="7946" width="14.5703125" customWidth="1"/>
    <col min="7947" max="7947" width="9.42578125" bestFit="1" customWidth="1"/>
    <col min="7948" max="7948" width="14.28515625" customWidth="1"/>
    <col min="7949" max="7949" width="7.7109375" customWidth="1"/>
    <col min="8193" max="8193" width="34.28515625" customWidth="1"/>
    <col min="8194" max="8194" width="10.28515625" customWidth="1"/>
    <col min="8195" max="8195" width="11.140625" customWidth="1"/>
    <col min="8196" max="8196" width="10.85546875" customWidth="1"/>
    <col min="8197" max="8197" width="9.7109375" customWidth="1"/>
    <col min="8198" max="8198" width="14" customWidth="1"/>
    <col min="8199" max="8199" width="11.7109375" customWidth="1"/>
    <col min="8200" max="8200" width="12.5703125" customWidth="1"/>
    <col min="8201" max="8201" width="11.7109375" customWidth="1"/>
    <col min="8202" max="8202" width="14.5703125" customWidth="1"/>
    <col min="8203" max="8203" width="9.42578125" bestFit="1" customWidth="1"/>
    <col min="8204" max="8204" width="14.28515625" customWidth="1"/>
    <col min="8205" max="8205" width="7.7109375" customWidth="1"/>
    <col min="8449" max="8449" width="34.28515625" customWidth="1"/>
    <col min="8450" max="8450" width="10.28515625" customWidth="1"/>
    <col min="8451" max="8451" width="11.140625" customWidth="1"/>
    <col min="8452" max="8452" width="10.85546875" customWidth="1"/>
    <col min="8453" max="8453" width="9.7109375" customWidth="1"/>
    <col min="8454" max="8454" width="14" customWidth="1"/>
    <col min="8455" max="8455" width="11.7109375" customWidth="1"/>
    <col min="8456" max="8456" width="12.5703125" customWidth="1"/>
    <col min="8457" max="8457" width="11.7109375" customWidth="1"/>
    <col min="8458" max="8458" width="14.5703125" customWidth="1"/>
    <col min="8459" max="8459" width="9.42578125" bestFit="1" customWidth="1"/>
    <col min="8460" max="8460" width="14.28515625" customWidth="1"/>
    <col min="8461" max="8461" width="7.7109375" customWidth="1"/>
    <col min="8705" max="8705" width="34.28515625" customWidth="1"/>
    <col min="8706" max="8706" width="10.28515625" customWidth="1"/>
    <col min="8707" max="8707" width="11.140625" customWidth="1"/>
    <col min="8708" max="8708" width="10.85546875" customWidth="1"/>
    <col min="8709" max="8709" width="9.7109375" customWidth="1"/>
    <col min="8710" max="8710" width="14" customWidth="1"/>
    <col min="8711" max="8711" width="11.7109375" customWidth="1"/>
    <col min="8712" max="8712" width="12.5703125" customWidth="1"/>
    <col min="8713" max="8713" width="11.7109375" customWidth="1"/>
    <col min="8714" max="8714" width="14.5703125" customWidth="1"/>
    <col min="8715" max="8715" width="9.42578125" bestFit="1" customWidth="1"/>
    <col min="8716" max="8716" width="14.28515625" customWidth="1"/>
    <col min="8717" max="8717" width="7.7109375" customWidth="1"/>
    <col min="8961" max="8961" width="34.28515625" customWidth="1"/>
    <col min="8962" max="8962" width="10.28515625" customWidth="1"/>
    <col min="8963" max="8963" width="11.140625" customWidth="1"/>
    <col min="8964" max="8964" width="10.85546875" customWidth="1"/>
    <col min="8965" max="8965" width="9.7109375" customWidth="1"/>
    <col min="8966" max="8966" width="14" customWidth="1"/>
    <col min="8967" max="8967" width="11.7109375" customWidth="1"/>
    <col min="8968" max="8968" width="12.5703125" customWidth="1"/>
    <col min="8969" max="8969" width="11.7109375" customWidth="1"/>
    <col min="8970" max="8970" width="14.5703125" customWidth="1"/>
    <col min="8971" max="8971" width="9.42578125" bestFit="1" customWidth="1"/>
    <col min="8972" max="8972" width="14.28515625" customWidth="1"/>
    <col min="8973" max="8973" width="7.7109375" customWidth="1"/>
    <col min="9217" max="9217" width="34.28515625" customWidth="1"/>
    <col min="9218" max="9218" width="10.28515625" customWidth="1"/>
    <col min="9219" max="9219" width="11.140625" customWidth="1"/>
    <col min="9220" max="9220" width="10.85546875" customWidth="1"/>
    <col min="9221" max="9221" width="9.7109375" customWidth="1"/>
    <col min="9222" max="9222" width="14" customWidth="1"/>
    <col min="9223" max="9223" width="11.7109375" customWidth="1"/>
    <col min="9224" max="9224" width="12.5703125" customWidth="1"/>
    <col min="9225" max="9225" width="11.7109375" customWidth="1"/>
    <col min="9226" max="9226" width="14.5703125" customWidth="1"/>
    <col min="9227" max="9227" width="9.42578125" bestFit="1" customWidth="1"/>
    <col min="9228" max="9228" width="14.28515625" customWidth="1"/>
    <col min="9229" max="9229" width="7.7109375" customWidth="1"/>
    <col min="9473" max="9473" width="34.28515625" customWidth="1"/>
    <col min="9474" max="9474" width="10.28515625" customWidth="1"/>
    <col min="9475" max="9475" width="11.140625" customWidth="1"/>
    <col min="9476" max="9476" width="10.85546875" customWidth="1"/>
    <col min="9477" max="9477" width="9.7109375" customWidth="1"/>
    <col min="9478" max="9478" width="14" customWidth="1"/>
    <col min="9479" max="9479" width="11.7109375" customWidth="1"/>
    <col min="9480" max="9480" width="12.5703125" customWidth="1"/>
    <col min="9481" max="9481" width="11.7109375" customWidth="1"/>
    <col min="9482" max="9482" width="14.5703125" customWidth="1"/>
    <col min="9483" max="9483" width="9.42578125" bestFit="1" customWidth="1"/>
    <col min="9484" max="9484" width="14.28515625" customWidth="1"/>
    <col min="9485" max="9485" width="7.7109375" customWidth="1"/>
    <col min="9729" max="9729" width="34.28515625" customWidth="1"/>
    <col min="9730" max="9730" width="10.28515625" customWidth="1"/>
    <col min="9731" max="9731" width="11.140625" customWidth="1"/>
    <col min="9732" max="9732" width="10.85546875" customWidth="1"/>
    <col min="9733" max="9733" width="9.7109375" customWidth="1"/>
    <col min="9734" max="9734" width="14" customWidth="1"/>
    <col min="9735" max="9735" width="11.7109375" customWidth="1"/>
    <col min="9736" max="9736" width="12.5703125" customWidth="1"/>
    <col min="9737" max="9737" width="11.7109375" customWidth="1"/>
    <col min="9738" max="9738" width="14.5703125" customWidth="1"/>
    <col min="9739" max="9739" width="9.42578125" bestFit="1" customWidth="1"/>
    <col min="9740" max="9740" width="14.28515625" customWidth="1"/>
    <col min="9741" max="9741" width="7.7109375" customWidth="1"/>
    <col min="9985" max="9985" width="34.28515625" customWidth="1"/>
    <col min="9986" max="9986" width="10.28515625" customWidth="1"/>
    <col min="9987" max="9987" width="11.140625" customWidth="1"/>
    <col min="9988" max="9988" width="10.85546875" customWidth="1"/>
    <col min="9989" max="9989" width="9.7109375" customWidth="1"/>
    <col min="9990" max="9990" width="14" customWidth="1"/>
    <col min="9991" max="9991" width="11.7109375" customWidth="1"/>
    <col min="9992" max="9992" width="12.5703125" customWidth="1"/>
    <col min="9993" max="9993" width="11.7109375" customWidth="1"/>
    <col min="9994" max="9994" width="14.5703125" customWidth="1"/>
    <col min="9995" max="9995" width="9.42578125" bestFit="1" customWidth="1"/>
    <col min="9996" max="9996" width="14.28515625" customWidth="1"/>
    <col min="9997" max="9997" width="7.7109375" customWidth="1"/>
    <col min="10241" max="10241" width="34.28515625" customWidth="1"/>
    <col min="10242" max="10242" width="10.28515625" customWidth="1"/>
    <col min="10243" max="10243" width="11.140625" customWidth="1"/>
    <col min="10244" max="10244" width="10.85546875" customWidth="1"/>
    <col min="10245" max="10245" width="9.7109375" customWidth="1"/>
    <col min="10246" max="10246" width="14" customWidth="1"/>
    <col min="10247" max="10247" width="11.7109375" customWidth="1"/>
    <col min="10248" max="10248" width="12.5703125" customWidth="1"/>
    <col min="10249" max="10249" width="11.7109375" customWidth="1"/>
    <col min="10250" max="10250" width="14.5703125" customWidth="1"/>
    <col min="10251" max="10251" width="9.42578125" bestFit="1" customWidth="1"/>
    <col min="10252" max="10252" width="14.28515625" customWidth="1"/>
    <col min="10253" max="10253" width="7.7109375" customWidth="1"/>
    <col min="10497" max="10497" width="34.28515625" customWidth="1"/>
    <col min="10498" max="10498" width="10.28515625" customWidth="1"/>
    <col min="10499" max="10499" width="11.140625" customWidth="1"/>
    <col min="10500" max="10500" width="10.85546875" customWidth="1"/>
    <col min="10501" max="10501" width="9.7109375" customWidth="1"/>
    <col min="10502" max="10502" width="14" customWidth="1"/>
    <col min="10503" max="10503" width="11.7109375" customWidth="1"/>
    <col min="10504" max="10504" width="12.5703125" customWidth="1"/>
    <col min="10505" max="10505" width="11.7109375" customWidth="1"/>
    <col min="10506" max="10506" width="14.5703125" customWidth="1"/>
    <col min="10507" max="10507" width="9.42578125" bestFit="1" customWidth="1"/>
    <col min="10508" max="10508" width="14.28515625" customWidth="1"/>
    <col min="10509" max="10509" width="7.7109375" customWidth="1"/>
    <col min="10753" max="10753" width="34.28515625" customWidth="1"/>
    <col min="10754" max="10754" width="10.28515625" customWidth="1"/>
    <col min="10755" max="10755" width="11.140625" customWidth="1"/>
    <col min="10756" max="10756" width="10.85546875" customWidth="1"/>
    <col min="10757" max="10757" width="9.7109375" customWidth="1"/>
    <col min="10758" max="10758" width="14" customWidth="1"/>
    <col min="10759" max="10759" width="11.7109375" customWidth="1"/>
    <col min="10760" max="10760" width="12.5703125" customWidth="1"/>
    <col min="10761" max="10761" width="11.7109375" customWidth="1"/>
    <col min="10762" max="10762" width="14.5703125" customWidth="1"/>
    <col min="10763" max="10763" width="9.42578125" bestFit="1" customWidth="1"/>
    <col min="10764" max="10764" width="14.28515625" customWidth="1"/>
    <col min="10765" max="10765" width="7.7109375" customWidth="1"/>
    <col min="11009" max="11009" width="34.28515625" customWidth="1"/>
    <col min="11010" max="11010" width="10.28515625" customWidth="1"/>
    <col min="11011" max="11011" width="11.140625" customWidth="1"/>
    <col min="11012" max="11012" width="10.85546875" customWidth="1"/>
    <col min="11013" max="11013" width="9.7109375" customWidth="1"/>
    <col min="11014" max="11014" width="14" customWidth="1"/>
    <col min="11015" max="11015" width="11.7109375" customWidth="1"/>
    <col min="11016" max="11016" width="12.5703125" customWidth="1"/>
    <col min="11017" max="11017" width="11.7109375" customWidth="1"/>
    <col min="11018" max="11018" width="14.5703125" customWidth="1"/>
    <col min="11019" max="11019" width="9.42578125" bestFit="1" customWidth="1"/>
    <col min="11020" max="11020" width="14.28515625" customWidth="1"/>
    <col min="11021" max="11021" width="7.7109375" customWidth="1"/>
    <col min="11265" max="11265" width="34.28515625" customWidth="1"/>
    <col min="11266" max="11266" width="10.28515625" customWidth="1"/>
    <col min="11267" max="11267" width="11.140625" customWidth="1"/>
    <col min="11268" max="11268" width="10.85546875" customWidth="1"/>
    <col min="11269" max="11269" width="9.7109375" customWidth="1"/>
    <col min="11270" max="11270" width="14" customWidth="1"/>
    <col min="11271" max="11271" width="11.7109375" customWidth="1"/>
    <col min="11272" max="11272" width="12.5703125" customWidth="1"/>
    <col min="11273" max="11273" width="11.7109375" customWidth="1"/>
    <col min="11274" max="11274" width="14.5703125" customWidth="1"/>
    <col min="11275" max="11275" width="9.42578125" bestFit="1" customWidth="1"/>
    <col min="11276" max="11276" width="14.28515625" customWidth="1"/>
    <col min="11277" max="11277" width="7.7109375" customWidth="1"/>
    <col min="11521" max="11521" width="34.28515625" customWidth="1"/>
    <col min="11522" max="11522" width="10.28515625" customWidth="1"/>
    <col min="11523" max="11523" width="11.140625" customWidth="1"/>
    <col min="11524" max="11524" width="10.85546875" customWidth="1"/>
    <col min="11525" max="11525" width="9.7109375" customWidth="1"/>
    <col min="11526" max="11526" width="14" customWidth="1"/>
    <col min="11527" max="11527" width="11.7109375" customWidth="1"/>
    <col min="11528" max="11528" width="12.5703125" customWidth="1"/>
    <col min="11529" max="11529" width="11.7109375" customWidth="1"/>
    <col min="11530" max="11530" width="14.5703125" customWidth="1"/>
    <col min="11531" max="11531" width="9.42578125" bestFit="1" customWidth="1"/>
    <col min="11532" max="11532" width="14.28515625" customWidth="1"/>
    <col min="11533" max="11533" width="7.7109375" customWidth="1"/>
    <col min="11777" max="11777" width="34.28515625" customWidth="1"/>
    <col min="11778" max="11778" width="10.28515625" customWidth="1"/>
    <col min="11779" max="11779" width="11.140625" customWidth="1"/>
    <col min="11780" max="11780" width="10.85546875" customWidth="1"/>
    <col min="11781" max="11781" width="9.7109375" customWidth="1"/>
    <col min="11782" max="11782" width="14" customWidth="1"/>
    <col min="11783" max="11783" width="11.7109375" customWidth="1"/>
    <col min="11784" max="11784" width="12.5703125" customWidth="1"/>
    <col min="11785" max="11785" width="11.7109375" customWidth="1"/>
    <col min="11786" max="11786" width="14.5703125" customWidth="1"/>
    <col min="11787" max="11787" width="9.42578125" bestFit="1" customWidth="1"/>
    <col min="11788" max="11788" width="14.28515625" customWidth="1"/>
    <col min="11789" max="11789" width="7.7109375" customWidth="1"/>
    <col min="12033" max="12033" width="34.28515625" customWidth="1"/>
    <col min="12034" max="12034" width="10.28515625" customWidth="1"/>
    <col min="12035" max="12035" width="11.140625" customWidth="1"/>
    <col min="12036" max="12036" width="10.85546875" customWidth="1"/>
    <col min="12037" max="12037" width="9.7109375" customWidth="1"/>
    <col min="12038" max="12038" width="14" customWidth="1"/>
    <col min="12039" max="12039" width="11.7109375" customWidth="1"/>
    <col min="12040" max="12040" width="12.5703125" customWidth="1"/>
    <col min="12041" max="12041" width="11.7109375" customWidth="1"/>
    <col min="12042" max="12042" width="14.5703125" customWidth="1"/>
    <col min="12043" max="12043" width="9.42578125" bestFit="1" customWidth="1"/>
    <col min="12044" max="12044" width="14.28515625" customWidth="1"/>
    <col min="12045" max="12045" width="7.7109375" customWidth="1"/>
    <col min="12289" max="12289" width="34.28515625" customWidth="1"/>
    <col min="12290" max="12290" width="10.28515625" customWidth="1"/>
    <col min="12291" max="12291" width="11.140625" customWidth="1"/>
    <col min="12292" max="12292" width="10.85546875" customWidth="1"/>
    <col min="12293" max="12293" width="9.7109375" customWidth="1"/>
    <col min="12294" max="12294" width="14" customWidth="1"/>
    <col min="12295" max="12295" width="11.7109375" customWidth="1"/>
    <col min="12296" max="12296" width="12.5703125" customWidth="1"/>
    <col min="12297" max="12297" width="11.7109375" customWidth="1"/>
    <col min="12298" max="12298" width="14.5703125" customWidth="1"/>
    <col min="12299" max="12299" width="9.42578125" bestFit="1" customWidth="1"/>
    <col min="12300" max="12300" width="14.28515625" customWidth="1"/>
    <col min="12301" max="12301" width="7.7109375" customWidth="1"/>
    <col min="12545" max="12545" width="34.28515625" customWidth="1"/>
    <col min="12546" max="12546" width="10.28515625" customWidth="1"/>
    <col min="12547" max="12547" width="11.140625" customWidth="1"/>
    <col min="12548" max="12548" width="10.85546875" customWidth="1"/>
    <col min="12549" max="12549" width="9.7109375" customWidth="1"/>
    <col min="12550" max="12550" width="14" customWidth="1"/>
    <col min="12551" max="12551" width="11.7109375" customWidth="1"/>
    <col min="12552" max="12552" width="12.5703125" customWidth="1"/>
    <col min="12553" max="12553" width="11.7109375" customWidth="1"/>
    <col min="12554" max="12554" width="14.5703125" customWidth="1"/>
    <col min="12555" max="12555" width="9.42578125" bestFit="1" customWidth="1"/>
    <col min="12556" max="12556" width="14.28515625" customWidth="1"/>
    <col min="12557" max="12557" width="7.7109375" customWidth="1"/>
    <col min="12801" max="12801" width="34.28515625" customWidth="1"/>
    <col min="12802" max="12802" width="10.28515625" customWidth="1"/>
    <col min="12803" max="12803" width="11.140625" customWidth="1"/>
    <col min="12804" max="12804" width="10.85546875" customWidth="1"/>
    <col min="12805" max="12805" width="9.7109375" customWidth="1"/>
    <col min="12806" max="12806" width="14" customWidth="1"/>
    <col min="12807" max="12807" width="11.7109375" customWidth="1"/>
    <col min="12808" max="12808" width="12.5703125" customWidth="1"/>
    <col min="12809" max="12809" width="11.7109375" customWidth="1"/>
    <col min="12810" max="12810" width="14.5703125" customWidth="1"/>
    <col min="12811" max="12811" width="9.42578125" bestFit="1" customWidth="1"/>
    <col min="12812" max="12812" width="14.28515625" customWidth="1"/>
    <col min="12813" max="12813" width="7.7109375" customWidth="1"/>
    <col min="13057" max="13057" width="34.28515625" customWidth="1"/>
    <col min="13058" max="13058" width="10.28515625" customWidth="1"/>
    <col min="13059" max="13059" width="11.140625" customWidth="1"/>
    <col min="13060" max="13060" width="10.85546875" customWidth="1"/>
    <col min="13061" max="13061" width="9.7109375" customWidth="1"/>
    <col min="13062" max="13062" width="14" customWidth="1"/>
    <col min="13063" max="13063" width="11.7109375" customWidth="1"/>
    <col min="13064" max="13064" width="12.5703125" customWidth="1"/>
    <col min="13065" max="13065" width="11.7109375" customWidth="1"/>
    <col min="13066" max="13066" width="14.5703125" customWidth="1"/>
    <col min="13067" max="13067" width="9.42578125" bestFit="1" customWidth="1"/>
    <col min="13068" max="13068" width="14.28515625" customWidth="1"/>
    <col min="13069" max="13069" width="7.7109375" customWidth="1"/>
    <col min="13313" max="13313" width="34.28515625" customWidth="1"/>
    <col min="13314" max="13314" width="10.28515625" customWidth="1"/>
    <col min="13315" max="13315" width="11.140625" customWidth="1"/>
    <col min="13316" max="13316" width="10.85546875" customWidth="1"/>
    <col min="13317" max="13317" width="9.7109375" customWidth="1"/>
    <col min="13318" max="13318" width="14" customWidth="1"/>
    <col min="13319" max="13319" width="11.7109375" customWidth="1"/>
    <col min="13320" max="13320" width="12.5703125" customWidth="1"/>
    <col min="13321" max="13321" width="11.7109375" customWidth="1"/>
    <col min="13322" max="13322" width="14.5703125" customWidth="1"/>
    <col min="13323" max="13323" width="9.42578125" bestFit="1" customWidth="1"/>
    <col min="13324" max="13324" width="14.28515625" customWidth="1"/>
    <col min="13325" max="13325" width="7.7109375" customWidth="1"/>
    <col min="13569" max="13569" width="34.28515625" customWidth="1"/>
    <col min="13570" max="13570" width="10.28515625" customWidth="1"/>
    <col min="13571" max="13571" width="11.140625" customWidth="1"/>
    <col min="13572" max="13572" width="10.85546875" customWidth="1"/>
    <col min="13573" max="13573" width="9.7109375" customWidth="1"/>
    <col min="13574" max="13574" width="14" customWidth="1"/>
    <col min="13575" max="13575" width="11.7109375" customWidth="1"/>
    <col min="13576" max="13576" width="12.5703125" customWidth="1"/>
    <col min="13577" max="13577" width="11.7109375" customWidth="1"/>
    <col min="13578" max="13578" width="14.5703125" customWidth="1"/>
    <col min="13579" max="13579" width="9.42578125" bestFit="1" customWidth="1"/>
    <col min="13580" max="13580" width="14.28515625" customWidth="1"/>
    <col min="13581" max="13581" width="7.7109375" customWidth="1"/>
    <col min="13825" max="13825" width="34.28515625" customWidth="1"/>
    <col min="13826" max="13826" width="10.28515625" customWidth="1"/>
    <col min="13827" max="13827" width="11.140625" customWidth="1"/>
    <col min="13828" max="13828" width="10.85546875" customWidth="1"/>
    <col min="13829" max="13829" width="9.7109375" customWidth="1"/>
    <col min="13830" max="13830" width="14" customWidth="1"/>
    <col min="13831" max="13831" width="11.7109375" customWidth="1"/>
    <col min="13832" max="13832" width="12.5703125" customWidth="1"/>
    <col min="13833" max="13833" width="11.7109375" customWidth="1"/>
    <col min="13834" max="13834" width="14.5703125" customWidth="1"/>
    <col min="13835" max="13835" width="9.42578125" bestFit="1" customWidth="1"/>
    <col min="13836" max="13836" width="14.28515625" customWidth="1"/>
    <col min="13837" max="13837" width="7.7109375" customWidth="1"/>
    <col min="14081" max="14081" width="34.28515625" customWidth="1"/>
    <col min="14082" max="14082" width="10.28515625" customWidth="1"/>
    <col min="14083" max="14083" width="11.140625" customWidth="1"/>
    <col min="14084" max="14084" width="10.85546875" customWidth="1"/>
    <col min="14085" max="14085" width="9.7109375" customWidth="1"/>
    <col min="14086" max="14086" width="14" customWidth="1"/>
    <col min="14087" max="14087" width="11.7109375" customWidth="1"/>
    <col min="14088" max="14088" width="12.5703125" customWidth="1"/>
    <col min="14089" max="14089" width="11.7109375" customWidth="1"/>
    <col min="14090" max="14090" width="14.5703125" customWidth="1"/>
    <col min="14091" max="14091" width="9.42578125" bestFit="1" customWidth="1"/>
    <col min="14092" max="14092" width="14.28515625" customWidth="1"/>
    <col min="14093" max="14093" width="7.7109375" customWidth="1"/>
    <col min="14337" max="14337" width="34.28515625" customWidth="1"/>
    <col min="14338" max="14338" width="10.28515625" customWidth="1"/>
    <col min="14339" max="14339" width="11.140625" customWidth="1"/>
    <col min="14340" max="14340" width="10.85546875" customWidth="1"/>
    <col min="14341" max="14341" width="9.7109375" customWidth="1"/>
    <col min="14342" max="14342" width="14" customWidth="1"/>
    <col min="14343" max="14343" width="11.7109375" customWidth="1"/>
    <col min="14344" max="14344" width="12.5703125" customWidth="1"/>
    <col min="14345" max="14345" width="11.7109375" customWidth="1"/>
    <col min="14346" max="14346" width="14.5703125" customWidth="1"/>
    <col min="14347" max="14347" width="9.42578125" bestFit="1" customWidth="1"/>
    <col min="14348" max="14348" width="14.28515625" customWidth="1"/>
    <col min="14349" max="14349" width="7.7109375" customWidth="1"/>
    <col min="14593" max="14593" width="34.28515625" customWidth="1"/>
    <col min="14594" max="14594" width="10.28515625" customWidth="1"/>
    <col min="14595" max="14595" width="11.140625" customWidth="1"/>
    <col min="14596" max="14596" width="10.85546875" customWidth="1"/>
    <col min="14597" max="14597" width="9.7109375" customWidth="1"/>
    <col min="14598" max="14598" width="14" customWidth="1"/>
    <col min="14599" max="14599" width="11.7109375" customWidth="1"/>
    <col min="14600" max="14600" width="12.5703125" customWidth="1"/>
    <col min="14601" max="14601" width="11.7109375" customWidth="1"/>
    <col min="14602" max="14602" width="14.5703125" customWidth="1"/>
    <col min="14603" max="14603" width="9.42578125" bestFit="1" customWidth="1"/>
    <col min="14604" max="14604" width="14.28515625" customWidth="1"/>
    <col min="14605" max="14605" width="7.7109375" customWidth="1"/>
    <col min="14849" max="14849" width="34.28515625" customWidth="1"/>
    <col min="14850" max="14850" width="10.28515625" customWidth="1"/>
    <col min="14851" max="14851" width="11.140625" customWidth="1"/>
    <col min="14852" max="14852" width="10.85546875" customWidth="1"/>
    <col min="14853" max="14853" width="9.7109375" customWidth="1"/>
    <col min="14854" max="14854" width="14" customWidth="1"/>
    <col min="14855" max="14855" width="11.7109375" customWidth="1"/>
    <col min="14856" max="14856" width="12.5703125" customWidth="1"/>
    <col min="14857" max="14857" width="11.7109375" customWidth="1"/>
    <col min="14858" max="14858" width="14.5703125" customWidth="1"/>
    <col min="14859" max="14859" width="9.42578125" bestFit="1" customWidth="1"/>
    <col min="14860" max="14860" width="14.28515625" customWidth="1"/>
    <col min="14861" max="14861" width="7.7109375" customWidth="1"/>
    <col min="15105" max="15105" width="34.28515625" customWidth="1"/>
    <col min="15106" max="15106" width="10.28515625" customWidth="1"/>
    <col min="15107" max="15107" width="11.140625" customWidth="1"/>
    <col min="15108" max="15108" width="10.85546875" customWidth="1"/>
    <col min="15109" max="15109" width="9.7109375" customWidth="1"/>
    <col min="15110" max="15110" width="14" customWidth="1"/>
    <col min="15111" max="15111" width="11.7109375" customWidth="1"/>
    <col min="15112" max="15112" width="12.5703125" customWidth="1"/>
    <col min="15113" max="15113" width="11.7109375" customWidth="1"/>
    <col min="15114" max="15114" width="14.5703125" customWidth="1"/>
    <col min="15115" max="15115" width="9.42578125" bestFit="1" customWidth="1"/>
    <col min="15116" max="15116" width="14.28515625" customWidth="1"/>
    <col min="15117" max="15117" width="7.7109375" customWidth="1"/>
    <col min="15361" max="15361" width="34.28515625" customWidth="1"/>
    <col min="15362" max="15362" width="10.28515625" customWidth="1"/>
    <col min="15363" max="15363" width="11.140625" customWidth="1"/>
    <col min="15364" max="15364" width="10.85546875" customWidth="1"/>
    <col min="15365" max="15365" width="9.7109375" customWidth="1"/>
    <col min="15366" max="15366" width="14" customWidth="1"/>
    <col min="15367" max="15367" width="11.7109375" customWidth="1"/>
    <col min="15368" max="15368" width="12.5703125" customWidth="1"/>
    <col min="15369" max="15369" width="11.7109375" customWidth="1"/>
    <col min="15370" max="15370" width="14.5703125" customWidth="1"/>
    <col min="15371" max="15371" width="9.42578125" bestFit="1" customWidth="1"/>
    <col min="15372" max="15372" width="14.28515625" customWidth="1"/>
    <col min="15373" max="15373" width="7.7109375" customWidth="1"/>
    <col min="15617" max="15617" width="34.28515625" customWidth="1"/>
    <col min="15618" max="15618" width="10.28515625" customWidth="1"/>
    <col min="15619" max="15619" width="11.140625" customWidth="1"/>
    <col min="15620" max="15620" width="10.85546875" customWidth="1"/>
    <col min="15621" max="15621" width="9.7109375" customWidth="1"/>
    <col min="15622" max="15622" width="14" customWidth="1"/>
    <col min="15623" max="15623" width="11.7109375" customWidth="1"/>
    <col min="15624" max="15624" width="12.5703125" customWidth="1"/>
    <col min="15625" max="15625" width="11.7109375" customWidth="1"/>
    <col min="15626" max="15626" width="14.5703125" customWidth="1"/>
    <col min="15627" max="15627" width="9.42578125" bestFit="1" customWidth="1"/>
    <col min="15628" max="15628" width="14.28515625" customWidth="1"/>
    <col min="15629" max="15629" width="7.7109375" customWidth="1"/>
    <col min="15873" max="15873" width="34.28515625" customWidth="1"/>
    <col min="15874" max="15874" width="10.28515625" customWidth="1"/>
    <col min="15875" max="15875" width="11.140625" customWidth="1"/>
    <col min="15876" max="15876" width="10.85546875" customWidth="1"/>
    <col min="15877" max="15877" width="9.7109375" customWidth="1"/>
    <col min="15878" max="15878" width="14" customWidth="1"/>
    <col min="15879" max="15879" width="11.7109375" customWidth="1"/>
    <col min="15880" max="15880" width="12.5703125" customWidth="1"/>
    <col min="15881" max="15881" width="11.7109375" customWidth="1"/>
    <col min="15882" max="15882" width="14.5703125" customWidth="1"/>
    <col min="15883" max="15883" width="9.42578125" bestFit="1" customWidth="1"/>
    <col min="15884" max="15884" width="14.28515625" customWidth="1"/>
    <col min="15885" max="15885" width="7.7109375" customWidth="1"/>
    <col min="16129" max="16129" width="34.28515625" customWidth="1"/>
    <col min="16130" max="16130" width="10.28515625" customWidth="1"/>
    <col min="16131" max="16131" width="11.140625" customWidth="1"/>
    <col min="16132" max="16132" width="10.85546875" customWidth="1"/>
    <col min="16133" max="16133" width="9.7109375" customWidth="1"/>
    <col min="16134" max="16134" width="14" customWidth="1"/>
    <col min="16135" max="16135" width="11.7109375" customWidth="1"/>
    <col min="16136" max="16136" width="12.5703125" customWidth="1"/>
    <col min="16137" max="16137" width="11.7109375" customWidth="1"/>
    <col min="16138" max="16138" width="14.5703125" customWidth="1"/>
    <col min="16139" max="16139" width="9.42578125" bestFit="1" customWidth="1"/>
    <col min="16140" max="16140" width="14.28515625" customWidth="1"/>
    <col min="16141" max="16141" width="7.7109375" customWidth="1"/>
  </cols>
  <sheetData>
    <row r="1" spans="1:14">
      <c r="A1" s="999" t="s">
        <v>167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</row>
    <row r="2" spans="1:14" ht="18.75" customHeight="1">
      <c r="A2" s="999" t="s">
        <v>168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</row>
    <row r="3" spans="1:14" ht="26.25" customHeight="1">
      <c r="A3" s="677" t="s">
        <v>2822</v>
      </c>
      <c r="B3" s="995" t="s">
        <v>2928</v>
      </c>
      <c r="C3" s="995"/>
      <c r="D3" s="995"/>
      <c r="E3" s="995"/>
      <c r="F3" s="1492" t="s">
        <v>171</v>
      </c>
      <c r="G3" s="1492"/>
      <c r="H3" s="1514" t="s">
        <v>2929</v>
      </c>
      <c r="I3" s="1514"/>
      <c r="J3" s="677" t="s">
        <v>5</v>
      </c>
      <c r="K3" s="80">
        <v>500</v>
      </c>
      <c r="L3" s="1504" t="s">
        <v>2860</v>
      </c>
      <c r="M3" s="1505"/>
      <c r="N3" s="80">
        <v>30</v>
      </c>
    </row>
    <row r="4" spans="1:14">
      <c r="A4" s="808" t="s">
        <v>4176</v>
      </c>
      <c r="B4" s="808"/>
      <c r="C4" s="808"/>
      <c r="D4" s="672"/>
      <c r="E4" s="672"/>
    </row>
    <row r="5" spans="1:14" ht="26.25" customHeight="1">
      <c r="A5" s="677" t="s">
        <v>2825</v>
      </c>
      <c r="B5" s="995" t="s">
        <v>2930</v>
      </c>
      <c r="C5" s="995"/>
      <c r="D5" s="995"/>
      <c r="E5" s="995"/>
      <c r="F5" s="1492" t="s">
        <v>2827</v>
      </c>
      <c r="G5" s="1492"/>
      <c r="H5" s="995" t="s">
        <v>2931</v>
      </c>
      <c r="I5" s="995"/>
      <c r="J5" s="995"/>
    </row>
    <row r="6" spans="1:14">
      <c r="B6" s="672"/>
      <c r="C6" s="672"/>
      <c r="D6" s="672"/>
      <c r="E6" s="672"/>
    </row>
    <row r="7" spans="1:14" ht="33" customHeight="1">
      <c r="A7" s="677" t="s">
        <v>178</v>
      </c>
      <c r="B7" s="995"/>
      <c r="C7" s="995"/>
      <c r="D7" s="995"/>
      <c r="E7" s="995"/>
      <c r="F7" s="1481" t="s">
        <v>2829</v>
      </c>
      <c r="G7" s="1481"/>
      <c r="H7" s="1515" t="s">
        <v>2932</v>
      </c>
      <c r="I7" s="1515"/>
      <c r="J7" s="1515"/>
      <c r="K7" s="1515"/>
    </row>
    <row r="9" spans="1:14" ht="26.25" customHeight="1">
      <c r="A9" s="677" t="s">
        <v>1909</v>
      </c>
      <c r="B9" s="995" t="s">
        <v>2933</v>
      </c>
      <c r="C9" s="995"/>
      <c r="D9" s="995" t="s">
        <v>2934</v>
      </c>
      <c r="E9" s="995"/>
      <c r="F9" s="995"/>
      <c r="G9" s="1488"/>
      <c r="H9" s="1488"/>
      <c r="I9" s="1488"/>
      <c r="J9" s="1488"/>
      <c r="K9" s="1488"/>
      <c r="L9" s="1488"/>
    </row>
    <row r="10" spans="1:14" ht="26.25" customHeight="1">
      <c r="A10" s="677" t="s">
        <v>187</v>
      </c>
      <c r="B10" s="995" t="s">
        <v>2935</v>
      </c>
      <c r="C10" s="995"/>
      <c r="D10" s="995" t="s">
        <v>2936</v>
      </c>
      <c r="E10" s="995"/>
      <c r="F10" s="995"/>
      <c r="G10" s="1488"/>
      <c r="H10" s="1488"/>
      <c r="I10" s="1488"/>
      <c r="J10" s="1488"/>
      <c r="K10" s="1488"/>
      <c r="L10" s="1488"/>
    </row>
    <row r="11" spans="1:14" ht="26.25" customHeight="1">
      <c r="A11" s="677" t="s">
        <v>192</v>
      </c>
      <c r="B11" s="995" t="s">
        <v>2937</v>
      </c>
      <c r="C11" s="995"/>
      <c r="D11" s="995" t="s">
        <v>2936</v>
      </c>
      <c r="E11" s="995"/>
      <c r="F11" s="995"/>
      <c r="G11" s="1488"/>
      <c r="H11" s="1488"/>
      <c r="I11" s="1488"/>
      <c r="J11" s="1488"/>
      <c r="K11" s="1488"/>
      <c r="L11" s="1488"/>
    </row>
    <row r="12" spans="1:14" ht="26.25" customHeight="1">
      <c r="A12" s="677" t="s">
        <v>197</v>
      </c>
      <c r="B12" s="995"/>
      <c r="C12" s="995"/>
      <c r="D12" s="995"/>
      <c r="E12" s="995"/>
      <c r="F12" s="995"/>
      <c r="G12" s="1488"/>
      <c r="H12" s="1488"/>
      <c r="I12" s="1488"/>
      <c r="J12" s="1488"/>
      <c r="K12" s="1488"/>
      <c r="L12" s="1488"/>
    </row>
    <row r="14" spans="1:14" ht="26.25" customHeight="1">
      <c r="A14" s="677" t="s">
        <v>198</v>
      </c>
      <c r="B14" s="80">
        <v>2</v>
      </c>
      <c r="C14" s="1492" t="s">
        <v>2838</v>
      </c>
      <c r="D14" s="1492"/>
      <c r="E14" s="1492"/>
      <c r="F14" s="80">
        <v>16</v>
      </c>
      <c r="G14" s="677" t="s">
        <v>1491</v>
      </c>
      <c r="H14" s="80">
        <v>18</v>
      </c>
      <c r="I14" s="697" t="s">
        <v>201</v>
      </c>
      <c r="J14" s="80">
        <v>1</v>
      </c>
      <c r="K14" s="697" t="s">
        <v>1386</v>
      </c>
      <c r="L14" s="80">
        <v>1</v>
      </c>
    </row>
    <row r="15" spans="1:14">
      <c r="B15" s="295"/>
    </row>
    <row r="16" spans="1:14" ht="26.25" customHeight="1">
      <c r="A16" s="674" t="s">
        <v>646</v>
      </c>
      <c r="B16" s="677" t="s">
        <v>204</v>
      </c>
      <c r="C16" s="80">
        <v>97</v>
      </c>
      <c r="D16" s="677" t="s">
        <v>205</v>
      </c>
      <c r="E16" s="80">
        <v>44</v>
      </c>
      <c r="F16" s="677" t="s">
        <v>206</v>
      </c>
      <c r="G16" s="80">
        <v>36</v>
      </c>
      <c r="H16" s="677" t="s">
        <v>230</v>
      </c>
      <c r="I16" s="80">
        <v>177</v>
      </c>
      <c r="J16" s="677" t="s">
        <v>207</v>
      </c>
      <c r="K16" s="80">
        <v>28</v>
      </c>
      <c r="L16" s="1504" t="s">
        <v>2881</v>
      </c>
      <c r="M16" s="1505"/>
      <c r="N16" s="80">
        <v>9</v>
      </c>
    </row>
    <row r="17" spans="1:14" ht="26.25" customHeight="1">
      <c r="A17" s="674" t="s">
        <v>2839</v>
      </c>
      <c r="B17" s="677" t="s">
        <v>210</v>
      </c>
      <c r="C17" s="80">
        <v>181</v>
      </c>
      <c r="D17" s="677" t="s">
        <v>211</v>
      </c>
      <c r="E17" s="80">
        <v>93</v>
      </c>
      <c r="F17" s="677" t="s">
        <v>212</v>
      </c>
      <c r="G17" s="80">
        <v>62</v>
      </c>
      <c r="H17" s="677" t="s">
        <v>411</v>
      </c>
      <c r="I17" s="80">
        <v>336</v>
      </c>
    </row>
    <row r="18" spans="1:14" ht="26.25" customHeight="1">
      <c r="B18" s="677" t="s">
        <v>213</v>
      </c>
      <c r="C18" s="80">
        <v>251</v>
      </c>
      <c r="D18" s="677" t="s">
        <v>214</v>
      </c>
      <c r="E18" s="80">
        <v>83</v>
      </c>
      <c r="F18" s="677" t="s">
        <v>215</v>
      </c>
      <c r="G18" s="80">
        <v>63</v>
      </c>
      <c r="H18" s="677" t="s">
        <v>410</v>
      </c>
      <c r="I18" s="80">
        <v>397</v>
      </c>
    </row>
    <row r="19" spans="1:14" s="403" customFormat="1" ht="26.25" customHeight="1">
      <c r="A19" s="69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496" t="s">
        <v>2841</v>
      </c>
      <c r="G20" s="1497"/>
      <c r="H20" s="1497"/>
      <c r="I20" s="1497"/>
      <c r="J20" s="1497"/>
      <c r="K20" s="1497"/>
      <c r="L20" s="1497"/>
      <c r="M20" s="1497"/>
      <c r="N20" s="1498"/>
    </row>
    <row r="21" spans="1:14" ht="26.25" customHeight="1">
      <c r="A21" s="1508"/>
      <c r="B21" s="1509"/>
      <c r="C21" s="1510"/>
      <c r="D21" s="1511"/>
      <c r="E21" s="1511"/>
      <c r="F21" s="693">
        <v>1</v>
      </c>
      <c r="G21" s="693">
        <v>2</v>
      </c>
      <c r="H21" s="693">
        <v>3</v>
      </c>
      <c r="I21" s="693">
        <v>4</v>
      </c>
      <c r="J21" s="693">
        <v>5</v>
      </c>
      <c r="K21" s="693">
        <v>6</v>
      </c>
      <c r="L21" s="693">
        <v>7</v>
      </c>
      <c r="M21" s="693" t="s">
        <v>230</v>
      </c>
      <c r="N21" s="693" t="s">
        <v>231</v>
      </c>
    </row>
    <row r="22" spans="1:14" ht="26.25" customHeight="1">
      <c r="A22" s="684" t="s">
        <v>232</v>
      </c>
      <c r="B22" s="296">
        <v>8000</v>
      </c>
      <c r="C22" s="687" t="s">
        <v>233</v>
      </c>
      <c r="D22" s="297">
        <f>B22*470/100000</f>
        <v>37.6</v>
      </c>
      <c r="E22" s="297">
        <f>480930/100000</f>
        <v>4.8093000000000004</v>
      </c>
      <c r="F22" s="699">
        <v>0</v>
      </c>
      <c r="G22" s="686">
        <v>0</v>
      </c>
      <c r="H22" s="686">
        <v>2.8624999999999998</v>
      </c>
      <c r="I22" s="687"/>
      <c r="J22" s="687"/>
      <c r="K22" s="706"/>
      <c r="L22" s="706"/>
      <c r="M22" s="686">
        <f>F22+G22+H22</f>
        <v>2.8624999999999998</v>
      </c>
      <c r="N22" s="707">
        <v>0.40460000000000002</v>
      </c>
    </row>
    <row r="23" spans="1:14" ht="26.25" customHeight="1">
      <c r="A23" s="684" t="s">
        <v>2842</v>
      </c>
      <c r="B23" s="296">
        <v>1120</v>
      </c>
      <c r="C23" s="687" t="s">
        <v>233</v>
      </c>
      <c r="D23" s="297">
        <f>B23*470/100000</f>
        <v>5.2640000000000002</v>
      </c>
      <c r="E23" s="297">
        <v>0</v>
      </c>
      <c r="F23" s="300">
        <v>0</v>
      </c>
      <c r="G23" s="686">
        <v>0</v>
      </c>
      <c r="H23" s="297">
        <v>0</v>
      </c>
      <c r="I23" s="296"/>
      <c r="J23" s="296"/>
      <c r="K23" s="305"/>
      <c r="L23" s="305"/>
      <c r="M23" s="686">
        <f t="shared" ref="M23:M30" si="0">F23+G23+H23</f>
        <v>0</v>
      </c>
      <c r="N23" s="296">
        <v>0</v>
      </c>
    </row>
    <row r="24" spans="1:14" ht="26.25" customHeight="1">
      <c r="A24" s="684" t="s">
        <v>235</v>
      </c>
      <c r="B24" s="296">
        <v>43000</v>
      </c>
      <c r="C24" s="687" t="s">
        <v>236</v>
      </c>
      <c r="D24" s="297">
        <v>0.43</v>
      </c>
      <c r="E24" s="297">
        <f>18000/100000</f>
        <v>0.18</v>
      </c>
      <c r="F24" s="300">
        <v>0</v>
      </c>
      <c r="G24" s="686">
        <v>0</v>
      </c>
      <c r="H24" s="297">
        <v>0</v>
      </c>
      <c r="I24" s="296"/>
      <c r="J24" s="296"/>
      <c r="K24" s="305"/>
      <c r="L24" s="305"/>
      <c r="M24" s="686">
        <f t="shared" si="0"/>
        <v>0</v>
      </c>
      <c r="N24" s="310">
        <v>0</v>
      </c>
    </row>
    <row r="25" spans="1:14" ht="26.25" customHeight="1">
      <c r="A25" s="684" t="s">
        <v>237</v>
      </c>
      <c r="B25" s="296">
        <v>37000</v>
      </c>
      <c r="C25" s="687" t="s">
        <v>236</v>
      </c>
      <c r="D25" s="297">
        <v>0.37</v>
      </c>
      <c r="E25" s="297">
        <f>16000/100000</f>
        <v>0.16</v>
      </c>
      <c r="F25" s="300">
        <v>0</v>
      </c>
      <c r="G25" s="686">
        <v>0</v>
      </c>
      <c r="H25" s="297">
        <v>0</v>
      </c>
      <c r="I25" s="296"/>
      <c r="J25" s="296"/>
      <c r="K25" s="305"/>
      <c r="L25" s="305"/>
      <c r="M25" s="686">
        <f t="shared" si="0"/>
        <v>0</v>
      </c>
      <c r="N25" s="310">
        <v>0</v>
      </c>
    </row>
    <row r="26" spans="1:14" ht="26.25" customHeight="1">
      <c r="A26" s="684" t="s">
        <v>238</v>
      </c>
      <c r="B26" s="296">
        <v>1200</v>
      </c>
      <c r="C26" s="687" t="s">
        <v>233</v>
      </c>
      <c r="D26" s="297">
        <f>B26*470/100000</f>
        <v>5.64</v>
      </c>
      <c r="E26" s="297">
        <v>2</v>
      </c>
      <c r="F26" s="300">
        <v>0</v>
      </c>
      <c r="G26" s="686">
        <v>0</v>
      </c>
      <c r="H26" s="297">
        <v>1.85378</v>
      </c>
      <c r="I26" s="296"/>
      <c r="J26" s="296"/>
      <c r="K26" s="305"/>
      <c r="L26" s="305"/>
      <c r="M26" s="686">
        <f t="shared" si="0"/>
        <v>1.85378</v>
      </c>
      <c r="N26" s="311">
        <v>0.749</v>
      </c>
    </row>
    <row r="27" spans="1:14" ht="26.25" customHeight="1">
      <c r="A27" s="684" t="s">
        <v>667</v>
      </c>
      <c r="B27" s="296">
        <v>565</v>
      </c>
      <c r="C27" s="687" t="s">
        <v>233</v>
      </c>
      <c r="D27" s="297">
        <v>2.83</v>
      </c>
      <c r="E27" s="297">
        <v>0.47</v>
      </c>
      <c r="F27" s="300">
        <v>0</v>
      </c>
      <c r="G27" s="686">
        <v>0</v>
      </c>
      <c r="H27" s="297">
        <v>0.12</v>
      </c>
      <c r="I27" s="296"/>
      <c r="J27" s="296"/>
      <c r="K27" s="305"/>
      <c r="L27" s="305"/>
      <c r="M27" s="686">
        <f t="shared" si="0"/>
        <v>0.12</v>
      </c>
      <c r="N27" s="310">
        <v>0.25</v>
      </c>
    </row>
    <row r="28" spans="1:14" ht="26.25" customHeight="1">
      <c r="A28" s="684" t="s">
        <v>2843</v>
      </c>
      <c r="B28" s="296">
        <v>1000</v>
      </c>
      <c r="C28" s="687" t="s">
        <v>233</v>
      </c>
      <c r="D28" s="297">
        <v>2.83</v>
      </c>
      <c r="E28" s="297">
        <v>0</v>
      </c>
      <c r="F28" s="300">
        <v>0</v>
      </c>
      <c r="G28" s="686">
        <v>0</v>
      </c>
      <c r="H28" s="297">
        <v>0</v>
      </c>
      <c r="I28" s="296"/>
      <c r="J28" s="296"/>
      <c r="K28" s="305"/>
      <c r="L28" s="305"/>
      <c r="M28" s="686">
        <f t="shared" si="0"/>
        <v>0</v>
      </c>
      <c r="N28" s="296">
        <v>0</v>
      </c>
    </row>
    <row r="29" spans="1:14" ht="26.25" customHeight="1">
      <c r="A29" s="684" t="s">
        <v>2844</v>
      </c>
      <c r="B29" s="296">
        <v>2750</v>
      </c>
      <c r="C29" s="687" t="s">
        <v>242</v>
      </c>
      <c r="D29" s="297">
        <v>2.31</v>
      </c>
      <c r="E29" s="297">
        <v>0.33</v>
      </c>
      <c r="F29" s="300">
        <v>0</v>
      </c>
      <c r="G29" s="686">
        <v>0</v>
      </c>
      <c r="H29" s="297">
        <v>0</v>
      </c>
      <c r="I29" s="296"/>
      <c r="J29" s="296"/>
      <c r="K29" s="305"/>
      <c r="L29" s="305"/>
      <c r="M29" s="686">
        <f t="shared" si="0"/>
        <v>0</v>
      </c>
      <c r="N29" s="296">
        <v>0</v>
      </c>
    </row>
    <row r="30" spans="1:14" ht="26.25" customHeight="1">
      <c r="A30" s="684" t="s">
        <v>670</v>
      </c>
      <c r="B30" s="296">
        <v>10000</v>
      </c>
      <c r="C30" s="687" t="s">
        <v>244</v>
      </c>
      <c r="D30" s="297">
        <v>0.1</v>
      </c>
      <c r="E30" s="297">
        <v>0.02</v>
      </c>
      <c r="F30" s="300">
        <v>0</v>
      </c>
      <c r="G30" s="686">
        <v>0</v>
      </c>
      <c r="H30" s="297">
        <v>0</v>
      </c>
      <c r="I30" s="296"/>
      <c r="J30" s="296"/>
      <c r="K30" s="305"/>
      <c r="L30" s="305"/>
      <c r="M30" s="686">
        <f t="shared" si="0"/>
        <v>0</v>
      </c>
      <c r="N30" s="310">
        <v>0</v>
      </c>
    </row>
    <row r="31" spans="1:14" ht="26.25" customHeight="1">
      <c r="A31" s="694" t="s">
        <v>245</v>
      </c>
      <c r="B31" s="296"/>
      <c r="C31" s="296"/>
      <c r="D31" s="297">
        <f>SUM(D22:D30)</f>
        <v>57.374000000000002</v>
      </c>
      <c r="E31" s="297">
        <f>SUM(E22:E30)</f>
        <v>7.9692999999999996</v>
      </c>
      <c r="F31" s="300">
        <f>SUM(F22:F30)</f>
        <v>0</v>
      </c>
      <c r="G31" s="80">
        <f t="shared" ref="G31:M31" si="1">SUM(G22:G30)</f>
        <v>0</v>
      </c>
      <c r="H31" s="80">
        <f t="shared" si="1"/>
        <v>4.8362799999999995</v>
      </c>
      <c r="I31" s="80">
        <f t="shared" si="1"/>
        <v>0</v>
      </c>
      <c r="J31" s="80">
        <f t="shared" si="1"/>
        <v>0</v>
      </c>
      <c r="K31" s="80">
        <f t="shared" si="1"/>
        <v>0</v>
      </c>
      <c r="L31" s="80">
        <f t="shared" si="1"/>
        <v>0</v>
      </c>
      <c r="M31" s="80">
        <f t="shared" si="1"/>
        <v>4.8362799999999995</v>
      </c>
      <c r="N31" s="297"/>
    </row>
    <row r="45" spans="6:6">
      <c r="F45" s="295"/>
    </row>
    <row r="46" spans="6:6">
      <c r="F46" s="312"/>
    </row>
    <row r="47" spans="6:6">
      <c r="F47" s="312"/>
    </row>
    <row r="48" spans="6:6">
      <c r="F48" s="312"/>
    </row>
    <row r="49" spans="6:6">
      <c r="F49" s="312"/>
    </row>
    <row r="50" spans="6:6">
      <c r="F50" s="312"/>
    </row>
    <row r="51" spans="6:6">
      <c r="F51" s="312"/>
    </row>
    <row r="52" spans="6:6">
      <c r="F52" s="312"/>
    </row>
    <row r="53" spans="6:6">
      <c r="F53" s="312"/>
    </row>
    <row r="54" spans="6:6">
      <c r="F54" s="312"/>
    </row>
    <row r="55" spans="6:6">
      <c r="F55" s="312"/>
    </row>
    <row r="56" spans="6:6">
      <c r="F56" s="295"/>
    </row>
    <row r="57" spans="6:6">
      <c r="F57" s="295"/>
    </row>
  </sheetData>
  <mergeCells count="37">
    <mergeCell ref="C14:E14"/>
    <mergeCell ref="L16:M16"/>
    <mergeCell ref="A20:A21"/>
    <mergeCell ref="B20:B21"/>
    <mergeCell ref="C20:C21"/>
    <mergeCell ref="D20:D21"/>
    <mergeCell ref="E20:E21"/>
    <mergeCell ref="F20:N20"/>
    <mergeCell ref="B11:C11"/>
    <mergeCell ref="D11:F11"/>
    <mergeCell ref="G11:I11"/>
    <mergeCell ref="J11:L11"/>
    <mergeCell ref="B12:C12"/>
    <mergeCell ref="D12:F12"/>
    <mergeCell ref="G12:I12"/>
    <mergeCell ref="J12:L12"/>
    <mergeCell ref="B9:C9"/>
    <mergeCell ref="D9:F9"/>
    <mergeCell ref="G9:I9"/>
    <mergeCell ref="J9:L9"/>
    <mergeCell ref="B10:C10"/>
    <mergeCell ref="D10:F10"/>
    <mergeCell ref="G10:I10"/>
    <mergeCell ref="J10:L10"/>
    <mergeCell ref="A4:C4"/>
    <mergeCell ref="B5:E5"/>
    <mergeCell ref="F5:G5"/>
    <mergeCell ref="H5:J5"/>
    <mergeCell ref="B7:E7"/>
    <mergeCell ref="F7:G7"/>
    <mergeCell ref="H7:K7"/>
    <mergeCell ref="A1:L1"/>
    <mergeCell ref="A2:L2"/>
    <mergeCell ref="B3:E3"/>
    <mergeCell ref="F3:G3"/>
    <mergeCell ref="H3:I3"/>
    <mergeCell ref="L3:M3"/>
  </mergeCells>
  <hyperlinks>
    <hyperlink ref="A4" location="'Fact Sheet of VDC'!A1" display="&lt;&lt;Back"/>
  </hyperlinks>
  <pageMargins left="0.23622047244094491" right="0.23622047244094491" top="0.51181102362204722" bottom="0.23622047244094491" header="0" footer="0"/>
  <pageSetup scale="70" orientation="landscape" r:id="rId1"/>
</worksheet>
</file>

<file path=xl/worksheets/sheet287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4" sqref="A4:C4"/>
    </sheetView>
  </sheetViews>
  <sheetFormatPr defaultRowHeight="15"/>
  <cols>
    <col min="1" max="1" width="35.42578125" customWidth="1"/>
    <col min="2" max="2" width="10.140625" customWidth="1"/>
    <col min="3" max="3" width="11.140625" customWidth="1"/>
    <col min="4" max="4" width="12.42578125" customWidth="1"/>
    <col min="5" max="5" width="11.85546875" customWidth="1"/>
    <col min="6" max="6" width="12.42578125" customWidth="1"/>
    <col min="7" max="7" width="14.140625" customWidth="1"/>
    <col min="8" max="8" width="11.85546875" customWidth="1"/>
    <col min="9" max="9" width="11.7109375" customWidth="1"/>
    <col min="10" max="10" width="14.28515625" customWidth="1"/>
    <col min="11" max="11" width="9.42578125" bestFit="1" customWidth="1"/>
    <col min="12" max="12" width="9.7109375" customWidth="1"/>
    <col min="13" max="13" width="7.7109375" customWidth="1"/>
    <col min="257" max="257" width="35.42578125" customWidth="1"/>
    <col min="258" max="258" width="10.140625" customWidth="1"/>
    <col min="259" max="259" width="11.140625" customWidth="1"/>
    <col min="260" max="260" width="12.42578125" customWidth="1"/>
    <col min="261" max="261" width="11.85546875" customWidth="1"/>
    <col min="262" max="262" width="12.42578125" customWidth="1"/>
    <col min="263" max="263" width="14.140625" customWidth="1"/>
    <col min="264" max="264" width="11.85546875" customWidth="1"/>
    <col min="265" max="265" width="11.7109375" customWidth="1"/>
    <col min="266" max="266" width="14.28515625" customWidth="1"/>
    <col min="267" max="267" width="9.42578125" bestFit="1" customWidth="1"/>
    <col min="268" max="268" width="9.7109375" customWidth="1"/>
    <col min="269" max="269" width="7.7109375" customWidth="1"/>
    <col min="513" max="513" width="35.42578125" customWidth="1"/>
    <col min="514" max="514" width="10.140625" customWidth="1"/>
    <col min="515" max="515" width="11.140625" customWidth="1"/>
    <col min="516" max="516" width="12.42578125" customWidth="1"/>
    <col min="517" max="517" width="11.85546875" customWidth="1"/>
    <col min="518" max="518" width="12.42578125" customWidth="1"/>
    <col min="519" max="519" width="14.140625" customWidth="1"/>
    <col min="520" max="520" width="11.85546875" customWidth="1"/>
    <col min="521" max="521" width="11.7109375" customWidth="1"/>
    <col min="522" max="522" width="14.28515625" customWidth="1"/>
    <col min="523" max="523" width="9.42578125" bestFit="1" customWidth="1"/>
    <col min="524" max="524" width="9.7109375" customWidth="1"/>
    <col min="525" max="525" width="7.7109375" customWidth="1"/>
    <col min="769" max="769" width="35.42578125" customWidth="1"/>
    <col min="770" max="770" width="10.140625" customWidth="1"/>
    <col min="771" max="771" width="11.140625" customWidth="1"/>
    <col min="772" max="772" width="12.42578125" customWidth="1"/>
    <col min="773" max="773" width="11.85546875" customWidth="1"/>
    <col min="774" max="774" width="12.42578125" customWidth="1"/>
    <col min="775" max="775" width="14.140625" customWidth="1"/>
    <col min="776" max="776" width="11.85546875" customWidth="1"/>
    <col min="777" max="777" width="11.7109375" customWidth="1"/>
    <col min="778" max="778" width="14.28515625" customWidth="1"/>
    <col min="779" max="779" width="9.42578125" bestFit="1" customWidth="1"/>
    <col min="780" max="780" width="9.7109375" customWidth="1"/>
    <col min="781" max="781" width="7.7109375" customWidth="1"/>
    <col min="1025" max="1025" width="35.42578125" customWidth="1"/>
    <col min="1026" max="1026" width="10.140625" customWidth="1"/>
    <col min="1027" max="1027" width="11.140625" customWidth="1"/>
    <col min="1028" max="1028" width="12.42578125" customWidth="1"/>
    <col min="1029" max="1029" width="11.85546875" customWidth="1"/>
    <col min="1030" max="1030" width="12.42578125" customWidth="1"/>
    <col min="1031" max="1031" width="14.140625" customWidth="1"/>
    <col min="1032" max="1032" width="11.85546875" customWidth="1"/>
    <col min="1033" max="1033" width="11.7109375" customWidth="1"/>
    <col min="1034" max="1034" width="14.28515625" customWidth="1"/>
    <col min="1035" max="1035" width="9.42578125" bestFit="1" customWidth="1"/>
    <col min="1036" max="1036" width="9.7109375" customWidth="1"/>
    <col min="1037" max="1037" width="7.7109375" customWidth="1"/>
    <col min="1281" max="1281" width="35.42578125" customWidth="1"/>
    <col min="1282" max="1282" width="10.140625" customWidth="1"/>
    <col min="1283" max="1283" width="11.140625" customWidth="1"/>
    <col min="1284" max="1284" width="12.42578125" customWidth="1"/>
    <col min="1285" max="1285" width="11.85546875" customWidth="1"/>
    <col min="1286" max="1286" width="12.42578125" customWidth="1"/>
    <col min="1287" max="1287" width="14.140625" customWidth="1"/>
    <col min="1288" max="1288" width="11.85546875" customWidth="1"/>
    <col min="1289" max="1289" width="11.7109375" customWidth="1"/>
    <col min="1290" max="1290" width="14.28515625" customWidth="1"/>
    <col min="1291" max="1291" width="9.42578125" bestFit="1" customWidth="1"/>
    <col min="1292" max="1292" width="9.7109375" customWidth="1"/>
    <col min="1293" max="1293" width="7.7109375" customWidth="1"/>
    <col min="1537" max="1537" width="35.42578125" customWidth="1"/>
    <col min="1538" max="1538" width="10.140625" customWidth="1"/>
    <col min="1539" max="1539" width="11.140625" customWidth="1"/>
    <col min="1540" max="1540" width="12.42578125" customWidth="1"/>
    <col min="1541" max="1541" width="11.85546875" customWidth="1"/>
    <col min="1542" max="1542" width="12.42578125" customWidth="1"/>
    <col min="1543" max="1543" width="14.140625" customWidth="1"/>
    <col min="1544" max="1544" width="11.85546875" customWidth="1"/>
    <col min="1545" max="1545" width="11.7109375" customWidth="1"/>
    <col min="1546" max="1546" width="14.28515625" customWidth="1"/>
    <col min="1547" max="1547" width="9.42578125" bestFit="1" customWidth="1"/>
    <col min="1548" max="1548" width="9.7109375" customWidth="1"/>
    <col min="1549" max="1549" width="7.7109375" customWidth="1"/>
    <col min="1793" max="1793" width="35.42578125" customWidth="1"/>
    <col min="1794" max="1794" width="10.140625" customWidth="1"/>
    <col min="1795" max="1795" width="11.140625" customWidth="1"/>
    <col min="1796" max="1796" width="12.42578125" customWidth="1"/>
    <col min="1797" max="1797" width="11.85546875" customWidth="1"/>
    <col min="1798" max="1798" width="12.42578125" customWidth="1"/>
    <col min="1799" max="1799" width="14.140625" customWidth="1"/>
    <col min="1800" max="1800" width="11.85546875" customWidth="1"/>
    <col min="1801" max="1801" width="11.7109375" customWidth="1"/>
    <col min="1802" max="1802" width="14.28515625" customWidth="1"/>
    <col min="1803" max="1803" width="9.42578125" bestFit="1" customWidth="1"/>
    <col min="1804" max="1804" width="9.7109375" customWidth="1"/>
    <col min="1805" max="1805" width="7.7109375" customWidth="1"/>
    <col min="2049" max="2049" width="35.42578125" customWidth="1"/>
    <col min="2050" max="2050" width="10.140625" customWidth="1"/>
    <col min="2051" max="2051" width="11.140625" customWidth="1"/>
    <col min="2052" max="2052" width="12.42578125" customWidth="1"/>
    <col min="2053" max="2053" width="11.85546875" customWidth="1"/>
    <col min="2054" max="2054" width="12.42578125" customWidth="1"/>
    <col min="2055" max="2055" width="14.140625" customWidth="1"/>
    <col min="2056" max="2056" width="11.85546875" customWidth="1"/>
    <col min="2057" max="2057" width="11.7109375" customWidth="1"/>
    <col min="2058" max="2058" width="14.28515625" customWidth="1"/>
    <col min="2059" max="2059" width="9.42578125" bestFit="1" customWidth="1"/>
    <col min="2060" max="2060" width="9.7109375" customWidth="1"/>
    <col min="2061" max="2061" width="7.7109375" customWidth="1"/>
    <col min="2305" max="2305" width="35.42578125" customWidth="1"/>
    <col min="2306" max="2306" width="10.140625" customWidth="1"/>
    <col min="2307" max="2307" width="11.140625" customWidth="1"/>
    <col min="2308" max="2308" width="12.42578125" customWidth="1"/>
    <col min="2309" max="2309" width="11.85546875" customWidth="1"/>
    <col min="2310" max="2310" width="12.42578125" customWidth="1"/>
    <col min="2311" max="2311" width="14.140625" customWidth="1"/>
    <col min="2312" max="2312" width="11.85546875" customWidth="1"/>
    <col min="2313" max="2313" width="11.7109375" customWidth="1"/>
    <col min="2314" max="2314" width="14.28515625" customWidth="1"/>
    <col min="2315" max="2315" width="9.42578125" bestFit="1" customWidth="1"/>
    <col min="2316" max="2316" width="9.7109375" customWidth="1"/>
    <col min="2317" max="2317" width="7.7109375" customWidth="1"/>
    <col min="2561" max="2561" width="35.42578125" customWidth="1"/>
    <col min="2562" max="2562" width="10.140625" customWidth="1"/>
    <col min="2563" max="2563" width="11.140625" customWidth="1"/>
    <col min="2564" max="2564" width="12.42578125" customWidth="1"/>
    <col min="2565" max="2565" width="11.85546875" customWidth="1"/>
    <col min="2566" max="2566" width="12.42578125" customWidth="1"/>
    <col min="2567" max="2567" width="14.140625" customWidth="1"/>
    <col min="2568" max="2568" width="11.85546875" customWidth="1"/>
    <col min="2569" max="2569" width="11.7109375" customWidth="1"/>
    <col min="2570" max="2570" width="14.28515625" customWidth="1"/>
    <col min="2571" max="2571" width="9.42578125" bestFit="1" customWidth="1"/>
    <col min="2572" max="2572" width="9.7109375" customWidth="1"/>
    <col min="2573" max="2573" width="7.7109375" customWidth="1"/>
    <col min="2817" max="2817" width="35.42578125" customWidth="1"/>
    <col min="2818" max="2818" width="10.140625" customWidth="1"/>
    <col min="2819" max="2819" width="11.140625" customWidth="1"/>
    <col min="2820" max="2820" width="12.42578125" customWidth="1"/>
    <col min="2821" max="2821" width="11.85546875" customWidth="1"/>
    <col min="2822" max="2822" width="12.42578125" customWidth="1"/>
    <col min="2823" max="2823" width="14.140625" customWidth="1"/>
    <col min="2824" max="2824" width="11.85546875" customWidth="1"/>
    <col min="2825" max="2825" width="11.7109375" customWidth="1"/>
    <col min="2826" max="2826" width="14.28515625" customWidth="1"/>
    <col min="2827" max="2827" width="9.42578125" bestFit="1" customWidth="1"/>
    <col min="2828" max="2828" width="9.7109375" customWidth="1"/>
    <col min="2829" max="2829" width="7.7109375" customWidth="1"/>
    <col min="3073" max="3073" width="35.42578125" customWidth="1"/>
    <col min="3074" max="3074" width="10.140625" customWidth="1"/>
    <col min="3075" max="3075" width="11.140625" customWidth="1"/>
    <col min="3076" max="3076" width="12.42578125" customWidth="1"/>
    <col min="3077" max="3077" width="11.85546875" customWidth="1"/>
    <col min="3078" max="3078" width="12.42578125" customWidth="1"/>
    <col min="3079" max="3079" width="14.140625" customWidth="1"/>
    <col min="3080" max="3080" width="11.85546875" customWidth="1"/>
    <col min="3081" max="3081" width="11.7109375" customWidth="1"/>
    <col min="3082" max="3082" width="14.28515625" customWidth="1"/>
    <col min="3083" max="3083" width="9.42578125" bestFit="1" customWidth="1"/>
    <col min="3084" max="3084" width="9.7109375" customWidth="1"/>
    <col min="3085" max="3085" width="7.7109375" customWidth="1"/>
    <col min="3329" max="3329" width="35.42578125" customWidth="1"/>
    <col min="3330" max="3330" width="10.140625" customWidth="1"/>
    <col min="3331" max="3331" width="11.140625" customWidth="1"/>
    <col min="3332" max="3332" width="12.42578125" customWidth="1"/>
    <col min="3333" max="3333" width="11.85546875" customWidth="1"/>
    <col min="3334" max="3334" width="12.42578125" customWidth="1"/>
    <col min="3335" max="3335" width="14.140625" customWidth="1"/>
    <col min="3336" max="3336" width="11.85546875" customWidth="1"/>
    <col min="3337" max="3337" width="11.7109375" customWidth="1"/>
    <col min="3338" max="3338" width="14.28515625" customWidth="1"/>
    <col min="3339" max="3339" width="9.42578125" bestFit="1" customWidth="1"/>
    <col min="3340" max="3340" width="9.7109375" customWidth="1"/>
    <col min="3341" max="3341" width="7.7109375" customWidth="1"/>
    <col min="3585" max="3585" width="35.42578125" customWidth="1"/>
    <col min="3586" max="3586" width="10.140625" customWidth="1"/>
    <col min="3587" max="3587" width="11.140625" customWidth="1"/>
    <col min="3588" max="3588" width="12.42578125" customWidth="1"/>
    <col min="3589" max="3589" width="11.85546875" customWidth="1"/>
    <col min="3590" max="3590" width="12.42578125" customWidth="1"/>
    <col min="3591" max="3591" width="14.140625" customWidth="1"/>
    <col min="3592" max="3592" width="11.85546875" customWidth="1"/>
    <col min="3593" max="3593" width="11.7109375" customWidth="1"/>
    <col min="3594" max="3594" width="14.28515625" customWidth="1"/>
    <col min="3595" max="3595" width="9.42578125" bestFit="1" customWidth="1"/>
    <col min="3596" max="3596" width="9.7109375" customWidth="1"/>
    <col min="3597" max="3597" width="7.7109375" customWidth="1"/>
    <col min="3841" max="3841" width="35.42578125" customWidth="1"/>
    <col min="3842" max="3842" width="10.140625" customWidth="1"/>
    <col min="3843" max="3843" width="11.140625" customWidth="1"/>
    <col min="3844" max="3844" width="12.42578125" customWidth="1"/>
    <col min="3845" max="3845" width="11.85546875" customWidth="1"/>
    <col min="3846" max="3846" width="12.42578125" customWidth="1"/>
    <col min="3847" max="3847" width="14.140625" customWidth="1"/>
    <col min="3848" max="3848" width="11.85546875" customWidth="1"/>
    <col min="3849" max="3849" width="11.7109375" customWidth="1"/>
    <col min="3850" max="3850" width="14.28515625" customWidth="1"/>
    <col min="3851" max="3851" width="9.42578125" bestFit="1" customWidth="1"/>
    <col min="3852" max="3852" width="9.7109375" customWidth="1"/>
    <col min="3853" max="3853" width="7.7109375" customWidth="1"/>
    <col min="4097" max="4097" width="35.42578125" customWidth="1"/>
    <col min="4098" max="4098" width="10.140625" customWidth="1"/>
    <col min="4099" max="4099" width="11.140625" customWidth="1"/>
    <col min="4100" max="4100" width="12.42578125" customWidth="1"/>
    <col min="4101" max="4101" width="11.85546875" customWidth="1"/>
    <col min="4102" max="4102" width="12.42578125" customWidth="1"/>
    <col min="4103" max="4103" width="14.140625" customWidth="1"/>
    <col min="4104" max="4104" width="11.85546875" customWidth="1"/>
    <col min="4105" max="4105" width="11.7109375" customWidth="1"/>
    <col min="4106" max="4106" width="14.28515625" customWidth="1"/>
    <col min="4107" max="4107" width="9.42578125" bestFit="1" customWidth="1"/>
    <col min="4108" max="4108" width="9.7109375" customWidth="1"/>
    <col min="4109" max="4109" width="7.7109375" customWidth="1"/>
    <col min="4353" max="4353" width="35.42578125" customWidth="1"/>
    <col min="4354" max="4354" width="10.140625" customWidth="1"/>
    <col min="4355" max="4355" width="11.140625" customWidth="1"/>
    <col min="4356" max="4356" width="12.42578125" customWidth="1"/>
    <col min="4357" max="4357" width="11.85546875" customWidth="1"/>
    <col min="4358" max="4358" width="12.42578125" customWidth="1"/>
    <col min="4359" max="4359" width="14.140625" customWidth="1"/>
    <col min="4360" max="4360" width="11.85546875" customWidth="1"/>
    <col min="4361" max="4361" width="11.7109375" customWidth="1"/>
    <col min="4362" max="4362" width="14.28515625" customWidth="1"/>
    <col min="4363" max="4363" width="9.42578125" bestFit="1" customWidth="1"/>
    <col min="4364" max="4364" width="9.7109375" customWidth="1"/>
    <col min="4365" max="4365" width="7.7109375" customWidth="1"/>
    <col min="4609" max="4609" width="35.42578125" customWidth="1"/>
    <col min="4610" max="4610" width="10.140625" customWidth="1"/>
    <col min="4611" max="4611" width="11.140625" customWidth="1"/>
    <col min="4612" max="4612" width="12.42578125" customWidth="1"/>
    <col min="4613" max="4613" width="11.85546875" customWidth="1"/>
    <col min="4614" max="4614" width="12.42578125" customWidth="1"/>
    <col min="4615" max="4615" width="14.140625" customWidth="1"/>
    <col min="4616" max="4616" width="11.85546875" customWidth="1"/>
    <col min="4617" max="4617" width="11.7109375" customWidth="1"/>
    <col min="4618" max="4618" width="14.28515625" customWidth="1"/>
    <col min="4619" max="4619" width="9.42578125" bestFit="1" customWidth="1"/>
    <col min="4620" max="4620" width="9.7109375" customWidth="1"/>
    <col min="4621" max="4621" width="7.7109375" customWidth="1"/>
    <col min="4865" max="4865" width="35.42578125" customWidth="1"/>
    <col min="4866" max="4866" width="10.140625" customWidth="1"/>
    <col min="4867" max="4867" width="11.140625" customWidth="1"/>
    <col min="4868" max="4868" width="12.42578125" customWidth="1"/>
    <col min="4869" max="4869" width="11.85546875" customWidth="1"/>
    <col min="4870" max="4870" width="12.42578125" customWidth="1"/>
    <col min="4871" max="4871" width="14.140625" customWidth="1"/>
    <col min="4872" max="4872" width="11.85546875" customWidth="1"/>
    <col min="4873" max="4873" width="11.7109375" customWidth="1"/>
    <col min="4874" max="4874" width="14.28515625" customWidth="1"/>
    <col min="4875" max="4875" width="9.42578125" bestFit="1" customWidth="1"/>
    <col min="4876" max="4876" width="9.7109375" customWidth="1"/>
    <col min="4877" max="4877" width="7.7109375" customWidth="1"/>
    <col min="5121" max="5121" width="35.42578125" customWidth="1"/>
    <col min="5122" max="5122" width="10.140625" customWidth="1"/>
    <col min="5123" max="5123" width="11.140625" customWidth="1"/>
    <col min="5124" max="5124" width="12.42578125" customWidth="1"/>
    <col min="5125" max="5125" width="11.85546875" customWidth="1"/>
    <col min="5126" max="5126" width="12.42578125" customWidth="1"/>
    <col min="5127" max="5127" width="14.140625" customWidth="1"/>
    <col min="5128" max="5128" width="11.85546875" customWidth="1"/>
    <col min="5129" max="5129" width="11.7109375" customWidth="1"/>
    <col min="5130" max="5130" width="14.28515625" customWidth="1"/>
    <col min="5131" max="5131" width="9.42578125" bestFit="1" customWidth="1"/>
    <col min="5132" max="5132" width="9.7109375" customWidth="1"/>
    <col min="5133" max="5133" width="7.7109375" customWidth="1"/>
    <col min="5377" max="5377" width="35.42578125" customWidth="1"/>
    <col min="5378" max="5378" width="10.140625" customWidth="1"/>
    <col min="5379" max="5379" width="11.140625" customWidth="1"/>
    <col min="5380" max="5380" width="12.42578125" customWidth="1"/>
    <col min="5381" max="5381" width="11.85546875" customWidth="1"/>
    <col min="5382" max="5382" width="12.42578125" customWidth="1"/>
    <col min="5383" max="5383" width="14.140625" customWidth="1"/>
    <col min="5384" max="5384" width="11.85546875" customWidth="1"/>
    <col min="5385" max="5385" width="11.7109375" customWidth="1"/>
    <col min="5386" max="5386" width="14.28515625" customWidth="1"/>
    <col min="5387" max="5387" width="9.42578125" bestFit="1" customWidth="1"/>
    <col min="5388" max="5388" width="9.7109375" customWidth="1"/>
    <col min="5389" max="5389" width="7.7109375" customWidth="1"/>
    <col min="5633" max="5633" width="35.42578125" customWidth="1"/>
    <col min="5634" max="5634" width="10.140625" customWidth="1"/>
    <col min="5635" max="5635" width="11.140625" customWidth="1"/>
    <col min="5636" max="5636" width="12.42578125" customWidth="1"/>
    <col min="5637" max="5637" width="11.85546875" customWidth="1"/>
    <col min="5638" max="5638" width="12.42578125" customWidth="1"/>
    <col min="5639" max="5639" width="14.140625" customWidth="1"/>
    <col min="5640" max="5640" width="11.85546875" customWidth="1"/>
    <col min="5641" max="5641" width="11.7109375" customWidth="1"/>
    <col min="5642" max="5642" width="14.28515625" customWidth="1"/>
    <col min="5643" max="5643" width="9.42578125" bestFit="1" customWidth="1"/>
    <col min="5644" max="5644" width="9.7109375" customWidth="1"/>
    <col min="5645" max="5645" width="7.7109375" customWidth="1"/>
    <col min="5889" max="5889" width="35.42578125" customWidth="1"/>
    <col min="5890" max="5890" width="10.140625" customWidth="1"/>
    <col min="5891" max="5891" width="11.140625" customWidth="1"/>
    <col min="5892" max="5892" width="12.42578125" customWidth="1"/>
    <col min="5893" max="5893" width="11.85546875" customWidth="1"/>
    <col min="5894" max="5894" width="12.42578125" customWidth="1"/>
    <col min="5895" max="5895" width="14.140625" customWidth="1"/>
    <col min="5896" max="5896" width="11.85546875" customWidth="1"/>
    <col min="5897" max="5897" width="11.7109375" customWidth="1"/>
    <col min="5898" max="5898" width="14.28515625" customWidth="1"/>
    <col min="5899" max="5899" width="9.42578125" bestFit="1" customWidth="1"/>
    <col min="5900" max="5900" width="9.7109375" customWidth="1"/>
    <col min="5901" max="5901" width="7.7109375" customWidth="1"/>
    <col min="6145" max="6145" width="35.42578125" customWidth="1"/>
    <col min="6146" max="6146" width="10.140625" customWidth="1"/>
    <col min="6147" max="6147" width="11.140625" customWidth="1"/>
    <col min="6148" max="6148" width="12.42578125" customWidth="1"/>
    <col min="6149" max="6149" width="11.85546875" customWidth="1"/>
    <col min="6150" max="6150" width="12.42578125" customWidth="1"/>
    <col min="6151" max="6151" width="14.140625" customWidth="1"/>
    <col min="6152" max="6152" width="11.85546875" customWidth="1"/>
    <col min="6153" max="6153" width="11.7109375" customWidth="1"/>
    <col min="6154" max="6154" width="14.28515625" customWidth="1"/>
    <col min="6155" max="6155" width="9.42578125" bestFit="1" customWidth="1"/>
    <col min="6156" max="6156" width="9.7109375" customWidth="1"/>
    <col min="6157" max="6157" width="7.7109375" customWidth="1"/>
    <col min="6401" max="6401" width="35.42578125" customWidth="1"/>
    <col min="6402" max="6402" width="10.140625" customWidth="1"/>
    <col min="6403" max="6403" width="11.140625" customWidth="1"/>
    <col min="6404" max="6404" width="12.42578125" customWidth="1"/>
    <col min="6405" max="6405" width="11.85546875" customWidth="1"/>
    <col min="6406" max="6406" width="12.42578125" customWidth="1"/>
    <col min="6407" max="6407" width="14.140625" customWidth="1"/>
    <col min="6408" max="6408" width="11.85546875" customWidth="1"/>
    <col min="6409" max="6409" width="11.7109375" customWidth="1"/>
    <col min="6410" max="6410" width="14.28515625" customWidth="1"/>
    <col min="6411" max="6411" width="9.42578125" bestFit="1" customWidth="1"/>
    <col min="6412" max="6412" width="9.7109375" customWidth="1"/>
    <col min="6413" max="6413" width="7.7109375" customWidth="1"/>
    <col min="6657" max="6657" width="35.42578125" customWidth="1"/>
    <col min="6658" max="6658" width="10.140625" customWidth="1"/>
    <col min="6659" max="6659" width="11.140625" customWidth="1"/>
    <col min="6660" max="6660" width="12.42578125" customWidth="1"/>
    <col min="6661" max="6661" width="11.85546875" customWidth="1"/>
    <col min="6662" max="6662" width="12.42578125" customWidth="1"/>
    <col min="6663" max="6663" width="14.140625" customWidth="1"/>
    <col min="6664" max="6664" width="11.85546875" customWidth="1"/>
    <col min="6665" max="6665" width="11.7109375" customWidth="1"/>
    <col min="6666" max="6666" width="14.28515625" customWidth="1"/>
    <col min="6667" max="6667" width="9.42578125" bestFit="1" customWidth="1"/>
    <col min="6668" max="6668" width="9.7109375" customWidth="1"/>
    <col min="6669" max="6669" width="7.7109375" customWidth="1"/>
    <col min="6913" max="6913" width="35.42578125" customWidth="1"/>
    <col min="6914" max="6914" width="10.140625" customWidth="1"/>
    <col min="6915" max="6915" width="11.140625" customWidth="1"/>
    <col min="6916" max="6916" width="12.42578125" customWidth="1"/>
    <col min="6917" max="6917" width="11.85546875" customWidth="1"/>
    <col min="6918" max="6918" width="12.42578125" customWidth="1"/>
    <col min="6919" max="6919" width="14.140625" customWidth="1"/>
    <col min="6920" max="6920" width="11.85546875" customWidth="1"/>
    <col min="6921" max="6921" width="11.7109375" customWidth="1"/>
    <col min="6922" max="6922" width="14.28515625" customWidth="1"/>
    <col min="6923" max="6923" width="9.42578125" bestFit="1" customWidth="1"/>
    <col min="6924" max="6924" width="9.7109375" customWidth="1"/>
    <col min="6925" max="6925" width="7.7109375" customWidth="1"/>
    <col min="7169" max="7169" width="35.42578125" customWidth="1"/>
    <col min="7170" max="7170" width="10.140625" customWidth="1"/>
    <col min="7171" max="7171" width="11.140625" customWidth="1"/>
    <col min="7172" max="7172" width="12.42578125" customWidth="1"/>
    <col min="7173" max="7173" width="11.85546875" customWidth="1"/>
    <col min="7174" max="7174" width="12.42578125" customWidth="1"/>
    <col min="7175" max="7175" width="14.140625" customWidth="1"/>
    <col min="7176" max="7176" width="11.85546875" customWidth="1"/>
    <col min="7177" max="7177" width="11.7109375" customWidth="1"/>
    <col min="7178" max="7178" width="14.28515625" customWidth="1"/>
    <col min="7179" max="7179" width="9.42578125" bestFit="1" customWidth="1"/>
    <col min="7180" max="7180" width="9.7109375" customWidth="1"/>
    <col min="7181" max="7181" width="7.7109375" customWidth="1"/>
    <col min="7425" max="7425" width="35.42578125" customWidth="1"/>
    <col min="7426" max="7426" width="10.140625" customWidth="1"/>
    <col min="7427" max="7427" width="11.140625" customWidth="1"/>
    <col min="7428" max="7428" width="12.42578125" customWidth="1"/>
    <col min="7429" max="7429" width="11.85546875" customWidth="1"/>
    <col min="7430" max="7430" width="12.42578125" customWidth="1"/>
    <col min="7431" max="7431" width="14.140625" customWidth="1"/>
    <col min="7432" max="7432" width="11.85546875" customWidth="1"/>
    <col min="7433" max="7433" width="11.7109375" customWidth="1"/>
    <col min="7434" max="7434" width="14.28515625" customWidth="1"/>
    <col min="7435" max="7435" width="9.42578125" bestFit="1" customWidth="1"/>
    <col min="7436" max="7436" width="9.7109375" customWidth="1"/>
    <col min="7437" max="7437" width="7.7109375" customWidth="1"/>
    <col min="7681" max="7681" width="35.42578125" customWidth="1"/>
    <col min="7682" max="7682" width="10.140625" customWidth="1"/>
    <col min="7683" max="7683" width="11.140625" customWidth="1"/>
    <col min="7684" max="7684" width="12.42578125" customWidth="1"/>
    <col min="7685" max="7685" width="11.85546875" customWidth="1"/>
    <col min="7686" max="7686" width="12.42578125" customWidth="1"/>
    <col min="7687" max="7687" width="14.140625" customWidth="1"/>
    <col min="7688" max="7688" width="11.85546875" customWidth="1"/>
    <col min="7689" max="7689" width="11.7109375" customWidth="1"/>
    <col min="7690" max="7690" width="14.28515625" customWidth="1"/>
    <col min="7691" max="7691" width="9.42578125" bestFit="1" customWidth="1"/>
    <col min="7692" max="7692" width="9.7109375" customWidth="1"/>
    <col min="7693" max="7693" width="7.7109375" customWidth="1"/>
    <col min="7937" max="7937" width="35.42578125" customWidth="1"/>
    <col min="7938" max="7938" width="10.140625" customWidth="1"/>
    <col min="7939" max="7939" width="11.140625" customWidth="1"/>
    <col min="7940" max="7940" width="12.42578125" customWidth="1"/>
    <col min="7941" max="7941" width="11.85546875" customWidth="1"/>
    <col min="7942" max="7942" width="12.42578125" customWidth="1"/>
    <col min="7943" max="7943" width="14.140625" customWidth="1"/>
    <col min="7944" max="7944" width="11.85546875" customWidth="1"/>
    <col min="7945" max="7945" width="11.7109375" customWidth="1"/>
    <col min="7946" max="7946" width="14.28515625" customWidth="1"/>
    <col min="7947" max="7947" width="9.42578125" bestFit="1" customWidth="1"/>
    <col min="7948" max="7948" width="9.7109375" customWidth="1"/>
    <col min="7949" max="7949" width="7.7109375" customWidth="1"/>
    <col min="8193" max="8193" width="35.42578125" customWidth="1"/>
    <col min="8194" max="8194" width="10.140625" customWidth="1"/>
    <col min="8195" max="8195" width="11.140625" customWidth="1"/>
    <col min="8196" max="8196" width="12.42578125" customWidth="1"/>
    <col min="8197" max="8197" width="11.85546875" customWidth="1"/>
    <col min="8198" max="8198" width="12.42578125" customWidth="1"/>
    <col min="8199" max="8199" width="14.140625" customWidth="1"/>
    <col min="8200" max="8200" width="11.85546875" customWidth="1"/>
    <col min="8201" max="8201" width="11.7109375" customWidth="1"/>
    <col min="8202" max="8202" width="14.28515625" customWidth="1"/>
    <col min="8203" max="8203" width="9.42578125" bestFit="1" customWidth="1"/>
    <col min="8204" max="8204" width="9.7109375" customWidth="1"/>
    <col min="8205" max="8205" width="7.7109375" customWidth="1"/>
    <col min="8449" max="8449" width="35.42578125" customWidth="1"/>
    <col min="8450" max="8450" width="10.140625" customWidth="1"/>
    <col min="8451" max="8451" width="11.140625" customWidth="1"/>
    <col min="8452" max="8452" width="12.42578125" customWidth="1"/>
    <col min="8453" max="8453" width="11.85546875" customWidth="1"/>
    <col min="8454" max="8454" width="12.42578125" customWidth="1"/>
    <col min="8455" max="8455" width="14.140625" customWidth="1"/>
    <col min="8456" max="8456" width="11.85546875" customWidth="1"/>
    <col min="8457" max="8457" width="11.7109375" customWidth="1"/>
    <col min="8458" max="8458" width="14.28515625" customWidth="1"/>
    <col min="8459" max="8459" width="9.42578125" bestFit="1" customWidth="1"/>
    <col min="8460" max="8460" width="9.7109375" customWidth="1"/>
    <col min="8461" max="8461" width="7.7109375" customWidth="1"/>
    <col min="8705" max="8705" width="35.42578125" customWidth="1"/>
    <col min="8706" max="8706" width="10.140625" customWidth="1"/>
    <col min="8707" max="8707" width="11.140625" customWidth="1"/>
    <col min="8708" max="8708" width="12.42578125" customWidth="1"/>
    <col min="8709" max="8709" width="11.85546875" customWidth="1"/>
    <col min="8710" max="8710" width="12.42578125" customWidth="1"/>
    <col min="8711" max="8711" width="14.140625" customWidth="1"/>
    <col min="8712" max="8712" width="11.85546875" customWidth="1"/>
    <col min="8713" max="8713" width="11.7109375" customWidth="1"/>
    <col min="8714" max="8714" width="14.28515625" customWidth="1"/>
    <col min="8715" max="8715" width="9.42578125" bestFit="1" customWidth="1"/>
    <col min="8716" max="8716" width="9.7109375" customWidth="1"/>
    <col min="8717" max="8717" width="7.7109375" customWidth="1"/>
    <col min="8961" max="8961" width="35.42578125" customWidth="1"/>
    <col min="8962" max="8962" width="10.140625" customWidth="1"/>
    <col min="8963" max="8963" width="11.140625" customWidth="1"/>
    <col min="8964" max="8964" width="12.42578125" customWidth="1"/>
    <col min="8965" max="8965" width="11.85546875" customWidth="1"/>
    <col min="8966" max="8966" width="12.42578125" customWidth="1"/>
    <col min="8967" max="8967" width="14.140625" customWidth="1"/>
    <col min="8968" max="8968" width="11.85546875" customWidth="1"/>
    <col min="8969" max="8969" width="11.7109375" customWidth="1"/>
    <col min="8970" max="8970" width="14.28515625" customWidth="1"/>
    <col min="8971" max="8971" width="9.42578125" bestFit="1" customWidth="1"/>
    <col min="8972" max="8972" width="9.7109375" customWidth="1"/>
    <col min="8973" max="8973" width="7.7109375" customWidth="1"/>
    <col min="9217" max="9217" width="35.42578125" customWidth="1"/>
    <col min="9218" max="9218" width="10.140625" customWidth="1"/>
    <col min="9219" max="9219" width="11.140625" customWidth="1"/>
    <col min="9220" max="9220" width="12.42578125" customWidth="1"/>
    <col min="9221" max="9221" width="11.85546875" customWidth="1"/>
    <col min="9222" max="9222" width="12.42578125" customWidth="1"/>
    <col min="9223" max="9223" width="14.140625" customWidth="1"/>
    <col min="9224" max="9224" width="11.85546875" customWidth="1"/>
    <col min="9225" max="9225" width="11.7109375" customWidth="1"/>
    <col min="9226" max="9226" width="14.28515625" customWidth="1"/>
    <col min="9227" max="9227" width="9.42578125" bestFit="1" customWidth="1"/>
    <col min="9228" max="9228" width="9.7109375" customWidth="1"/>
    <col min="9229" max="9229" width="7.7109375" customWidth="1"/>
    <col min="9473" max="9473" width="35.42578125" customWidth="1"/>
    <col min="9474" max="9474" width="10.140625" customWidth="1"/>
    <col min="9475" max="9475" width="11.140625" customWidth="1"/>
    <col min="9476" max="9476" width="12.42578125" customWidth="1"/>
    <col min="9477" max="9477" width="11.85546875" customWidth="1"/>
    <col min="9478" max="9478" width="12.42578125" customWidth="1"/>
    <col min="9479" max="9479" width="14.140625" customWidth="1"/>
    <col min="9480" max="9480" width="11.85546875" customWidth="1"/>
    <col min="9481" max="9481" width="11.7109375" customWidth="1"/>
    <col min="9482" max="9482" width="14.28515625" customWidth="1"/>
    <col min="9483" max="9483" width="9.42578125" bestFit="1" customWidth="1"/>
    <col min="9484" max="9484" width="9.7109375" customWidth="1"/>
    <col min="9485" max="9485" width="7.7109375" customWidth="1"/>
    <col min="9729" max="9729" width="35.42578125" customWidth="1"/>
    <col min="9730" max="9730" width="10.140625" customWidth="1"/>
    <col min="9731" max="9731" width="11.140625" customWidth="1"/>
    <col min="9732" max="9732" width="12.42578125" customWidth="1"/>
    <col min="9733" max="9733" width="11.85546875" customWidth="1"/>
    <col min="9734" max="9734" width="12.42578125" customWidth="1"/>
    <col min="9735" max="9735" width="14.140625" customWidth="1"/>
    <col min="9736" max="9736" width="11.85546875" customWidth="1"/>
    <col min="9737" max="9737" width="11.7109375" customWidth="1"/>
    <col min="9738" max="9738" width="14.28515625" customWidth="1"/>
    <col min="9739" max="9739" width="9.42578125" bestFit="1" customWidth="1"/>
    <col min="9740" max="9740" width="9.7109375" customWidth="1"/>
    <col min="9741" max="9741" width="7.7109375" customWidth="1"/>
    <col min="9985" max="9985" width="35.42578125" customWidth="1"/>
    <col min="9986" max="9986" width="10.140625" customWidth="1"/>
    <col min="9987" max="9987" width="11.140625" customWidth="1"/>
    <col min="9988" max="9988" width="12.42578125" customWidth="1"/>
    <col min="9989" max="9989" width="11.85546875" customWidth="1"/>
    <col min="9990" max="9990" width="12.42578125" customWidth="1"/>
    <col min="9991" max="9991" width="14.140625" customWidth="1"/>
    <col min="9992" max="9992" width="11.85546875" customWidth="1"/>
    <col min="9993" max="9993" width="11.7109375" customWidth="1"/>
    <col min="9994" max="9994" width="14.28515625" customWidth="1"/>
    <col min="9995" max="9995" width="9.42578125" bestFit="1" customWidth="1"/>
    <col min="9996" max="9996" width="9.7109375" customWidth="1"/>
    <col min="9997" max="9997" width="7.7109375" customWidth="1"/>
    <col min="10241" max="10241" width="35.42578125" customWidth="1"/>
    <col min="10242" max="10242" width="10.140625" customWidth="1"/>
    <col min="10243" max="10243" width="11.140625" customWidth="1"/>
    <col min="10244" max="10244" width="12.42578125" customWidth="1"/>
    <col min="10245" max="10245" width="11.85546875" customWidth="1"/>
    <col min="10246" max="10246" width="12.42578125" customWidth="1"/>
    <col min="10247" max="10247" width="14.140625" customWidth="1"/>
    <col min="10248" max="10248" width="11.85546875" customWidth="1"/>
    <col min="10249" max="10249" width="11.7109375" customWidth="1"/>
    <col min="10250" max="10250" width="14.28515625" customWidth="1"/>
    <col min="10251" max="10251" width="9.42578125" bestFit="1" customWidth="1"/>
    <col min="10252" max="10252" width="9.7109375" customWidth="1"/>
    <col min="10253" max="10253" width="7.7109375" customWidth="1"/>
    <col min="10497" max="10497" width="35.42578125" customWidth="1"/>
    <col min="10498" max="10498" width="10.140625" customWidth="1"/>
    <col min="10499" max="10499" width="11.140625" customWidth="1"/>
    <col min="10500" max="10500" width="12.42578125" customWidth="1"/>
    <col min="10501" max="10501" width="11.85546875" customWidth="1"/>
    <col min="10502" max="10502" width="12.42578125" customWidth="1"/>
    <col min="10503" max="10503" width="14.140625" customWidth="1"/>
    <col min="10504" max="10504" width="11.85546875" customWidth="1"/>
    <col min="10505" max="10505" width="11.7109375" customWidth="1"/>
    <col min="10506" max="10506" width="14.28515625" customWidth="1"/>
    <col min="10507" max="10507" width="9.42578125" bestFit="1" customWidth="1"/>
    <col min="10508" max="10508" width="9.7109375" customWidth="1"/>
    <col min="10509" max="10509" width="7.7109375" customWidth="1"/>
    <col min="10753" max="10753" width="35.42578125" customWidth="1"/>
    <col min="10754" max="10754" width="10.140625" customWidth="1"/>
    <col min="10755" max="10755" width="11.140625" customWidth="1"/>
    <col min="10756" max="10756" width="12.42578125" customWidth="1"/>
    <col min="10757" max="10757" width="11.85546875" customWidth="1"/>
    <col min="10758" max="10758" width="12.42578125" customWidth="1"/>
    <col min="10759" max="10759" width="14.140625" customWidth="1"/>
    <col min="10760" max="10760" width="11.85546875" customWidth="1"/>
    <col min="10761" max="10761" width="11.7109375" customWidth="1"/>
    <col min="10762" max="10762" width="14.28515625" customWidth="1"/>
    <col min="10763" max="10763" width="9.42578125" bestFit="1" customWidth="1"/>
    <col min="10764" max="10764" width="9.7109375" customWidth="1"/>
    <col min="10765" max="10765" width="7.7109375" customWidth="1"/>
    <col min="11009" max="11009" width="35.42578125" customWidth="1"/>
    <col min="11010" max="11010" width="10.140625" customWidth="1"/>
    <col min="11011" max="11011" width="11.140625" customWidth="1"/>
    <col min="11012" max="11012" width="12.42578125" customWidth="1"/>
    <col min="11013" max="11013" width="11.85546875" customWidth="1"/>
    <col min="11014" max="11014" width="12.42578125" customWidth="1"/>
    <col min="11015" max="11015" width="14.140625" customWidth="1"/>
    <col min="11016" max="11016" width="11.85546875" customWidth="1"/>
    <col min="11017" max="11017" width="11.7109375" customWidth="1"/>
    <col min="11018" max="11018" width="14.28515625" customWidth="1"/>
    <col min="11019" max="11019" width="9.42578125" bestFit="1" customWidth="1"/>
    <col min="11020" max="11020" width="9.7109375" customWidth="1"/>
    <col min="11021" max="11021" width="7.7109375" customWidth="1"/>
    <col min="11265" max="11265" width="35.42578125" customWidth="1"/>
    <col min="11266" max="11266" width="10.140625" customWidth="1"/>
    <col min="11267" max="11267" width="11.140625" customWidth="1"/>
    <col min="11268" max="11268" width="12.42578125" customWidth="1"/>
    <col min="11269" max="11269" width="11.85546875" customWidth="1"/>
    <col min="11270" max="11270" width="12.42578125" customWidth="1"/>
    <col min="11271" max="11271" width="14.140625" customWidth="1"/>
    <col min="11272" max="11272" width="11.85546875" customWidth="1"/>
    <col min="11273" max="11273" width="11.7109375" customWidth="1"/>
    <col min="11274" max="11274" width="14.28515625" customWidth="1"/>
    <col min="11275" max="11275" width="9.42578125" bestFit="1" customWidth="1"/>
    <col min="11276" max="11276" width="9.7109375" customWidth="1"/>
    <col min="11277" max="11277" width="7.7109375" customWidth="1"/>
    <col min="11521" max="11521" width="35.42578125" customWidth="1"/>
    <col min="11522" max="11522" width="10.140625" customWidth="1"/>
    <col min="11523" max="11523" width="11.140625" customWidth="1"/>
    <col min="11524" max="11524" width="12.42578125" customWidth="1"/>
    <col min="11525" max="11525" width="11.85546875" customWidth="1"/>
    <col min="11526" max="11526" width="12.42578125" customWidth="1"/>
    <col min="11527" max="11527" width="14.140625" customWidth="1"/>
    <col min="11528" max="11528" width="11.85546875" customWidth="1"/>
    <col min="11529" max="11529" width="11.7109375" customWidth="1"/>
    <col min="11530" max="11530" width="14.28515625" customWidth="1"/>
    <col min="11531" max="11531" width="9.42578125" bestFit="1" customWidth="1"/>
    <col min="11532" max="11532" width="9.7109375" customWidth="1"/>
    <col min="11533" max="11533" width="7.7109375" customWidth="1"/>
    <col min="11777" max="11777" width="35.42578125" customWidth="1"/>
    <col min="11778" max="11778" width="10.140625" customWidth="1"/>
    <col min="11779" max="11779" width="11.140625" customWidth="1"/>
    <col min="11780" max="11780" width="12.42578125" customWidth="1"/>
    <col min="11781" max="11781" width="11.85546875" customWidth="1"/>
    <col min="11782" max="11782" width="12.42578125" customWidth="1"/>
    <col min="11783" max="11783" width="14.140625" customWidth="1"/>
    <col min="11784" max="11784" width="11.85546875" customWidth="1"/>
    <col min="11785" max="11785" width="11.7109375" customWidth="1"/>
    <col min="11786" max="11786" width="14.28515625" customWidth="1"/>
    <col min="11787" max="11787" width="9.42578125" bestFit="1" customWidth="1"/>
    <col min="11788" max="11788" width="9.7109375" customWidth="1"/>
    <col min="11789" max="11789" width="7.7109375" customWidth="1"/>
    <col min="12033" max="12033" width="35.42578125" customWidth="1"/>
    <col min="12034" max="12034" width="10.140625" customWidth="1"/>
    <col min="12035" max="12035" width="11.140625" customWidth="1"/>
    <col min="12036" max="12036" width="12.42578125" customWidth="1"/>
    <col min="12037" max="12037" width="11.85546875" customWidth="1"/>
    <col min="12038" max="12038" width="12.42578125" customWidth="1"/>
    <col min="12039" max="12039" width="14.140625" customWidth="1"/>
    <col min="12040" max="12040" width="11.85546875" customWidth="1"/>
    <col min="12041" max="12041" width="11.7109375" customWidth="1"/>
    <col min="12042" max="12042" width="14.28515625" customWidth="1"/>
    <col min="12043" max="12043" width="9.42578125" bestFit="1" customWidth="1"/>
    <col min="12044" max="12044" width="9.7109375" customWidth="1"/>
    <col min="12045" max="12045" width="7.7109375" customWidth="1"/>
    <col min="12289" max="12289" width="35.42578125" customWidth="1"/>
    <col min="12290" max="12290" width="10.140625" customWidth="1"/>
    <col min="12291" max="12291" width="11.140625" customWidth="1"/>
    <col min="12292" max="12292" width="12.42578125" customWidth="1"/>
    <col min="12293" max="12293" width="11.85546875" customWidth="1"/>
    <col min="12294" max="12294" width="12.42578125" customWidth="1"/>
    <col min="12295" max="12295" width="14.140625" customWidth="1"/>
    <col min="12296" max="12296" width="11.85546875" customWidth="1"/>
    <col min="12297" max="12297" width="11.7109375" customWidth="1"/>
    <col min="12298" max="12298" width="14.28515625" customWidth="1"/>
    <col min="12299" max="12299" width="9.42578125" bestFit="1" customWidth="1"/>
    <col min="12300" max="12300" width="9.7109375" customWidth="1"/>
    <col min="12301" max="12301" width="7.7109375" customWidth="1"/>
    <col min="12545" max="12545" width="35.42578125" customWidth="1"/>
    <col min="12546" max="12546" width="10.140625" customWidth="1"/>
    <col min="12547" max="12547" width="11.140625" customWidth="1"/>
    <col min="12548" max="12548" width="12.42578125" customWidth="1"/>
    <col min="12549" max="12549" width="11.85546875" customWidth="1"/>
    <col min="12550" max="12550" width="12.42578125" customWidth="1"/>
    <col min="12551" max="12551" width="14.140625" customWidth="1"/>
    <col min="12552" max="12552" width="11.85546875" customWidth="1"/>
    <col min="12553" max="12553" width="11.7109375" customWidth="1"/>
    <col min="12554" max="12554" width="14.28515625" customWidth="1"/>
    <col min="12555" max="12555" width="9.42578125" bestFit="1" customWidth="1"/>
    <col min="12556" max="12556" width="9.7109375" customWidth="1"/>
    <col min="12557" max="12557" width="7.7109375" customWidth="1"/>
    <col min="12801" max="12801" width="35.42578125" customWidth="1"/>
    <col min="12802" max="12802" width="10.140625" customWidth="1"/>
    <col min="12803" max="12803" width="11.140625" customWidth="1"/>
    <col min="12804" max="12804" width="12.42578125" customWidth="1"/>
    <col min="12805" max="12805" width="11.85546875" customWidth="1"/>
    <col min="12806" max="12806" width="12.42578125" customWidth="1"/>
    <col min="12807" max="12807" width="14.140625" customWidth="1"/>
    <col min="12808" max="12808" width="11.85546875" customWidth="1"/>
    <col min="12809" max="12809" width="11.7109375" customWidth="1"/>
    <col min="12810" max="12810" width="14.28515625" customWidth="1"/>
    <col min="12811" max="12811" width="9.42578125" bestFit="1" customWidth="1"/>
    <col min="12812" max="12812" width="9.7109375" customWidth="1"/>
    <col min="12813" max="12813" width="7.7109375" customWidth="1"/>
    <col min="13057" max="13057" width="35.42578125" customWidth="1"/>
    <col min="13058" max="13058" width="10.140625" customWidth="1"/>
    <col min="13059" max="13059" width="11.140625" customWidth="1"/>
    <col min="13060" max="13060" width="12.42578125" customWidth="1"/>
    <col min="13061" max="13061" width="11.85546875" customWidth="1"/>
    <col min="13062" max="13062" width="12.42578125" customWidth="1"/>
    <col min="13063" max="13063" width="14.140625" customWidth="1"/>
    <col min="13064" max="13064" width="11.85546875" customWidth="1"/>
    <col min="13065" max="13065" width="11.7109375" customWidth="1"/>
    <col min="13066" max="13066" width="14.28515625" customWidth="1"/>
    <col min="13067" max="13067" width="9.42578125" bestFit="1" customWidth="1"/>
    <col min="13068" max="13068" width="9.7109375" customWidth="1"/>
    <col min="13069" max="13069" width="7.7109375" customWidth="1"/>
    <col min="13313" max="13313" width="35.42578125" customWidth="1"/>
    <col min="13314" max="13314" width="10.140625" customWidth="1"/>
    <col min="13315" max="13315" width="11.140625" customWidth="1"/>
    <col min="13316" max="13316" width="12.42578125" customWidth="1"/>
    <col min="13317" max="13317" width="11.85546875" customWidth="1"/>
    <col min="13318" max="13318" width="12.42578125" customWidth="1"/>
    <col min="13319" max="13319" width="14.140625" customWidth="1"/>
    <col min="13320" max="13320" width="11.85546875" customWidth="1"/>
    <col min="13321" max="13321" width="11.7109375" customWidth="1"/>
    <col min="13322" max="13322" width="14.28515625" customWidth="1"/>
    <col min="13323" max="13323" width="9.42578125" bestFit="1" customWidth="1"/>
    <col min="13324" max="13324" width="9.7109375" customWidth="1"/>
    <col min="13325" max="13325" width="7.7109375" customWidth="1"/>
    <col min="13569" max="13569" width="35.42578125" customWidth="1"/>
    <col min="13570" max="13570" width="10.140625" customWidth="1"/>
    <col min="13571" max="13571" width="11.140625" customWidth="1"/>
    <col min="13572" max="13572" width="12.42578125" customWidth="1"/>
    <col min="13573" max="13573" width="11.85546875" customWidth="1"/>
    <col min="13574" max="13574" width="12.42578125" customWidth="1"/>
    <col min="13575" max="13575" width="14.140625" customWidth="1"/>
    <col min="13576" max="13576" width="11.85546875" customWidth="1"/>
    <col min="13577" max="13577" width="11.7109375" customWidth="1"/>
    <col min="13578" max="13578" width="14.28515625" customWidth="1"/>
    <col min="13579" max="13579" width="9.42578125" bestFit="1" customWidth="1"/>
    <col min="13580" max="13580" width="9.7109375" customWidth="1"/>
    <col min="13581" max="13581" width="7.7109375" customWidth="1"/>
    <col min="13825" max="13825" width="35.42578125" customWidth="1"/>
    <col min="13826" max="13826" width="10.140625" customWidth="1"/>
    <col min="13827" max="13827" width="11.140625" customWidth="1"/>
    <col min="13828" max="13828" width="12.42578125" customWidth="1"/>
    <col min="13829" max="13829" width="11.85546875" customWidth="1"/>
    <col min="13830" max="13830" width="12.42578125" customWidth="1"/>
    <col min="13831" max="13831" width="14.140625" customWidth="1"/>
    <col min="13832" max="13832" width="11.85546875" customWidth="1"/>
    <col min="13833" max="13833" width="11.7109375" customWidth="1"/>
    <col min="13834" max="13834" width="14.28515625" customWidth="1"/>
    <col min="13835" max="13835" width="9.42578125" bestFit="1" customWidth="1"/>
    <col min="13836" max="13836" width="9.7109375" customWidth="1"/>
    <col min="13837" max="13837" width="7.7109375" customWidth="1"/>
    <col min="14081" max="14081" width="35.42578125" customWidth="1"/>
    <col min="14082" max="14082" width="10.140625" customWidth="1"/>
    <col min="14083" max="14083" width="11.140625" customWidth="1"/>
    <col min="14084" max="14084" width="12.42578125" customWidth="1"/>
    <col min="14085" max="14085" width="11.85546875" customWidth="1"/>
    <col min="14086" max="14086" width="12.42578125" customWidth="1"/>
    <col min="14087" max="14087" width="14.140625" customWidth="1"/>
    <col min="14088" max="14088" width="11.85546875" customWidth="1"/>
    <col min="14089" max="14089" width="11.7109375" customWidth="1"/>
    <col min="14090" max="14090" width="14.28515625" customWidth="1"/>
    <col min="14091" max="14091" width="9.42578125" bestFit="1" customWidth="1"/>
    <col min="14092" max="14092" width="9.7109375" customWidth="1"/>
    <col min="14093" max="14093" width="7.7109375" customWidth="1"/>
    <col min="14337" max="14337" width="35.42578125" customWidth="1"/>
    <col min="14338" max="14338" width="10.140625" customWidth="1"/>
    <col min="14339" max="14339" width="11.140625" customWidth="1"/>
    <col min="14340" max="14340" width="12.42578125" customWidth="1"/>
    <col min="14341" max="14341" width="11.85546875" customWidth="1"/>
    <col min="14342" max="14342" width="12.42578125" customWidth="1"/>
    <col min="14343" max="14343" width="14.140625" customWidth="1"/>
    <col min="14344" max="14344" width="11.85546875" customWidth="1"/>
    <col min="14345" max="14345" width="11.7109375" customWidth="1"/>
    <col min="14346" max="14346" width="14.28515625" customWidth="1"/>
    <col min="14347" max="14347" width="9.42578125" bestFit="1" customWidth="1"/>
    <col min="14348" max="14348" width="9.7109375" customWidth="1"/>
    <col min="14349" max="14349" width="7.7109375" customWidth="1"/>
    <col min="14593" max="14593" width="35.42578125" customWidth="1"/>
    <col min="14594" max="14594" width="10.140625" customWidth="1"/>
    <col min="14595" max="14595" width="11.140625" customWidth="1"/>
    <col min="14596" max="14596" width="12.42578125" customWidth="1"/>
    <col min="14597" max="14597" width="11.85546875" customWidth="1"/>
    <col min="14598" max="14598" width="12.42578125" customWidth="1"/>
    <col min="14599" max="14599" width="14.140625" customWidth="1"/>
    <col min="14600" max="14600" width="11.85546875" customWidth="1"/>
    <col min="14601" max="14601" width="11.7109375" customWidth="1"/>
    <col min="14602" max="14602" width="14.28515625" customWidth="1"/>
    <col min="14603" max="14603" width="9.42578125" bestFit="1" customWidth="1"/>
    <col min="14604" max="14604" width="9.7109375" customWidth="1"/>
    <col min="14605" max="14605" width="7.7109375" customWidth="1"/>
    <col min="14849" max="14849" width="35.42578125" customWidth="1"/>
    <col min="14850" max="14850" width="10.140625" customWidth="1"/>
    <col min="14851" max="14851" width="11.140625" customWidth="1"/>
    <col min="14852" max="14852" width="12.42578125" customWidth="1"/>
    <col min="14853" max="14853" width="11.85546875" customWidth="1"/>
    <col min="14854" max="14854" width="12.42578125" customWidth="1"/>
    <col min="14855" max="14855" width="14.140625" customWidth="1"/>
    <col min="14856" max="14856" width="11.85546875" customWidth="1"/>
    <col min="14857" max="14857" width="11.7109375" customWidth="1"/>
    <col min="14858" max="14858" width="14.28515625" customWidth="1"/>
    <col min="14859" max="14859" width="9.42578125" bestFit="1" customWidth="1"/>
    <col min="14860" max="14860" width="9.7109375" customWidth="1"/>
    <col min="14861" max="14861" width="7.7109375" customWidth="1"/>
    <col min="15105" max="15105" width="35.42578125" customWidth="1"/>
    <col min="15106" max="15106" width="10.140625" customWidth="1"/>
    <col min="15107" max="15107" width="11.140625" customWidth="1"/>
    <col min="15108" max="15108" width="12.42578125" customWidth="1"/>
    <col min="15109" max="15109" width="11.85546875" customWidth="1"/>
    <col min="15110" max="15110" width="12.42578125" customWidth="1"/>
    <col min="15111" max="15111" width="14.140625" customWidth="1"/>
    <col min="15112" max="15112" width="11.85546875" customWidth="1"/>
    <col min="15113" max="15113" width="11.7109375" customWidth="1"/>
    <col min="15114" max="15114" width="14.28515625" customWidth="1"/>
    <col min="15115" max="15115" width="9.42578125" bestFit="1" customWidth="1"/>
    <col min="15116" max="15116" width="9.7109375" customWidth="1"/>
    <col min="15117" max="15117" width="7.7109375" customWidth="1"/>
    <col min="15361" max="15361" width="35.42578125" customWidth="1"/>
    <col min="15362" max="15362" width="10.140625" customWidth="1"/>
    <col min="15363" max="15363" width="11.140625" customWidth="1"/>
    <col min="15364" max="15364" width="12.42578125" customWidth="1"/>
    <col min="15365" max="15365" width="11.85546875" customWidth="1"/>
    <col min="15366" max="15366" width="12.42578125" customWidth="1"/>
    <col min="15367" max="15367" width="14.140625" customWidth="1"/>
    <col min="15368" max="15368" width="11.85546875" customWidth="1"/>
    <col min="15369" max="15369" width="11.7109375" customWidth="1"/>
    <col min="15370" max="15370" width="14.28515625" customWidth="1"/>
    <col min="15371" max="15371" width="9.42578125" bestFit="1" customWidth="1"/>
    <col min="15372" max="15372" width="9.7109375" customWidth="1"/>
    <col min="15373" max="15373" width="7.7109375" customWidth="1"/>
    <col min="15617" max="15617" width="35.42578125" customWidth="1"/>
    <col min="15618" max="15618" width="10.140625" customWidth="1"/>
    <col min="15619" max="15619" width="11.140625" customWidth="1"/>
    <col min="15620" max="15620" width="12.42578125" customWidth="1"/>
    <col min="15621" max="15621" width="11.85546875" customWidth="1"/>
    <col min="15622" max="15622" width="12.42578125" customWidth="1"/>
    <col min="15623" max="15623" width="14.140625" customWidth="1"/>
    <col min="15624" max="15624" width="11.85546875" customWidth="1"/>
    <col min="15625" max="15625" width="11.7109375" customWidth="1"/>
    <col min="15626" max="15626" width="14.28515625" customWidth="1"/>
    <col min="15627" max="15627" width="9.42578125" bestFit="1" customWidth="1"/>
    <col min="15628" max="15628" width="9.7109375" customWidth="1"/>
    <col min="15629" max="15629" width="7.7109375" customWidth="1"/>
    <col min="15873" max="15873" width="35.42578125" customWidth="1"/>
    <col min="15874" max="15874" width="10.140625" customWidth="1"/>
    <col min="15875" max="15875" width="11.140625" customWidth="1"/>
    <col min="15876" max="15876" width="12.42578125" customWidth="1"/>
    <col min="15877" max="15877" width="11.85546875" customWidth="1"/>
    <col min="15878" max="15878" width="12.42578125" customWidth="1"/>
    <col min="15879" max="15879" width="14.140625" customWidth="1"/>
    <col min="15880" max="15880" width="11.85546875" customWidth="1"/>
    <col min="15881" max="15881" width="11.7109375" customWidth="1"/>
    <col min="15882" max="15882" width="14.28515625" customWidth="1"/>
    <col min="15883" max="15883" width="9.42578125" bestFit="1" customWidth="1"/>
    <col min="15884" max="15884" width="9.7109375" customWidth="1"/>
    <col min="15885" max="15885" width="7.7109375" customWidth="1"/>
    <col min="16129" max="16129" width="35.42578125" customWidth="1"/>
    <col min="16130" max="16130" width="10.140625" customWidth="1"/>
    <col min="16131" max="16131" width="11.140625" customWidth="1"/>
    <col min="16132" max="16132" width="12.42578125" customWidth="1"/>
    <col min="16133" max="16133" width="11.85546875" customWidth="1"/>
    <col min="16134" max="16134" width="12.42578125" customWidth="1"/>
    <col min="16135" max="16135" width="14.140625" customWidth="1"/>
    <col min="16136" max="16136" width="11.85546875" customWidth="1"/>
    <col min="16137" max="16137" width="11.7109375" customWidth="1"/>
    <col min="16138" max="16138" width="14.28515625" customWidth="1"/>
    <col min="16139" max="16139" width="9.42578125" bestFit="1" customWidth="1"/>
    <col min="16140" max="16140" width="9.7109375" customWidth="1"/>
    <col min="16141" max="16141" width="7.7109375" customWidth="1"/>
  </cols>
  <sheetData>
    <row r="1" spans="1:14">
      <c r="A1" s="1003" t="s">
        <v>167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</row>
    <row r="2" spans="1:14">
      <c r="A2" s="1003" t="s">
        <v>168</v>
      </c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</row>
    <row r="3" spans="1:14" ht="26.25" customHeight="1">
      <c r="A3" s="677" t="s">
        <v>2822</v>
      </c>
      <c r="B3" s="995" t="s">
        <v>2938</v>
      </c>
      <c r="C3" s="995"/>
      <c r="D3" s="995"/>
      <c r="E3" s="995"/>
      <c r="F3" s="1492" t="s">
        <v>171</v>
      </c>
      <c r="G3" s="1492"/>
      <c r="H3" s="1503" t="s">
        <v>2939</v>
      </c>
      <c r="I3" s="1503"/>
      <c r="J3" s="677" t="s">
        <v>5</v>
      </c>
      <c r="K3" s="80">
        <v>500</v>
      </c>
      <c r="L3" s="1505" t="s">
        <v>2860</v>
      </c>
      <c r="M3" s="1492"/>
      <c r="N3" s="80">
        <v>30</v>
      </c>
    </row>
    <row r="4" spans="1:14">
      <c r="A4" s="808" t="s">
        <v>4176</v>
      </c>
      <c r="B4" s="808"/>
      <c r="C4" s="808"/>
      <c r="D4" s="672"/>
      <c r="E4" s="672"/>
    </row>
    <row r="5" spans="1:14" ht="26.25" customHeight="1">
      <c r="A5" s="677" t="s">
        <v>2825</v>
      </c>
      <c r="B5" s="995" t="s">
        <v>2940</v>
      </c>
      <c r="C5" s="995"/>
      <c r="D5" s="995"/>
      <c r="E5" s="995"/>
      <c r="F5" s="1492" t="s">
        <v>2827</v>
      </c>
      <c r="G5" s="1492"/>
      <c r="H5" s="995" t="s">
        <v>2941</v>
      </c>
      <c r="I5" s="995"/>
      <c r="J5" s="995"/>
    </row>
    <row r="6" spans="1:14">
      <c r="B6" s="672"/>
      <c r="C6" s="672"/>
      <c r="D6" s="672"/>
      <c r="E6" s="672"/>
    </row>
    <row r="7" spans="1:14" ht="33" customHeight="1">
      <c r="A7" s="677" t="s">
        <v>178</v>
      </c>
      <c r="B7" s="995"/>
      <c r="C7" s="995"/>
      <c r="D7" s="995"/>
      <c r="E7" s="995"/>
      <c r="F7" s="1481" t="s">
        <v>2829</v>
      </c>
      <c r="G7" s="1481"/>
      <c r="H7" s="1506" t="s">
        <v>2942</v>
      </c>
      <c r="I7" s="1506"/>
      <c r="J7" s="1506"/>
      <c r="K7" s="1506"/>
    </row>
    <row r="9" spans="1:14" ht="26.25" customHeight="1">
      <c r="A9" s="677" t="s">
        <v>1909</v>
      </c>
      <c r="B9" s="995" t="s">
        <v>2943</v>
      </c>
      <c r="C9" s="995"/>
      <c r="D9" s="995" t="s">
        <v>2944</v>
      </c>
      <c r="E9" s="995"/>
      <c r="F9" s="995"/>
      <c r="G9" s="1488"/>
      <c r="H9" s="1488"/>
      <c r="I9" s="1488"/>
      <c r="J9" s="1488"/>
      <c r="K9" s="1488"/>
      <c r="L9" s="1488"/>
    </row>
    <row r="10" spans="1:14" ht="26.25" customHeight="1">
      <c r="A10" s="677" t="s">
        <v>187</v>
      </c>
      <c r="B10" s="995" t="s">
        <v>2945</v>
      </c>
      <c r="C10" s="995"/>
      <c r="D10" s="995" t="s">
        <v>2946</v>
      </c>
      <c r="E10" s="995"/>
      <c r="F10" s="995"/>
      <c r="G10" s="1488"/>
      <c r="H10" s="1488"/>
      <c r="I10" s="1488"/>
      <c r="J10" s="1488"/>
      <c r="K10" s="1488"/>
      <c r="L10" s="1488"/>
    </row>
    <row r="11" spans="1:14" ht="26.25" customHeight="1">
      <c r="A11" s="677" t="s">
        <v>192</v>
      </c>
      <c r="B11" s="995" t="s">
        <v>2947</v>
      </c>
      <c r="C11" s="995"/>
      <c r="D11" s="995" t="s">
        <v>2948</v>
      </c>
      <c r="E11" s="995"/>
      <c r="F11" s="995"/>
      <c r="G11" s="1488"/>
      <c r="H11" s="1488"/>
      <c r="I11" s="1488"/>
      <c r="J11" s="1488"/>
      <c r="K11" s="1488"/>
      <c r="L11" s="1488"/>
    </row>
    <row r="12" spans="1:14" ht="26.25" customHeight="1">
      <c r="A12" s="677" t="s">
        <v>197</v>
      </c>
      <c r="B12" s="995"/>
      <c r="C12" s="995"/>
      <c r="D12" s="995"/>
      <c r="E12" s="995"/>
      <c r="F12" s="995"/>
      <c r="G12" s="1488"/>
      <c r="H12" s="1488"/>
      <c r="I12" s="1488"/>
      <c r="J12" s="1488"/>
      <c r="K12" s="1488"/>
      <c r="L12" s="1488"/>
    </row>
    <row r="14" spans="1:14" ht="26.25" customHeight="1">
      <c r="A14" s="677" t="s">
        <v>198</v>
      </c>
      <c r="B14" s="80">
        <v>2</v>
      </c>
      <c r="C14" s="1492" t="s">
        <v>2838</v>
      </c>
      <c r="D14" s="1492"/>
      <c r="E14" s="1492"/>
      <c r="F14" s="80">
        <v>2</v>
      </c>
      <c r="G14" s="677" t="s">
        <v>1491</v>
      </c>
      <c r="H14" s="80">
        <v>18</v>
      </c>
      <c r="I14" s="697" t="s">
        <v>201</v>
      </c>
      <c r="J14" s="80">
        <v>2</v>
      </c>
      <c r="K14" s="697" t="s">
        <v>1386</v>
      </c>
      <c r="L14" s="80">
        <v>1</v>
      </c>
    </row>
    <row r="15" spans="1:14">
      <c r="B15" s="295"/>
    </row>
    <row r="16" spans="1:14" ht="26.25" customHeight="1">
      <c r="A16" s="674" t="s">
        <v>646</v>
      </c>
      <c r="B16" s="677" t="s">
        <v>204</v>
      </c>
      <c r="C16" s="80">
        <v>215</v>
      </c>
      <c r="D16" s="677" t="s">
        <v>205</v>
      </c>
      <c r="E16" s="80">
        <v>7</v>
      </c>
      <c r="F16" s="677" t="s">
        <v>206</v>
      </c>
      <c r="G16" s="80">
        <v>2</v>
      </c>
      <c r="H16" s="677" t="s">
        <v>230</v>
      </c>
      <c r="I16" s="80">
        <v>224</v>
      </c>
      <c r="J16" s="677" t="s">
        <v>207</v>
      </c>
      <c r="K16" s="80">
        <v>18</v>
      </c>
      <c r="L16" s="1504" t="s">
        <v>2881</v>
      </c>
      <c r="M16" s="1492"/>
      <c r="N16" s="80">
        <v>9</v>
      </c>
    </row>
    <row r="17" spans="1:14" ht="26.25" customHeight="1">
      <c r="A17" s="674" t="s">
        <v>2839</v>
      </c>
      <c r="B17" s="677" t="s">
        <v>210</v>
      </c>
      <c r="C17" s="80">
        <v>443</v>
      </c>
      <c r="D17" s="677" t="s">
        <v>211</v>
      </c>
      <c r="E17" s="80">
        <v>15</v>
      </c>
      <c r="F17" s="677" t="s">
        <v>212</v>
      </c>
      <c r="G17" s="80">
        <v>4</v>
      </c>
      <c r="H17" s="677" t="s">
        <v>411</v>
      </c>
      <c r="I17" s="80">
        <v>462</v>
      </c>
    </row>
    <row r="18" spans="1:14" ht="26.25" customHeight="1">
      <c r="B18" s="677" t="s">
        <v>213</v>
      </c>
      <c r="C18" s="80">
        <v>405</v>
      </c>
      <c r="D18" s="677" t="s">
        <v>214</v>
      </c>
      <c r="E18" s="80">
        <v>21</v>
      </c>
      <c r="F18" s="677" t="s">
        <v>215</v>
      </c>
      <c r="G18" s="80">
        <v>8</v>
      </c>
      <c r="H18" s="677" t="s">
        <v>410</v>
      </c>
      <c r="I18" s="80">
        <v>434</v>
      </c>
    </row>
    <row r="19" spans="1:14" s="403" customFormat="1" ht="26.25" customHeight="1">
      <c r="A19" s="69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496" t="s">
        <v>2841</v>
      </c>
      <c r="G20" s="1497"/>
      <c r="H20" s="1497"/>
      <c r="I20" s="1497"/>
      <c r="J20" s="1497"/>
      <c r="K20" s="1497"/>
      <c r="L20" s="1497"/>
      <c r="M20" s="1497"/>
      <c r="N20" s="1498"/>
    </row>
    <row r="21" spans="1:14" ht="26.25" customHeight="1">
      <c r="A21" s="1508"/>
      <c r="B21" s="1509"/>
      <c r="C21" s="1516"/>
      <c r="D21" s="1511"/>
      <c r="E21" s="1511"/>
      <c r="F21" s="685">
        <v>1</v>
      </c>
      <c r="G21" s="685">
        <v>2</v>
      </c>
      <c r="H21" s="685">
        <v>3</v>
      </c>
      <c r="I21" s="685">
        <v>4</v>
      </c>
      <c r="J21" s="685">
        <v>5</v>
      </c>
      <c r="K21" s="685">
        <v>6</v>
      </c>
      <c r="L21" s="685">
        <v>7</v>
      </c>
      <c r="M21" s="685" t="s">
        <v>230</v>
      </c>
      <c r="N21" s="685" t="s">
        <v>231</v>
      </c>
    </row>
    <row r="22" spans="1:14" ht="26.25" customHeight="1">
      <c r="A22" s="684" t="s">
        <v>232</v>
      </c>
      <c r="B22" s="673">
        <v>8000</v>
      </c>
      <c r="C22" s="698" t="s">
        <v>233</v>
      </c>
      <c r="D22" s="297">
        <f>B22*480/100000</f>
        <v>38.4</v>
      </c>
      <c r="E22" s="297">
        <v>3.8967999999999998</v>
      </c>
      <c r="F22" s="297">
        <v>0</v>
      </c>
      <c r="G22" s="297">
        <v>0</v>
      </c>
      <c r="H22" s="297">
        <v>3.1675</v>
      </c>
      <c r="I22" s="296"/>
      <c r="J22" s="296"/>
      <c r="K22" s="296"/>
      <c r="L22" s="296"/>
      <c r="M22" s="298">
        <f>F22+G22+H22</f>
        <v>3.1675</v>
      </c>
      <c r="N22" s="298">
        <f>M22/E22*100</f>
        <v>81.284643810305894</v>
      </c>
    </row>
    <row r="23" spans="1:14" ht="26.25" customHeight="1">
      <c r="A23" s="684" t="s">
        <v>2842</v>
      </c>
      <c r="B23" s="673">
        <v>1120</v>
      </c>
      <c r="C23" s="698" t="s">
        <v>233</v>
      </c>
      <c r="D23" s="297">
        <f>B23*480/100000</f>
        <v>5.3760000000000003</v>
      </c>
      <c r="E23" s="297">
        <v>0</v>
      </c>
      <c r="F23" s="297">
        <v>0</v>
      </c>
      <c r="G23" s="297">
        <v>0</v>
      </c>
      <c r="H23" s="297">
        <v>0</v>
      </c>
      <c r="I23" s="296"/>
      <c r="J23" s="296"/>
      <c r="K23" s="296"/>
      <c r="L23" s="296"/>
      <c r="M23" s="298">
        <f t="shared" ref="M23:M30" si="0">F23+G23+H23</f>
        <v>0</v>
      </c>
      <c r="N23" s="299">
        <v>0</v>
      </c>
    </row>
    <row r="24" spans="1:14" ht="26.25" customHeight="1">
      <c r="A24" s="684" t="s">
        <v>235</v>
      </c>
      <c r="B24" s="673">
        <v>43000</v>
      </c>
      <c r="C24" s="698" t="s">
        <v>236</v>
      </c>
      <c r="D24" s="297">
        <v>0.43</v>
      </c>
      <c r="E24" s="297">
        <v>0.18</v>
      </c>
      <c r="F24" s="297">
        <v>0</v>
      </c>
      <c r="G24" s="297">
        <v>0</v>
      </c>
      <c r="H24" s="297">
        <v>0</v>
      </c>
      <c r="I24" s="296"/>
      <c r="J24" s="296"/>
      <c r="K24" s="296"/>
      <c r="L24" s="296"/>
      <c r="M24" s="298">
        <f t="shared" si="0"/>
        <v>0</v>
      </c>
      <c r="N24" s="299">
        <f t="shared" ref="N24:N30" si="1">M24/E24*100</f>
        <v>0</v>
      </c>
    </row>
    <row r="25" spans="1:14" ht="26.25" customHeight="1">
      <c r="A25" s="684" t="s">
        <v>237</v>
      </c>
      <c r="B25" s="673">
        <v>37000</v>
      </c>
      <c r="C25" s="698" t="s">
        <v>236</v>
      </c>
      <c r="D25" s="297">
        <v>0.37</v>
      </c>
      <c r="E25" s="297">
        <v>0.16</v>
      </c>
      <c r="F25" s="297">
        <v>0</v>
      </c>
      <c r="G25" s="297">
        <v>0</v>
      </c>
      <c r="H25" s="297">
        <v>0</v>
      </c>
      <c r="I25" s="296"/>
      <c r="J25" s="296"/>
      <c r="K25" s="296"/>
      <c r="L25" s="296"/>
      <c r="M25" s="298">
        <f t="shared" si="0"/>
        <v>0</v>
      </c>
      <c r="N25" s="299">
        <f t="shared" si="1"/>
        <v>0</v>
      </c>
    </row>
    <row r="26" spans="1:14" ht="26.25" customHeight="1">
      <c r="A26" s="684" t="s">
        <v>238</v>
      </c>
      <c r="B26" s="673">
        <v>1200</v>
      </c>
      <c r="C26" s="698" t="s">
        <v>233</v>
      </c>
      <c r="D26" s="297">
        <f>B26*480/100000</f>
        <v>5.76</v>
      </c>
      <c r="E26" s="297">
        <v>2</v>
      </c>
      <c r="F26" s="297">
        <v>0</v>
      </c>
      <c r="G26" s="297">
        <v>0</v>
      </c>
      <c r="H26" s="297">
        <v>1.7862899999999999</v>
      </c>
      <c r="I26" s="296"/>
      <c r="J26" s="296"/>
      <c r="K26" s="296"/>
      <c r="L26" s="296"/>
      <c r="M26" s="298">
        <f t="shared" si="0"/>
        <v>1.7862899999999999</v>
      </c>
      <c r="N26" s="298">
        <f t="shared" si="1"/>
        <v>89.314499999999995</v>
      </c>
    </row>
    <row r="27" spans="1:14" ht="26.25" customHeight="1">
      <c r="A27" s="684" t="s">
        <v>667</v>
      </c>
      <c r="B27" s="673">
        <v>565</v>
      </c>
      <c r="C27" s="698" t="s">
        <v>233</v>
      </c>
      <c r="D27" s="297">
        <f>B27*480/100000</f>
        <v>2.7120000000000002</v>
      </c>
      <c r="E27" s="297">
        <v>0.48</v>
      </c>
      <c r="F27" s="297">
        <v>0</v>
      </c>
      <c r="G27" s="297">
        <v>0</v>
      </c>
      <c r="H27" s="297">
        <v>0.03</v>
      </c>
      <c r="I27" s="296"/>
      <c r="J27" s="296"/>
      <c r="K27" s="296"/>
      <c r="L27" s="296"/>
      <c r="M27" s="298">
        <f t="shared" si="0"/>
        <v>0.03</v>
      </c>
      <c r="N27" s="299">
        <f t="shared" si="1"/>
        <v>6.25</v>
      </c>
    </row>
    <row r="28" spans="1:14" ht="26.25" customHeight="1">
      <c r="A28" s="684" t="s">
        <v>2843</v>
      </c>
      <c r="B28" s="673">
        <v>1000</v>
      </c>
      <c r="C28" s="698" t="s">
        <v>233</v>
      </c>
      <c r="D28" s="297">
        <f>B28*480/100000</f>
        <v>4.8</v>
      </c>
      <c r="E28" s="297">
        <v>0</v>
      </c>
      <c r="F28" s="297">
        <v>0</v>
      </c>
      <c r="G28" s="297">
        <v>0</v>
      </c>
      <c r="H28" s="297">
        <v>0</v>
      </c>
      <c r="I28" s="296"/>
      <c r="J28" s="296"/>
      <c r="K28" s="296"/>
      <c r="L28" s="296"/>
      <c r="M28" s="298">
        <f t="shared" si="0"/>
        <v>0</v>
      </c>
      <c r="N28" s="299">
        <v>0</v>
      </c>
    </row>
    <row r="29" spans="1:14" ht="26.25" customHeight="1">
      <c r="A29" s="684" t="s">
        <v>2844</v>
      </c>
      <c r="B29" s="673">
        <v>2750</v>
      </c>
      <c r="C29" s="698" t="s">
        <v>242</v>
      </c>
      <c r="D29" s="297">
        <v>2.31</v>
      </c>
      <c r="E29" s="297">
        <v>0.33</v>
      </c>
      <c r="F29" s="297">
        <v>0</v>
      </c>
      <c r="G29" s="297">
        <v>0</v>
      </c>
      <c r="H29" s="297">
        <v>0</v>
      </c>
      <c r="I29" s="296"/>
      <c r="J29" s="296"/>
      <c r="K29" s="296"/>
      <c r="L29" s="296"/>
      <c r="M29" s="298">
        <f t="shared" si="0"/>
        <v>0</v>
      </c>
      <c r="N29" s="299">
        <f t="shared" si="1"/>
        <v>0</v>
      </c>
    </row>
    <row r="30" spans="1:14" ht="26.25" customHeight="1">
      <c r="A30" s="684" t="s">
        <v>670</v>
      </c>
      <c r="B30" s="673">
        <v>10000</v>
      </c>
      <c r="C30" s="673" t="s">
        <v>244</v>
      </c>
      <c r="D30" s="297">
        <v>0.1</v>
      </c>
      <c r="E30" s="297">
        <v>0.02</v>
      </c>
      <c r="F30" s="297">
        <v>0</v>
      </c>
      <c r="G30" s="297">
        <v>0</v>
      </c>
      <c r="H30" s="297">
        <v>0</v>
      </c>
      <c r="I30" s="296"/>
      <c r="J30" s="296"/>
      <c r="K30" s="296"/>
      <c r="L30" s="296"/>
      <c r="M30" s="298">
        <f t="shared" si="0"/>
        <v>0</v>
      </c>
      <c r="N30" s="299">
        <f t="shared" si="1"/>
        <v>0</v>
      </c>
    </row>
    <row r="31" spans="1:14" ht="26.25" customHeight="1">
      <c r="A31" s="694" t="s">
        <v>245</v>
      </c>
      <c r="B31" s="673">
        <f>SUM(B22:B30)</f>
        <v>104635</v>
      </c>
      <c r="C31" s="673"/>
      <c r="D31" s="297">
        <f>SUM(D22:D30)</f>
        <v>60.257999999999996</v>
      </c>
      <c r="E31" s="297">
        <f>SUM(E22:E30)</f>
        <v>7.0667999999999989</v>
      </c>
      <c r="F31" s="297">
        <f>SUM(F22:F30)</f>
        <v>0</v>
      </c>
      <c r="G31" s="297">
        <f t="shared" ref="G31:M31" si="2">SUM(G22:G30)</f>
        <v>0</v>
      </c>
      <c r="H31" s="297">
        <f t="shared" si="2"/>
        <v>4.9837899999999999</v>
      </c>
      <c r="I31" s="297">
        <f t="shared" si="2"/>
        <v>0</v>
      </c>
      <c r="J31" s="297">
        <f t="shared" si="2"/>
        <v>0</v>
      </c>
      <c r="K31" s="297">
        <f t="shared" si="2"/>
        <v>0</v>
      </c>
      <c r="L31" s="297">
        <f t="shared" si="2"/>
        <v>0</v>
      </c>
      <c r="M31" s="297">
        <f t="shared" si="2"/>
        <v>4.9837899999999999</v>
      </c>
      <c r="N31" s="297"/>
    </row>
  </sheetData>
  <mergeCells count="37">
    <mergeCell ref="C14:E14"/>
    <mergeCell ref="L16:M16"/>
    <mergeCell ref="A20:A21"/>
    <mergeCell ref="B20:B21"/>
    <mergeCell ref="C20:C21"/>
    <mergeCell ref="D20:D21"/>
    <mergeCell ref="E20:E21"/>
    <mergeCell ref="F20:N20"/>
    <mergeCell ref="B11:C11"/>
    <mergeCell ref="D11:F11"/>
    <mergeCell ref="G11:I11"/>
    <mergeCell ref="J11:L11"/>
    <mergeCell ref="B12:C12"/>
    <mergeCell ref="D12:F12"/>
    <mergeCell ref="G12:I12"/>
    <mergeCell ref="J12:L12"/>
    <mergeCell ref="B9:C9"/>
    <mergeCell ref="D9:F9"/>
    <mergeCell ref="G9:I9"/>
    <mergeCell ref="J9:L9"/>
    <mergeCell ref="B10:C10"/>
    <mergeCell ref="D10:F10"/>
    <mergeCell ref="G10:I10"/>
    <mergeCell ref="J10:L10"/>
    <mergeCell ref="A4:C4"/>
    <mergeCell ref="B5:E5"/>
    <mergeCell ref="F5:G5"/>
    <mergeCell ref="H5:J5"/>
    <mergeCell ref="B7:E7"/>
    <mergeCell ref="F7:G7"/>
    <mergeCell ref="H7:K7"/>
    <mergeCell ref="A1:L1"/>
    <mergeCell ref="A2:L2"/>
    <mergeCell ref="B3:E3"/>
    <mergeCell ref="F3:G3"/>
    <mergeCell ref="H3:I3"/>
    <mergeCell ref="L3:M3"/>
  </mergeCells>
  <hyperlinks>
    <hyperlink ref="A4" location="'Fact Sheet of VDC'!A1" display="&lt;&lt;Back"/>
  </hyperlinks>
  <pageMargins left="0.70866141732283472" right="0.70866141732283472" top="0.74803149606299213" bottom="0.25" header="0.31496062992125984" footer="0.19"/>
  <pageSetup paperSize="9" scale="70" orientation="landscape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4" sqref="A4:C4"/>
    </sheetView>
  </sheetViews>
  <sheetFormatPr defaultRowHeight="15"/>
  <cols>
    <col min="1" max="1" width="35.42578125" customWidth="1"/>
    <col min="2" max="2" width="10.140625" customWidth="1"/>
    <col min="3" max="3" width="11.140625" customWidth="1"/>
    <col min="4" max="4" width="12.42578125" customWidth="1"/>
    <col min="5" max="5" width="11.85546875" customWidth="1"/>
    <col min="6" max="6" width="14.28515625" customWidth="1"/>
    <col min="7" max="7" width="11.42578125" customWidth="1"/>
    <col min="8" max="8" width="11.140625" customWidth="1"/>
    <col min="9" max="9" width="11.7109375" customWidth="1"/>
    <col min="10" max="10" width="10.42578125" customWidth="1"/>
    <col min="11" max="11" width="9.42578125" bestFit="1" customWidth="1"/>
    <col min="12" max="12" width="9.7109375" customWidth="1"/>
    <col min="13" max="13" width="7.7109375" customWidth="1"/>
    <col min="257" max="257" width="35.42578125" customWidth="1"/>
    <col min="258" max="258" width="10.140625" customWidth="1"/>
    <col min="259" max="259" width="11.140625" customWidth="1"/>
    <col min="260" max="260" width="12.42578125" customWidth="1"/>
    <col min="261" max="261" width="11.85546875" customWidth="1"/>
    <col min="262" max="262" width="14.28515625" customWidth="1"/>
    <col min="263" max="263" width="11.42578125" customWidth="1"/>
    <col min="264" max="264" width="11.140625" customWidth="1"/>
    <col min="265" max="265" width="11.7109375" customWidth="1"/>
    <col min="266" max="266" width="10.42578125" customWidth="1"/>
    <col min="267" max="267" width="9.42578125" bestFit="1" customWidth="1"/>
    <col min="268" max="268" width="9.7109375" customWidth="1"/>
    <col min="269" max="269" width="7.7109375" customWidth="1"/>
    <col min="513" max="513" width="35.42578125" customWidth="1"/>
    <col min="514" max="514" width="10.140625" customWidth="1"/>
    <col min="515" max="515" width="11.140625" customWidth="1"/>
    <col min="516" max="516" width="12.42578125" customWidth="1"/>
    <col min="517" max="517" width="11.85546875" customWidth="1"/>
    <col min="518" max="518" width="14.28515625" customWidth="1"/>
    <col min="519" max="519" width="11.42578125" customWidth="1"/>
    <col min="520" max="520" width="11.140625" customWidth="1"/>
    <col min="521" max="521" width="11.7109375" customWidth="1"/>
    <col min="522" max="522" width="10.42578125" customWidth="1"/>
    <col min="523" max="523" width="9.42578125" bestFit="1" customWidth="1"/>
    <col min="524" max="524" width="9.7109375" customWidth="1"/>
    <col min="525" max="525" width="7.7109375" customWidth="1"/>
    <col min="769" max="769" width="35.42578125" customWidth="1"/>
    <col min="770" max="770" width="10.140625" customWidth="1"/>
    <col min="771" max="771" width="11.140625" customWidth="1"/>
    <col min="772" max="772" width="12.42578125" customWidth="1"/>
    <col min="773" max="773" width="11.85546875" customWidth="1"/>
    <col min="774" max="774" width="14.28515625" customWidth="1"/>
    <col min="775" max="775" width="11.42578125" customWidth="1"/>
    <col min="776" max="776" width="11.140625" customWidth="1"/>
    <col min="777" max="777" width="11.7109375" customWidth="1"/>
    <col min="778" max="778" width="10.42578125" customWidth="1"/>
    <col min="779" max="779" width="9.42578125" bestFit="1" customWidth="1"/>
    <col min="780" max="780" width="9.7109375" customWidth="1"/>
    <col min="781" max="781" width="7.7109375" customWidth="1"/>
    <col min="1025" max="1025" width="35.42578125" customWidth="1"/>
    <col min="1026" max="1026" width="10.140625" customWidth="1"/>
    <col min="1027" max="1027" width="11.140625" customWidth="1"/>
    <col min="1028" max="1028" width="12.42578125" customWidth="1"/>
    <col min="1029" max="1029" width="11.85546875" customWidth="1"/>
    <col min="1030" max="1030" width="14.28515625" customWidth="1"/>
    <col min="1031" max="1031" width="11.42578125" customWidth="1"/>
    <col min="1032" max="1032" width="11.140625" customWidth="1"/>
    <col min="1033" max="1033" width="11.7109375" customWidth="1"/>
    <col min="1034" max="1034" width="10.42578125" customWidth="1"/>
    <col min="1035" max="1035" width="9.42578125" bestFit="1" customWidth="1"/>
    <col min="1036" max="1036" width="9.7109375" customWidth="1"/>
    <col min="1037" max="1037" width="7.7109375" customWidth="1"/>
    <col min="1281" max="1281" width="35.42578125" customWidth="1"/>
    <col min="1282" max="1282" width="10.140625" customWidth="1"/>
    <col min="1283" max="1283" width="11.140625" customWidth="1"/>
    <col min="1284" max="1284" width="12.42578125" customWidth="1"/>
    <col min="1285" max="1285" width="11.85546875" customWidth="1"/>
    <col min="1286" max="1286" width="14.28515625" customWidth="1"/>
    <col min="1287" max="1287" width="11.42578125" customWidth="1"/>
    <col min="1288" max="1288" width="11.140625" customWidth="1"/>
    <col min="1289" max="1289" width="11.7109375" customWidth="1"/>
    <col min="1290" max="1290" width="10.42578125" customWidth="1"/>
    <col min="1291" max="1291" width="9.42578125" bestFit="1" customWidth="1"/>
    <col min="1292" max="1292" width="9.7109375" customWidth="1"/>
    <col min="1293" max="1293" width="7.7109375" customWidth="1"/>
    <col min="1537" max="1537" width="35.42578125" customWidth="1"/>
    <col min="1538" max="1538" width="10.140625" customWidth="1"/>
    <col min="1539" max="1539" width="11.140625" customWidth="1"/>
    <col min="1540" max="1540" width="12.42578125" customWidth="1"/>
    <col min="1541" max="1541" width="11.85546875" customWidth="1"/>
    <col min="1542" max="1542" width="14.28515625" customWidth="1"/>
    <col min="1543" max="1543" width="11.42578125" customWidth="1"/>
    <col min="1544" max="1544" width="11.140625" customWidth="1"/>
    <col min="1545" max="1545" width="11.7109375" customWidth="1"/>
    <col min="1546" max="1546" width="10.42578125" customWidth="1"/>
    <col min="1547" max="1547" width="9.42578125" bestFit="1" customWidth="1"/>
    <col min="1548" max="1548" width="9.7109375" customWidth="1"/>
    <col min="1549" max="1549" width="7.7109375" customWidth="1"/>
    <col min="1793" max="1793" width="35.42578125" customWidth="1"/>
    <col min="1794" max="1794" width="10.140625" customWidth="1"/>
    <col min="1795" max="1795" width="11.140625" customWidth="1"/>
    <col min="1796" max="1796" width="12.42578125" customWidth="1"/>
    <col min="1797" max="1797" width="11.85546875" customWidth="1"/>
    <col min="1798" max="1798" width="14.28515625" customWidth="1"/>
    <col min="1799" max="1799" width="11.42578125" customWidth="1"/>
    <col min="1800" max="1800" width="11.140625" customWidth="1"/>
    <col min="1801" max="1801" width="11.7109375" customWidth="1"/>
    <col min="1802" max="1802" width="10.42578125" customWidth="1"/>
    <col min="1803" max="1803" width="9.42578125" bestFit="1" customWidth="1"/>
    <col min="1804" max="1804" width="9.7109375" customWidth="1"/>
    <col min="1805" max="1805" width="7.7109375" customWidth="1"/>
    <col min="2049" max="2049" width="35.42578125" customWidth="1"/>
    <col min="2050" max="2050" width="10.140625" customWidth="1"/>
    <col min="2051" max="2051" width="11.140625" customWidth="1"/>
    <col min="2052" max="2052" width="12.42578125" customWidth="1"/>
    <col min="2053" max="2053" width="11.85546875" customWidth="1"/>
    <col min="2054" max="2054" width="14.28515625" customWidth="1"/>
    <col min="2055" max="2055" width="11.42578125" customWidth="1"/>
    <col min="2056" max="2056" width="11.140625" customWidth="1"/>
    <col min="2057" max="2057" width="11.7109375" customWidth="1"/>
    <col min="2058" max="2058" width="10.42578125" customWidth="1"/>
    <col min="2059" max="2059" width="9.42578125" bestFit="1" customWidth="1"/>
    <col min="2060" max="2060" width="9.7109375" customWidth="1"/>
    <col min="2061" max="2061" width="7.7109375" customWidth="1"/>
    <col min="2305" max="2305" width="35.42578125" customWidth="1"/>
    <col min="2306" max="2306" width="10.140625" customWidth="1"/>
    <col min="2307" max="2307" width="11.140625" customWidth="1"/>
    <col min="2308" max="2308" width="12.42578125" customWidth="1"/>
    <col min="2309" max="2309" width="11.85546875" customWidth="1"/>
    <col min="2310" max="2310" width="14.28515625" customWidth="1"/>
    <col min="2311" max="2311" width="11.42578125" customWidth="1"/>
    <col min="2312" max="2312" width="11.140625" customWidth="1"/>
    <col min="2313" max="2313" width="11.7109375" customWidth="1"/>
    <col min="2314" max="2314" width="10.42578125" customWidth="1"/>
    <col min="2315" max="2315" width="9.42578125" bestFit="1" customWidth="1"/>
    <col min="2316" max="2316" width="9.7109375" customWidth="1"/>
    <col min="2317" max="2317" width="7.7109375" customWidth="1"/>
    <col min="2561" max="2561" width="35.42578125" customWidth="1"/>
    <col min="2562" max="2562" width="10.140625" customWidth="1"/>
    <col min="2563" max="2563" width="11.140625" customWidth="1"/>
    <col min="2564" max="2564" width="12.42578125" customWidth="1"/>
    <col min="2565" max="2565" width="11.85546875" customWidth="1"/>
    <col min="2566" max="2566" width="14.28515625" customWidth="1"/>
    <col min="2567" max="2567" width="11.42578125" customWidth="1"/>
    <col min="2568" max="2568" width="11.140625" customWidth="1"/>
    <col min="2569" max="2569" width="11.7109375" customWidth="1"/>
    <col min="2570" max="2570" width="10.42578125" customWidth="1"/>
    <col min="2571" max="2571" width="9.42578125" bestFit="1" customWidth="1"/>
    <col min="2572" max="2572" width="9.7109375" customWidth="1"/>
    <col min="2573" max="2573" width="7.7109375" customWidth="1"/>
    <col min="2817" max="2817" width="35.42578125" customWidth="1"/>
    <col min="2818" max="2818" width="10.140625" customWidth="1"/>
    <col min="2819" max="2819" width="11.140625" customWidth="1"/>
    <col min="2820" max="2820" width="12.42578125" customWidth="1"/>
    <col min="2821" max="2821" width="11.85546875" customWidth="1"/>
    <col min="2822" max="2822" width="14.28515625" customWidth="1"/>
    <col min="2823" max="2823" width="11.42578125" customWidth="1"/>
    <col min="2824" max="2824" width="11.140625" customWidth="1"/>
    <col min="2825" max="2825" width="11.7109375" customWidth="1"/>
    <col min="2826" max="2826" width="10.42578125" customWidth="1"/>
    <col min="2827" max="2827" width="9.42578125" bestFit="1" customWidth="1"/>
    <col min="2828" max="2828" width="9.7109375" customWidth="1"/>
    <col min="2829" max="2829" width="7.7109375" customWidth="1"/>
    <col min="3073" max="3073" width="35.42578125" customWidth="1"/>
    <col min="3074" max="3074" width="10.140625" customWidth="1"/>
    <col min="3075" max="3075" width="11.140625" customWidth="1"/>
    <col min="3076" max="3076" width="12.42578125" customWidth="1"/>
    <col min="3077" max="3077" width="11.85546875" customWidth="1"/>
    <col min="3078" max="3078" width="14.28515625" customWidth="1"/>
    <col min="3079" max="3079" width="11.42578125" customWidth="1"/>
    <col min="3080" max="3080" width="11.140625" customWidth="1"/>
    <col min="3081" max="3081" width="11.7109375" customWidth="1"/>
    <col min="3082" max="3082" width="10.42578125" customWidth="1"/>
    <col min="3083" max="3083" width="9.42578125" bestFit="1" customWidth="1"/>
    <col min="3084" max="3084" width="9.7109375" customWidth="1"/>
    <col min="3085" max="3085" width="7.7109375" customWidth="1"/>
    <col min="3329" max="3329" width="35.42578125" customWidth="1"/>
    <col min="3330" max="3330" width="10.140625" customWidth="1"/>
    <col min="3331" max="3331" width="11.140625" customWidth="1"/>
    <col min="3332" max="3332" width="12.42578125" customWidth="1"/>
    <col min="3333" max="3333" width="11.85546875" customWidth="1"/>
    <col min="3334" max="3334" width="14.28515625" customWidth="1"/>
    <col min="3335" max="3335" width="11.42578125" customWidth="1"/>
    <col min="3336" max="3336" width="11.140625" customWidth="1"/>
    <col min="3337" max="3337" width="11.7109375" customWidth="1"/>
    <col min="3338" max="3338" width="10.42578125" customWidth="1"/>
    <col min="3339" max="3339" width="9.42578125" bestFit="1" customWidth="1"/>
    <col min="3340" max="3340" width="9.7109375" customWidth="1"/>
    <col min="3341" max="3341" width="7.7109375" customWidth="1"/>
    <col min="3585" max="3585" width="35.42578125" customWidth="1"/>
    <col min="3586" max="3586" width="10.140625" customWidth="1"/>
    <col min="3587" max="3587" width="11.140625" customWidth="1"/>
    <col min="3588" max="3588" width="12.42578125" customWidth="1"/>
    <col min="3589" max="3589" width="11.85546875" customWidth="1"/>
    <col min="3590" max="3590" width="14.28515625" customWidth="1"/>
    <col min="3591" max="3591" width="11.42578125" customWidth="1"/>
    <col min="3592" max="3592" width="11.140625" customWidth="1"/>
    <col min="3593" max="3593" width="11.7109375" customWidth="1"/>
    <col min="3594" max="3594" width="10.42578125" customWidth="1"/>
    <col min="3595" max="3595" width="9.42578125" bestFit="1" customWidth="1"/>
    <col min="3596" max="3596" width="9.7109375" customWidth="1"/>
    <col min="3597" max="3597" width="7.7109375" customWidth="1"/>
    <col min="3841" max="3841" width="35.42578125" customWidth="1"/>
    <col min="3842" max="3842" width="10.140625" customWidth="1"/>
    <col min="3843" max="3843" width="11.140625" customWidth="1"/>
    <col min="3844" max="3844" width="12.42578125" customWidth="1"/>
    <col min="3845" max="3845" width="11.85546875" customWidth="1"/>
    <col min="3846" max="3846" width="14.28515625" customWidth="1"/>
    <col min="3847" max="3847" width="11.42578125" customWidth="1"/>
    <col min="3848" max="3848" width="11.140625" customWidth="1"/>
    <col min="3849" max="3849" width="11.7109375" customWidth="1"/>
    <col min="3850" max="3850" width="10.42578125" customWidth="1"/>
    <col min="3851" max="3851" width="9.42578125" bestFit="1" customWidth="1"/>
    <col min="3852" max="3852" width="9.7109375" customWidth="1"/>
    <col min="3853" max="3853" width="7.7109375" customWidth="1"/>
    <col min="4097" max="4097" width="35.42578125" customWidth="1"/>
    <col min="4098" max="4098" width="10.140625" customWidth="1"/>
    <col min="4099" max="4099" width="11.140625" customWidth="1"/>
    <col min="4100" max="4100" width="12.42578125" customWidth="1"/>
    <col min="4101" max="4101" width="11.85546875" customWidth="1"/>
    <col min="4102" max="4102" width="14.28515625" customWidth="1"/>
    <col min="4103" max="4103" width="11.42578125" customWidth="1"/>
    <col min="4104" max="4104" width="11.140625" customWidth="1"/>
    <col min="4105" max="4105" width="11.7109375" customWidth="1"/>
    <col min="4106" max="4106" width="10.42578125" customWidth="1"/>
    <col min="4107" max="4107" width="9.42578125" bestFit="1" customWidth="1"/>
    <col min="4108" max="4108" width="9.7109375" customWidth="1"/>
    <col min="4109" max="4109" width="7.7109375" customWidth="1"/>
    <col min="4353" max="4353" width="35.42578125" customWidth="1"/>
    <col min="4354" max="4354" width="10.140625" customWidth="1"/>
    <col min="4355" max="4355" width="11.140625" customWidth="1"/>
    <col min="4356" max="4356" width="12.42578125" customWidth="1"/>
    <col min="4357" max="4357" width="11.85546875" customWidth="1"/>
    <col min="4358" max="4358" width="14.28515625" customWidth="1"/>
    <col min="4359" max="4359" width="11.42578125" customWidth="1"/>
    <col min="4360" max="4360" width="11.140625" customWidth="1"/>
    <col min="4361" max="4361" width="11.7109375" customWidth="1"/>
    <col min="4362" max="4362" width="10.42578125" customWidth="1"/>
    <col min="4363" max="4363" width="9.42578125" bestFit="1" customWidth="1"/>
    <col min="4364" max="4364" width="9.7109375" customWidth="1"/>
    <col min="4365" max="4365" width="7.7109375" customWidth="1"/>
    <col min="4609" max="4609" width="35.42578125" customWidth="1"/>
    <col min="4610" max="4610" width="10.140625" customWidth="1"/>
    <col min="4611" max="4611" width="11.140625" customWidth="1"/>
    <col min="4612" max="4612" width="12.42578125" customWidth="1"/>
    <col min="4613" max="4613" width="11.85546875" customWidth="1"/>
    <col min="4614" max="4614" width="14.28515625" customWidth="1"/>
    <col min="4615" max="4615" width="11.42578125" customWidth="1"/>
    <col min="4616" max="4616" width="11.140625" customWidth="1"/>
    <col min="4617" max="4617" width="11.7109375" customWidth="1"/>
    <col min="4618" max="4618" width="10.42578125" customWidth="1"/>
    <col min="4619" max="4619" width="9.42578125" bestFit="1" customWidth="1"/>
    <col min="4620" max="4620" width="9.7109375" customWidth="1"/>
    <col min="4621" max="4621" width="7.7109375" customWidth="1"/>
    <col min="4865" max="4865" width="35.42578125" customWidth="1"/>
    <col min="4866" max="4866" width="10.140625" customWidth="1"/>
    <col min="4867" max="4867" width="11.140625" customWidth="1"/>
    <col min="4868" max="4868" width="12.42578125" customWidth="1"/>
    <col min="4869" max="4869" width="11.85546875" customWidth="1"/>
    <col min="4870" max="4870" width="14.28515625" customWidth="1"/>
    <col min="4871" max="4871" width="11.42578125" customWidth="1"/>
    <col min="4872" max="4872" width="11.140625" customWidth="1"/>
    <col min="4873" max="4873" width="11.7109375" customWidth="1"/>
    <col min="4874" max="4874" width="10.42578125" customWidth="1"/>
    <col min="4875" max="4875" width="9.42578125" bestFit="1" customWidth="1"/>
    <col min="4876" max="4876" width="9.7109375" customWidth="1"/>
    <col min="4877" max="4877" width="7.7109375" customWidth="1"/>
    <col min="5121" max="5121" width="35.42578125" customWidth="1"/>
    <col min="5122" max="5122" width="10.140625" customWidth="1"/>
    <col min="5123" max="5123" width="11.140625" customWidth="1"/>
    <col min="5124" max="5124" width="12.42578125" customWidth="1"/>
    <col min="5125" max="5125" width="11.85546875" customWidth="1"/>
    <col min="5126" max="5126" width="14.28515625" customWidth="1"/>
    <col min="5127" max="5127" width="11.42578125" customWidth="1"/>
    <col min="5128" max="5128" width="11.140625" customWidth="1"/>
    <col min="5129" max="5129" width="11.7109375" customWidth="1"/>
    <col min="5130" max="5130" width="10.42578125" customWidth="1"/>
    <col min="5131" max="5131" width="9.42578125" bestFit="1" customWidth="1"/>
    <col min="5132" max="5132" width="9.7109375" customWidth="1"/>
    <col min="5133" max="5133" width="7.7109375" customWidth="1"/>
    <col min="5377" max="5377" width="35.42578125" customWidth="1"/>
    <col min="5378" max="5378" width="10.140625" customWidth="1"/>
    <col min="5379" max="5379" width="11.140625" customWidth="1"/>
    <col min="5380" max="5380" width="12.42578125" customWidth="1"/>
    <col min="5381" max="5381" width="11.85546875" customWidth="1"/>
    <col min="5382" max="5382" width="14.28515625" customWidth="1"/>
    <col min="5383" max="5383" width="11.42578125" customWidth="1"/>
    <col min="5384" max="5384" width="11.140625" customWidth="1"/>
    <col min="5385" max="5385" width="11.7109375" customWidth="1"/>
    <col min="5386" max="5386" width="10.42578125" customWidth="1"/>
    <col min="5387" max="5387" width="9.42578125" bestFit="1" customWidth="1"/>
    <col min="5388" max="5388" width="9.7109375" customWidth="1"/>
    <col min="5389" max="5389" width="7.7109375" customWidth="1"/>
    <col min="5633" max="5633" width="35.42578125" customWidth="1"/>
    <col min="5634" max="5634" width="10.140625" customWidth="1"/>
    <col min="5635" max="5635" width="11.140625" customWidth="1"/>
    <col min="5636" max="5636" width="12.42578125" customWidth="1"/>
    <col min="5637" max="5637" width="11.85546875" customWidth="1"/>
    <col min="5638" max="5638" width="14.28515625" customWidth="1"/>
    <col min="5639" max="5639" width="11.42578125" customWidth="1"/>
    <col min="5640" max="5640" width="11.140625" customWidth="1"/>
    <col min="5641" max="5641" width="11.7109375" customWidth="1"/>
    <col min="5642" max="5642" width="10.42578125" customWidth="1"/>
    <col min="5643" max="5643" width="9.42578125" bestFit="1" customWidth="1"/>
    <col min="5644" max="5644" width="9.7109375" customWidth="1"/>
    <col min="5645" max="5645" width="7.7109375" customWidth="1"/>
    <col min="5889" max="5889" width="35.42578125" customWidth="1"/>
    <col min="5890" max="5890" width="10.140625" customWidth="1"/>
    <col min="5891" max="5891" width="11.140625" customWidth="1"/>
    <col min="5892" max="5892" width="12.42578125" customWidth="1"/>
    <col min="5893" max="5893" width="11.85546875" customWidth="1"/>
    <col min="5894" max="5894" width="14.28515625" customWidth="1"/>
    <col min="5895" max="5895" width="11.42578125" customWidth="1"/>
    <col min="5896" max="5896" width="11.140625" customWidth="1"/>
    <col min="5897" max="5897" width="11.7109375" customWidth="1"/>
    <col min="5898" max="5898" width="10.42578125" customWidth="1"/>
    <col min="5899" max="5899" width="9.42578125" bestFit="1" customWidth="1"/>
    <col min="5900" max="5900" width="9.7109375" customWidth="1"/>
    <col min="5901" max="5901" width="7.7109375" customWidth="1"/>
    <col min="6145" max="6145" width="35.42578125" customWidth="1"/>
    <col min="6146" max="6146" width="10.140625" customWidth="1"/>
    <col min="6147" max="6147" width="11.140625" customWidth="1"/>
    <col min="6148" max="6148" width="12.42578125" customWidth="1"/>
    <col min="6149" max="6149" width="11.85546875" customWidth="1"/>
    <col min="6150" max="6150" width="14.28515625" customWidth="1"/>
    <col min="6151" max="6151" width="11.42578125" customWidth="1"/>
    <col min="6152" max="6152" width="11.140625" customWidth="1"/>
    <col min="6153" max="6153" width="11.7109375" customWidth="1"/>
    <col min="6154" max="6154" width="10.42578125" customWidth="1"/>
    <col min="6155" max="6155" width="9.42578125" bestFit="1" customWidth="1"/>
    <col min="6156" max="6156" width="9.7109375" customWidth="1"/>
    <col min="6157" max="6157" width="7.7109375" customWidth="1"/>
    <col min="6401" max="6401" width="35.42578125" customWidth="1"/>
    <col min="6402" max="6402" width="10.140625" customWidth="1"/>
    <col min="6403" max="6403" width="11.140625" customWidth="1"/>
    <col min="6404" max="6404" width="12.42578125" customWidth="1"/>
    <col min="6405" max="6405" width="11.85546875" customWidth="1"/>
    <col min="6406" max="6406" width="14.28515625" customWidth="1"/>
    <col min="6407" max="6407" width="11.42578125" customWidth="1"/>
    <col min="6408" max="6408" width="11.140625" customWidth="1"/>
    <col min="6409" max="6409" width="11.7109375" customWidth="1"/>
    <col min="6410" max="6410" width="10.42578125" customWidth="1"/>
    <col min="6411" max="6411" width="9.42578125" bestFit="1" customWidth="1"/>
    <col min="6412" max="6412" width="9.7109375" customWidth="1"/>
    <col min="6413" max="6413" width="7.7109375" customWidth="1"/>
    <col min="6657" max="6657" width="35.42578125" customWidth="1"/>
    <col min="6658" max="6658" width="10.140625" customWidth="1"/>
    <col min="6659" max="6659" width="11.140625" customWidth="1"/>
    <col min="6660" max="6660" width="12.42578125" customWidth="1"/>
    <col min="6661" max="6661" width="11.85546875" customWidth="1"/>
    <col min="6662" max="6662" width="14.28515625" customWidth="1"/>
    <col min="6663" max="6663" width="11.42578125" customWidth="1"/>
    <col min="6664" max="6664" width="11.140625" customWidth="1"/>
    <col min="6665" max="6665" width="11.7109375" customWidth="1"/>
    <col min="6666" max="6666" width="10.42578125" customWidth="1"/>
    <col min="6667" max="6667" width="9.42578125" bestFit="1" customWidth="1"/>
    <col min="6668" max="6668" width="9.7109375" customWidth="1"/>
    <col min="6669" max="6669" width="7.7109375" customWidth="1"/>
    <col min="6913" max="6913" width="35.42578125" customWidth="1"/>
    <col min="6914" max="6914" width="10.140625" customWidth="1"/>
    <col min="6915" max="6915" width="11.140625" customWidth="1"/>
    <col min="6916" max="6916" width="12.42578125" customWidth="1"/>
    <col min="6917" max="6917" width="11.85546875" customWidth="1"/>
    <col min="6918" max="6918" width="14.28515625" customWidth="1"/>
    <col min="6919" max="6919" width="11.42578125" customWidth="1"/>
    <col min="6920" max="6920" width="11.140625" customWidth="1"/>
    <col min="6921" max="6921" width="11.7109375" customWidth="1"/>
    <col min="6922" max="6922" width="10.42578125" customWidth="1"/>
    <col min="6923" max="6923" width="9.42578125" bestFit="1" customWidth="1"/>
    <col min="6924" max="6924" width="9.7109375" customWidth="1"/>
    <col min="6925" max="6925" width="7.7109375" customWidth="1"/>
    <col min="7169" max="7169" width="35.42578125" customWidth="1"/>
    <col min="7170" max="7170" width="10.140625" customWidth="1"/>
    <col min="7171" max="7171" width="11.140625" customWidth="1"/>
    <col min="7172" max="7172" width="12.42578125" customWidth="1"/>
    <col min="7173" max="7173" width="11.85546875" customWidth="1"/>
    <col min="7174" max="7174" width="14.28515625" customWidth="1"/>
    <col min="7175" max="7175" width="11.42578125" customWidth="1"/>
    <col min="7176" max="7176" width="11.140625" customWidth="1"/>
    <col min="7177" max="7177" width="11.7109375" customWidth="1"/>
    <col min="7178" max="7178" width="10.42578125" customWidth="1"/>
    <col min="7179" max="7179" width="9.42578125" bestFit="1" customWidth="1"/>
    <col min="7180" max="7180" width="9.7109375" customWidth="1"/>
    <col min="7181" max="7181" width="7.7109375" customWidth="1"/>
    <col min="7425" max="7425" width="35.42578125" customWidth="1"/>
    <col min="7426" max="7426" width="10.140625" customWidth="1"/>
    <col min="7427" max="7427" width="11.140625" customWidth="1"/>
    <col min="7428" max="7428" width="12.42578125" customWidth="1"/>
    <col min="7429" max="7429" width="11.85546875" customWidth="1"/>
    <col min="7430" max="7430" width="14.28515625" customWidth="1"/>
    <col min="7431" max="7431" width="11.42578125" customWidth="1"/>
    <col min="7432" max="7432" width="11.140625" customWidth="1"/>
    <col min="7433" max="7433" width="11.7109375" customWidth="1"/>
    <col min="7434" max="7434" width="10.42578125" customWidth="1"/>
    <col min="7435" max="7435" width="9.42578125" bestFit="1" customWidth="1"/>
    <col min="7436" max="7436" width="9.7109375" customWidth="1"/>
    <col min="7437" max="7437" width="7.7109375" customWidth="1"/>
    <col min="7681" max="7681" width="35.42578125" customWidth="1"/>
    <col min="7682" max="7682" width="10.140625" customWidth="1"/>
    <col min="7683" max="7683" width="11.140625" customWidth="1"/>
    <col min="7684" max="7684" width="12.42578125" customWidth="1"/>
    <col min="7685" max="7685" width="11.85546875" customWidth="1"/>
    <col min="7686" max="7686" width="14.28515625" customWidth="1"/>
    <col min="7687" max="7687" width="11.42578125" customWidth="1"/>
    <col min="7688" max="7688" width="11.140625" customWidth="1"/>
    <col min="7689" max="7689" width="11.7109375" customWidth="1"/>
    <col min="7690" max="7690" width="10.42578125" customWidth="1"/>
    <col min="7691" max="7691" width="9.42578125" bestFit="1" customWidth="1"/>
    <col min="7692" max="7692" width="9.7109375" customWidth="1"/>
    <col min="7693" max="7693" width="7.7109375" customWidth="1"/>
    <col min="7937" max="7937" width="35.42578125" customWidth="1"/>
    <col min="7938" max="7938" width="10.140625" customWidth="1"/>
    <col min="7939" max="7939" width="11.140625" customWidth="1"/>
    <col min="7940" max="7940" width="12.42578125" customWidth="1"/>
    <col min="7941" max="7941" width="11.85546875" customWidth="1"/>
    <col min="7942" max="7942" width="14.28515625" customWidth="1"/>
    <col min="7943" max="7943" width="11.42578125" customWidth="1"/>
    <col min="7944" max="7944" width="11.140625" customWidth="1"/>
    <col min="7945" max="7945" width="11.7109375" customWidth="1"/>
    <col min="7946" max="7946" width="10.42578125" customWidth="1"/>
    <col min="7947" max="7947" width="9.42578125" bestFit="1" customWidth="1"/>
    <col min="7948" max="7948" width="9.7109375" customWidth="1"/>
    <col min="7949" max="7949" width="7.7109375" customWidth="1"/>
    <col min="8193" max="8193" width="35.42578125" customWidth="1"/>
    <col min="8194" max="8194" width="10.140625" customWidth="1"/>
    <col min="8195" max="8195" width="11.140625" customWidth="1"/>
    <col min="8196" max="8196" width="12.42578125" customWidth="1"/>
    <col min="8197" max="8197" width="11.85546875" customWidth="1"/>
    <col min="8198" max="8198" width="14.28515625" customWidth="1"/>
    <col min="8199" max="8199" width="11.42578125" customWidth="1"/>
    <col min="8200" max="8200" width="11.140625" customWidth="1"/>
    <col min="8201" max="8201" width="11.7109375" customWidth="1"/>
    <col min="8202" max="8202" width="10.42578125" customWidth="1"/>
    <col min="8203" max="8203" width="9.42578125" bestFit="1" customWidth="1"/>
    <col min="8204" max="8204" width="9.7109375" customWidth="1"/>
    <col min="8205" max="8205" width="7.7109375" customWidth="1"/>
    <col min="8449" max="8449" width="35.42578125" customWidth="1"/>
    <col min="8450" max="8450" width="10.140625" customWidth="1"/>
    <col min="8451" max="8451" width="11.140625" customWidth="1"/>
    <col min="8452" max="8452" width="12.42578125" customWidth="1"/>
    <col min="8453" max="8453" width="11.85546875" customWidth="1"/>
    <col min="8454" max="8454" width="14.28515625" customWidth="1"/>
    <col min="8455" max="8455" width="11.42578125" customWidth="1"/>
    <col min="8456" max="8456" width="11.140625" customWidth="1"/>
    <col min="8457" max="8457" width="11.7109375" customWidth="1"/>
    <col min="8458" max="8458" width="10.42578125" customWidth="1"/>
    <col min="8459" max="8459" width="9.42578125" bestFit="1" customWidth="1"/>
    <col min="8460" max="8460" width="9.7109375" customWidth="1"/>
    <col min="8461" max="8461" width="7.7109375" customWidth="1"/>
    <col min="8705" max="8705" width="35.42578125" customWidth="1"/>
    <col min="8706" max="8706" width="10.140625" customWidth="1"/>
    <col min="8707" max="8707" width="11.140625" customWidth="1"/>
    <col min="8708" max="8708" width="12.42578125" customWidth="1"/>
    <col min="8709" max="8709" width="11.85546875" customWidth="1"/>
    <col min="8710" max="8710" width="14.28515625" customWidth="1"/>
    <col min="8711" max="8711" width="11.42578125" customWidth="1"/>
    <col min="8712" max="8712" width="11.140625" customWidth="1"/>
    <col min="8713" max="8713" width="11.7109375" customWidth="1"/>
    <col min="8714" max="8714" width="10.42578125" customWidth="1"/>
    <col min="8715" max="8715" width="9.42578125" bestFit="1" customWidth="1"/>
    <col min="8716" max="8716" width="9.7109375" customWidth="1"/>
    <col min="8717" max="8717" width="7.7109375" customWidth="1"/>
    <col min="8961" max="8961" width="35.42578125" customWidth="1"/>
    <col min="8962" max="8962" width="10.140625" customWidth="1"/>
    <col min="8963" max="8963" width="11.140625" customWidth="1"/>
    <col min="8964" max="8964" width="12.42578125" customWidth="1"/>
    <col min="8965" max="8965" width="11.85546875" customWidth="1"/>
    <col min="8966" max="8966" width="14.28515625" customWidth="1"/>
    <col min="8967" max="8967" width="11.42578125" customWidth="1"/>
    <col min="8968" max="8968" width="11.140625" customWidth="1"/>
    <col min="8969" max="8969" width="11.7109375" customWidth="1"/>
    <col min="8970" max="8970" width="10.42578125" customWidth="1"/>
    <col min="8971" max="8971" width="9.42578125" bestFit="1" customWidth="1"/>
    <col min="8972" max="8972" width="9.7109375" customWidth="1"/>
    <col min="8973" max="8973" width="7.7109375" customWidth="1"/>
    <col min="9217" max="9217" width="35.42578125" customWidth="1"/>
    <col min="9218" max="9218" width="10.140625" customWidth="1"/>
    <col min="9219" max="9219" width="11.140625" customWidth="1"/>
    <col min="9220" max="9220" width="12.42578125" customWidth="1"/>
    <col min="9221" max="9221" width="11.85546875" customWidth="1"/>
    <col min="9222" max="9222" width="14.28515625" customWidth="1"/>
    <col min="9223" max="9223" width="11.42578125" customWidth="1"/>
    <col min="9224" max="9224" width="11.140625" customWidth="1"/>
    <col min="9225" max="9225" width="11.7109375" customWidth="1"/>
    <col min="9226" max="9226" width="10.42578125" customWidth="1"/>
    <col min="9227" max="9227" width="9.42578125" bestFit="1" customWidth="1"/>
    <col min="9228" max="9228" width="9.7109375" customWidth="1"/>
    <col min="9229" max="9229" width="7.7109375" customWidth="1"/>
    <col min="9473" max="9473" width="35.42578125" customWidth="1"/>
    <col min="9474" max="9474" width="10.140625" customWidth="1"/>
    <col min="9475" max="9475" width="11.140625" customWidth="1"/>
    <col min="9476" max="9476" width="12.42578125" customWidth="1"/>
    <col min="9477" max="9477" width="11.85546875" customWidth="1"/>
    <col min="9478" max="9478" width="14.28515625" customWidth="1"/>
    <col min="9479" max="9479" width="11.42578125" customWidth="1"/>
    <col min="9480" max="9480" width="11.140625" customWidth="1"/>
    <col min="9481" max="9481" width="11.7109375" customWidth="1"/>
    <col min="9482" max="9482" width="10.42578125" customWidth="1"/>
    <col min="9483" max="9483" width="9.42578125" bestFit="1" customWidth="1"/>
    <col min="9484" max="9484" width="9.7109375" customWidth="1"/>
    <col min="9485" max="9485" width="7.7109375" customWidth="1"/>
    <col min="9729" max="9729" width="35.42578125" customWidth="1"/>
    <col min="9730" max="9730" width="10.140625" customWidth="1"/>
    <col min="9731" max="9731" width="11.140625" customWidth="1"/>
    <col min="9732" max="9732" width="12.42578125" customWidth="1"/>
    <col min="9733" max="9733" width="11.85546875" customWidth="1"/>
    <col min="9734" max="9734" width="14.28515625" customWidth="1"/>
    <col min="9735" max="9735" width="11.42578125" customWidth="1"/>
    <col min="9736" max="9736" width="11.140625" customWidth="1"/>
    <col min="9737" max="9737" width="11.7109375" customWidth="1"/>
    <col min="9738" max="9738" width="10.42578125" customWidth="1"/>
    <col min="9739" max="9739" width="9.42578125" bestFit="1" customWidth="1"/>
    <col min="9740" max="9740" width="9.7109375" customWidth="1"/>
    <col min="9741" max="9741" width="7.7109375" customWidth="1"/>
    <col min="9985" max="9985" width="35.42578125" customWidth="1"/>
    <col min="9986" max="9986" width="10.140625" customWidth="1"/>
    <col min="9987" max="9987" width="11.140625" customWidth="1"/>
    <col min="9988" max="9988" width="12.42578125" customWidth="1"/>
    <col min="9989" max="9989" width="11.85546875" customWidth="1"/>
    <col min="9990" max="9990" width="14.28515625" customWidth="1"/>
    <col min="9991" max="9991" width="11.42578125" customWidth="1"/>
    <col min="9992" max="9992" width="11.140625" customWidth="1"/>
    <col min="9993" max="9993" width="11.7109375" customWidth="1"/>
    <col min="9994" max="9994" width="10.42578125" customWidth="1"/>
    <col min="9995" max="9995" width="9.42578125" bestFit="1" customWidth="1"/>
    <col min="9996" max="9996" width="9.7109375" customWidth="1"/>
    <col min="9997" max="9997" width="7.7109375" customWidth="1"/>
    <col min="10241" max="10241" width="35.42578125" customWidth="1"/>
    <col min="10242" max="10242" width="10.140625" customWidth="1"/>
    <col min="10243" max="10243" width="11.140625" customWidth="1"/>
    <col min="10244" max="10244" width="12.42578125" customWidth="1"/>
    <col min="10245" max="10245" width="11.85546875" customWidth="1"/>
    <col min="10246" max="10246" width="14.28515625" customWidth="1"/>
    <col min="10247" max="10247" width="11.42578125" customWidth="1"/>
    <col min="10248" max="10248" width="11.140625" customWidth="1"/>
    <col min="10249" max="10249" width="11.7109375" customWidth="1"/>
    <col min="10250" max="10250" width="10.42578125" customWidth="1"/>
    <col min="10251" max="10251" width="9.42578125" bestFit="1" customWidth="1"/>
    <col min="10252" max="10252" width="9.7109375" customWidth="1"/>
    <col min="10253" max="10253" width="7.7109375" customWidth="1"/>
    <col min="10497" max="10497" width="35.42578125" customWidth="1"/>
    <col min="10498" max="10498" width="10.140625" customWidth="1"/>
    <col min="10499" max="10499" width="11.140625" customWidth="1"/>
    <col min="10500" max="10500" width="12.42578125" customWidth="1"/>
    <col min="10501" max="10501" width="11.85546875" customWidth="1"/>
    <col min="10502" max="10502" width="14.28515625" customWidth="1"/>
    <col min="10503" max="10503" width="11.42578125" customWidth="1"/>
    <col min="10504" max="10504" width="11.140625" customWidth="1"/>
    <col min="10505" max="10505" width="11.7109375" customWidth="1"/>
    <col min="10506" max="10506" width="10.42578125" customWidth="1"/>
    <col min="10507" max="10507" width="9.42578125" bestFit="1" customWidth="1"/>
    <col min="10508" max="10508" width="9.7109375" customWidth="1"/>
    <col min="10509" max="10509" width="7.7109375" customWidth="1"/>
    <col min="10753" max="10753" width="35.42578125" customWidth="1"/>
    <col min="10754" max="10754" width="10.140625" customWidth="1"/>
    <col min="10755" max="10755" width="11.140625" customWidth="1"/>
    <col min="10756" max="10756" width="12.42578125" customWidth="1"/>
    <col min="10757" max="10757" width="11.85546875" customWidth="1"/>
    <col min="10758" max="10758" width="14.28515625" customWidth="1"/>
    <col min="10759" max="10759" width="11.42578125" customWidth="1"/>
    <col min="10760" max="10760" width="11.140625" customWidth="1"/>
    <col min="10761" max="10761" width="11.7109375" customWidth="1"/>
    <col min="10762" max="10762" width="10.42578125" customWidth="1"/>
    <col min="10763" max="10763" width="9.42578125" bestFit="1" customWidth="1"/>
    <col min="10764" max="10764" width="9.7109375" customWidth="1"/>
    <col min="10765" max="10765" width="7.7109375" customWidth="1"/>
    <col min="11009" max="11009" width="35.42578125" customWidth="1"/>
    <col min="11010" max="11010" width="10.140625" customWidth="1"/>
    <col min="11011" max="11011" width="11.140625" customWidth="1"/>
    <col min="11012" max="11012" width="12.42578125" customWidth="1"/>
    <col min="11013" max="11013" width="11.85546875" customWidth="1"/>
    <col min="11014" max="11014" width="14.28515625" customWidth="1"/>
    <col min="11015" max="11015" width="11.42578125" customWidth="1"/>
    <col min="11016" max="11016" width="11.140625" customWidth="1"/>
    <col min="11017" max="11017" width="11.7109375" customWidth="1"/>
    <col min="11018" max="11018" width="10.42578125" customWidth="1"/>
    <col min="11019" max="11019" width="9.42578125" bestFit="1" customWidth="1"/>
    <col min="11020" max="11020" width="9.7109375" customWidth="1"/>
    <col min="11021" max="11021" width="7.7109375" customWidth="1"/>
    <col min="11265" max="11265" width="35.42578125" customWidth="1"/>
    <col min="11266" max="11266" width="10.140625" customWidth="1"/>
    <col min="11267" max="11267" width="11.140625" customWidth="1"/>
    <col min="11268" max="11268" width="12.42578125" customWidth="1"/>
    <col min="11269" max="11269" width="11.85546875" customWidth="1"/>
    <col min="11270" max="11270" width="14.28515625" customWidth="1"/>
    <col min="11271" max="11271" width="11.42578125" customWidth="1"/>
    <col min="11272" max="11272" width="11.140625" customWidth="1"/>
    <col min="11273" max="11273" width="11.7109375" customWidth="1"/>
    <col min="11274" max="11274" width="10.42578125" customWidth="1"/>
    <col min="11275" max="11275" width="9.42578125" bestFit="1" customWidth="1"/>
    <col min="11276" max="11276" width="9.7109375" customWidth="1"/>
    <col min="11277" max="11277" width="7.7109375" customWidth="1"/>
    <col min="11521" max="11521" width="35.42578125" customWidth="1"/>
    <col min="11522" max="11522" width="10.140625" customWidth="1"/>
    <col min="11523" max="11523" width="11.140625" customWidth="1"/>
    <col min="11524" max="11524" width="12.42578125" customWidth="1"/>
    <col min="11525" max="11525" width="11.85546875" customWidth="1"/>
    <col min="11526" max="11526" width="14.28515625" customWidth="1"/>
    <col min="11527" max="11527" width="11.42578125" customWidth="1"/>
    <col min="11528" max="11528" width="11.140625" customWidth="1"/>
    <col min="11529" max="11529" width="11.7109375" customWidth="1"/>
    <col min="11530" max="11530" width="10.42578125" customWidth="1"/>
    <col min="11531" max="11531" width="9.42578125" bestFit="1" customWidth="1"/>
    <col min="11532" max="11532" width="9.7109375" customWidth="1"/>
    <col min="11533" max="11533" width="7.7109375" customWidth="1"/>
    <col min="11777" max="11777" width="35.42578125" customWidth="1"/>
    <col min="11778" max="11778" width="10.140625" customWidth="1"/>
    <col min="11779" max="11779" width="11.140625" customWidth="1"/>
    <col min="11780" max="11780" width="12.42578125" customWidth="1"/>
    <col min="11781" max="11781" width="11.85546875" customWidth="1"/>
    <col min="11782" max="11782" width="14.28515625" customWidth="1"/>
    <col min="11783" max="11783" width="11.42578125" customWidth="1"/>
    <col min="11784" max="11784" width="11.140625" customWidth="1"/>
    <col min="11785" max="11785" width="11.7109375" customWidth="1"/>
    <col min="11786" max="11786" width="10.42578125" customWidth="1"/>
    <col min="11787" max="11787" width="9.42578125" bestFit="1" customWidth="1"/>
    <col min="11788" max="11788" width="9.7109375" customWidth="1"/>
    <col min="11789" max="11789" width="7.7109375" customWidth="1"/>
    <col min="12033" max="12033" width="35.42578125" customWidth="1"/>
    <col min="12034" max="12034" width="10.140625" customWidth="1"/>
    <col min="12035" max="12035" width="11.140625" customWidth="1"/>
    <col min="12036" max="12036" width="12.42578125" customWidth="1"/>
    <col min="12037" max="12037" width="11.85546875" customWidth="1"/>
    <col min="12038" max="12038" width="14.28515625" customWidth="1"/>
    <col min="12039" max="12039" width="11.42578125" customWidth="1"/>
    <col min="12040" max="12040" width="11.140625" customWidth="1"/>
    <col min="12041" max="12041" width="11.7109375" customWidth="1"/>
    <col min="12042" max="12042" width="10.42578125" customWidth="1"/>
    <col min="12043" max="12043" width="9.42578125" bestFit="1" customWidth="1"/>
    <col min="12044" max="12044" width="9.7109375" customWidth="1"/>
    <col min="12045" max="12045" width="7.7109375" customWidth="1"/>
    <col min="12289" max="12289" width="35.42578125" customWidth="1"/>
    <col min="12290" max="12290" width="10.140625" customWidth="1"/>
    <col min="12291" max="12291" width="11.140625" customWidth="1"/>
    <col min="12292" max="12292" width="12.42578125" customWidth="1"/>
    <col min="12293" max="12293" width="11.85546875" customWidth="1"/>
    <col min="12294" max="12294" width="14.28515625" customWidth="1"/>
    <col min="12295" max="12295" width="11.42578125" customWidth="1"/>
    <col min="12296" max="12296" width="11.140625" customWidth="1"/>
    <col min="12297" max="12297" width="11.7109375" customWidth="1"/>
    <col min="12298" max="12298" width="10.42578125" customWidth="1"/>
    <col min="12299" max="12299" width="9.42578125" bestFit="1" customWidth="1"/>
    <col min="12300" max="12300" width="9.7109375" customWidth="1"/>
    <col min="12301" max="12301" width="7.7109375" customWidth="1"/>
    <col min="12545" max="12545" width="35.42578125" customWidth="1"/>
    <col min="12546" max="12546" width="10.140625" customWidth="1"/>
    <col min="12547" max="12547" width="11.140625" customWidth="1"/>
    <col min="12548" max="12548" width="12.42578125" customWidth="1"/>
    <col min="12549" max="12549" width="11.85546875" customWidth="1"/>
    <col min="12550" max="12550" width="14.28515625" customWidth="1"/>
    <col min="12551" max="12551" width="11.42578125" customWidth="1"/>
    <col min="12552" max="12552" width="11.140625" customWidth="1"/>
    <col min="12553" max="12553" width="11.7109375" customWidth="1"/>
    <col min="12554" max="12554" width="10.42578125" customWidth="1"/>
    <col min="12555" max="12555" width="9.42578125" bestFit="1" customWidth="1"/>
    <col min="12556" max="12556" width="9.7109375" customWidth="1"/>
    <col min="12557" max="12557" width="7.7109375" customWidth="1"/>
    <col min="12801" max="12801" width="35.42578125" customWidth="1"/>
    <col min="12802" max="12802" width="10.140625" customWidth="1"/>
    <col min="12803" max="12803" width="11.140625" customWidth="1"/>
    <col min="12804" max="12804" width="12.42578125" customWidth="1"/>
    <col min="12805" max="12805" width="11.85546875" customWidth="1"/>
    <col min="12806" max="12806" width="14.28515625" customWidth="1"/>
    <col min="12807" max="12807" width="11.42578125" customWidth="1"/>
    <col min="12808" max="12808" width="11.140625" customWidth="1"/>
    <col min="12809" max="12809" width="11.7109375" customWidth="1"/>
    <col min="12810" max="12810" width="10.42578125" customWidth="1"/>
    <col min="12811" max="12811" width="9.42578125" bestFit="1" customWidth="1"/>
    <col min="12812" max="12812" width="9.7109375" customWidth="1"/>
    <col min="12813" max="12813" width="7.7109375" customWidth="1"/>
    <col min="13057" max="13057" width="35.42578125" customWidth="1"/>
    <col min="13058" max="13058" width="10.140625" customWidth="1"/>
    <col min="13059" max="13059" width="11.140625" customWidth="1"/>
    <col min="13060" max="13060" width="12.42578125" customWidth="1"/>
    <col min="13061" max="13061" width="11.85546875" customWidth="1"/>
    <col min="13062" max="13062" width="14.28515625" customWidth="1"/>
    <col min="13063" max="13063" width="11.42578125" customWidth="1"/>
    <col min="13064" max="13064" width="11.140625" customWidth="1"/>
    <col min="13065" max="13065" width="11.7109375" customWidth="1"/>
    <col min="13066" max="13066" width="10.42578125" customWidth="1"/>
    <col min="13067" max="13067" width="9.42578125" bestFit="1" customWidth="1"/>
    <col min="13068" max="13068" width="9.7109375" customWidth="1"/>
    <col min="13069" max="13069" width="7.7109375" customWidth="1"/>
    <col min="13313" max="13313" width="35.42578125" customWidth="1"/>
    <col min="13314" max="13314" width="10.140625" customWidth="1"/>
    <col min="13315" max="13315" width="11.140625" customWidth="1"/>
    <col min="13316" max="13316" width="12.42578125" customWidth="1"/>
    <col min="13317" max="13317" width="11.85546875" customWidth="1"/>
    <col min="13318" max="13318" width="14.28515625" customWidth="1"/>
    <col min="13319" max="13319" width="11.42578125" customWidth="1"/>
    <col min="13320" max="13320" width="11.140625" customWidth="1"/>
    <col min="13321" max="13321" width="11.7109375" customWidth="1"/>
    <col min="13322" max="13322" width="10.42578125" customWidth="1"/>
    <col min="13323" max="13323" width="9.42578125" bestFit="1" customWidth="1"/>
    <col min="13324" max="13324" width="9.7109375" customWidth="1"/>
    <col min="13325" max="13325" width="7.7109375" customWidth="1"/>
    <col min="13569" max="13569" width="35.42578125" customWidth="1"/>
    <col min="13570" max="13570" width="10.140625" customWidth="1"/>
    <col min="13571" max="13571" width="11.140625" customWidth="1"/>
    <col min="13572" max="13572" width="12.42578125" customWidth="1"/>
    <col min="13573" max="13573" width="11.85546875" customWidth="1"/>
    <col min="13574" max="13574" width="14.28515625" customWidth="1"/>
    <col min="13575" max="13575" width="11.42578125" customWidth="1"/>
    <col min="13576" max="13576" width="11.140625" customWidth="1"/>
    <col min="13577" max="13577" width="11.7109375" customWidth="1"/>
    <col min="13578" max="13578" width="10.42578125" customWidth="1"/>
    <col min="13579" max="13579" width="9.42578125" bestFit="1" customWidth="1"/>
    <col min="13580" max="13580" width="9.7109375" customWidth="1"/>
    <col min="13581" max="13581" width="7.7109375" customWidth="1"/>
    <col min="13825" max="13825" width="35.42578125" customWidth="1"/>
    <col min="13826" max="13826" width="10.140625" customWidth="1"/>
    <col min="13827" max="13827" width="11.140625" customWidth="1"/>
    <col min="13828" max="13828" width="12.42578125" customWidth="1"/>
    <col min="13829" max="13829" width="11.85546875" customWidth="1"/>
    <col min="13830" max="13830" width="14.28515625" customWidth="1"/>
    <col min="13831" max="13831" width="11.42578125" customWidth="1"/>
    <col min="13832" max="13832" width="11.140625" customWidth="1"/>
    <col min="13833" max="13833" width="11.7109375" customWidth="1"/>
    <col min="13834" max="13834" width="10.42578125" customWidth="1"/>
    <col min="13835" max="13835" width="9.42578125" bestFit="1" customWidth="1"/>
    <col min="13836" max="13836" width="9.7109375" customWidth="1"/>
    <col min="13837" max="13837" width="7.7109375" customWidth="1"/>
    <col min="14081" max="14081" width="35.42578125" customWidth="1"/>
    <col min="14082" max="14082" width="10.140625" customWidth="1"/>
    <col min="14083" max="14083" width="11.140625" customWidth="1"/>
    <col min="14084" max="14084" width="12.42578125" customWidth="1"/>
    <col min="14085" max="14085" width="11.85546875" customWidth="1"/>
    <col min="14086" max="14086" width="14.28515625" customWidth="1"/>
    <col min="14087" max="14087" width="11.42578125" customWidth="1"/>
    <col min="14088" max="14088" width="11.140625" customWidth="1"/>
    <col min="14089" max="14089" width="11.7109375" customWidth="1"/>
    <col min="14090" max="14090" width="10.42578125" customWidth="1"/>
    <col min="14091" max="14091" width="9.42578125" bestFit="1" customWidth="1"/>
    <col min="14092" max="14092" width="9.7109375" customWidth="1"/>
    <col min="14093" max="14093" width="7.7109375" customWidth="1"/>
    <col min="14337" max="14337" width="35.42578125" customWidth="1"/>
    <col min="14338" max="14338" width="10.140625" customWidth="1"/>
    <col min="14339" max="14339" width="11.140625" customWidth="1"/>
    <col min="14340" max="14340" width="12.42578125" customWidth="1"/>
    <col min="14341" max="14341" width="11.85546875" customWidth="1"/>
    <col min="14342" max="14342" width="14.28515625" customWidth="1"/>
    <col min="14343" max="14343" width="11.42578125" customWidth="1"/>
    <col min="14344" max="14344" width="11.140625" customWidth="1"/>
    <col min="14345" max="14345" width="11.7109375" customWidth="1"/>
    <col min="14346" max="14346" width="10.42578125" customWidth="1"/>
    <col min="14347" max="14347" width="9.42578125" bestFit="1" customWidth="1"/>
    <col min="14348" max="14348" width="9.7109375" customWidth="1"/>
    <col min="14349" max="14349" width="7.7109375" customWidth="1"/>
    <col min="14593" max="14593" width="35.42578125" customWidth="1"/>
    <col min="14594" max="14594" width="10.140625" customWidth="1"/>
    <col min="14595" max="14595" width="11.140625" customWidth="1"/>
    <col min="14596" max="14596" width="12.42578125" customWidth="1"/>
    <col min="14597" max="14597" width="11.85546875" customWidth="1"/>
    <col min="14598" max="14598" width="14.28515625" customWidth="1"/>
    <col min="14599" max="14599" width="11.42578125" customWidth="1"/>
    <col min="14600" max="14600" width="11.140625" customWidth="1"/>
    <col min="14601" max="14601" width="11.7109375" customWidth="1"/>
    <col min="14602" max="14602" width="10.42578125" customWidth="1"/>
    <col min="14603" max="14603" width="9.42578125" bestFit="1" customWidth="1"/>
    <col min="14604" max="14604" width="9.7109375" customWidth="1"/>
    <col min="14605" max="14605" width="7.7109375" customWidth="1"/>
    <col min="14849" max="14849" width="35.42578125" customWidth="1"/>
    <col min="14850" max="14850" width="10.140625" customWidth="1"/>
    <col min="14851" max="14851" width="11.140625" customWidth="1"/>
    <col min="14852" max="14852" width="12.42578125" customWidth="1"/>
    <col min="14853" max="14853" width="11.85546875" customWidth="1"/>
    <col min="14854" max="14854" width="14.28515625" customWidth="1"/>
    <col min="14855" max="14855" width="11.42578125" customWidth="1"/>
    <col min="14856" max="14856" width="11.140625" customWidth="1"/>
    <col min="14857" max="14857" width="11.7109375" customWidth="1"/>
    <col min="14858" max="14858" width="10.42578125" customWidth="1"/>
    <col min="14859" max="14859" width="9.42578125" bestFit="1" customWidth="1"/>
    <col min="14860" max="14860" width="9.7109375" customWidth="1"/>
    <col min="14861" max="14861" width="7.7109375" customWidth="1"/>
    <col min="15105" max="15105" width="35.42578125" customWidth="1"/>
    <col min="15106" max="15106" width="10.140625" customWidth="1"/>
    <col min="15107" max="15107" width="11.140625" customWidth="1"/>
    <col min="15108" max="15108" width="12.42578125" customWidth="1"/>
    <col min="15109" max="15109" width="11.85546875" customWidth="1"/>
    <col min="15110" max="15110" width="14.28515625" customWidth="1"/>
    <col min="15111" max="15111" width="11.42578125" customWidth="1"/>
    <col min="15112" max="15112" width="11.140625" customWidth="1"/>
    <col min="15113" max="15113" width="11.7109375" customWidth="1"/>
    <col min="15114" max="15114" width="10.42578125" customWidth="1"/>
    <col min="15115" max="15115" width="9.42578125" bestFit="1" customWidth="1"/>
    <col min="15116" max="15116" width="9.7109375" customWidth="1"/>
    <col min="15117" max="15117" width="7.7109375" customWidth="1"/>
    <col min="15361" max="15361" width="35.42578125" customWidth="1"/>
    <col min="15362" max="15362" width="10.140625" customWidth="1"/>
    <col min="15363" max="15363" width="11.140625" customWidth="1"/>
    <col min="15364" max="15364" width="12.42578125" customWidth="1"/>
    <col min="15365" max="15365" width="11.85546875" customWidth="1"/>
    <col min="15366" max="15366" width="14.28515625" customWidth="1"/>
    <col min="15367" max="15367" width="11.42578125" customWidth="1"/>
    <col min="15368" max="15368" width="11.140625" customWidth="1"/>
    <col min="15369" max="15369" width="11.7109375" customWidth="1"/>
    <col min="15370" max="15370" width="10.42578125" customWidth="1"/>
    <col min="15371" max="15371" width="9.42578125" bestFit="1" customWidth="1"/>
    <col min="15372" max="15372" width="9.7109375" customWidth="1"/>
    <col min="15373" max="15373" width="7.7109375" customWidth="1"/>
    <col min="15617" max="15617" width="35.42578125" customWidth="1"/>
    <col min="15618" max="15618" width="10.140625" customWidth="1"/>
    <col min="15619" max="15619" width="11.140625" customWidth="1"/>
    <col min="15620" max="15620" width="12.42578125" customWidth="1"/>
    <col min="15621" max="15621" width="11.85546875" customWidth="1"/>
    <col min="15622" max="15622" width="14.28515625" customWidth="1"/>
    <col min="15623" max="15623" width="11.42578125" customWidth="1"/>
    <col min="15624" max="15624" width="11.140625" customWidth="1"/>
    <col min="15625" max="15625" width="11.7109375" customWidth="1"/>
    <col min="15626" max="15626" width="10.42578125" customWidth="1"/>
    <col min="15627" max="15627" width="9.42578125" bestFit="1" customWidth="1"/>
    <col min="15628" max="15628" width="9.7109375" customWidth="1"/>
    <col min="15629" max="15629" width="7.7109375" customWidth="1"/>
    <col min="15873" max="15873" width="35.42578125" customWidth="1"/>
    <col min="15874" max="15874" width="10.140625" customWidth="1"/>
    <col min="15875" max="15875" width="11.140625" customWidth="1"/>
    <col min="15876" max="15876" width="12.42578125" customWidth="1"/>
    <col min="15877" max="15877" width="11.85546875" customWidth="1"/>
    <col min="15878" max="15878" width="14.28515625" customWidth="1"/>
    <col min="15879" max="15879" width="11.42578125" customWidth="1"/>
    <col min="15880" max="15880" width="11.140625" customWidth="1"/>
    <col min="15881" max="15881" width="11.7109375" customWidth="1"/>
    <col min="15882" max="15882" width="10.42578125" customWidth="1"/>
    <col min="15883" max="15883" width="9.42578125" bestFit="1" customWidth="1"/>
    <col min="15884" max="15884" width="9.7109375" customWidth="1"/>
    <col min="15885" max="15885" width="7.7109375" customWidth="1"/>
    <col min="16129" max="16129" width="35.42578125" customWidth="1"/>
    <col min="16130" max="16130" width="10.140625" customWidth="1"/>
    <col min="16131" max="16131" width="11.140625" customWidth="1"/>
    <col min="16132" max="16132" width="12.42578125" customWidth="1"/>
    <col min="16133" max="16133" width="11.85546875" customWidth="1"/>
    <col min="16134" max="16134" width="14.28515625" customWidth="1"/>
    <col min="16135" max="16135" width="11.42578125" customWidth="1"/>
    <col min="16136" max="16136" width="11.140625" customWidth="1"/>
    <col min="16137" max="16137" width="11.7109375" customWidth="1"/>
    <col min="16138" max="16138" width="10.42578125" customWidth="1"/>
    <col min="16139" max="16139" width="9.42578125" bestFit="1" customWidth="1"/>
    <col min="16140" max="16140" width="9.7109375" customWidth="1"/>
    <col min="16141" max="16141" width="7.7109375" customWidth="1"/>
  </cols>
  <sheetData>
    <row r="1" spans="1:14">
      <c r="A1" s="999" t="s">
        <v>167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</row>
    <row r="2" spans="1:14">
      <c r="A2" s="999" t="s">
        <v>168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</row>
    <row r="3" spans="1:14" ht="26.25" customHeight="1">
      <c r="A3" s="677" t="s">
        <v>2822</v>
      </c>
      <c r="B3" s="995" t="s">
        <v>2949</v>
      </c>
      <c r="C3" s="995"/>
      <c r="D3" s="995"/>
      <c r="E3" s="995"/>
      <c r="F3" s="1492" t="s">
        <v>171</v>
      </c>
      <c r="G3" s="1492"/>
      <c r="H3" s="1514" t="s">
        <v>2950</v>
      </c>
      <c r="I3" s="1514"/>
      <c r="J3" s="708" t="s">
        <v>2951</v>
      </c>
      <c r="K3" s="80">
        <v>500</v>
      </c>
      <c r="L3" s="1504" t="s">
        <v>2860</v>
      </c>
      <c r="M3" s="1505"/>
      <c r="N3" s="80">
        <v>30</v>
      </c>
    </row>
    <row r="4" spans="1:14">
      <c r="A4" s="808" t="s">
        <v>4176</v>
      </c>
      <c r="B4" s="808"/>
      <c r="C4" s="808"/>
      <c r="D4" s="672"/>
      <c r="E4" s="672"/>
    </row>
    <row r="5" spans="1:14" ht="26.25" customHeight="1">
      <c r="A5" s="677" t="s">
        <v>2825</v>
      </c>
      <c r="B5" s="995" t="s">
        <v>2952</v>
      </c>
      <c r="C5" s="995"/>
      <c r="D5" s="995"/>
      <c r="E5" s="995"/>
      <c r="F5" s="1492" t="s">
        <v>2827</v>
      </c>
      <c r="G5" s="1492"/>
      <c r="H5" s="1517" t="s">
        <v>2953</v>
      </c>
      <c r="I5" s="1517"/>
      <c r="J5" s="1517"/>
    </row>
    <row r="6" spans="1:14">
      <c r="B6" s="672"/>
      <c r="C6" s="672"/>
      <c r="D6" s="672"/>
      <c r="E6" s="672"/>
    </row>
    <row r="7" spans="1:14" ht="33" customHeight="1">
      <c r="A7" s="677" t="s">
        <v>178</v>
      </c>
      <c r="B7" s="995"/>
      <c r="C7" s="995"/>
      <c r="D7" s="995"/>
      <c r="E7" s="995"/>
      <c r="F7" s="1481" t="s">
        <v>2829</v>
      </c>
      <c r="G7" s="1481"/>
      <c r="H7" s="1515" t="s">
        <v>2954</v>
      </c>
      <c r="I7" s="1506"/>
      <c r="J7" s="1506"/>
      <c r="K7" s="1506"/>
    </row>
    <row r="9" spans="1:14" ht="26.25" customHeight="1">
      <c r="A9" s="677" t="s">
        <v>1909</v>
      </c>
      <c r="B9" s="995" t="s">
        <v>2955</v>
      </c>
      <c r="C9" s="995"/>
      <c r="D9" s="995" t="s">
        <v>2956</v>
      </c>
      <c r="E9" s="995"/>
      <c r="F9" s="995"/>
      <c r="G9" s="995" t="s">
        <v>2957</v>
      </c>
      <c r="H9" s="995"/>
      <c r="I9" s="995"/>
      <c r="J9" s="995" t="s">
        <v>2958</v>
      </c>
      <c r="K9" s="995"/>
      <c r="L9" s="995"/>
    </row>
    <row r="10" spans="1:14" ht="26.25" customHeight="1">
      <c r="A10" s="677" t="s">
        <v>187</v>
      </c>
      <c r="B10" s="995" t="s">
        <v>2959</v>
      </c>
      <c r="C10" s="995"/>
      <c r="D10" s="995" t="s">
        <v>2960</v>
      </c>
      <c r="E10" s="995"/>
      <c r="F10" s="995"/>
      <c r="G10" s="995" t="s">
        <v>2961</v>
      </c>
      <c r="H10" s="995"/>
      <c r="I10" s="995"/>
      <c r="J10" s="995" t="s">
        <v>2962</v>
      </c>
      <c r="K10" s="995"/>
      <c r="L10" s="995"/>
    </row>
    <row r="11" spans="1:14" ht="26.25" customHeight="1">
      <c r="A11" s="677" t="s">
        <v>192</v>
      </c>
      <c r="B11" s="995" t="s">
        <v>2963</v>
      </c>
      <c r="C11" s="995"/>
      <c r="D11" s="995" t="s">
        <v>2960</v>
      </c>
      <c r="E11" s="995"/>
      <c r="F11" s="995"/>
      <c r="G11" s="995" t="s">
        <v>2964</v>
      </c>
      <c r="H11" s="995"/>
      <c r="I11" s="995"/>
      <c r="J11" s="995" t="s">
        <v>2965</v>
      </c>
      <c r="K11" s="995"/>
      <c r="L11" s="995"/>
    </row>
    <row r="12" spans="1:14" ht="26.25" customHeight="1">
      <c r="A12" s="709" t="s">
        <v>197</v>
      </c>
      <c r="B12" s="995"/>
      <c r="C12" s="995"/>
      <c r="D12" s="995"/>
      <c r="E12" s="995"/>
      <c r="F12" s="995"/>
      <c r="G12" s="995"/>
      <c r="H12" s="995"/>
      <c r="I12" s="995"/>
      <c r="J12" s="995"/>
      <c r="K12" s="995"/>
      <c r="L12" s="995"/>
    </row>
    <row r="14" spans="1:14" ht="26.25" customHeight="1">
      <c r="A14" s="677" t="s">
        <v>198</v>
      </c>
      <c r="B14" s="80">
        <v>4</v>
      </c>
      <c r="C14" s="1492" t="s">
        <v>2838</v>
      </c>
      <c r="D14" s="1492"/>
      <c r="E14" s="1492"/>
      <c r="F14" s="80">
        <v>3</v>
      </c>
      <c r="G14" s="677" t="s">
        <v>1491</v>
      </c>
      <c r="H14" s="80">
        <v>21</v>
      </c>
      <c r="I14" s="708" t="s">
        <v>201</v>
      </c>
      <c r="J14" s="80">
        <v>1</v>
      </c>
      <c r="K14" s="708" t="s">
        <v>1386</v>
      </c>
      <c r="L14" s="80">
        <v>1</v>
      </c>
    </row>
    <row r="15" spans="1:14">
      <c r="B15" s="295"/>
    </row>
    <row r="16" spans="1:14" ht="26.25" customHeight="1">
      <c r="A16" s="674" t="s">
        <v>646</v>
      </c>
      <c r="B16" s="677" t="s">
        <v>204</v>
      </c>
      <c r="C16" s="80">
        <v>213</v>
      </c>
      <c r="D16" s="677" t="s">
        <v>205</v>
      </c>
      <c r="E16" s="80">
        <v>23</v>
      </c>
      <c r="F16" s="677" t="s">
        <v>206</v>
      </c>
      <c r="G16" s="80">
        <v>17</v>
      </c>
      <c r="H16" s="677" t="s">
        <v>230</v>
      </c>
      <c r="I16" s="80">
        <v>253</v>
      </c>
      <c r="J16" s="677" t="s">
        <v>207</v>
      </c>
      <c r="K16" s="80">
        <v>39</v>
      </c>
      <c r="L16" s="1505" t="s">
        <v>2881</v>
      </c>
      <c r="M16" s="1492"/>
      <c r="N16" s="80">
        <v>14</v>
      </c>
    </row>
    <row r="17" spans="1:14" ht="26.25" customHeight="1">
      <c r="A17" s="674" t="s">
        <v>2839</v>
      </c>
      <c r="B17" s="677" t="s">
        <v>210</v>
      </c>
      <c r="C17" s="80">
        <v>507</v>
      </c>
      <c r="D17" s="677" t="s">
        <v>211</v>
      </c>
      <c r="E17" s="80">
        <v>68</v>
      </c>
      <c r="F17" s="677" t="s">
        <v>212</v>
      </c>
      <c r="G17" s="80">
        <v>34</v>
      </c>
      <c r="H17" s="677" t="s">
        <v>411</v>
      </c>
      <c r="I17" s="80">
        <v>609</v>
      </c>
    </row>
    <row r="18" spans="1:14" ht="26.25" customHeight="1">
      <c r="B18" s="677" t="s">
        <v>213</v>
      </c>
      <c r="C18" s="80">
        <v>494</v>
      </c>
      <c r="D18" s="677" t="s">
        <v>214</v>
      </c>
      <c r="E18" s="80">
        <v>36</v>
      </c>
      <c r="F18" s="677" t="s">
        <v>215</v>
      </c>
      <c r="G18" s="80">
        <v>34</v>
      </c>
      <c r="H18" s="677" t="s">
        <v>410</v>
      </c>
      <c r="I18" s="80">
        <v>584</v>
      </c>
    </row>
    <row r="19" spans="1:14" s="403" customFormat="1" ht="26.25" customHeight="1">
      <c r="A19" s="692" t="s">
        <v>216</v>
      </c>
    </row>
    <row r="20" spans="1:14" ht="26.25" customHeight="1">
      <c r="A20" s="1493" t="s">
        <v>2840</v>
      </c>
      <c r="B20" s="1493" t="s">
        <v>218</v>
      </c>
      <c r="C20" s="1493" t="s">
        <v>219</v>
      </c>
      <c r="D20" s="1494" t="s">
        <v>1363</v>
      </c>
      <c r="E20" s="1494" t="s">
        <v>1713</v>
      </c>
      <c r="F20" s="1496" t="s">
        <v>2841</v>
      </c>
      <c r="G20" s="1497"/>
      <c r="H20" s="1497"/>
      <c r="I20" s="1497"/>
      <c r="J20" s="1497"/>
      <c r="K20" s="1497"/>
      <c r="L20" s="1497"/>
      <c r="M20" s="1497"/>
      <c r="N20" s="1498"/>
    </row>
    <row r="21" spans="1:14" ht="26.25" customHeight="1">
      <c r="A21" s="1508"/>
      <c r="B21" s="1509"/>
      <c r="C21" s="1510"/>
      <c r="D21" s="1511"/>
      <c r="E21" s="1511"/>
      <c r="F21" s="693">
        <v>1</v>
      </c>
      <c r="G21" s="693">
        <v>2</v>
      </c>
      <c r="H21" s="693">
        <v>3</v>
      </c>
      <c r="I21" s="693">
        <v>4</v>
      </c>
      <c r="J21" s="693">
        <v>5</v>
      </c>
      <c r="K21" s="693">
        <v>6</v>
      </c>
      <c r="L21" s="693">
        <v>7</v>
      </c>
      <c r="M21" s="693" t="s">
        <v>230</v>
      </c>
      <c r="N21" s="693" t="s">
        <v>231</v>
      </c>
    </row>
    <row r="22" spans="1:14" ht="26.25" customHeight="1">
      <c r="A22" s="684" t="s">
        <v>232</v>
      </c>
      <c r="B22" s="673">
        <v>8000</v>
      </c>
      <c r="C22" s="698" t="s">
        <v>233</v>
      </c>
      <c r="D22" s="297">
        <f>B22*504/100000</f>
        <v>40.32</v>
      </c>
      <c r="E22" s="296">
        <v>5.1066000000000003</v>
      </c>
      <c r="F22" s="686">
        <v>0</v>
      </c>
      <c r="G22" s="686">
        <v>0</v>
      </c>
      <c r="H22" s="686">
        <v>4.1434300000000004</v>
      </c>
      <c r="I22" s="687"/>
      <c r="J22" s="687"/>
      <c r="K22" s="687"/>
      <c r="L22" s="687"/>
      <c r="M22" s="710">
        <f>F22+G22+H22</f>
        <v>4.1434300000000004</v>
      </c>
      <c r="N22" s="710">
        <f>M22/E22*100</f>
        <v>81.138722437629738</v>
      </c>
    </row>
    <row r="23" spans="1:14" ht="26.25" customHeight="1">
      <c r="A23" s="684" t="s">
        <v>2842</v>
      </c>
      <c r="B23" s="673">
        <v>1120</v>
      </c>
      <c r="C23" s="698" t="s">
        <v>233</v>
      </c>
      <c r="D23" s="297">
        <f>B23*504/100000</f>
        <v>5.6448</v>
      </c>
      <c r="E23" s="296">
        <v>0</v>
      </c>
      <c r="F23" s="297">
        <v>0</v>
      </c>
      <c r="G23" s="686">
        <v>0</v>
      </c>
      <c r="H23" s="297">
        <v>0</v>
      </c>
      <c r="I23" s="296"/>
      <c r="J23" s="296"/>
      <c r="K23" s="296"/>
      <c r="L23" s="296"/>
      <c r="M23" s="710">
        <f t="shared" ref="M23:M30" si="0">F23+G23+H23</f>
        <v>0</v>
      </c>
      <c r="N23" s="314">
        <v>0</v>
      </c>
    </row>
    <row r="24" spans="1:14" ht="26.25" customHeight="1">
      <c r="A24" s="684" t="s">
        <v>235</v>
      </c>
      <c r="B24" s="673">
        <v>43000</v>
      </c>
      <c r="C24" s="698" t="s">
        <v>236</v>
      </c>
      <c r="D24" s="297">
        <v>0.43</v>
      </c>
      <c r="E24" s="296">
        <v>0.18</v>
      </c>
      <c r="F24" s="297">
        <v>0</v>
      </c>
      <c r="G24" s="686">
        <v>0</v>
      </c>
      <c r="H24" s="297">
        <v>0</v>
      </c>
      <c r="I24" s="296"/>
      <c r="J24" s="296"/>
      <c r="K24" s="296"/>
      <c r="L24" s="296"/>
      <c r="M24" s="710">
        <f t="shared" si="0"/>
        <v>0</v>
      </c>
      <c r="N24" s="314">
        <f t="shared" ref="N24:N30" si="1">M24/E24*100</f>
        <v>0</v>
      </c>
    </row>
    <row r="25" spans="1:14" ht="26.25" customHeight="1">
      <c r="A25" s="684" t="s">
        <v>237</v>
      </c>
      <c r="B25" s="673">
        <v>37000</v>
      </c>
      <c r="C25" s="698" t="s">
        <v>236</v>
      </c>
      <c r="D25" s="297">
        <v>0.37</v>
      </c>
      <c r="E25" s="296">
        <v>0.16</v>
      </c>
      <c r="F25" s="297">
        <v>0</v>
      </c>
      <c r="G25" s="686">
        <v>0</v>
      </c>
      <c r="H25" s="297">
        <v>0</v>
      </c>
      <c r="I25" s="296"/>
      <c r="J25" s="296"/>
      <c r="K25" s="296"/>
      <c r="L25" s="296"/>
      <c r="M25" s="710">
        <f t="shared" si="0"/>
        <v>0</v>
      </c>
      <c r="N25" s="314">
        <f t="shared" si="1"/>
        <v>0</v>
      </c>
    </row>
    <row r="26" spans="1:14" ht="26.25" customHeight="1">
      <c r="A26" s="684" t="s">
        <v>238</v>
      </c>
      <c r="B26" s="673">
        <v>1200</v>
      </c>
      <c r="C26" s="698" t="s">
        <v>233</v>
      </c>
      <c r="D26" s="297">
        <f>B26*504/100000</f>
        <v>6.048</v>
      </c>
      <c r="E26" s="296">
        <v>2</v>
      </c>
      <c r="F26" s="297">
        <v>0</v>
      </c>
      <c r="G26" s="686">
        <v>0</v>
      </c>
      <c r="H26" s="297">
        <v>1.9456</v>
      </c>
      <c r="I26" s="296"/>
      <c r="J26" s="296"/>
      <c r="K26" s="296"/>
      <c r="L26" s="296"/>
      <c r="M26" s="710">
        <f t="shared" si="0"/>
        <v>1.9456</v>
      </c>
      <c r="N26" s="314">
        <f t="shared" si="1"/>
        <v>97.28</v>
      </c>
    </row>
    <row r="27" spans="1:14" ht="26.25" customHeight="1">
      <c r="A27" s="684" t="s">
        <v>667</v>
      </c>
      <c r="B27" s="673">
        <v>565</v>
      </c>
      <c r="C27" s="698" t="s">
        <v>233</v>
      </c>
      <c r="D27" s="297">
        <f>B27*504/100000</f>
        <v>2.8475999999999999</v>
      </c>
      <c r="E27" s="296">
        <v>0.504</v>
      </c>
      <c r="F27" s="297">
        <v>0</v>
      </c>
      <c r="G27" s="686">
        <v>0</v>
      </c>
      <c r="H27" s="297">
        <v>0.16800000000000001</v>
      </c>
      <c r="I27" s="296"/>
      <c r="J27" s="296"/>
      <c r="K27" s="296"/>
      <c r="L27" s="296"/>
      <c r="M27" s="710">
        <f t="shared" si="0"/>
        <v>0.16800000000000001</v>
      </c>
      <c r="N27" s="313">
        <f t="shared" si="1"/>
        <v>33.333333333333336</v>
      </c>
    </row>
    <row r="28" spans="1:14" ht="26.25" customHeight="1">
      <c r="A28" s="684" t="s">
        <v>2843</v>
      </c>
      <c r="B28" s="673">
        <v>1000</v>
      </c>
      <c r="C28" s="698" t="s">
        <v>233</v>
      </c>
      <c r="D28" s="297">
        <f>B28*504/100000</f>
        <v>5.04</v>
      </c>
      <c r="E28" s="296">
        <v>0</v>
      </c>
      <c r="F28" s="297">
        <v>0</v>
      </c>
      <c r="G28" s="686">
        <v>0</v>
      </c>
      <c r="H28" s="297">
        <v>0</v>
      </c>
      <c r="I28" s="296"/>
      <c r="J28" s="296"/>
      <c r="K28" s="296"/>
      <c r="L28" s="296"/>
      <c r="M28" s="710">
        <f t="shared" si="0"/>
        <v>0</v>
      </c>
      <c r="N28" s="314">
        <v>0</v>
      </c>
    </row>
    <row r="29" spans="1:14" ht="26.25" customHeight="1">
      <c r="A29" s="684" t="s">
        <v>2844</v>
      </c>
      <c r="B29" s="673">
        <v>2750</v>
      </c>
      <c r="C29" s="698" t="s">
        <v>242</v>
      </c>
      <c r="D29" s="297">
        <v>2.31</v>
      </c>
      <c r="E29" s="296">
        <v>0.33</v>
      </c>
      <c r="F29" s="297">
        <v>0</v>
      </c>
      <c r="G29" s="686">
        <v>0</v>
      </c>
      <c r="H29" s="297">
        <v>0.12662999999999999</v>
      </c>
      <c r="I29" s="296"/>
      <c r="J29" s="296"/>
      <c r="K29" s="296"/>
      <c r="L29" s="296"/>
      <c r="M29" s="710">
        <f t="shared" si="0"/>
        <v>0.12662999999999999</v>
      </c>
      <c r="N29" s="313">
        <f t="shared" si="1"/>
        <v>38.372727272727268</v>
      </c>
    </row>
    <row r="30" spans="1:14" ht="26.25" customHeight="1">
      <c r="A30" s="684" t="s">
        <v>670</v>
      </c>
      <c r="B30" s="673">
        <v>10000</v>
      </c>
      <c r="C30" s="698" t="s">
        <v>244</v>
      </c>
      <c r="D30" s="297">
        <v>0.1</v>
      </c>
      <c r="E30" s="296">
        <v>0.02</v>
      </c>
      <c r="F30" s="297">
        <v>0</v>
      </c>
      <c r="G30" s="686">
        <v>0</v>
      </c>
      <c r="H30" s="297">
        <v>0</v>
      </c>
      <c r="I30" s="296"/>
      <c r="J30" s="296"/>
      <c r="K30" s="296"/>
      <c r="L30" s="296"/>
      <c r="M30" s="710">
        <f t="shared" si="0"/>
        <v>0</v>
      </c>
      <c r="N30" s="314">
        <f t="shared" si="1"/>
        <v>0</v>
      </c>
    </row>
    <row r="31" spans="1:14" ht="26.25" customHeight="1">
      <c r="A31" s="694" t="s">
        <v>245</v>
      </c>
      <c r="B31" s="673"/>
      <c r="C31" s="673"/>
      <c r="D31" s="297">
        <v>62.64</v>
      </c>
      <c r="E31" s="297">
        <f>SUM(E22:E30)</f>
        <v>8.3005999999999993</v>
      </c>
      <c r="F31" s="297">
        <f>SUM(F22:F30)</f>
        <v>0</v>
      </c>
      <c r="G31" s="297">
        <f t="shared" ref="G31:M31" si="2">SUM(G22:G30)</f>
        <v>0</v>
      </c>
      <c r="H31" s="297">
        <f t="shared" si="2"/>
        <v>6.3836599999999999</v>
      </c>
      <c r="I31" s="297">
        <f t="shared" si="2"/>
        <v>0</v>
      </c>
      <c r="J31" s="297">
        <f t="shared" si="2"/>
        <v>0</v>
      </c>
      <c r="K31" s="297">
        <f t="shared" si="2"/>
        <v>0</v>
      </c>
      <c r="L31" s="297">
        <f t="shared" si="2"/>
        <v>0</v>
      </c>
      <c r="M31" s="297">
        <f t="shared" si="2"/>
        <v>6.3836599999999999</v>
      </c>
      <c r="N31" s="309">
        <v>0</v>
      </c>
    </row>
  </sheetData>
  <mergeCells count="37">
    <mergeCell ref="C14:E14"/>
    <mergeCell ref="L16:M16"/>
    <mergeCell ref="A20:A21"/>
    <mergeCell ref="B20:B21"/>
    <mergeCell ref="C20:C21"/>
    <mergeCell ref="D20:D21"/>
    <mergeCell ref="E20:E21"/>
    <mergeCell ref="F20:N20"/>
    <mergeCell ref="B11:C11"/>
    <mergeCell ref="D11:F11"/>
    <mergeCell ref="G11:I11"/>
    <mergeCell ref="J11:L11"/>
    <mergeCell ref="B12:C12"/>
    <mergeCell ref="D12:F12"/>
    <mergeCell ref="G12:I12"/>
    <mergeCell ref="J12:L12"/>
    <mergeCell ref="B9:C9"/>
    <mergeCell ref="D9:F9"/>
    <mergeCell ref="G9:I9"/>
    <mergeCell ref="J9:L9"/>
    <mergeCell ref="B10:C10"/>
    <mergeCell ref="D10:F10"/>
    <mergeCell ref="G10:I10"/>
    <mergeCell ref="J10:L10"/>
    <mergeCell ref="A4:C4"/>
    <mergeCell ref="B5:E5"/>
    <mergeCell ref="F5:G5"/>
    <mergeCell ref="H5:J5"/>
    <mergeCell ref="B7:E7"/>
    <mergeCell ref="F7:G7"/>
    <mergeCell ref="H7:K7"/>
    <mergeCell ref="A1:L1"/>
    <mergeCell ref="A2:L2"/>
    <mergeCell ref="B3:E3"/>
    <mergeCell ref="F3:G3"/>
    <mergeCell ref="H3:I3"/>
    <mergeCell ref="L3:M3"/>
  </mergeCells>
  <hyperlinks>
    <hyperlink ref="A4" location="'Fact Sheet of VDC'!A1" display="&lt;&lt;Back"/>
  </hyperlinks>
  <pageMargins left="0.70866141732283472" right="0.18" top="0.81" bottom="0.4" header="0.31496062992125984" footer="0.31496062992125984"/>
  <pageSetup scale="70" orientation="landscape" r:id="rId1"/>
</worksheet>
</file>

<file path=xl/worksheets/sheet28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712</v>
      </c>
      <c r="C2" t="s">
        <v>611</v>
      </c>
      <c r="D2" t="s">
        <v>5726</v>
      </c>
      <c r="F2" t="s">
        <v>612</v>
      </c>
      <c r="G2">
        <v>505</v>
      </c>
      <c r="H2" t="s">
        <v>613</v>
      </c>
      <c r="I2">
        <v>40</v>
      </c>
      <c r="K2" s="808" t="s">
        <v>4176</v>
      </c>
      <c r="L2" s="808"/>
      <c r="M2" s="808"/>
    </row>
    <row r="3" spans="1:15">
      <c r="A3" t="s">
        <v>614</v>
      </c>
      <c r="B3" t="s">
        <v>713</v>
      </c>
      <c r="E3" t="s">
        <v>616</v>
      </c>
      <c r="G3" t="s">
        <v>5727</v>
      </c>
    </row>
    <row r="4" spans="1:15">
      <c r="A4" t="s">
        <v>618</v>
      </c>
      <c r="B4" t="s">
        <v>714</v>
      </c>
      <c r="G4" t="s">
        <v>620</v>
      </c>
      <c r="I4" t="s">
        <v>715</v>
      </c>
    </row>
    <row r="5" spans="1:15">
      <c r="A5" t="s">
        <v>622</v>
      </c>
      <c r="B5" t="s">
        <v>716</v>
      </c>
    </row>
    <row r="6" spans="1:15">
      <c r="A6" t="s">
        <v>628</v>
      </c>
      <c r="B6" t="s">
        <v>717</v>
      </c>
    </row>
    <row r="7" spans="1:15">
      <c r="A7" t="s">
        <v>634</v>
      </c>
      <c r="B7" t="s">
        <v>718</v>
      </c>
    </row>
    <row r="8" spans="1:15">
      <c r="A8" t="s">
        <v>639</v>
      </c>
    </row>
    <row r="9" spans="1:15">
      <c r="A9" t="s">
        <v>641</v>
      </c>
      <c r="B9">
        <v>1</v>
      </c>
      <c r="C9" t="s">
        <v>642</v>
      </c>
      <c r="D9">
        <v>1</v>
      </c>
      <c r="E9" t="s">
        <v>643</v>
      </c>
      <c r="F9">
        <v>5</v>
      </c>
      <c r="G9" t="s">
        <v>644</v>
      </c>
      <c r="H9">
        <v>1</v>
      </c>
      <c r="I9" t="s">
        <v>645</v>
      </c>
      <c r="J9">
        <v>3</v>
      </c>
    </row>
    <row r="10" spans="1:15">
      <c r="A10" t="s">
        <v>646</v>
      </c>
      <c r="B10" t="s">
        <v>204</v>
      </c>
      <c r="C10">
        <v>88</v>
      </c>
      <c r="D10" t="s">
        <v>205</v>
      </c>
      <c r="E10">
        <v>16</v>
      </c>
      <c r="F10" t="s">
        <v>206</v>
      </c>
      <c r="G10">
        <v>0</v>
      </c>
      <c r="H10" t="s">
        <v>230</v>
      </c>
      <c r="I10">
        <v>104</v>
      </c>
      <c r="J10" t="s">
        <v>647</v>
      </c>
      <c r="K10">
        <v>32</v>
      </c>
      <c r="L10" t="s">
        <v>648</v>
      </c>
      <c r="M10">
        <v>39</v>
      </c>
    </row>
    <row r="11" spans="1:15">
      <c r="A11" t="s">
        <v>209</v>
      </c>
      <c r="B11" t="s">
        <v>210</v>
      </c>
      <c r="C11">
        <v>205</v>
      </c>
      <c r="D11" t="s">
        <v>649</v>
      </c>
      <c r="E11">
        <v>29</v>
      </c>
      <c r="F11" t="s">
        <v>212</v>
      </c>
      <c r="G11">
        <v>0</v>
      </c>
      <c r="H11" t="s">
        <v>411</v>
      </c>
      <c r="I11">
        <v>239</v>
      </c>
    </row>
    <row r="12" spans="1:15">
      <c r="B12" t="s">
        <v>213</v>
      </c>
      <c r="C12">
        <v>204</v>
      </c>
      <c r="D12" t="s">
        <v>650</v>
      </c>
      <c r="E12">
        <v>37</v>
      </c>
      <c r="F12" t="s">
        <v>215</v>
      </c>
      <c r="G12">
        <v>0</v>
      </c>
      <c r="H12" t="s">
        <v>410</v>
      </c>
      <c r="I12">
        <v>241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40.4</v>
      </c>
      <c r="F16">
        <v>404000</v>
      </c>
      <c r="G16">
        <v>0</v>
      </c>
      <c r="H16">
        <v>151828</v>
      </c>
      <c r="I16">
        <v>2007559</v>
      </c>
      <c r="J16">
        <v>1421127</v>
      </c>
      <c r="K16">
        <v>183232</v>
      </c>
      <c r="L16">
        <v>270968</v>
      </c>
      <c r="N16">
        <f>G16+H16+I16+J16+K16+L16+M16</f>
        <v>4034714</v>
      </c>
    </row>
    <row r="17" spans="1:15">
      <c r="A17" t="s">
        <v>665</v>
      </c>
      <c r="C17">
        <v>7000</v>
      </c>
      <c r="D17" t="s">
        <v>664</v>
      </c>
      <c r="E17">
        <v>2.8</v>
      </c>
      <c r="F17">
        <v>250000</v>
      </c>
      <c r="G17">
        <v>0</v>
      </c>
      <c r="H17">
        <v>0</v>
      </c>
      <c r="I17">
        <v>50000</v>
      </c>
      <c r="J17">
        <v>122911</v>
      </c>
      <c r="K17">
        <v>8900</v>
      </c>
      <c r="L17">
        <v>99520</v>
      </c>
      <c r="N17">
        <f t="shared" ref="N17:N23" si="0">G17+H17+I17+J17+K17+L17+M17</f>
        <v>281331</v>
      </c>
    </row>
    <row r="18" spans="1:15">
      <c r="A18" t="s">
        <v>235</v>
      </c>
      <c r="C18">
        <v>86</v>
      </c>
      <c r="D18" t="s">
        <v>664</v>
      </c>
      <c r="E18">
        <v>0.43</v>
      </c>
      <c r="F18">
        <v>43000</v>
      </c>
      <c r="G18">
        <v>0</v>
      </c>
      <c r="H18">
        <v>0</v>
      </c>
      <c r="I18">
        <v>0</v>
      </c>
      <c r="J18">
        <v>12349</v>
      </c>
      <c r="K18">
        <v>3867</v>
      </c>
      <c r="L18">
        <v>49167</v>
      </c>
      <c r="N18">
        <f t="shared" si="0"/>
        <v>65383</v>
      </c>
    </row>
    <row r="19" spans="1:15">
      <c r="A19" t="s">
        <v>666</v>
      </c>
      <c r="C19">
        <v>68</v>
      </c>
      <c r="D19" t="s">
        <v>664</v>
      </c>
      <c r="E19">
        <v>0.34</v>
      </c>
      <c r="F19">
        <v>34000</v>
      </c>
      <c r="G19">
        <v>0</v>
      </c>
      <c r="H19">
        <v>0</v>
      </c>
      <c r="I19">
        <v>0</v>
      </c>
      <c r="J19">
        <v>16171</v>
      </c>
      <c r="K19">
        <v>14837</v>
      </c>
      <c r="L19">
        <v>0</v>
      </c>
      <c r="N19">
        <f t="shared" si="0"/>
        <v>31008</v>
      </c>
    </row>
    <row r="20" spans="1:15">
      <c r="A20" t="s">
        <v>238</v>
      </c>
      <c r="C20">
        <v>1200</v>
      </c>
      <c r="D20" t="s">
        <v>664</v>
      </c>
      <c r="E20">
        <v>6.06</v>
      </c>
      <c r="F20">
        <v>200000</v>
      </c>
      <c r="G20">
        <v>0</v>
      </c>
      <c r="H20">
        <v>0</v>
      </c>
      <c r="I20">
        <v>0</v>
      </c>
      <c r="J20">
        <v>0</v>
      </c>
      <c r="K20">
        <v>50632</v>
      </c>
      <c r="L20">
        <v>186970</v>
      </c>
      <c r="N20">
        <f t="shared" si="0"/>
        <v>237602</v>
      </c>
    </row>
    <row r="21" spans="1:15">
      <c r="A21" t="s">
        <v>667</v>
      </c>
      <c r="C21">
        <v>565</v>
      </c>
      <c r="D21" t="s">
        <v>664</v>
      </c>
      <c r="E21">
        <v>2.83</v>
      </c>
      <c r="F21">
        <v>265000</v>
      </c>
      <c r="G21">
        <v>0</v>
      </c>
      <c r="H21">
        <v>0</v>
      </c>
      <c r="I21">
        <v>0</v>
      </c>
      <c r="J21">
        <v>0</v>
      </c>
      <c r="K21">
        <v>264190</v>
      </c>
      <c r="N21">
        <f t="shared" si="0"/>
        <v>264190</v>
      </c>
    </row>
    <row r="22" spans="1:15">
      <c r="A22" t="s">
        <v>668</v>
      </c>
      <c r="C22">
        <v>1000</v>
      </c>
      <c r="D22" t="s">
        <v>664</v>
      </c>
      <c r="E22">
        <v>5.05</v>
      </c>
      <c r="F22">
        <v>505000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N22">
        <f t="shared" si="0"/>
        <v>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G23">
        <v>0</v>
      </c>
      <c r="H23">
        <v>27932</v>
      </c>
      <c r="I23">
        <v>41070</v>
      </c>
      <c r="J23">
        <v>25923</v>
      </c>
      <c r="K23">
        <v>21871</v>
      </c>
      <c r="L23">
        <v>0</v>
      </c>
      <c r="N23">
        <f t="shared" si="0"/>
        <v>116796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60.32</v>
      </c>
      <c r="F25">
        <f t="shared" ref="F25:O25" si="1">SUM(F16:F24)</f>
        <v>1833000</v>
      </c>
      <c r="G25">
        <f t="shared" si="1"/>
        <v>0</v>
      </c>
      <c r="H25">
        <f t="shared" si="1"/>
        <v>179760</v>
      </c>
      <c r="I25">
        <f t="shared" si="1"/>
        <v>2098629</v>
      </c>
      <c r="J25">
        <f t="shared" si="1"/>
        <v>1598481</v>
      </c>
      <c r="K25">
        <f t="shared" si="1"/>
        <v>547529</v>
      </c>
      <c r="L25">
        <f t="shared" si="1"/>
        <v>606625</v>
      </c>
      <c r="M25">
        <f t="shared" si="1"/>
        <v>0</v>
      </c>
      <c r="N25">
        <f t="shared" si="1"/>
        <v>5031024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29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>
  <dimension ref="A1:N38"/>
  <sheetViews>
    <sheetView workbookViewId="0">
      <selection activeCell="A4" sqref="A4:C4"/>
    </sheetView>
  </sheetViews>
  <sheetFormatPr defaultRowHeight="15"/>
  <cols>
    <col min="1" max="1" width="36.7109375" customWidth="1"/>
    <col min="2" max="2" width="10" customWidth="1"/>
    <col min="4" max="5" width="16" customWidth="1"/>
    <col min="6" max="6" width="13.7109375" customWidth="1"/>
    <col min="8" max="8" width="11.5703125" customWidth="1"/>
    <col min="12" max="12" width="11.85546875" customWidth="1"/>
    <col min="257" max="257" width="36.7109375" customWidth="1"/>
    <col min="258" max="258" width="10" customWidth="1"/>
    <col min="260" max="261" width="16" customWidth="1"/>
    <col min="262" max="262" width="13.7109375" customWidth="1"/>
    <col min="264" max="264" width="11.5703125" customWidth="1"/>
    <col min="268" max="268" width="11.85546875" customWidth="1"/>
    <col min="513" max="513" width="36.7109375" customWidth="1"/>
    <col min="514" max="514" width="10" customWidth="1"/>
    <col min="516" max="517" width="16" customWidth="1"/>
    <col min="518" max="518" width="13.7109375" customWidth="1"/>
    <col min="520" max="520" width="11.5703125" customWidth="1"/>
    <col min="524" max="524" width="11.85546875" customWidth="1"/>
    <col min="769" max="769" width="36.7109375" customWidth="1"/>
    <col min="770" max="770" width="10" customWidth="1"/>
    <col min="772" max="773" width="16" customWidth="1"/>
    <col min="774" max="774" width="13.7109375" customWidth="1"/>
    <col min="776" max="776" width="11.5703125" customWidth="1"/>
    <col min="780" max="780" width="11.85546875" customWidth="1"/>
    <col min="1025" max="1025" width="36.7109375" customWidth="1"/>
    <col min="1026" max="1026" width="10" customWidth="1"/>
    <col min="1028" max="1029" width="16" customWidth="1"/>
    <col min="1030" max="1030" width="13.7109375" customWidth="1"/>
    <col min="1032" max="1032" width="11.5703125" customWidth="1"/>
    <col min="1036" max="1036" width="11.85546875" customWidth="1"/>
    <col min="1281" max="1281" width="36.7109375" customWidth="1"/>
    <col min="1282" max="1282" width="10" customWidth="1"/>
    <col min="1284" max="1285" width="16" customWidth="1"/>
    <col min="1286" max="1286" width="13.7109375" customWidth="1"/>
    <col min="1288" max="1288" width="11.5703125" customWidth="1"/>
    <col min="1292" max="1292" width="11.85546875" customWidth="1"/>
    <col min="1537" max="1537" width="36.7109375" customWidth="1"/>
    <col min="1538" max="1538" width="10" customWidth="1"/>
    <col min="1540" max="1541" width="16" customWidth="1"/>
    <col min="1542" max="1542" width="13.7109375" customWidth="1"/>
    <col min="1544" max="1544" width="11.5703125" customWidth="1"/>
    <col min="1548" max="1548" width="11.85546875" customWidth="1"/>
    <col min="1793" max="1793" width="36.7109375" customWidth="1"/>
    <col min="1794" max="1794" width="10" customWidth="1"/>
    <col min="1796" max="1797" width="16" customWidth="1"/>
    <col min="1798" max="1798" width="13.7109375" customWidth="1"/>
    <col min="1800" max="1800" width="11.5703125" customWidth="1"/>
    <col min="1804" max="1804" width="11.85546875" customWidth="1"/>
    <col min="2049" max="2049" width="36.7109375" customWidth="1"/>
    <col min="2050" max="2050" width="10" customWidth="1"/>
    <col min="2052" max="2053" width="16" customWidth="1"/>
    <col min="2054" max="2054" width="13.7109375" customWidth="1"/>
    <col min="2056" max="2056" width="11.5703125" customWidth="1"/>
    <col min="2060" max="2060" width="11.85546875" customWidth="1"/>
    <col min="2305" max="2305" width="36.7109375" customWidth="1"/>
    <col min="2306" max="2306" width="10" customWidth="1"/>
    <col min="2308" max="2309" width="16" customWidth="1"/>
    <col min="2310" max="2310" width="13.7109375" customWidth="1"/>
    <col min="2312" max="2312" width="11.5703125" customWidth="1"/>
    <col min="2316" max="2316" width="11.85546875" customWidth="1"/>
    <col min="2561" max="2561" width="36.7109375" customWidth="1"/>
    <col min="2562" max="2562" width="10" customWidth="1"/>
    <col min="2564" max="2565" width="16" customWidth="1"/>
    <col min="2566" max="2566" width="13.7109375" customWidth="1"/>
    <col min="2568" max="2568" width="11.5703125" customWidth="1"/>
    <col min="2572" max="2572" width="11.85546875" customWidth="1"/>
    <col min="2817" max="2817" width="36.7109375" customWidth="1"/>
    <col min="2818" max="2818" width="10" customWidth="1"/>
    <col min="2820" max="2821" width="16" customWidth="1"/>
    <col min="2822" max="2822" width="13.7109375" customWidth="1"/>
    <col min="2824" max="2824" width="11.5703125" customWidth="1"/>
    <col min="2828" max="2828" width="11.85546875" customWidth="1"/>
    <col min="3073" max="3073" width="36.7109375" customWidth="1"/>
    <col min="3074" max="3074" width="10" customWidth="1"/>
    <col min="3076" max="3077" width="16" customWidth="1"/>
    <col min="3078" max="3078" width="13.7109375" customWidth="1"/>
    <col min="3080" max="3080" width="11.5703125" customWidth="1"/>
    <col min="3084" max="3084" width="11.85546875" customWidth="1"/>
    <col min="3329" max="3329" width="36.7109375" customWidth="1"/>
    <col min="3330" max="3330" width="10" customWidth="1"/>
    <col min="3332" max="3333" width="16" customWidth="1"/>
    <col min="3334" max="3334" width="13.7109375" customWidth="1"/>
    <col min="3336" max="3336" width="11.5703125" customWidth="1"/>
    <col min="3340" max="3340" width="11.85546875" customWidth="1"/>
    <col min="3585" max="3585" width="36.7109375" customWidth="1"/>
    <col min="3586" max="3586" width="10" customWidth="1"/>
    <col min="3588" max="3589" width="16" customWidth="1"/>
    <col min="3590" max="3590" width="13.7109375" customWidth="1"/>
    <col min="3592" max="3592" width="11.5703125" customWidth="1"/>
    <col min="3596" max="3596" width="11.85546875" customWidth="1"/>
    <col min="3841" max="3841" width="36.7109375" customWidth="1"/>
    <col min="3842" max="3842" width="10" customWidth="1"/>
    <col min="3844" max="3845" width="16" customWidth="1"/>
    <col min="3846" max="3846" width="13.7109375" customWidth="1"/>
    <col min="3848" max="3848" width="11.5703125" customWidth="1"/>
    <col min="3852" max="3852" width="11.85546875" customWidth="1"/>
    <col min="4097" max="4097" width="36.7109375" customWidth="1"/>
    <col min="4098" max="4098" width="10" customWidth="1"/>
    <col min="4100" max="4101" width="16" customWidth="1"/>
    <col min="4102" max="4102" width="13.7109375" customWidth="1"/>
    <col min="4104" max="4104" width="11.5703125" customWidth="1"/>
    <col min="4108" max="4108" width="11.85546875" customWidth="1"/>
    <col min="4353" max="4353" width="36.7109375" customWidth="1"/>
    <col min="4354" max="4354" width="10" customWidth="1"/>
    <col min="4356" max="4357" width="16" customWidth="1"/>
    <col min="4358" max="4358" width="13.7109375" customWidth="1"/>
    <col min="4360" max="4360" width="11.5703125" customWidth="1"/>
    <col min="4364" max="4364" width="11.85546875" customWidth="1"/>
    <col min="4609" max="4609" width="36.7109375" customWidth="1"/>
    <col min="4610" max="4610" width="10" customWidth="1"/>
    <col min="4612" max="4613" width="16" customWidth="1"/>
    <col min="4614" max="4614" width="13.7109375" customWidth="1"/>
    <col min="4616" max="4616" width="11.5703125" customWidth="1"/>
    <col min="4620" max="4620" width="11.85546875" customWidth="1"/>
    <col min="4865" max="4865" width="36.7109375" customWidth="1"/>
    <col min="4866" max="4866" width="10" customWidth="1"/>
    <col min="4868" max="4869" width="16" customWidth="1"/>
    <col min="4870" max="4870" width="13.7109375" customWidth="1"/>
    <col min="4872" max="4872" width="11.5703125" customWidth="1"/>
    <col min="4876" max="4876" width="11.85546875" customWidth="1"/>
    <col min="5121" max="5121" width="36.7109375" customWidth="1"/>
    <col min="5122" max="5122" width="10" customWidth="1"/>
    <col min="5124" max="5125" width="16" customWidth="1"/>
    <col min="5126" max="5126" width="13.7109375" customWidth="1"/>
    <col min="5128" max="5128" width="11.5703125" customWidth="1"/>
    <col min="5132" max="5132" width="11.85546875" customWidth="1"/>
    <col min="5377" max="5377" width="36.7109375" customWidth="1"/>
    <col min="5378" max="5378" width="10" customWidth="1"/>
    <col min="5380" max="5381" width="16" customWidth="1"/>
    <col min="5382" max="5382" width="13.7109375" customWidth="1"/>
    <col min="5384" max="5384" width="11.5703125" customWidth="1"/>
    <col min="5388" max="5388" width="11.85546875" customWidth="1"/>
    <col min="5633" max="5633" width="36.7109375" customWidth="1"/>
    <col min="5634" max="5634" width="10" customWidth="1"/>
    <col min="5636" max="5637" width="16" customWidth="1"/>
    <col min="5638" max="5638" width="13.7109375" customWidth="1"/>
    <col min="5640" max="5640" width="11.5703125" customWidth="1"/>
    <col min="5644" max="5644" width="11.85546875" customWidth="1"/>
    <col min="5889" max="5889" width="36.7109375" customWidth="1"/>
    <col min="5890" max="5890" width="10" customWidth="1"/>
    <col min="5892" max="5893" width="16" customWidth="1"/>
    <col min="5894" max="5894" width="13.7109375" customWidth="1"/>
    <col min="5896" max="5896" width="11.5703125" customWidth="1"/>
    <col min="5900" max="5900" width="11.85546875" customWidth="1"/>
    <col min="6145" max="6145" width="36.7109375" customWidth="1"/>
    <col min="6146" max="6146" width="10" customWidth="1"/>
    <col min="6148" max="6149" width="16" customWidth="1"/>
    <col min="6150" max="6150" width="13.7109375" customWidth="1"/>
    <col min="6152" max="6152" width="11.5703125" customWidth="1"/>
    <col min="6156" max="6156" width="11.85546875" customWidth="1"/>
    <col min="6401" max="6401" width="36.7109375" customWidth="1"/>
    <col min="6402" max="6402" width="10" customWidth="1"/>
    <col min="6404" max="6405" width="16" customWidth="1"/>
    <col min="6406" max="6406" width="13.7109375" customWidth="1"/>
    <col min="6408" max="6408" width="11.5703125" customWidth="1"/>
    <col min="6412" max="6412" width="11.85546875" customWidth="1"/>
    <col min="6657" max="6657" width="36.7109375" customWidth="1"/>
    <col min="6658" max="6658" width="10" customWidth="1"/>
    <col min="6660" max="6661" width="16" customWidth="1"/>
    <col min="6662" max="6662" width="13.7109375" customWidth="1"/>
    <col min="6664" max="6664" width="11.5703125" customWidth="1"/>
    <col min="6668" max="6668" width="11.85546875" customWidth="1"/>
    <col min="6913" max="6913" width="36.7109375" customWidth="1"/>
    <col min="6914" max="6914" width="10" customWidth="1"/>
    <col min="6916" max="6917" width="16" customWidth="1"/>
    <col min="6918" max="6918" width="13.7109375" customWidth="1"/>
    <col min="6920" max="6920" width="11.5703125" customWidth="1"/>
    <col min="6924" max="6924" width="11.85546875" customWidth="1"/>
    <col min="7169" max="7169" width="36.7109375" customWidth="1"/>
    <col min="7170" max="7170" width="10" customWidth="1"/>
    <col min="7172" max="7173" width="16" customWidth="1"/>
    <col min="7174" max="7174" width="13.7109375" customWidth="1"/>
    <col min="7176" max="7176" width="11.5703125" customWidth="1"/>
    <col min="7180" max="7180" width="11.85546875" customWidth="1"/>
    <col min="7425" max="7425" width="36.7109375" customWidth="1"/>
    <col min="7426" max="7426" width="10" customWidth="1"/>
    <col min="7428" max="7429" width="16" customWidth="1"/>
    <col min="7430" max="7430" width="13.7109375" customWidth="1"/>
    <col min="7432" max="7432" width="11.5703125" customWidth="1"/>
    <col min="7436" max="7436" width="11.85546875" customWidth="1"/>
    <col min="7681" max="7681" width="36.7109375" customWidth="1"/>
    <col min="7682" max="7682" width="10" customWidth="1"/>
    <col min="7684" max="7685" width="16" customWidth="1"/>
    <col min="7686" max="7686" width="13.7109375" customWidth="1"/>
    <col min="7688" max="7688" width="11.5703125" customWidth="1"/>
    <col min="7692" max="7692" width="11.85546875" customWidth="1"/>
    <col min="7937" max="7937" width="36.7109375" customWidth="1"/>
    <col min="7938" max="7938" width="10" customWidth="1"/>
    <col min="7940" max="7941" width="16" customWidth="1"/>
    <col min="7942" max="7942" width="13.7109375" customWidth="1"/>
    <col min="7944" max="7944" width="11.5703125" customWidth="1"/>
    <col min="7948" max="7948" width="11.85546875" customWidth="1"/>
    <col min="8193" max="8193" width="36.7109375" customWidth="1"/>
    <col min="8194" max="8194" width="10" customWidth="1"/>
    <col min="8196" max="8197" width="16" customWidth="1"/>
    <col min="8198" max="8198" width="13.7109375" customWidth="1"/>
    <col min="8200" max="8200" width="11.5703125" customWidth="1"/>
    <col min="8204" max="8204" width="11.85546875" customWidth="1"/>
    <col min="8449" max="8449" width="36.7109375" customWidth="1"/>
    <col min="8450" max="8450" width="10" customWidth="1"/>
    <col min="8452" max="8453" width="16" customWidth="1"/>
    <col min="8454" max="8454" width="13.7109375" customWidth="1"/>
    <col min="8456" max="8456" width="11.5703125" customWidth="1"/>
    <col min="8460" max="8460" width="11.85546875" customWidth="1"/>
    <col min="8705" max="8705" width="36.7109375" customWidth="1"/>
    <col min="8706" max="8706" width="10" customWidth="1"/>
    <col min="8708" max="8709" width="16" customWidth="1"/>
    <col min="8710" max="8710" width="13.7109375" customWidth="1"/>
    <col min="8712" max="8712" width="11.5703125" customWidth="1"/>
    <col min="8716" max="8716" width="11.85546875" customWidth="1"/>
    <col min="8961" max="8961" width="36.7109375" customWidth="1"/>
    <col min="8962" max="8962" width="10" customWidth="1"/>
    <col min="8964" max="8965" width="16" customWidth="1"/>
    <col min="8966" max="8966" width="13.7109375" customWidth="1"/>
    <col min="8968" max="8968" width="11.5703125" customWidth="1"/>
    <col min="8972" max="8972" width="11.85546875" customWidth="1"/>
    <col min="9217" max="9217" width="36.7109375" customWidth="1"/>
    <col min="9218" max="9218" width="10" customWidth="1"/>
    <col min="9220" max="9221" width="16" customWidth="1"/>
    <col min="9222" max="9222" width="13.7109375" customWidth="1"/>
    <col min="9224" max="9224" width="11.5703125" customWidth="1"/>
    <col min="9228" max="9228" width="11.85546875" customWidth="1"/>
    <col min="9473" max="9473" width="36.7109375" customWidth="1"/>
    <col min="9474" max="9474" width="10" customWidth="1"/>
    <col min="9476" max="9477" width="16" customWidth="1"/>
    <col min="9478" max="9478" width="13.7109375" customWidth="1"/>
    <col min="9480" max="9480" width="11.5703125" customWidth="1"/>
    <col min="9484" max="9484" width="11.85546875" customWidth="1"/>
    <col min="9729" max="9729" width="36.7109375" customWidth="1"/>
    <col min="9730" max="9730" width="10" customWidth="1"/>
    <col min="9732" max="9733" width="16" customWidth="1"/>
    <col min="9734" max="9734" width="13.7109375" customWidth="1"/>
    <col min="9736" max="9736" width="11.5703125" customWidth="1"/>
    <col min="9740" max="9740" width="11.85546875" customWidth="1"/>
    <col min="9985" max="9985" width="36.7109375" customWidth="1"/>
    <col min="9986" max="9986" width="10" customWidth="1"/>
    <col min="9988" max="9989" width="16" customWidth="1"/>
    <col min="9990" max="9990" width="13.7109375" customWidth="1"/>
    <col min="9992" max="9992" width="11.5703125" customWidth="1"/>
    <col min="9996" max="9996" width="11.85546875" customWidth="1"/>
    <col min="10241" max="10241" width="36.7109375" customWidth="1"/>
    <col min="10242" max="10242" width="10" customWidth="1"/>
    <col min="10244" max="10245" width="16" customWidth="1"/>
    <col min="10246" max="10246" width="13.7109375" customWidth="1"/>
    <col min="10248" max="10248" width="11.5703125" customWidth="1"/>
    <col min="10252" max="10252" width="11.85546875" customWidth="1"/>
    <col min="10497" max="10497" width="36.7109375" customWidth="1"/>
    <col min="10498" max="10498" width="10" customWidth="1"/>
    <col min="10500" max="10501" width="16" customWidth="1"/>
    <col min="10502" max="10502" width="13.7109375" customWidth="1"/>
    <col min="10504" max="10504" width="11.5703125" customWidth="1"/>
    <col min="10508" max="10508" width="11.85546875" customWidth="1"/>
    <col min="10753" max="10753" width="36.7109375" customWidth="1"/>
    <col min="10754" max="10754" width="10" customWidth="1"/>
    <col min="10756" max="10757" width="16" customWidth="1"/>
    <col min="10758" max="10758" width="13.7109375" customWidth="1"/>
    <col min="10760" max="10760" width="11.5703125" customWidth="1"/>
    <col min="10764" max="10764" width="11.85546875" customWidth="1"/>
    <col min="11009" max="11009" width="36.7109375" customWidth="1"/>
    <col min="11010" max="11010" width="10" customWidth="1"/>
    <col min="11012" max="11013" width="16" customWidth="1"/>
    <col min="11014" max="11014" width="13.7109375" customWidth="1"/>
    <col min="11016" max="11016" width="11.5703125" customWidth="1"/>
    <col min="11020" max="11020" width="11.85546875" customWidth="1"/>
    <col min="11265" max="11265" width="36.7109375" customWidth="1"/>
    <col min="11266" max="11266" width="10" customWidth="1"/>
    <col min="11268" max="11269" width="16" customWidth="1"/>
    <col min="11270" max="11270" width="13.7109375" customWidth="1"/>
    <col min="11272" max="11272" width="11.5703125" customWidth="1"/>
    <col min="11276" max="11276" width="11.85546875" customWidth="1"/>
    <col min="11521" max="11521" width="36.7109375" customWidth="1"/>
    <col min="11522" max="11522" width="10" customWidth="1"/>
    <col min="11524" max="11525" width="16" customWidth="1"/>
    <col min="11526" max="11526" width="13.7109375" customWidth="1"/>
    <col min="11528" max="11528" width="11.5703125" customWidth="1"/>
    <col min="11532" max="11532" width="11.85546875" customWidth="1"/>
    <col min="11777" max="11777" width="36.7109375" customWidth="1"/>
    <col min="11778" max="11778" width="10" customWidth="1"/>
    <col min="11780" max="11781" width="16" customWidth="1"/>
    <col min="11782" max="11782" width="13.7109375" customWidth="1"/>
    <col min="11784" max="11784" width="11.5703125" customWidth="1"/>
    <col min="11788" max="11788" width="11.85546875" customWidth="1"/>
    <col min="12033" max="12033" width="36.7109375" customWidth="1"/>
    <col min="12034" max="12034" width="10" customWidth="1"/>
    <col min="12036" max="12037" width="16" customWidth="1"/>
    <col min="12038" max="12038" width="13.7109375" customWidth="1"/>
    <col min="12040" max="12040" width="11.5703125" customWidth="1"/>
    <col min="12044" max="12044" width="11.85546875" customWidth="1"/>
    <col min="12289" max="12289" width="36.7109375" customWidth="1"/>
    <col min="12290" max="12290" width="10" customWidth="1"/>
    <col min="12292" max="12293" width="16" customWidth="1"/>
    <col min="12294" max="12294" width="13.7109375" customWidth="1"/>
    <col min="12296" max="12296" width="11.5703125" customWidth="1"/>
    <col min="12300" max="12300" width="11.85546875" customWidth="1"/>
    <col min="12545" max="12545" width="36.7109375" customWidth="1"/>
    <col min="12546" max="12546" width="10" customWidth="1"/>
    <col min="12548" max="12549" width="16" customWidth="1"/>
    <col min="12550" max="12550" width="13.7109375" customWidth="1"/>
    <col min="12552" max="12552" width="11.5703125" customWidth="1"/>
    <col min="12556" max="12556" width="11.85546875" customWidth="1"/>
    <col min="12801" max="12801" width="36.7109375" customWidth="1"/>
    <col min="12802" max="12802" width="10" customWidth="1"/>
    <col min="12804" max="12805" width="16" customWidth="1"/>
    <col min="12806" max="12806" width="13.7109375" customWidth="1"/>
    <col min="12808" max="12808" width="11.5703125" customWidth="1"/>
    <col min="12812" max="12812" width="11.85546875" customWidth="1"/>
    <col min="13057" max="13057" width="36.7109375" customWidth="1"/>
    <col min="13058" max="13058" width="10" customWidth="1"/>
    <col min="13060" max="13061" width="16" customWidth="1"/>
    <col min="13062" max="13062" width="13.7109375" customWidth="1"/>
    <col min="13064" max="13064" width="11.5703125" customWidth="1"/>
    <col min="13068" max="13068" width="11.85546875" customWidth="1"/>
    <col min="13313" max="13313" width="36.7109375" customWidth="1"/>
    <col min="13314" max="13314" width="10" customWidth="1"/>
    <col min="13316" max="13317" width="16" customWidth="1"/>
    <col min="13318" max="13318" width="13.7109375" customWidth="1"/>
    <col min="13320" max="13320" width="11.5703125" customWidth="1"/>
    <col min="13324" max="13324" width="11.85546875" customWidth="1"/>
    <col min="13569" max="13569" width="36.7109375" customWidth="1"/>
    <col min="13570" max="13570" width="10" customWidth="1"/>
    <col min="13572" max="13573" width="16" customWidth="1"/>
    <col min="13574" max="13574" width="13.7109375" customWidth="1"/>
    <col min="13576" max="13576" width="11.5703125" customWidth="1"/>
    <col min="13580" max="13580" width="11.85546875" customWidth="1"/>
    <col min="13825" max="13825" width="36.7109375" customWidth="1"/>
    <col min="13826" max="13826" width="10" customWidth="1"/>
    <col min="13828" max="13829" width="16" customWidth="1"/>
    <col min="13830" max="13830" width="13.7109375" customWidth="1"/>
    <col min="13832" max="13832" width="11.5703125" customWidth="1"/>
    <col min="13836" max="13836" width="11.85546875" customWidth="1"/>
    <col min="14081" max="14081" width="36.7109375" customWidth="1"/>
    <col min="14082" max="14082" width="10" customWidth="1"/>
    <col min="14084" max="14085" width="16" customWidth="1"/>
    <col min="14086" max="14086" width="13.7109375" customWidth="1"/>
    <col min="14088" max="14088" width="11.5703125" customWidth="1"/>
    <col min="14092" max="14092" width="11.85546875" customWidth="1"/>
    <col min="14337" max="14337" width="36.7109375" customWidth="1"/>
    <col min="14338" max="14338" width="10" customWidth="1"/>
    <col min="14340" max="14341" width="16" customWidth="1"/>
    <col min="14342" max="14342" width="13.7109375" customWidth="1"/>
    <col min="14344" max="14344" width="11.5703125" customWidth="1"/>
    <col min="14348" max="14348" width="11.85546875" customWidth="1"/>
    <col min="14593" max="14593" width="36.7109375" customWidth="1"/>
    <col min="14594" max="14594" width="10" customWidth="1"/>
    <col min="14596" max="14597" width="16" customWidth="1"/>
    <col min="14598" max="14598" width="13.7109375" customWidth="1"/>
    <col min="14600" max="14600" width="11.5703125" customWidth="1"/>
    <col min="14604" max="14604" width="11.85546875" customWidth="1"/>
    <col min="14849" max="14849" width="36.7109375" customWidth="1"/>
    <col min="14850" max="14850" width="10" customWidth="1"/>
    <col min="14852" max="14853" width="16" customWidth="1"/>
    <col min="14854" max="14854" width="13.7109375" customWidth="1"/>
    <col min="14856" max="14856" width="11.5703125" customWidth="1"/>
    <col min="14860" max="14860" width="11.85546875" customWidth="1"/>
    <col min="15105" max="15105" width="36.7109375" customWidth="1"/>
    <col min="15106" max="15106" width="10" customWidth="1"/>
    <col min="15108" max="15109" width="16" customWidth="1"/>
    <col min="15110" max="15110" width="13.7109375" customWidth="1"/>
    <col min="15112" max="15112" width="11.5703125" customWidth="1"/>
    <col min="15116" max="15116" width="11.85546875" customWidth="1"/>
    <col min="15361" max="15361" width="36.7109375" customWidth="1"/>
    <col min="15362" max="15362" width="10" customWidth="1"/>
    <col min="15364" max="15365" width="16" customWidth="1"/>
    <col min="15366" max="15366" width="13.7109375" customWidth="1"/>
    <col min="15368" max="15368" width="11.5703125" customWidth="1"/>
    <col min="15372" max="15372" width="11.85546875" customWidth="1"/>
    <col min="15617" max="15617" width="36.7109375" customWidth="1"/>
    <col min="15618" max="15618" width="10" customWidth="1"/>
    <col min="15620" max="15621" width="16" customWidth="1"/>
    <col min="15622" max="15622" width="13.7109375" customWidth="1"/>
    <col min="15624" max="15624" width="11.5703125" customWidth="1"/>
    <col min="15628" max="15628" width="11.85546875" customWidth="1"/>
    <col min="15873" max="15873" width="36.7109375" customWidth="1"/>
    <col min="15874" max="15874" width="10" customWidth="1"/>
    <col min="15876" max="15877" width="16" customWidth="1"/>
    <col min="15878" max="15878" width="13.7109375" customWidth="1"/>
    <col min="15880" max="15880" width="11.5703125" customWidth="1"/>
    <col min="15884" max="15884" width="11.85546875" customWidth="1"/>
    <col min="16129" max="16129" width="36.7109375" customWidth="1"/>
    <col min="16130" max="16130" width="10" customWidth="1"/>
    <col min="16132" max="16133" width="16" customWidth="1"/>
    <col min="16134" max="16134" width="13.7109375" customWidth="1"/>
    <col min="16136" max="16136" width="11.5703125" customWidth="1"/>
    <col min="16140" max="16140" width="11.85546875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995" t="s">
        <v>5759</v>
      </c>
      <c r="C3" s="995"/>
      <c r="D3" s="995"/>
      <c r="E3" s="1492" t="s">
        <v>2966</v>
      </c>
      <c r="F3" s="1492"/>
      <c r="G3" s="1518">
        <v>405010207040104</v>
      </c>
      <c r="H3" s="1518"/>
      <c r="I3" s="677" t="s">
        <v>5</v>
      </c>
      <c r="J3" s="677"/>
      <c r="K3" s="80">
        <v>581</v>
      </c>
      <c r="L3" s="1519" t="s">
        <v>436</v>
      </c>
      <c r="M3" s="1520"/>
      <c r="N3" s="80">
        <v>0</v>
      </c>
    </row>
    <row r="4" spans="1:14">
      <c r="A4" s="1521" t="s">
        <v>4176</v>
      </c>
      <c r="B4" s="1521"/>
      <c r="C4" s="1521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</row>
    <row r="5" spans="1:14" ht="26.25" customHeight="1">
      <c r="A5" s="677" t="s">
        <v>2967</v>
      </c>
      <c r="B5" s="995" t="s">
        <v>2968</v>
      </c>
      <c r="C5" s="995"/>
      <c r="D5" s="1492" t="s">
        <v>2969</v>
      </c>
      <c r="E5" s="1492"/>
      <c r="F5" s="1492"/>
      <c r="G5" s="1522" t="s">
        <v>2970</v>
      </c>
      <c r="H5" s="1522"/>
      <c r="I5" s="295"/>
      <c r="J5" s="295"/>
      <c r="K5" s="295"/>
      <c r="L5" s="295"/>
      <c r="M5" s="295"/>
      <c r="N5" s="295"/>
    </row>
    <row r="6" spans="1:14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26.25" customHeight="1">
      <c r="A7" s="677" t="s">
        <v>618</v>
      </c>
      <c r="B7" s="995" t="s">
        <v>2970</v>
      </c>
      <c r="C7" s="995"/>
      <c r="D7" s="995"/>
      <c r="E7" s="1505" t="s">
        <v>2971</v>
      </c>
      <c r="F7" s="1505"/>
      <c r="G7" s="1522" t="s">
        <v>2972</v>
      </c>
      <c r="H7" s="1522"/>
      <c r="I7" s="295"/>
      <c r="J7" s="295"/>
      <c r="K7" s="295"/>
      <c r="L7" s="295"/>
      <c r="M7" s="295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995" t="s">
        <v>2973</v>
      </c>
      <c r="C9" s="995"/>
      <c r="D9" s="995"/>
      <c r="E9" s="295"/>
      <c r="F9" s="295"/>
      <c r="G9" s="295"/>
      <c r="H9" s="295"/>
      <c r="I9" s="295"/>
      <c r="J9" s="295"/>
      <c r="K9" s="295"/>
      <c r="L9" s="295"/>
      <c r="M9" s="295"/>
      <c r="N9" s="295"/>
    </row>
    <row r="10" spans="1:14" ht="26.25" customHeight="1">
      <c r="A10" s="677" t="s">
        <v>2974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995" t="s">
        <v>2976</v>
      </c>
      <c r="C11" s="995"/>
      <c r="D11" s="995" t="s">
        <v>2977</v>
      </c>
      <c r="E11" s="995"/>
      <c r="F11" s="1478" t="s">
        <v>2978</v>
      </c>
      <c r="G11" s="995"/>
      <c r="H11" s="995" t="s">
        <v>2979</v>
      </c>
      <c r="I11" s="995"/>
      <c r="J11" s="295"/>
      <c r="K11" s="295"/>
      <c r="L11" s="295"/>
      <c r="M11" s="295"/>
      <c r="N11" s="295"/>
    </row>
    <row r="12" spans="1:14" ht="26.25" customHeight="1">
      <c r="A12" s="677" t="s">
        <v>2980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1</v>
      </c>
      <c r="C14" s="1474" t="s">
        <v>2982</v>
      </c>
      <c r="D14" s="1473"/>
      <c r="E14" s="317">
        <v>0</v>
      </c>
      <c r="F14" s="677" t="s">
        <v>1918</v>
      </c>
      <c r="G14" s="317">
        <v>8</v>
      </c>
      <c r="H14" s="677" t="s">
        <v>1492</v>
      </c>
      <c r="I14" s="317">
        <v>0</v>
      </c>
      <c r="J14" s="677" t="s">
        <v>1493</v>
      </c>
      <c r="K14" s="317">
        <v>6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129</v>
      </c>
      <c r="D16" s="677" t="s">
        <v>205</v>
      </c>
      <c r="E16" s="80">
        <v>0</v>
      </c>
      <c r="F16" s="677" t="s">
        <v>2983</v>
      </c>
      <c r="G16" s="80">
        <v>0</v>
      </c>
      <c r="H16" s="677" t="s">
        <v>245</v>
      </c>
      <c r="I16" s="80">
        <v>129</v>
      </c>
      <c r="J16" s="677" t="s">
        <v>207</v>
      </c>
      <c r="K16" s="80">
        <v>120</v>
      </c>
      <c r="L16" s="1505" t="s">
        <v>2984</v>
      </c>
      <c r="M16" s="1505"/>
      <c r="N16" s="80">
        <v>5</v>
      </c>
    </row>
    <row r="17" spans="1:14" ht="26.25" customHeight="1">
      <c r="A17" s="674" t="s">
        <v>209</v>
      </c>
      <c r="B17" s="677" t="s">
        <v>210</v>
      </c>
      <c r="C17" s="80">
        <v>262</v>
      </c>
      <c r="D17" s="677" t="s">
        <v>211</v>
      </c>
      <c r="E17" s="80">
        <v>0</v>
      </c>
      <c r="F17" s="677" t="s">
        <v>212</v>
      </c>
      <c r="G17" s="80">
        <v>0</v>
      </c>
      <c r="H17" s="677" t="s">
        <v>411</v>
      </c>
      <c r="I17" s="80">
        <v>262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272</v>
      </c>
      <c r="D18" s="677" t="s">
        <v>2986</v>
      </c>
      <c r="E18" s="80">
        <v>0</v>
      </c>
      <c r="F18" s="677" t="s">
        <v>2987</v>
      </c>
      <c r="G18" s="80">
        <v>0</v>
      </c>
      <c r="H18" s="677" t="s">
        <v>2988</v>
      </c>
      <c r="I18" s="80">
        <v>272</v>
      </c>
      <c r="J18" s="295"/>
      <c r="K18" s="295"/>
      <c r="L18" s="295"/>
      <c r="M18" s="295"/>
      <c r="N18" s="295"/>
    </row>
    <row r="19" spans="1:14" s="403" customFormat="1" ht="26.25" customHeigh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3" t="s">
        <v>217</v>
      </c>
      <c r="B20" s="1523" t="s">
        <v>218</v>
      </c>
      <c r="C20" s="1524" t="s">
        <v>219</v>
      </c>
      <c r="D20" s="1523" t="s">
        <v>1363</v>
      </c>
      <c r="E20" s="1523" t="s">
        <v>1713</v>
      </c>
      <c r="F20" s="1525" t="s">
        <v>2989</v>
      </c>
      <c r="G20" s="1525"/>
      <c r="H20" s="1525"/>
      <c r="I20" s="1525"/>
      <c r="J20" s="1525"/>
      <c r="K20" s="1525"/>
      <c r="L20" s="1525"/>
      <c r="M20" s="1525"/>
      <c r="N20" s="1525"/>
    </row>
    <row r="21" spans="1:14" ht="26.25" customHeight="1">
      <c r="A21" s="713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13" t="s">
        <v>231</v>
      </c>
    </row>
    <row r="22" spans="1:14" ht="26.25" customHeight="1">
      <c r="A22" s="677" t="s">
        <v>2990</v>
      </c>
      <c r="B22" s="80">
        <v>8000</v>
      </c>
      <c r="C22" s="317" t="s">
        <v>873</v>
      </c>
      <c r="D22" s="300">
        <v>40</v>
      </c>
      <c r="E22" s="300">
        <v>4.7798800000000004</v>
      </c>
      <c r="F22" s="699">
        <v>0</v>
      </c>
      <c r="G22" s="699">
        <v>0</v>
      </c>
      <c r="H22" s="699">
        <v>2.2080000000000002</v>
      </c>
      <c r="I22" s="317"/>
      <c r="J22" s="317"/>
      <c r="K22" s="317"/>
      <c r="L22" s="317"/>
      <c r="M22" s="699">
        <f>F22+G22+H22</f>
        <v>2.2080000000000002</v>
      </c>
      <c r="N22" s="699">
        <f>M22/E22*100</f>
        <v>46.193628291923652</v>
      </c>
    </row>
    <row r="23" spans="1:14" ht="26.25" customHeight="1">
      <c r="A23" s="677" t="s">
        <v>234</v>
      </c>
      <c r="B23" s="80">
        <v>7000</v>
      </c>
      <c r="C23" s="317" t="s">
        <v>873</v>
      </c>
      <c r="D23" s="30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80">
        <v>0</v>
      </c>
    </row>
    <row r="24" spans="1:14" ht="26.25" customHeight="1">
      <c r="A24" s="677" t="s">
        <v>2991</v>
      </c>
      <c r="B24" s="80">
        <v>43000</v>
      </c>
      <c r="C24" s="317" t="s">
        <v>236</v>
      </c>
      <c r="D24" s="30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80">
        <f t="shared" ref="N24:N29" si="1">M24/E24*100</f>
        <v>0</v>
      </c>
    </row>
    <row r="25" spans="1:14" ht="26.25" customHeight="1">
      <c r="A25" s="677" t="s">
        <v>2992</v>
      </c>
      <c r="B25" s="80">
        <v>37000</v>
      </c>
      <c r="C25" s="317" t="s">
        <v>236</v>
      </c>
      <c r="D25" s="30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80">
        <f t="shared" si="1"/>
        <v>0</v>
      </c>
    </row>
    <row r="26" spans="1:14" ht="26.25" customHeight="1">
      <c r="A26" s="677" t="s">
        <v>2993</v>
      </c>
      <c r="B26" s="80">
        <v>1200</v>
      </c>
      <c r="C26" s="317" t="s">
        <v>236</v>
      </c>
      <c r="D26" s="300">
        <v>6</v>
      </c>
      <c r="E26" s="300">
        <v>2</v>
      </c>
      <c r="F26" s="300">
        <v>0</v>
      </c>
      <c r="G26" s="699">
        <v>0</v>
      </c>
      <c r="H26" s="300">
        <v>2.5649999999999999E-2</v>
      </c>
      <c r="I26" s="80"/>
      <c r="J26" s="80"/>
      <c r="K26" s="80"/>
      <c r="L26" s="80"/>
      <c r="M26" s="699">
        <f t="shared" si="0"/>
        <v>2.5649999999999999E-2</v>
      </c>
      <c r="N26" s="80">
        <f t="shared" si="1"/>
        <v>1.2825</v>
      </c>
    </row>
    <row r="27" spans="1:14" ht="26.25" customHeight="1">
      <c r="A27" s="677" t="s">
        <v>395</v>
      </c>
      <c r="B27" s="80">
        <v>565</v>
      </c>
      <c r="C27" s="317" t="s">
        <v>873</v>
      </c>
      <c r="D27" s="300">
        <v>2.83</v>
      </c>
      <c r="E27" s="300">
        <v>0.58099999999999996</v>
      </c>
      <c r="F27" s="300">
        <v>0</v>
      </c>
      <c r="G27" s="699">
        <v>0</v>
      </c>
      <c r="H27" s="300">
        <v>0.15</v>
      </c>
      <c r="I27" s="80"/>
      <c r="J27" s="80"/>
      <c r="K27" s="80"/>
      <c r="L27" s="80"/>
      <c r="M27" s="699">
        <f t="shared" si="0"/>
        <v>0.15</v>
      </c>
      <c r="N27" s="300">
        <f t="shared" si="1"/>
        <v>25.817555938037867</v>
      </c>
    </row>
    <row r="28" spans="1:14" ht="26.25" customHeight="1">
      <c r="A28" s="677" t="s">
        <v>1503</v>
      </c>
      <c r="B28" s="80">
        <v>1000</v>
      </c>
      <c r="C28" s="317" t="s">
        <v>873</v>
      </c>
      <c r="D28" s="30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80">
        <v>0</v>
      </c>
    </row>
    <row r="29" spans="1:14" ht="26.25" customHeight="1">
      <c r="A29" s="677" t="s">
        <v>241</v>
      </c>
      <c r="B29" s="80">
        <v>2750</v>
      </c>
      <c r="C29" s="317" t="s">
        <v>2994</v>
      </c>
      <c r="D29" s="300">
        <v>2.31</v>
      </c>
      <c r="E29" s="300">
        <v>0.33</v>
      </c>
      <c r="F29" s="300">
        <v>0</v>
      </c>
      <c r="G29" s="699">
        <v>0</v>
      </c>
      <c r="H29" s="300">
        <v>0.19500000000000001</v>
      </c>
      <c r="I29" s="80"/>
      <c r="J29" s="80"/>
      <c r="K29" s="80"/>
      <c r="L29" s="80"/>
      <c r="M29" s="699">
        <f t="shared" si="0"/>
        <v>0.19500000000000001</v>
      </c>
      <c r="N29" s="300">
        <f t="shared" si="1"/>
        <v>59.090909090909093</v>
      </c>
    </row>
    <row r="30" spans="1:14" ht="26.25" customHeight="1">
      <c r="A30" s="677" t="s">
        <v>670</v>
      </c>
      <c r="B30" s="80">
        <v>10000</v>
      </c>
      <c r="C30" s="317" t="s">
        <v>2995</v>
      </c>
      <c r="D30" s="300">
        <v>0.1</v>
      </c>
      <c r="E30" s="300">
        <v>0</v>
      </c>
      <c r="F30" s="300">
        <v>0</v>
      </c>
      <c r="G30" s="699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80">
        <v>0</v>
      </c>
    </row>
    <row r="31" spans="1:14" ht="26.25" customHeight="1">
      <c r="A31" s="714" t="s">
        <v>230</v>
      </c>
      <c r="B31" s="80">
        <f>SUM(B22:B30)</f>
        <v>110515</v>
      </c>
      <c r="C31" s="80"/>
      <c r="D31" s="300">
        <f>SUM(D22:D30)</f>
        <v>62.64</v>
      </c>
      <c r="E31" s="300">
        <f>SUM(E22:E30)</f>
        <v>8.0308799999999998</v>
      </c>
      <c r="F31" s="300">
        <f>SUM(F22:F30)</f>
        <v>0</v>
      </c>
      <c r="G31" s="300">
        <f t="shared" ref="G31:M31" si="2">SUM(G22:G30)</f>
        <v>0</v>
      </c>
      <c r="H31" s="300">
        <f t="shared" si="2"/>
        <v>2.5786500000000001</v>
      </c>
      <c r="I31" s="300">
        <f t="shared" si="2"/>
        <v>0</v>
      </c>
      <c r="J31" s="300">
        <f t="shared" si="2"/>
        <v>0</v>
      </c>
      <c r="K31" s="300">
        <f t="shared" si="2"/>
        <v>0</v>
      </c>
      <c r="L31" s="300">
        <f t="shared" si="2"/>
        <v>0</v>
      </c>
      <c r="M31" s="300">
        <f t="shared" si="2"/>
        <v>2.5786500000000001</v>
      </c>
      <c r="N31" s="80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5">
    <mergeCell ref="L16:M16"/>
    <mergeCell ref="B20:B21"/>
    <mergeCell ref="C20:C21"/>
    <mergeCell ref="D20:D21"/>
    <mergeCell ref="E20:E21"/>
    <mergeCell ref="F20:N20"/>
    <mergeCell ref="C14:D14"/>
    <mergeCell ref="A4:C4"/>
    <mergeCell ref="B5:C5"/>
    <mergeCell ref="D5:F5"/>
    <mergeCell ref="G5:H5"/>
    <mergeCell ref="B7:D7"/>
    <mergeCell ref="E7:F7"/>
    <mergeCell ref="G7:H7"/>
    <mergeCell ref="B9:D9"/>
    <mergeCell ref="B11:C11"/>
    <mergeCell ref="D11:E11"/>
    <mergeCell ref="F11:G11"/>
    <mergeCell ref="H11:I11"/>
    <mergeCell ref="A1:N1"/>
    <mergeCell ref="A2:N2"/>
    <mergeCell ref="B3:D3"/>
    <mergeCell ref="E3:F3"/>
    <mergeCell ref="G3:H3"/>
    <mergeCell ref="L3:M3"/>
  </mergeCells>
  <hyperlinks>
    <hyperlink ref="A4" location="'Fact Sheet of VDC'!A1" display="&lt;&lt;Back"/>
  </hyperlinks>
  <pageMargins left="0.13" right="0.12" top="0.51" bottom="0.22" header="0.31496062992125984" footer="0.06"/>
  <pageSetup scale="75" orientation="landscape" r:id="rId1"/>
</worksheet>
</file>

<file path=xl/worksheets/sheet292.xml><?xml version="1.0" encoding="utf-8"?>
<worksheet xmlns="http://schemas.openxmlformats.org/spreadsheetml/2006/main" xmlns:r="http://schemas.openxmlformats.org/officeDocument/2006/relationships">
  <dimension ref="A1:N38"/>
  <sheetViews>
    <sheetView workbookViewId="0">
      <selection activeCell="A4" sqref="A4:C4"/>
    </sheetView>
  </sheetViews>
  <sheetFormatPr defaultRowHeight="15"/>
  <cols>
    <col min="1" max="1" width="33.140625" customWidth="1"/>
    <col min="2" max="2" width="10" customWidth="1"/>
    <col min="3" max="3" width="10.7109375" customWidth="1"/>
    <col min="4" max="4" width="16.42578125" customWidth="1"/>
    <col min="5" max="5" width="19.5703125" customWidth="1"/>
    <col min="6" max="6" width="13.85546875" bestFit="1" customWidth="1"/>
    <col min="8" max="8" width="11.5703125" customWidth="1"/>
    <col min="12" max="12" width="11.5703125" customWidth="1"/>
    <col min="14" max="14" width="9.5703125" bestFit="1" customWidth="1"/>
    <col min="257" max="257" width="33.140625" customWidth="1"/>
    <col min="258" max="258" width="10" customWidth="1"/>
    <col min="259" max="259" width="10.7109375" customWidth="1"/>
    <col min="260" max="260" width="16.42578125" customWidth="1"/>
    <col min="261" max="261" width="19.5703125" customWidth="1"/>
    <col min="262" max="262" width="13.85546875" bestFit="1" customWidth="1"/>
    <col min="264" max="264" width="11.5703125" customWidth="1"/>
    <col min="268" max="268" width="11.5703125" customWidth="1"/>
    <col min="270" max="270" width="9.5703125" bestFit="1" customWidth="1"/>
    <col min="513" max="513" width="33.140625" customWidth="1"/>
    <col min="514" max="514" width="10" customWidth="1"/>
    <col min="515" max="515" width="10.7109375" customWidth="1"/>
    <col min="516" max="516" width="16.42578125" customWidth="1"/>
    <col min="517" max="517" width="19.5703125" customWidth="1"/>
    <col min="518" max="518" width="13.85546875" bestFit="1" customWidth="1"/>
    <col min="520" max="520" width="11.5703125" customWidth="1"/>
    <col min="524" max="524" width="11.5703125" customWidth="1"/>
    <col min="526" max="526" width="9.5703125" bestFit="1" customWidth="1"/>
    <col min="769" max="769" width="33.140625" customWidth="1"/>
    <col min="770" max="770" width="10" customWidth="1"/>
    <col min="771" max="771" width="10.7109375" customWidth="1"/>
    <col min="772" max="772" width="16.42578125" customWidth="1"/>
    <col min="773" max="773" width="19.5703125" customWidth="1"/>
    <col min="774" max="774" width="13.85546875" bestFit="1" customWidth="1"/>
    <col min="776" max="776" width="11.5703125" customWidth="1"/>
    <col min="780" max="780" width="11.5703125" customWidth="1"/>
    <col min="782" max="782" width="9.5703125" bestFit="1" customWidth="1"/>
    <col min="1025" max="1025" width="33.140625" customWidth="1"/>
    <col min="1026" max="1026" width="10" customWidth="1"/>
    <col min="1027" max="1027" width="10.7109375" customWidth="1"/>
    <col min="1028" max="1028" width="16.42578125" customWidth="1"/>
    <col min="1029" max="1029" width="19.5703125" customWidth="1"/>
    <col min="1030" max="1030" width="13.85546875" bestFit="1" customWidth="1"/>
    <col min="1032" max="1032" width="11.5703125" customWidth="1"/>
    <col min="1036" max="1036" width="11.5703125" customWidth="1"/>
    <col min="1038" max="1038" width="9.5703125" bestFit="1" customWidth="1"/>
    <col min="1281" max="1281" width="33.140625" customWidth="1"/>
    <col min="1282" max="1282" width="10" customWidth="1"/>
    <col min="1283" max="1283" width="10.7109375" customWidth="1"/>
    <col min="1284" max="1284" width="16.42578125" customWidth="1"/>
    <col min="1285" max="1285" width="19.5703125" customWidth="1"/>
    <col min="1286" max="1286" width="13.85546875" bestFit="1" customWidth="1"/>
    <col min="1288" max="1288" width="11.5703125" customWidth="1"/>
    <col min="1292" max="1292" width="11.5703125" customWidth="1"/>
    <col min="1294" max="1294" width="9.5703125" bestFit="1" customWidth="1"/>
    <col min="1537" max="1537" width="33.140625" customWidth="1"/>
    <col min="1538" max="1538" width="10" customWidth="1"/>
    <col min="1539" max="1539" width="10.7109375" customWidth="1"/>
    <col min="1540" max="1540" width="16.42578125" customWidth="1"/>
    <col min="1541" max="1541" width="19.5703125" customWidth="1"/>
    <col min="1542" max="1542" width="13.85546875" bestFit="1" customWidth="1"/>
    <col min="1544" max="1544" width="11.5703125" customWidth="1"/>
    <col min="1548" max="1548" width="11.5703125" customWidth="1"/>
    <col min="1550" max="1550" width="9.5703125" bestFit="1" customWidth="1"/>
    <col min="1793" max="1793" width="33.140625" customWidth="1"/>
    <col min="1794" max="1794" width="10" customWidth="1"/>
    <col min="1795" max="1795" width="10.7109375" customWidth="1"/>
    <col min="1796" max="1796" width="16.42578125" customWidth="1"/>
    <col min="1797" max="1797" width="19.5703125" customWidth="1"/>
    <col min="1798" max="1798" width="13.85546875" bestFit="1" customWidth="1"/>
    <col min="1800" max="1800" width="11.5703125" customWidth="1"/>
    <col min="1804" max="1804" width="11.5703125" customWidth="1"/>
    <col min="1806" max="1806" width="9.5703125" bestFit="1" customWidth="1"/>
    <col min="2049" max="2049" width="33.140625" customWidth="1"/>
    <col min="2050" max="2050" width="10" customWidth="1"/>
    <col min="2051" max="2051" width="10.7109375" customWidth="1"/>
    <col min="2052" max="2052" width="16.42578125" customWidth="1"/>
    <col min="2053" max="2053" width="19.5703125" customWidth="1"/>
    <col min="2054" max="2054" width="13.85546875" bestFit="1" customWidth="1"/>
    <col min="2056" max="2056" width="11.5703125" customWidth="1"/>
    <col min="2060" max="2060" width="11.5703125" customWidth="1"/>
    <col min="2062" max="2062" width="9.5703125" bestFit="1" customWidth="1"/>
    <col min="2305" max="2305" width="33.140625" customWidth="1"/>
    <col min="2306" max="2306" width="10" customWidth="1"/>
    <col min="2307" max="2307" width="10.7109375" customWidth="1"/>
    <col min="2308" max="2308" width="16.42578125" customWidth="1"/>
    <col min="2309" max="2309" width="19.5703125" customWidth="1"/>
    <col min="2310" max="2310" width="13.85546875" bestFit="1" customWidth="1"/>
    <col min="2312" max="2312" width="11.5703125" customWidth="1"/>
    <col min="2316" max="2316" width="11.5703125" customWidth="1"/>
    <col min="2318" max="2318" width="9.5703125" bestFit="1" customWidth="1"/>
    <col min="2561" max="2561" width="33.140625" customWidth="1"/>
    <col min="2562" max="2562" width="10" customWidth="1"/>
    <col min="2563" max="2563" width="10.7109375" customWidth="1"/>
    <col min="2564" max="2564" width="16.42578125" customWidth="1"/>
    <col min="2565" max="2565" width="19.5703125" customWidth="1"/>
    <col min="2566" max="2566" width="13.85546875" bestFit="1" customWidth="1"/>
    <col min="2568" max="2568" width="11.5703125" customWidth="1"/>
    <col min="2572" max="2572" width="11.5703125" customWidth="1"/>
    <col min="2574" max="2574" width="9.5703125" bestFit="1" customWidth="1"/>
    <col min="2817" max="2817" width="33.140625" customWidth="1"/>
    <col min="2818" max="2818" width="10" customWidth="1"/>
    <col min="2819" max="2819" width="10.7109375" customWidth="1"/>
    <col min="2820" max="2820" width="16.42578125" customWidth="1"/>
    <col min="2821" max="2821" width="19.5703125" customWidth="1"/>
    <col min="2822" max="2822" width="13.85546875" bestFit="1" customWidth="1"/>
    <col min="2824" max="2824" width="11.5703125" customWidth="1"/>
    <col min="2828" max="2828" width="11.5703125" customWidth="1"/>
    <col min="2830" max="2830" width="9.5703125" bestFit="1" customWidth="1"/>
    <col min="3073" max="3073" width="33.140625" customWidth="1"/>
    <col min="3074" max="3074" width="10" customWidth="1"/>
    <col min="3075" max="3075" width="10.7109375" customWidth="1"/>
    <col min="3076" max="3076" width="16.42578125" customWidth="1"/>
    <col min="3077" max="3077" width="19.5703125" customWidth="1"/>
    <col min="3078" max="3078" width="13.85546875" bestFit="1" customWidth="1"/>
    <col min="3080" max="3080" width="11.5703125" customWidth="1"/>
    <col min="3084" max="3084" width="11.5703125" customWidth="1"/>
    <col min="3086" max="3086" width="9.5703125" bestFit="1" customWidth="1"/>
    <col min="3329" max="3329" width="33.140625" customWidth="1"/>
    <col min="3330" max="3330" width="10" customWidth="1"/>
    <col min="3331" max="3331" width="10.7109375" customWidth="1"/>
    <col min="3332" max="3332" width="16.42578125" customWidth="1"/>
    <col min="3333" max="3333" width="19.5703125" customWidth="1"/>
    <col min="3334" max="3334" width="13.85546875" bestFit="1" customWidth="1"/>
    <col min="3336" max="3336" width="11.5703125" customWidth="1"/>
    <col min="3340" max="3340" width="11.5703125" customWidth="1"/>
    <col min="3342" max="3342" width="9.5703125" bestFit="1" customWidth="1"/>
    <col min="3585" max="3585" width="33.140625" customWidth="1"/>
    <col min="3586" max="3586" width="10" customWidth="1"/>
    <col min="3587" max="3587" width="10.7109375" customWidth="1"/>
    <col min="3588" max="3588" width="16.42578125" customWidth="1"/>
    <col min="3589" max="3589" width="19.5703125" customWidth="1"/>
    <col min="3590" max="3590" width="13.85546875" bestFit="1" customWidth="1"/>
    <col min="3592" max="3592" width="11.5703125" customWidth="1"/>
    <col min="3596" max="3596" width="11.5703125" customWidth="1"/>
    <col min="3598" max="3598" width="9.5703125" bestFit="1" customWidth="1"/>
    <col min="3841" max="3841" width="33.140625" customWidth="1"/>
    <col min="3842" max="3842" width="10" customWidth="1"/>
    <col min="3843" max="3843" width="10.7109375" customWidth="1"/>
    <col min="3844" max="3844" width="16.42578125" customWidth="1"/>
    <col min="3845" max="3845" width="19.5703125" customWidth="1"/>
    <col min="3846" max="3846" width="13.85546875" bestFit="1" customWidth="1"/>
    <col min="3848" max="3848" width="11.5703125" customWidth="1"/>
    <col min="3852" max="3852" width="11.5703125" customWidth="1"/>
    <col min="3854" max="3854" width="9.5703125" bestFit="1" customWidth="1"/>
    <col min="4097" max="4097" width="33.140625" customWidth="1"/>
    <col min="4098" max="4098" width="10" customWidth="1"/>
    <col min="4099" max="4099" width="10.7109375" customWidth="1"/>
    <col min="4100" max="4100" width="16.42578125" customWidth="1"/>
    <col min="4101" max="4101" width="19.5703125" customWidth="1"/>
    <col min="4102" max="4102" width="13.85546875" bestFit="1" customWidth="1"/>
    <col min="4104" max="4104" width="11.5703125" customWidth="1"/>
    <col min="4108" max="4108" width="11.5703125" customWidth="1"/>
    <col min="4110" max="4110" width="9.5703125" bestFit="1" customWidth="1"/>
    <col min="4353" max="4353" width="33.140625" customWidth="1"/>
    <col min="4354" max="4354" width="10" customWidth="1"/>
    <col min="4355" max="4355" width="10.7109375" customWidth="1"/>
    <col min="4356" max="4356" width="16.42578125" customWidth="1"/>
    <col min="4357" max="4357" width="19.5703125" customWidth="1"/>
    <col min="4358" max="4358" width="13.85546875" bestFit="1" customWidth="1"/>
    <col min="4360" max="4360" width="11.5703125" customWidth="1"/>
    <col min="4364" max="4364" width="11.5703125" customWidth="1"/>
    <col min="4366" max="4366" width="9.5703125" bestFit="1" customWidth="1"/>
    <col min="4609" max="4609" width="33.140625" customWidth="1"/>
    <col min="4610" max="4610" width="10" customWidth="1"/>
    <col min="4611" max="4611" width="10.7109375" customWidth="1"/>
    <col min="4612" max="4612" width="16.42578125" customWidth="1"/>
    <col min="4613" max="4613" width="19.5703125" customWidth="1"/>
    <col min="4614" max="4614" width="13.85546875" bestFit="1" customWidth="1"/>
    <col min="4616" max="4616" width="11.5703125" customWidth="1"/>
    <col min="4620" max="4620" width="11.5703125" customWidth="1"/>
    <col min="4622" max="4622" width="9.5703125" bestFit="1" customWidth="1"/>
    <col min="4865" max="4865" width="33.140625" customWidth="1"/>
    <col min="4866" max="4866" width="10" customWidth="1"/>
    <col min="4867" max="4867" width="10.7109375" customWidth="1"/>
    <col min="4868" max="4868" width="16.42578125" customWidth="1"/>
    <col min="4869" max="4869" width="19.5703125" customWidth="1"/>
    <col min="4870" max="4870" width="13.85546875" bestFit="1" customWidth="1"/>
    <col min="4872" max="4872" width="11.5703125" customWidth="1"/>
    <col min="4876" max="4876" width="11.5703125" customWidth="1"/>
    <col min="4878" max="4878" width="9.5703125" bestFit="1" customWidth="1"/>
    <col min="5121" max="5121" width="33.140625" customWidth="1"/>
    <col min="5122" max="5122" width="10" customWidth="1"/>
    <col min="5123" max="5123" width="10.7109375" customWidth="1"/>
    <col min="5124" max="5124" width="16.42578125" customWidth="1"/>
    <col min="5125" max="5125" width="19.5703125" customWidth="1"/>
    <col min="5126" max="5126" width="13.85546875" bestFit="1" customWidth="1"/>
    <col min="5128" max="5128" width="11.5703125" customWidth="1"/>
    <col min="5132" max="5132" width="11.5703125" customWidth="1"/>
    <col min="5134" max="5134" width="9.5703125" bestFit="1" customWidth="1"/>
    <col min="5377" max="5377" width="33.140625" customWidth="1"/>
    <col min="5378" max="5378" width="10" customWidth="1"/>
    <col min="5379" max="5379" width="10.7109375" customWidth="1"/>
    <col min="5380" max="5380" width="16.42578125" customWidth="1"/>
    <col min="5381" max="5381" width="19.5703125" customWidth="1"/>
    <col min="5382" max="5382" width="13.85546875" bestFit="1" customWidth="1"/>
    <col min="5384" max="5384" width="11.5703125" customWidth="1"/>
    <col min="5388" max="5388" width="11.5703125" customWidth="1"/>
    <col min="5390" max="5390" width="9.5703125" bestFit="1" customWidth="1"/>
    <col min="5633" max="5633" width="33.140625" customWidth="1"/>
    <col min="5634" max="5634" width="10" customWidth="1"/>
    <col min="5635" max="5635" width="10.7109375" customWidth="1"/>
    <col min="5636" max="5636" width="16.42578125" customWidth="1"/>
    <col min="5637" max="5637" width="19.5703125" customWidth="1"/>
    <col min="5638" max="5638" width="13.85546875" bestFit="1" customWidth="1"/>
    <col min="5640" max="5640" width="11.5703125" customWidth="1"/>
    <col min="5644" max="5644" width="11.5703125" customWidth="1"/>
    <col min="5646" max="5646" width="9.5703125" bestFit="1" customWidth="1"/>
    <col min="5889" max="5889" width="33.140625" customWidth="1"/>
    <col min="5890" max="5890" width="10" customWidth="1"/>
    <col min="5891" max="5891" width="10.7109375" customWidth="1"/>
    <col min="5892" max="5892" width="16.42578125" customWidth="1"/>
    <col min="5893" max="5893" width="19.5703125" customWidth="1"/>
    <col min="5894" max="5894" width="13.85546875" bestFit="1" customWidth="1"/>
    <col min="5896" max="5896" width="11.5703125" customWidth="1"/>
    <col min="5900" max="5900" width="11.5703125" customWidth="1"/>
    <col min="5902" max="5902" width="9.5703125" bestFit="1" customWidth="1"/>
    <col min="6145" max="6145" width="33.140625" customWidth="1"/>
    <col min="6146" max="6146" width="10" customWidth="1"/>
    <col min="6147" max="6147" width="10.7109375" customWidth="1"/>
    <col min="6148" max="6148" width="16.42578125" customWidth="1"/>
    <col min="6149" max="6149" width="19.5703125" customWidth="1"/>
    <col min="6150" max="6150" width="13.85546875" bestFit="1" customWidth="1"/>
    <col min="6152" max="6152" width="11.5703125" customWidth="1"/>
    <col min="6156" max="6156" width="11.5703125" customWidth="1"/>
    <col min="6158" max="6158" width="9.5703125" bestFit="1" customWidth="1"/>
    <col min="6401" max="6401" width="33.140625" customWidth="1"/>
    <col min="6402" max="6402" width="10" customWidth="1"/>
    <col min="6403" max="6403" width="10.7109375" customWidth="1"/>
    <col min="6404" max="6404" width="16.42578125" customWidth="1"/>
    <col min="6405" max="6405" width="19.5703125" customWidth="1"/>
    <col min="6406" max="6406" width="13.85546875" bestFit="1" customWidth="1"/>
    <col min="6408" max="6408" width="11.5703125" customWidth="1"/>
    <col min="6412" max="6412" width="11.5703125" customWidth="1"/>
    <col min="6414" max="6414" width="9.5703125" bestFit="1" customWidth="1"/>
    <col min="6657" max="6657" width="33.140625" customWidth="1"/>
    <col min="6658" max="6658" width="10" customWidth="1"/>
    <col min="6659" max="6659" width="10.7109375" customWidth="1"/>
    <col min="6660" max="6660" width="16.42578125" customWidth="1"/>
    <col min="6661" max="6661" width="19.5703125" customWidth="1"/>
    <col min="6662" max="6662" width="13.85546875" bestFit="1" customWidth="1"/>
    <col min="6664" max="6664" width="11.5703125" customWidth="1"/>
    <col min="6668" max="6668" width="11.5703125" customWidth="1"/>
    <col min="6670" max="6670" width="9.5703125" bestFit="1" customWidth="1"/>
    <col min="6913" max="6913" width="33.140625" customWidth="1"/>
    <col min="6914" max="6914" width="10" customWidth="1"/>
    <col min="6915" max="6915" width="10.7109375" customWidth="1"/>
    <col min="6916" max="6916" width="16.42578125" customWidth="1"/>
    <col min="6917" max="6917" width="19.5703125" customWidth="1"/>
    <col min="6918" max="6918" width="13.85546875" bestFit="1" customWidth="1"/>
    <col min="6920" max="6920" width="11.5703125" customWidth="1"/>
    <col min="6924" max="6924" width="11.5703125" customWidth="1"/>
    <col min="6926" max="6926" width="9.5703125" bestFit="1" customWidth="1"/>
    <col min="7169" max="7169" width="33.140625" customWidth="1"/>
    <col min="7170" max="7170" width="10" customWidth="1"/>
    <col min="7171" max="7171" width="10.7109375" customWidth="1"/>
    <col min="7172" max="7172" width="16.42578125" customWidth="1"/>
    <col min="7173" max="7173" width="19.5703125" customWidth="1"/>
    <col min="7174" max="7174" width="13.85546875" bestFit="1" customWidth="1"/>
    <col min="7176" max="7176" width="11.5703125" customWidth="1"/>
    <col min="7180" max="7180" width="11.5703125" customWidth="1"/>
    <col min="7182" max="7182" width="9.5703125" bestFit="1" customWidth="1"/>
    <col min="7425" max="7425" width="33.140625" customWidth="1"/>
    <col min="7426" max="7426" width="10" customWidth="1"/>
    <col min="7427" max="7427" width="10.7109375" customWidth="1"/>
    <col min="7428" max="7428" width="16.42578125" customWidth="1"/>
    <col min="7429" max="7429" width="19.5703125" customWidth="1"/>
    <col min="7430" max="7430" width="13.85546875" bestFit="1" customWidth="1"/>
    <col min="7432" max="7432" width="11.5703125" customWidth="1"/>
    <col min="7436" max="7436" width="11.5703125" customWidth="1"/>
    <col min="7438" max="7438" width="9.5703125" bestFit="1" customWidth="1"/>
    <col min="7681" max="7681" width="33.140625" customWidth="1"/>
    <col min="7682" max="7682" width="10" customWidth="1"/>
    <col min="7683" max="7683" width="10.7109375" customWidth="1"/>
    <col min="7684" max="7684" width="16.42578125" customWidth="1"/>
    <col min="7685" max="7685" width="19.5703125" customWidth="1"/>
    <col min="7686" max="7686" width="13.85546875" bestFit="1" customWidth="1"/>
    <col min="7688" max="7688" width="11.5703125" customWidth="1"/>
    <col min="7692" max="7692" width="11.5703125" customWidth="1"/>
    <col min="7694" max="7694" width="9.5703125" bestFit="1" customWidth="1"/>
    <col min="7937" max="7937" width="33.140625" customWidth="1"/>
    <col min="7938" max="7938" width="10" customWidth="1"/>
    <col min="7939" max="7939" width="10.7109375" customWidth="1"/>
    <col min="7940" max="7940" width="16.42578125" customWidth="1"/>
    <col min="7941" max="7941" width="19.5703125" customWidth="1"/>
    <col min="7942" max="7942" width="13.85546875" bestFit="1" customWidth="1"/>
    <col min="7944" max="7944" width="11.5703125" customWidth="1"/>
    <col min="7948" max="7948" width="11.5703125" customWidth="1"/>
    <col min="7950" max="7950" width="9.5703125" bestFit="1" customWidth="1"/>
    <col min="8193" max="8193" width="33.140625" customWidth="1"/>
    <col min="8194" max="8194" width="10" customWidth="1"/>
    <col min="8195" max="8195" width="10.7109375" customWidth="1"/>
    <col min="8196" max="8196" width="16.42578125" customWidth="1"/>
    <col min="8197" max="8197" width="19.5703125" customWidth="1"/>
    <col min="8198" max="8198" width="13.85546875" bestFit="1" customWidth="1"/>
    <col min="8200" max="8200" width="11.5703125" customWidth="1"/>
    <col min="8204" max="8204" width="11.5703125" customWidth="1"/>
    <col min="8206" max="8206" width="9.5703125" bestFit="1" customWidth="1"/>
    <col min="8449" max="8449" width="33.140625" customWidth="1"/>
    <col min="8450" max="8450" width="10" customWidth="1"/>
    <col min="8451" max="8451" width="10.7109375" customWidth="1"/>
    <col min="8452" max="8452" width="16.42578125" customWidth="1"/>
    <col min="8453" max="8453" width="19.5703125" customWidth="1"/>
    <col min="8454" max="8454" width="13.85546875" bestFit="1" customWidth="1"/>
    <col min="8456" max="8456" width="11.5703125" customWidth="1"/>
    <col min="8460" max="8460" width="11.5703125" customWidth="1"/>
    <col min="8462" max="8462" width="9.5703125" bestFit="1" customWidth="1"/>
    <col min="8705" max="8705" width="33.140625" customWidth="1"/>
    <col min="8706" max="8706" width="10" customWidth="1"/>
    <col min="8707" max="8707" width="10.7109375" customWidth="1"/>
    <col min="8708" max="8708" width="16.42578125" customWidth="1"/>
    <col min="8709" max="8709" width="19.5703125" customWidth="1"/>
    <col min="8710" max="8710" width="13.85546875" bestFit="1" customWidth="1"/>
    <col min="8712" max="8712" width="11.5703125" customWidth="1"/>
    <col min="8716" max="8716" width="11.5703125" customWidth="1"/>
    <col min="8718" max="8718" width="9.5703125" bestFit="1" customWidth="1"/>
    <col min="8961" max="8961" width="33.140625" customWidth="1"/>
    <col min="8962" max="8962" width="10" customWidth="1"/>
    <col min="8963" max="8963" width="10.7109375" customWidth="1"/>
    <col min="8964" max="8964" width="16.42578125" customWidth="1"/>
    <col min="8965" max="8965" width="19.5703125" customWidth="1"/>
    <col min="8966" max="8966" width="13.85546875" bestFit="1" customWidth="1"/>
    <col min="8968" max="8968" width="11.5703125" customWidth="1"/>
    <col min="8972" max="8972" width="11.5703125" customWidth="1"/>
    <col min="8974" max="8974" width="9.5703125" bestFit="1" customWidth="1"/>
    <col min="9217" max="9217" width="33.140625" customWidth="1"/>
    <col min="9218" max="9218" width="10" customWidth="1"/>
    <col min="9219" max="9219" width="10.7109375" customWidth="1"/>
    <col min="9220" max="9220" width="16.42578125" customWidth="1"/>
    <col min="9221" max="9221" width="19.5703125" customWidth="1"/>
    <col min="9222" max="9222" width="13.85546875" bestFit="1" customWidth="1"/>
    <col min="9224" max="9224" width="11.5703125" customWidth="1"/>
    <col min="9228" max="9228" width="11.5703125" customWidth="1"/>
    <col min="9230" max="9230" width="9.5703125" bestFit="1" customWidth="1"/>
    <col min="9473" max="9473" width="33.140625" customWidth="1"/>
    <col min="9474" max="9474" width="10" customWidth="1"/>
    <col min="9475" max="9475" width="10.7109375" customWidth="1"/>
    <col min="9476" max="9476" width="16.42578125" customWidth="1"/>
    <col min="9477" max="9477" width="19.5703125" customWidth="1"/>
    <col min="9478" max="9478" width="13.85546875" bestFit="1" customWidth="1"/>
    <col min="9480" max="9480" width="11.5703125" customWidth="1"/>
    <col min="9484" max="9484" width="11.5703125" customWidth="1"/>
    <col min="9486" max="9486" width="9.5703125" bestFit="1" customWidth="1"/>
    <col min="9729" max="9729" width="33.140625" customWidth="1"/>
    <col min="9730" max="9730" width="10" customWidth="1"/>
    <col min="9731" max="9731" width="10.7109375" customWidth="1"/>
    <col min="9732" max="9732" width="16.42578125" customWidth="1"/>
    <col min="9733" max="9733" width="19.5703125" customWidth="1"/>
    <col min="9734" max="9734" width="13.85546875" bestFit="1" customWidth="1"/>
    <col min="9736" max="9736" width="11.5703125" customWidth="1"/>
    <col min="9740" max="9740" width="11.5703125" customWidth="1"/>
    <col min="9742" max="9742" width="9.5703125" bestFit="1" customWidth="1"/>
    <col min="9985" max="9985" width="33.140625" customWidth="1"/>
    <col min="9986" max="9986" width="10" customWidth="1"/>
    <col min="9987" max="9987" width="10.7109375" customWidth="1"/>
    <col min="9988" max="9988" width="16.42578125" customWidth="1"/>
    <col min="9989" max="9989" width="19.5703125" customWidth="1"/>
    <col min="9990" max="9990" width="13.85546875" bestFit="1" customWidth="1"/>
    <col min="9992" max="9992" width="11.5703125" customWidth="1"/>
    <col min="9996" max="9996" width="11.5703125" customWidth="1"/>
    <col min="9998" max="9998" width="9.5703125" bestFit="1" customWidth="1"/>
    <col min="10241" max="10241" width="33.140625" customWidth="1"/>
    <col min="10242" max="10242" width="10" customWidth="1"/>
    <col min="10243" max="10243" width="10.7109375" customWidth="1"/>
    <col min="10244" max="10244" width="16.42578125" customWidth="1"/>
    <col min="10245" max="10245" width="19.5703125" customWidth="1"/>
    <col min="10246" max="10246" width="13.85546875" bestFit="1" customWidth="1"/>
    <col min="10248" max="10248" width="11.5703125" customWidth="1"/>
    <col min="10252" max="10252" width="11.5703125" customWidth="1"/>
    <col min="10254" max="10254" width="9.5703125" bestFit="1" customWidth="1"/>
    <col min="10497" max="10497" width="33.140625" customWidth="1"/>
    <col min="10498" max="10498" width="10" customWidth="1"/>
    <col min="10499" max="10499" width="10.7109375" customWidth="1"/>
    <col min="10500" max="10500" width="16.42578125" customWidth="1"/>
    <col min="10501" max="10501" width="19.5703125" customWidth="1"/>
    <col min="10502" max="10502" width="13.85546875" bestFit="1" customWidth="1"/>
    <col min="10504" max="10504" width="11.5703125" customWidth="1"/>
    <col min="10508" max="10508" width="11.5703125" customWidth="1"/>
    <col min="10510" max="10510" width="9.5703125" bestFit="1" customWidth="1"/>
    <col min="10753" max="10753" width="33.140625" customWidth="1"/>
    <col min="10754" max="10754" width="10" customWidth="1"/>
    <col min="10755" max="10755" width="10.7109375" customWidth="1"/>
    <col min="10756" max="10756" width="16.42578125" customWidth="1"/>
    <col min="10757" max="10757" width="19.5703125" customWidth="1"/>
    <col min="10758" max="10758" width="13.85546875" bestFit="1" customWidth="1"/>
    <col min="10760" max="10760" width="11.5703125" customWidth="1"/>
    <col min="10764" max="10764" width="11.5703125" customWidth="1"/>
    <col min="10766" max="10766" width="9.5703125" bestFit="1" customWidth="1"/>
    <col min="11009" max="11009" width="33.140625" customWidth="1"/>
    <col min="11010" max="11010" width="10" customWidth="1"/>
    <col min="11011" max="11011" width="10.7109375" customWidth="1"/>
    <col min="11012" max="11012" width="16.42578125" customWidth="1"/>
    <col min="11013" max="11013" width="19.5703125" customWidth="1"/>
    <col min="11014" max="11014" width="13.85546875" bestFit="1" customWidth="1"/>
    <col min="11016" max="11016" width="11.5703125" customWidth="1"/>
    <col min="11020" max="11020" width="11.5703125" customWidth="1"/>
    <col min="11022" max="11022" width="9.5703125" bestFit="1" customWidth="1"/>
    <col min="11265" max="11265" width="33.140625" customWidth="1"/>
    <col min="11266" max="11266" width="10" customWidth="1"/>
    <col min="11267" max="11267" width="10.7109375" customWidth="1"/>
    <col min="11268" max="11268" width="16.42578125" customWidth="1"/>
    <col min="11269" max="11269" width="19.5703125" customWidth="1"/>
    <col min="11270" max="11270" width="13.85546875" bestFit="1" customWidth="1"/>
    <col min="11272" max="11272" width="11.5703125" customWidth="1"/>
    <col min="11276" max="11276" width="11.5703125" customWidth="1"/>
    <col min="11278" max="11278" width="9.5703125" bestFit="1" customWidth="1"/>
    <col min="11521" max="11521" width="33.140625" customWidth="1"/>
    <col min="11522" max="11522" width="10" customWidth="1"/>
    <col min="11523" max="11523" width="10.7109375" customWidth="1"/>
    <col min="11524" max="11524" width="16.42578125" customWidth="1"/>
    <col min="11525" max="11525" width="19.5703125" customWidth="1"/>
    <col min="11526" max="11526" width="13.85546875" bestFit="1" customWidth="1"/>
    <col min="11528" max="11528" width="11.5703125" customWidth="1"/>
    <col min="11532" max="11532" width="11.5703125" customWidth="1"/>
    <col min="11534" max="11534" width="9.5703125" bestFit="1" customWidth="1"/>
    <col min="11777" max="11777" width="33.140625" customWidth="1"/>
    <col min="11778" max="11778" width="10" customWidth="1"/>
    <col min="11779" max="11779" width="10.7109375" customWidth="1"/>
    <col min="11780" max="11780" width="16.42578125" customWidth="1"/>
    <col min="11781" max="11781" width="19.5703125" customWidth="1"/>
    <col min="11782" max="11782" width="13.85546875" bestFit="1" customWidth="1"/>
    <col min="11784" max="11784" width="11.5703125" customWidth="1"/>
    <col min="11788" max="11788" width="11.5703125" customWidth="1"/>
    <col min="11790" max="11790" width="9.5703125" bestFit="1" customWidth="1"/>
    <col min="12033" max="12033" width="33.140625" customWidth="1"/>
    <col min="12034" max="12034" width="10" customWidth="1"/>
    <col min="12035" max="12035" width="10.7109375" customWidth="1"/>
    <col min="12036" max="12036" width="16.42578125" customWidth="1"/>
    <col min="12037" max="12037" width="19.5703125" customWidth="1"/>
    <col min="12038" max="12038" width="13.85546875" bestFit="1" customWidth="1"/>
    <col min="12040" max="12040" width="11.5703125" customWidth="1"/>
    <col min="12044" max="12044" width="11.5703125" customWidth="1"/>
    <col min="12046" max="12046" width="9.5703125" bestFit="1" customWidth="1"/>
    <col min="12289" max="12289" width="33.140625" customWidth="1"/>
    <col min="12290" max="12290" width="10" customWidth="1"/>
    <col min="12291" max="12291" width="10.7109375" customWidth="1"/>
    <col min="12292" max="12292" width="16.42578125" customWidth="1"/>
    <col min="12293" max="12293" width="19.5703125" customWidth="1"/>
    <col min="12294" max="12294" width="13.85546875" bestFit="1" customWidth="1"/>
    <col min="12296" max="12296" width="11.5703125" customWidth="1"/>
    <col min="12300" max="12300" width="11.5703125" customWidth="1"/>
    <col min="12302" max="12302" width="9.5703125" bestFit="1" customWidth="1"/>
    <col min="12545" max="12545" width="33.140625" customWidth="1"/>
    <col min="12546" max="12546" width="10" customWidth="1"/>
    <col min="12547" max="12547" width="10.7109375" customWidth="1"/>
    <col min="12548" max="12548" width="16.42578125" customWidth="1"/>
    <col min="12549" max="12549" width="19.5703125" customWidth="1"/>
    <col min="12550" max="12550" width="13.85546875" bestFit="1" customWidth="1"/>
    <col min="12552" max="12552" width="11.5703125" customWidth="1"/>
    <col min="12556" max="12556" width="11.5703125" customWidth="1"/>
    <col min="12558" max="12558" width="9.5703125" bestFit="1" customWidth="1"/>
    <col min="12801" max="12801" width="33.140625" customWidth="1"/>
    <col min="12802" max="12802" width="10" customWidth="1"/>
    <col min="12803" max="12803" width="10.7109375" customWidth="1"/>
    <col min="12804" max="12804" width="16.42578125" customWidth="1"/>
    <col min="12805" max="12805" width="19.5703125" customWidth="1"/>
    <col min="12806" max="12806" width="13.85546875" bestFit="1" customWidth="1"/>
    <col min="12808" max="12808" width="11.5703125" customWidth="1"/>
    <col min="12812" max="12812" width="11.5703125" customWidth="1"/>
    <col min="12814" max="12814" width="9.5703125" bestFit="1" customWidth="1"/>
    <col min="13057" max="13057" width="33.140625" customWidth="1"/>
    <col min="13058" max="13058" width="10" customWidth="1"/>
    <col min="13059" max="13059" width="10.7109375" customWidth="1"/>
    <col min="13060" max="13060" width="16.42578125" customWidth="1"/>
    <col min="13061" max="13061" width="19.5703125" customWidth="1"/>
    <col min="13062" max="13062" width="13.85546875" bestFit="1" customWidth="1"/>
    <col min="13064" max="13064" width="11.5703125" customWidth="1"/>
    <col min="13068" max="13068" width="11.5703125" customWidth="1"/>
    <col min="13070" max="13070" width="9.5703125" bestFit="1" customWidth="1"/>
    <col min="13313" max="13313" width="33.140625" customWidth="1"/>
    <col min="13314" max="13314" width="10" customWidth="1"/>
    <col min="13315" max="13315" width="10.7109375" customWidth="1"/>
    <col min="13316" max="13316" width="16.42578125" customWidth="1"/>
    <col min="13317" max="13317" width="19.5703125" customWidth="1"/>
    <col min="13318" max="13318" width="13.85546875" bestFit="1" customWidth="1"/>
    <col min="13320" max="13320" width="11.5703125" customWidth="1"/>
    <col min="13324" max="13324" width="11.5703125" customWidth="1"/>
    <col min="13326" max="13326" width="9.5703125" bestFit="1" customWidth="1"/>
    <col min="13569" max="13569" width="33.140625" customWidth="1"/>
    <col min="13570" max="13570" width="10" customWidth="1"/>
    <col min="13571" max="13571" width="10.7109375" customWidth="1"/>
    <col min="13572" max="13572" width="16.42578125" customWidth="1"/>
    <col min="13573" max="13573" width="19.5703125" customWidth="1"/>
    <col min="13574" max="13574" width="13.85546875" bestFit="1" customWidth="1"/>
    <col min="13576" max="13576" width="11.5703125" customWidth="1"/>
    <col min="13580" max="13580" width="11.5703125" customWidth="1"/>
    <col min="13582" max="13582" width="9.5703125" bestFit="1" customWidth="1"/>
    <col min="13825" max="13825" width="33.140625" customWidth="1"/>
    <col min="13826" max="13826" width="10" customWidth="1"/>
    <col min="13827" max="13827" width="10.7109375" customWidth="1"/>
    <col min="13828" max="13828" width="16.42578125" customWidth="1"/>
    <col min="13829" max="13829" width="19.5703125" customWidth="1"/>
    <col min="13830" max="13830" width="13.85546875" bestFit="1" customWidth="1"/>
    <col min="13832" max="13832" width="11.5703125" customWidth="1"/>
    <col min="13836" max="13836" width="11.5703125" customWidth="1"/>
    <col min="13838" max="13838" width="9.5703125" bestFit="1" customWidth="1"/>
    <col min="14081" max="14081" width="33.140625" customWidth="1"/>
    <col min="14082" max="14082" width="10" customWidth="1"/>
    <col min="14083" max="14083" width="10.7109375" customWidth="1"/>
    <col min="14084" max="14084" width="16.42578125" customWidth="1"/>
    <col min="14085" max="14085" width="19.5703125" customWidth="1"/>
    <col min="14086" max="14086" width="13.85546875" bestFit="1" customWidth="1"/>
    <col min="14088" max="14088" width="11.5703125" customWidth="1"/>
    <col min="14092" max="14092" width="11.5703125" customWidth="1"/>
    <col min="14094" max="14094" width="9.5703125" bestFit="1" customWidth="1"/>
    <col min="14337" max="14337" width="33.140625" customWidth="1"/>
    <col min="14338" max="14338" width="10" customWidth="1"/>
    <col min="14339" max="14339" width="10.7109375" customWidth="1"/>
    <col min="14340" max="14340" width="16.42578125" customWidth="1"/>
    <col min="14341" max="14341" width="19.5703125" customWidth="1"/>
    <col min="14342" max="14342" width="13.85546875" bestFit="1" customWidth="1"/>
    <col min="14344" max="14344" width="11.5703125" customWidth="1"/>
    <col min="14348" max="14348" width="11.5703125" customWidth="1"/>
    <col min="14350" max="14350" width="9.5703125" bestFit="1" customWidth="1"/>
    <col min="14593" max="14593" width="33.140625" customWidth="1"/>
    <col min="14594" max="14594" width="10" customWidth="1"/>
    <col min="14595" max="14595" width="10.7109375" customWidth="1"/>
    <col min="14596" max="14596" width="16.42578125" customWidth="1"/>
    <col min="14597" max="14597" width="19.5703125" customWidth="1"/>
    <col min="14598" max="14598" width="13.85546875" bestFit="1" customWidth="1"/>
    <col min="14600" max="14600" width="11.5703125" customWidth="1"/>
    <col min="14604" max="14604" width="11.5703125" customWidth="1"/>
    <col min="14606" max="14606" width="9.5703125" bestFit="1" customWidth="1"/>
    <col min="14849" max="14849" width="33.140625" customWidth="1"/>
    <col min="14850" max="14850" width="10" customWidth="1"/>
    <col min="14851" max="14851" width="10.7109375" customWidth="1"/>
    <col min="14852" max="14852" width="16.42578125" customWidth="1"/>
    <col min="14853" max="14853" width="19.5703125" customWidth="1"/>
    <col min="14854" max="14854" width="13.85546875" bestFit="1" customWidth="1"/>
    <col min="14856" max="14856" width="11.5703125" customWidth="1"/>
    <col min="14860" max="14860" width="11.5703125" customWidth="1"/>
    <col min="14862" max="14862" width="9.5703125" bestFit="1" customWidth="1"/>
    <col min="15105" max="15105" width="33.140625" customWidth="1"/>
    <col min="15106" max="15106" width="10" customWidth="1"/>
    <col min="15107" max="15107" width="10.7109375" customWidth="1"/>
    <col min="15108" max="15108" width="16.42578125" customWidth="1"/>
    <col min="15109" max="15109" width="19.5703125" customWidth="1"/>
    <col min="15110" max="15110" width="13.85546875" bestFit="1" customWidth="1"/>
    <col min="15112" max="15112" width="11.5703125" customWidth="1"/>
    <col min="15116" max="15116" width="11.5703125" customWidth="1"/>
    <col min="15118" max="15118" width="9.5703125" bestFit="1" customWidth="1"/>
    <col min="15361" max="15361" width="33.140625" customWidth="1"/>
    <col min="15362" max="15362" width="10" customWidth="1"/>
    <col min="15363" max="15363" width="10.7109375" customWidth="1"/>
    <col min="15364" max="15364" width="16.42578125" customWidth="1"/>
    <col min="15365" max="15365" width="19.5703125" customWidth="1"/>
    <col min="15366" max="15366" width="13.85546875" bestFit="1" customWidth="1"/>
    <col min="15368" max="15368" width="11.5703125" customWidth="1"/>
    <col min="15372" max="15372" width="11.5703125" customWidth="1"/>
    <col min="15374" max="15374" width="9.5703125" bestFit="1" customWidth="1"/>
    <col min="15617" max="15617" width="33.140625" customWidth="1"/>
    <col min="15618" max="15618" width="10" customWidth="1"/>
    <col min="15619" max="15619" width="10.7109375" customWidth="1"/>
    <col min="15620" max="15620" width="16.42578125" customWidth="1"/>
    <col min="15621" max="15621" width="19.5703125" customWidth="1"/>
    <col min="15622" max="15622" width="13.85546875" bestFit="1" customWidth="1"/>
    <col min="15624" max="15624" width="11.5703125" customWidth="1"/>
    <col min="15628" max="15628" width="11.5703125" customWidth="1"/>
    <col min="15630" max="15630" width="9.5703125" bestFit="1" customWidth="1"/>
    <col min="15873" max="15873" width="33.140625" customWidth="1"/>
    <col min="15874" max="15874" width="10" customWidth="1"/>
    <col min="15875" max="15875" width="10.7109375" customWidth="1"/>
    <col min="15876" max="15876" width="16.42578125" customWidth="1"/>
    <col min="15877" max="15877" width="19.5703125" customWidth="1"/>
    <col min="15878" max="15878" width="13.85546875" bestFit="1" customWidth="1"/>
    <col min="15880" max="15880" width="11.5703125" customWidth="1"/>
    <col min="15884" max="15884" width="11.5703125" customWidth="1"/>
    <col min="15886" max="15886" width="9.5703125" bestFit="1" customWidth="1"/>
    <col min="16129" max="16129" width="33.140625" customWidth="1"/>
    <col min="16130" max="16130" width="10" customWidth="1"/>
    <col min="16131" max="16131" width="10.7109375" customWidth="1"/>
    <col min="16132" max="16132" width="16.42578125" customWidth="1"/>
    <col min="16133" max="16133" width="19.5703125" customWidth="1"/>
    <col min="16134" max="16134" width="13.85546875" bestFit="1" customWidth="1"/>
    <col min="16136" max="16136" width="11.5703125" customWidth="1"/>
    <col min="16140" max="16140" width="11.5703125" customWidth="1"/>
    <col min="16142" max="16142" width="9.5703125" bestFit="1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80" t="s">
        <v>5760</v>
      </c>
      <c r="C3" s="80"/>
      <c r="D3" s="1492" t="s">
        <v>2966</v>
      </c>
      <c r="E3" s="1492"/>
      <c r="F3" s="1526">
        <v>405010401080102</v>
      </c>
      <c r="G3" s="1526"/>
      <c r="H3" s="677" t="s">
        <v>5</v>
      </c>
      <c r="I3" s="677"/>
      <c r="J3" s="1527" t="s">
        <v>2996</v>
      </c>
      <c r="K3" s="1528"/>
      <c r="L3" s="1519" t="s">
        <v>436</v>
      </c>
      <c r="M3" s="1519"/>
      <c r="N3" s="80">
        <v>0</v>
      </c>
    </row>
    <row r="4" spans="1:14">
      <c r="A4" s="1521" t="s">
        <v>4176</v>
      </c>
      <c r="B4" s="1521"/>
      <c r="C4" s="1521"/>
      <c r="D4" s="295"/>
      <c r="E4" s="715"/>
      <c r="F4" s="295"/>
      <c r="G4" s="295"/>
      <c r="H4" s="295"/>
      <c r="I4" s="295"/>
      <c r="J4" s="295"/>
      <c r="K4" s="295"/>
      <c r="L4" s="295"/>
      <c r="M4" s="295"/>
      <c r="N4" s="295"/>
    </row>
    <row r="5" spans="1:14" ht="26.25" customHeight="1">
      <c r="A5" s="677" t="s">
        <v>2967</v>
      </c>
      <c r="B5" s="995" t="s">
        <v>2997</v>
      </c>
      <c r="C5" s="995"/>
      <c r="D5" s="1492" t="s">
        <v>2969</v>
      </c>
      <c r="E5" s="1492"/>
      <c r="F5" s="1522" t="s">
        <v>2998</v>
      </c>
      <c r="G5" s="1522"/>
      <c r="H5" s="295"/>
      <c r="I5" s="295"/>
      <c r="J5" s="295"/>
      <c r="K5" s="295"/>
      <c r="L5" s="295"/>
      <c r="M5" s="295"/>
      <c r="N5" s="295"/>
    </row>
    <row r="6" spans="1:14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26.25" customHeight="1">
      <c r="A7" s="677" t="s">
        <v>618</v>
      </c>
      <c r="B7" s="1478" t="s">
        <v>2998</v>
      </c>
      <c r="C7" s="1479"/>
      <c r="D7" s="1480"/>
      <c r="E7" s="1505" t="s">
        <v>2971</v>
      </c>
      <c r="F7" s="1505"/>
      <c r="G7" s="317" t="s">
        <v>2999</v>
      </c>
      <c r="H7" s="317"/>
      <c r="I7" s="295"/>
      <c r="J7" s="295"/>
      <c r="K7" s="295"/>
      <c r="L7" s="295"/>
      <c r="M7" s="295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1478" t="s">
        <v>3000</v>
      </c>
      <c r="C9" s="1480"/>
      <c r="D9" s="80" t="s">
        <v>3001</v>
      </c>
      <c r="E9" s="295"/>
      <c r="F9" s="295"/>
      <c r="G9" s="80"/>
      <c r="H9" s="80"/>
      <c r="I9" s="80"/>
      <c r="J9" s="295"/>
      <c r="K9" s="295"/>
      <c r="L9" s="295"/>
      <c r="M9" s="295"/>
      <c r="N9" s="295"/>
    </row>
    <row r="10" spans="1:14" ht="26.25" customHeight="1">
      <c r="A10" s="677" t="s">
        <v>2974</v>
      </c>
      <c r="B10" s="1478" t="s">
        <v>3002</v>
      </c>
      <c r="C10" s="1480"/>
      <c r="D10" s="80" t="s">
        <v>3003</v>
      </c>
      <c r="E10" s="295"/>
      <c r="F10" s="295"/>
      <c r="G10" s="295"/>
      <c r="H10" s="295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1478" t="s">
        <v>3004</v>
      </c>
      <c r="C11" s="1480"/>
      <c r="D11" s="80" t="s">
        <v>3005</v>
      </c>
      <c r="E11" s="80" t="s">
        <v>3006</v>
      </c>
      <c r="F11" s="716" t="s">
        <v>3003</v>
      </c>
      <c r="G11" s="995" t="s">
        <v>3007</v>
      </c>
      <c r="H11" s="995"/>
      <c r="I11" s="995"/>
      <c r="J11" s="295"/>
      <c r="K11" s="295"/>
      <c r="L11" s="295"/>
      <c r="M11" s="295"/>
      <c r="N11" s="295"/>
    </row>
    <row r="12" spans="1:14" ht="26.25" customHeight="1">
      <c r="A12" s="677" t="s">
        <v>2980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2</v>
      </c>
      <c r="C14" s="677" t="s">
        <v>2982</v>
      </c>
      <c r="D14" s="677"/>
      <c r="E14" s="317">
        <v>2</v>
      </c>
      <c r="F14" s="677" t="s">
        <v>1918</v>
      </c>
      <c r="G14" s="317">
        <v>7</v>
      </c>
      <c r="H14" s="677" t="s">
        <v>1492</v>
      </c>
      <c r="I14" s="317">
        <v>0</v>
      </c>
      <c r="J14" s="677" t="s">
        <v>1493</v>
      </c>
      <c r="K14" s="317">
        <v>7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82</v>
      </c>
      <c r="D16" s="677" t="s">
        <v>205</v>
      </c>
      <c r="E16" s="80">
        <v>0</v>
      </c>
      <c r="F16" s="677" t="s">
        <v>2983</v>
      </c>
      <c r="G16" s="80">
        <v>0</v>
      </c>
      <c r="H16" s="677" t="s">
        <v>245</v>
      </c>
      <c r="I16" s="80">
        <v>82</v>
      </c>
      <c r="J16" s="677" t="s">
        <v>207</v>
      </c>
      <c r="K16" s="80">
        <v>8</v>
      </c>
      <c r="L16" s="1529" t="s">
        <v>2984</v>
      </c>
      <c r="M16" s="1530"/>
      <c r="N16" s="80">
        <v>5</v>
      </c>
    </row>
    <row r="17" spans="1:14" ht="26.25" customHeight="1">
      <c r="A17" s="674" t="s">
        <v>209</v>
      </c>
      <c r="B17" s="677" t="s">
        <v>210</v>
      </c>
      <c r="C17" s="80">
        <v>259</v>
      </c>
      <c r="D17" s="677" t="s">
        <v>211</v>
      </c>
      <c r="E17" s="80">
        <v>0</v>
      </c>
      <c r="F17" s="677" t="s">
        <v>212</v>
      </c>
      <c r="G17" s="80">
        <v>54</v>
      </c>
      <c r="H17" s="677" t="s">
        <v>411</v>
      </c>
      <c r="I17" s="80">
        <v>313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249</v>
      </c>
      <c r="D18" s="677" t="s">
        <v>2986</v>
      </c>
      <c r="E18" s="80">
        <v>0</v>
      </c>
      <c r="F18" s="677" t="s">
        <v>2987</v>
      </c>
      <c r="G18" s="80">
        <v>48</v>
      </c>
      <c r="H18" s="677" t="s">
        <v>2988</v>
      </c>
      <c r="I18" s="80">
        <v>293</v>
      </c>
      <c r="J18" s="295"/>
      <c r="K18" s="295"/>
      <c r="L18" s="295"/>
      <c r="M18" s="295"/>
      <c r="N18" s="295"/>
    </row>
    <row r="19" spans="1:14" s="403" customFormat="1" ht="26.25" customHeigh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3" t="s">
        <v>217</v>
      </c>
      <c r="B20" s="1523" t="s">
        <v>218</v>
      </c>
      <c r="C20" s="1524" t="s">
        <v>219</v>
      </c>
      <c r="D20" s="1523" t="s">
        <v>1363</v>
      </c>
      <c r="E20" s="1523" t="s">
        <v>1713</v>
      </c>
      <c r="F20" s="1525" t="s">
        <v>2989</v>
      </c>
      <c r="G20" s="1525"/>
      <c r="H20" s="1525"/>
      <c r="I20" s="1525"/>
      <c r="J20" s="1525"/>
      <c r="K20" s="1525"/>
      <c r="L20" s="1525"/>
      <c r="M20" s="1525"/>
      <c r="N20" s="1525"/>
    </row>
    <row r="21" spans="1:14" ht="26.25" customHeight="1">
      <c r="A21" s="713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13" t="s">
        <v>231</v>
      </c>
    </row>
    <row r="22" spans="1:14" ht="26.25" customHeight="1">
      <c r="A22" s="677" t="s">
        <v>2990</v>
      </c>
      <c r="B22" s="80">
        <v>8000</v>
      </c>
      <c r="C22" s="317" t="s">
        <v>873</v>
      </c>
      <c r="D22" s="300">
        <v>40</v>
      </c>
      <c r="E22" s="300">
        <v>6.2583200000000003</v>
      </c>
      <c r="F22" s="699">
        <v>0</v>
      </c>
      <c r="G22" s="699">
        <v>0</v>
      </c>
      <c r="H22" s="699">
        <v>2.5583200000000001</v>
      </c>
      <c r="I22" s="317"/>
      <c r="J22" s="317"/>
      <c r="K22" s="317"/>
      <c r="L22" s="317"/>
      <c r="M22" s="699">
        <f>F22+G22+H22</f>
        <v>2.5583200000000001</v>
      </c>
      <c r="N22" s="699">
        <f>M22/E22*100</f>
        <v>40.878702271536135</v>
      </c>
    </row>
    <row r="23" spans="1:14" ht="26.25" customHeight="1">
      <c r="A23" s="677" t="s">
        <v>234</v>
      </c>
      <c r="B23" s="80">
        <v>7000</v>
      </c>
      <c r="C23" s="317" t="s">
        <v>873</v>
      </c>
      <c r="D23" s="30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80">
        <v>0</v>
      </c>
    </row>
    <row r="24" spans="1:14" ht="26.25" customHeight="1">
      <c r="A24" s="677" t="s">
        <v>2991</v>
      </c>
      <c r="B24" s="80">
        <v>43000</v>
      </c>
      <c r="C24" s="317" t="s">
        <v>236</v>
      </c>
      <c r="D24" s="30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80">
        <f t="shared" ref="N24:N29" si="1">M24/E24*100</f>
        <v>0</v>
      </c>
    </row>
    <row r="25" spans="1:14" ht="26.25" customHeight="1">
      <c r="A25" s="677" t="s">
        <v>2992</v>
      </c>
      <c r="B25" s="80">
        <v>37000</v>
      </c>
      <c r="C25" s="317" t="s">
        <v>236</v>
      </c>
      <c r="D25" s="30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80">
        <f t="shared" si="1"/>
        <v>0</v>
      </c>
    </row>
    <row r="26" spans="1:14" ht="26.25" customHeight="1">
      <c r="A26" s="677" t="s">
        <v>2993</v>
      </c>
      <c r="B26" s="80">
        <v>1200</v>
      </c>
      <c r="C26" s="317" t="s">
        <v>236</v>
      </c>
      <c r="D26" s="300">
        <v>6</v>
      </c>
      <c r="E26" s="300">
        <v>2</v>
      </c>
      <c r="F26" s="300">
        <v>0</v>
      </c>
      <c r="G26" s="699">
        <v>0</v>
      </c>
      <c r="H26" s="300">
        <v>1.3878600000000001</v>
      </c>
      <c r="I26" s="80"/>
      <c r="J26" s="80"/>
      <c r="K26" s="80"/>
      <c r="L26" s="80"/>
      <c r="M26" s="699">
        <f t="shared" si="0"/>
        <v>1.3878600000000001</v>
      </c>
      <c r="N26" s="80">
        <f t="shared" si="1"/>
        <v>69.393000000000001</v>
      </c>
    </row>
    <row r="27" spans="1:14" ht="26.25" customHeight="1">
      <c r="A27" s="677" t="s">
        <v>395</v>
      </c>
      <c r="B27" s="80">
        <v>565</v>
      </c>
      <c r="C27" s="317" t="s">
        <v>873</v>
      </c>
      <c r="D27" s="300">
        <v>2.83</v>
      </c>
      <c r="E27" s="300">
        <v>0.39400000000000002</v>
      </c>
      <c r="F27" s="300">
        <v>0</v>
      </c>
      <c r="G27" s="699">
        <v>0</v>
      </c>
      <c r="H27" s="300">
        <v>0.15</v>
      </c>
      <c r="I27" s="80"/>
      <c r="J27" s="80"/>
      <c r="K27" s="80"/>
      <c r="L27" s="80"/>
      <c r="M27" s="699">
        <f t="shared" si="0"/>
        <v>0.15</v>
      </c>
      <c r="N27" s="300">
        <f t="shared" si="1"/>
        <v>38.07106598984771</v>
      </c>
    </row>
    <row r="28" spans="1:14" ht="26.25" customHeight="1">
      <c r="A28" s="677" t="s">
        <v>1503</v>
      </c>
      <c r="B28" s="80">
        <v>1000</v>
      </c>
      <c r="C28" s="317" t="s">
        <v>873</v>
      </c>
      <c r="D28" s="30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80">
        <v>0</v>
      </c>
    </row>
    <row r="29" spans="1:14" ht="26.25" customHeight="1">
      <c r="A29" s="677" t="s">
        <v>241</v>
      </c>
      <c r="B29" s="80">
        <v>2750</v>
      </c>
      <c r="C29" s="317" t="s">
        <v>2994</v>
      </c>
      <c r="D29" s="300">
        <v>2.31</v>
      </c>
      <c r="E29" s="300">
        <v>0.33</v>
      </c>
      <c r="F29" s="300">
        <v>0</v>
      </c>
      <c r="G29" s="699">
        <v>0</v>
      </c>
      <c r="H29" s="300">
        <v>0.129</v>
      </c>
      <c r="I29" s="80"/>
      <c r="J29" s="80"/>
      <c r="K29" s="80"/>
      <c r="L29" s="80"/>
      <c r="M29" s="699">
        <f t="shared" si="0"/>
        <v>0.129</v>
      </c>
      <c r="N29" s="300">
        <f t="shared" si="1"/>
        <v>39.090909090909093</v>
      </c>
    </row>
    <row r="30" spans="1:14" ht="26.25" customHeight="1">
      <c r="A30" s="677" t="s">
        <v>670</v>
      </c>
      <c r="B30" s="80">
        <v>10000</v>
      </c>
      <c r="C30" s="317" t="s">
        <v>2995</v>
      </c>
      <c r="D30" s="300">
        <v>0.1</v>
      </c>
      <c r="E30" s="300">
        <v>0</v>
      </c>
      <c r="F30" s="300">
        <v>0</v>
      </c>
      <c r="G30" s="699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80">
        <v>0</v>
      </c>
    </row>
    <row r="31" spans="1:14" ht="26.25" customHeight="1">
      <c r="A31" s="714" t="s">
        <v>230</v>
      </c>
      <c r="B31" s="80">
        <f>SUM(B22:B30)</f>
        <v>110515</v>
      </c>
      <c r="C31" s="80"/>
      <c r="D31" s="300">
        <f>SUM(D22:D30)</f>
        <v>62.64</v>
      </c>
      <c r="E31" s="300">
        <f>SUM(E22:E30)</f>
        <v>9.3223200000000013</v>
      </c>
      <c r="F31" s="300">
        <f>SUM(F22:F30)</f>
        <v>0</v>
      </c>
      <c r="G31" s="300">
        <f t="shared" ref="G31:M31" si="2">SUM(G22:G30)</f>
        <v>0</v>
      </c>
      <c r="H31" s="300">
        <f t="shared" si="2"/>
        <v>4.2251799999999999</v>
      </c>
      <c r="I31" s="300">
        <f t="shared" si="2"/>
        <v>0</v>
      </c>
      <c r="J31" s="300">
        <f t="shared" si="2"/>
        <v>0</v>
      </c>
      <c r="K31" s="300">
        <f t="shared" si="2"/>
        <v>0</v>
      </c>
      <c r="L31" s="300">
        <f t="shared" si="2"/>
        <v>0</v>
      </c>
      <c r="M31" s="300">
        <f t="shared" si="2"/>
        <v>4.2251799999999999</v>
      </c>
      <c r="N31" s="80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2">
    <mergeCell ref="B9:C9"/>
    <mergeCell ref="B10:C10"/>
    <mergeCell ref="B11:C11"/>
    <mergeCell ref="G11:I11"/>
    <mergeCell ref="L16:M16"/>
    <mergeCell ref="B20:B21"/>
    <mergeCell ref="C20:C21"/>
    <mergeCell ref="D20:D21"/>
    <mergeCell ref="E20:E21"/>
    <mergeCell ref="F20:N20"/>
    <mergeCell ref="A4:C4"/>
    <mergeCell ref="B5:C5"/>
    <mergeCell ref="D5:E5"/>
    <mergeCell ref="F5:G5"/>
    <mergeCell ref="B7:D7"/>
    <mergeCell ref="E7:F7"/>
    <mergeCell ref="A1:N1"/>
    <mergeCell ref="A2:N2"/>
    <mergeCell ref="D3:E3"/>
    <mergeCell ref="F3:G3"/>
    <mergeCell ref="J3:K3"/>
    <mergeCell ref="L3:M3"/>
  </mergeCells>
  <hyperlinks>
    <hyperlink ref="A4" location="'Fact Sheet of VDC'!A1" display="&lt;&lt;Back"/>
  </hyperlinks>
  <pageMargins left="0.7" right="0.11811023622047245" top="0.5" bottom="0.64" header="0.31496062992125984" footer="0.31496062992125984"/>
  <pageSetup scale="70" orientation="landscape" r:id="rId1"/>
</worksheet>
</file>

<file path=xl/worksheets/sheet293.xml><?xml version="1.0" encoding="utf-8"?>
<worksheet xmlns="http://schemas.openxmlformats.org/spreadsheetml/2006/main" xmlns:r="http://schemas.openxmlformats.org/officeDocument/2006/relationships">
  <dimension ref="A1:N38"/>
  <sheetViews>
    <sheetView workbookViewId="0">
      <selection activeCell="A4" sqref="A4:C4"/>
    </sheetView>
  </sheetViews>
  <sheetFormatPr defaultRowHeight="15"/>
  <cols>
    <col min="1" max="1" width="33.85546875" customWidth="1"/>
    <col min="2" max="2" width="17.85546875" bestFit="1" customWidth="1"/>
    <col min="4" max="4" width="16.5703125" customWidth="1"/>
    <col min="5" max="5" width="16.7109375" customWidth="1"/>
    <col min="6" max="6" width="12.42578125" customWidth="1"/>
    <col min="8" max="8" width="11.5703125" customWidth="1"/>
    <col min="257" max="257" width="33.85546875" customWidth="1"/>
    <col min="258" max="258" width="17.85546875" bestFit="1" customWidth="1"/>
    <col min="260" max="260" width="16.5703125" customWidth="1"/>
    <col min="261" max="261" width="16.7109375" customWidth="1"/>
    <col min="262" max="262" width="12.42578125" customWidth="1"/>
    <col min="264" max="264" width="11.5703125" customWidth="1"/>
    <col min="513" max="513" width="33.85546875" customWidth="1"/>
    <col min="514" max="514" width="17.85546875" bestFit="1" customWidth="1"/>
    <col min="516" max="516" width="16.5703125" customWidth="1"/>
    <col min="517" max="517" width="16.7109375" customWidth="1"/>
    <col min="518" max="518" width="12.42578125" customWidth="1"/>
    <col min="520" max="520" width="11.5703125" customWidth="1"/>
    <col min="769" max="769" width="33.85546875" customWidth="1"/>
    <col min="770" max="770" width="17.85546875" bestFit="1" customWidth="1"/>
    <col min="772" max="772" width="16.5703125" customWidth="1"/>
    <col min="773" max="773" width="16.7109375" customWidth="1"/>
    <col min="774" max="774" width="12.42578125" customWidth="1"/>
    <col min="776" max="776" width="11.5703125" customWidth="1"/>
    <col min="1025" max="1025" width="33.85546875" customWidth="1"/>
    <col min="1026" max="1026" width="17.85546875" bestFit="1" customWidth="1"/>
    <col min="1028" max="1028" width="16.5703125" customWidth="1"/>
    <col min="1029" max="1029" width="16.7109375" customWidth="1"/>
    <col min="1030" max="1030" width="12.42578125" customWidth="1"/>
    <col min="1032" max="1032" width="11.5703125" customWidth="1"/>
    <col min="1281" max="1281" width="33.85546875" customWidth="1"/>
    <col min="1282" max="1282" width="17.85546875" bestFit="1" customWidth="1"/>
    <col min="1284" max="1284" width="16.5703125" customWidth="1"/>
    <col min="1285" max="1285" width="16.7109375" customWidth="1"/>
    <col min="1286" max="1286" width="12.42578125" customWidth="1"/>
    <col min="1288" max="1288" width="11.5703125" customWidth="1"/>
    <col min="1537" max="1537" width="33.85546875" customWidth="1"/>
    <col min="1538" max="1538" width="17.85546875" bestFit="1" customWidth="1"/>
    <col min="1540" max="1540" width="16.5703125" customWidth="1"/>
    <col min="1541" max="1541" width="16.7109375" customWidth="1"/>
    <col min="1542" max="1542" width="12.42578125" customWidth="1"/>
    <col min="1544" max="1544" width="11.5703125" customWidth="1"/>
    <col min="1793" max="1793" width="33.85546875" customWidth="1"/>
    <col min="1794" max="1794" width="17.85546875" bestFit="1" customWidth="1"/>
    <col min="1796" max="1796" width="16.5703125" customWidth="1"/>
    <col min="1797" max="1797" width="16.7109375" customWidth="1"/>
    <col min="1798" max="1798" width="12.42578125" customWidth="1"/>
    <col min="1800" max="1800" width="11.5703125" customWidth="1"/>
    <col min="2049" max="2049" width="33.85546875" customWidth="1"/>
    <col min="2050" max="2050" width="17.85546875" bestFit="1" customWidth="1"/>
    <col min="2052" max="2052" width="16.5703125" customWidth="1"/>
    <col min="2053" max="2053" width="16.7109375" customWidth="1"/>
    <col min="2054" max="2054" width="12.42578125" customWidth="1"/>
    <col min="2056" max="2056" width="11.5703125" customWidth="1"/>
    <col min="2305" max="2305" width="33.85546875" customWidth="1"/>
    <col min="2306" max="2306" width="17.85546875" bestFit="1" customWidth="1"/>
    <col min="2308" max="2308" width="16.5703125" customWidth="1"/>
    <col min="2309" max="2309" width="16.7109375" customWidth="1"/>
    <col min="2310" max="2310" width="12.42578125" customWidth="1"/>
    <col min="2312" max="2312" width="11.5703125" customWidth="1"/>
    <col min="2561" max="2561" width="33.85546875" customWidth="1"/>
    <col min="2562" max="2562" width="17.85546875" bestFit="1" customWidth="1"/>
    <col min="2564" max="2564" width="16.5703125" customWidth="1"/>
    <col min="2565" max="2565" width="16.7109375" customWidth="1"/>
    <col min="2566" max="2566" width="12.42578125" customWidth="1"/>
    <col min="2568" max="2568" width="11.5703125" customWidth="1"/>
    <col min="2817" max="2817" width="33.85546875" customWidth="1"/>
    <col min="2818" max="2818" width="17.85546875" bestFit="1" customWidth="1"/>
    <col min="2820" max="2820" width="16.5703125" customWidth="1"/>
    <col min="2821" max="2821" width="16.7109375" customWidth="1"/>
    <col min="2822" max="2822" width="12.42578125" customWidth="1"/>
    <col min="2824" max="2824" width="11.5703125" customWidth="1"/>
    <col min="3073" max="3073" width="33.85546875" customWidth="1"/>
    <col min="3074" max="3074" width="17.85546875" bestFit="1" customWidth="1"/>
    <col min="3076" max="3076" width="16.5703125" customWidth="1"/>
    <col min="3077" max="3077" width="16.7109375" customWidth="1"/>
    <col min="3078" max="3078" width="12.42578125" customWidth="1"/>
    <col min="3080" max="3080" width="11.5703125" customWidth="1"/>
    <col min="3329" max="3329" width="33.85546875" customWidth="1"/>
    <col min="3330" max="3330" width="17.85546875" bestFit="1" customWidth="1"/>
    <col min="3332" max="3332" width="16.5703125" customWidth="1"/>
    <col min="3333" max="3333" width="16.7109375" customWidth="1"/>
    <col min="3334" max="3334" width="12.42578125" customWidth="1"/>
    <col min="3336" max="3336" width="11.5703125" customWidth="1"/>
    <col min="3585" max="3585" width="33.85546875" customWidth="1"/>
    <col min="3586" max="3586" width="17.85546875" bestFit="1" customWidth="1"/>
    <col min="3588" max="3588" width="16.5703125" customWidth="1"/>
    <col min="3589" max="3589" width="16.7109375" customWidth="1"/>
    <col min="3590" max="3590" width="12.42578125" customWidth="1"/>
    <col min="3592" max="3592" width="11.5703125" customWidth="1"/>
    <col min="3841" max="3841" width="33.85546875" customWidth="1"/>
    <col min="3842" max="3842" width="17.85546875" bestFit="1" customWidth="1"/>
    <col min="3844" max="3844" width="16.5703125" customWidth="1"/>
    <col min="3845" max="3845" width="16.7109375" customWidth="1"/>
    <col min="3846" max="3846" width="12.42578125" customWidth="1"/>
    <col min="3848" max="3848" width="11.5703125" customWidth="1"/>
    <col min="4097" max="4097" width="33.85546875" customWidth="1"/>
    <col min="4098" max="4098" width="17.85546875" bestFit="1" customWidth="1"/>
    <col min="4100" max="4100" width="16.5703125" customWidth="1"/>
    <col min="4101" max="4101" width="16.7109375" customWidth="1"/>
    <col min="4102" max="4102" width="12.42578125" customWidth="1"/>
    <col min="4104" max="4104" width="11.5703125" customWidth="1"/>
    <col min="4353" max="4353" width="33.85546875" customWidth="1"/>
    <col min="4354" max="4354" width="17.85546875" bestFit="1" customWidth="1"/>
    <col min="4356" max="4356" width="16.5703125" customWidth="1"/>
    <col min="4357" max="4357" width="16.7109375" customWidth="1"/>
    <col min="4358" max="4358" width="12.42578125" customWidth="1"/>
    <col min="4360" max="4360" width="11.5703125" customWidth="1"/>
    <col min="4609" max="4609" width="33.85546875" customWidth="1"/>
    <col min="4610" max="4610" width="17.85546875" bestFit="1" customWidth="1"/>
    <col min="4612" max="4612" width="16.5703125" customWidth="1"/>
    <col min="4613" max="4613" width="16.7109375" customWidth="1"/>
    <col min="4614" max="4614" width="12.42578125" customWidth="1"/>
    <col min="4616" max="4616" width="11.5703125" customWidth="1"/>
    <col min="4865" max="4865" width="33.85546875" customWidth="1"/>
    <col min="4866" max="4866" width="17.85546875" bestFit="1" customWidth="1"/>
    <col min="4868" max="4868" width="16.5703125" customWidth="1"/>
    <col min="4869" max="4869" width="16.7109375" customWidth="1"/>
    <col min="4870" max="4870" width="12.42578125" customWidth="1"/>
    <col min="4872" max="4872" width="11.5703125" customWidth="1"/>
    <col min="5121" max="5121" width="33.85546875" customWidth="1"/>
    <col min="5122" max="5122" width="17.85546875" bestFit="1" customWidth="1"/>
    <col min="5124" max="5124" width="16.5703125" customWidth="1"/>
    <col min="5125" max="5125" width="16.7109375" customWidth="1"/>
    <col min="5126" max="5126" width="12.42578125" customWidth="1"/>
    <col min="5128" max="5128" width="11.5703125" customWidth="1"/>
    <col min="5377" max="5377" width="33.85546875" customWidth="1"/>
    <col min="5378" max="5378" width="17.85546875" bestFit="1" customWidth="1"/>
    <col min="5380" max="5380" width="16.5703125" customWidth="1"/>
    <col min="5381" max="5381" width="16.7109375" customWidth="1"/>
    <col min="5382" max="5382" width="12.42578125" customWidth="1"/>
    <col min="5384" max="5384" width="11.5703125" customWidth="1"/>
    <col min="5633" max="5633" width="33.85546875" customWidth="1"/>
    <col min="5634" max="5634" width="17.85546875" bestFit="1" customWidth="1"/>
    <col min="5636" max="5636" width="16.5703125" customWidth="1"/>
    <col min="5637" max="5637" width="16.7109375" customWidth="1"/>
    <col min="5638" max="5638" width="12.42578125" customWidth="1"/>
    <col min="5640" max="5640" width="11.5703125" customWidth="1"/>
    <col min="5889" max="5889" width="33.85546875" customWidth="1"/>
    <col min="5890" max="5890" width="17.85546875" bestFit="1" customWidth="1"/>
    <col min="5892" max="5892" width="16.5703125" customWidth="1"/>
    <col min="5893" max="5893" width="16.7109375" customWidth="1"/>
    <col min="5894" max="5894" width="12.42578125" customWidth="1"/>
    <col min="5896" max="5896" width="11.5703125" customWidth="1"/>
    <col min="6145" max="6145" width="33.85546875" customWidth="1"/>
    <col min="6146" max="6146" width="17.85546875" bestFit="1" customWidth="1"/>
    <col min="6148" max="6148" width="16.5703125" customWidth="1"/>
    <col min="6149" max="6149" width="16.7109375" customWidth="1"/>
    <col min="6150" max="6150" width="12.42578125" customWidth="1"/>
    <col min="6152" max="6152" width="11.5703125" customWidth="1"/>
    <col min="6401" max="6401" width="33.85546875" customWidth="1"/>
    <col min="6402" max="6402" width="17.85546875" bestFit="1" customWidth="1"/>
    <col min="6404" max="6404" width="16.5703125" customWidth="1"/>
    <col min="6405" max="6405" width="16.7109375" customWidth="1"/>
    <col min="6406" max="6406" width="12.42578125" customWidth="1"/>
    <col min="6408" max="6408" width="11.5703125" customWidth="1"/>
    <col min="6657" max="6657" width="33.85546875" customWidth="1"/>
    <col min="6658" max="6658" width="17.85546875" bestFit="1" customWidth="1"/>
    <col min="6660" max="6660" width="16.5703125" customWidth="1"/>
    <col min="6661" max="6661" width="16.7109375" customWidth="1"/>
    <col min="6662" max="6662" width="12.42578125" customWidth="1"/>
    <col min="6664" max="6664" width="11.5703125" customWidth="1"/>
    <col min="6913" max="6913" width="33.85546875" customWidth="1"/>
    <col min="6914" max="6914" width="17.85546875" bestFit="1" customWidth="1"/>
    <col min="6916" max="6916" width="16.5703125" customWidth="1"/>
    <col min="6917" max="6917" width="16.7109375" customWidth="1"/>
    <col min="6918" max="6918" width="12.42578125" customWidth="1"/>
    <col min="6920" max="6920" width="11.5703125" customWidth="1"/>
    <col min="7169" max="7169" width="33.85546875" customWidth="1"/>
    <col min="7170" max="7170" width="17.85546875" bestFit="1" customWidth="1"/>
    <col min="7172" max="7172" width="16.5703125" customWidth="1"/>
    <col min="7173" max="7173" width="16.7109375" customWidth="1"/>
    <col min="7174" max="7174" width="12.42578125" customWidth="1"/>
    <col min="7176" max="7176" width="11.5703125" customWidth="1"/>
    <col min="7425" max="7425" width="33.85546875" customWidth="1"/>
    <col min="7426" max="7426" width="17.85546875" bestFit="1" customWidth="1"/>
    <col min="7428" max="7428" width="16.5703125" customWidth="1"/>
    <col min="7429" max="7429" width="16.7109375" customWidth="1"/>
    <col min="7430" max="7430" width="12.42578125" customWidth="1"/>
    <col min="7432" max="7432" width="11.5703125" customWidth="1"/>
    <col min="7681" max="7681" width="33.85546875" customWidth="1"/>
    <col min="7682" max="7682" width="17.85546875" bestFit="1" customWidth="1"/>
    <col min="7684" max="7684" width="16.5703125" customWidth="1"/>
    <col min="7685" max="7685" width="16.7109375" customWidth="1"/>
    <col min="7686" max="7686" width="12.42578125" customWidth="1"/>
    <col min="7688" max="7688" width="11.5703125" customWidth="1"/>
    <col min="7937" max="7937" width="33.85546875" customWidth="1"/>
    <col min="7938" max="7938" width="17.85546875" bestFit="1" customWidth="1"/>
    <col min="7940" max="7940" width="16.5703125" customWidth="1"/>
    <col min="7941" max="7941" width="16.7109375" customWidth="1"/>
    <col min="7942" max="7942" width="12.42578125" customWidth="1"/>
    <col min="7944" max="7944" width="11.5703125" customWidth="1"/>
    <col min="8193" max="8193" width="33.85546875" customWidth="1"/>
    <col min="8194" max="8194" width="17.85546875" bestFit="1" customWidth="1"/>
    <col min="8196" max="8196" width="16.5703125" customWidth="1"/>
    <col min="8197" max="8197" width="16.7109375" customWidth="1"/>
    <col min="8198" max="8198" width="12.42578125" customWidth="1"/>
    <col min="8200" max="8200" width="11.5703125" customWidth="1"/>
    <col min="8449" max="8449" width="33.85546875" customWidth="1"/>
    <col min="8450" max="8450" width="17.85546875" bestFit="1" customWidth="1"/>
    <col min="8452" max="8452" width="16.5703125" customWidth="1"/>
    <col min="8453" max="8453" width="16.7109375" customWidth="1"/>
    <col min="8454" max="8454" width="12.42578125" customWidth="1"/>
    <col min="8456" max="8456" width="11.5703125" customWidth="1"/>
    <col min="8705" max="8705" width="33.85546875" customWidth="1"/>
    <col min="8706" max="8706" width="17.85546875" bestFit="1" customWidth="1"/>
    <col min="8708" max="8708" width="16.5703125" customWidth="1"/>
    <col min="8709" max="8709" width="16.7109375" customWidth="1"/>
    <col min="8710" max="8710" width="12.42578125" customWidth="1"/>
    <col min="8712" max="8712" width="11.5703125" customWidth="1"/>
    <col min="8961" max="8961" width="33.85546875" customWidth="1"/>
    <col min="8962" max="8962" width="17.85546875" bestFit="1" customWidth="1"/>
    <col min="8964" max="8964" width="16.5703125" customWidth="1"/>
    <col min="8965" max="8965" width="16.7109375" customWidth="1"/>
    <col min="8966" max="8966" width="12.42578125" customWidth="1"/>
    <col min="8968" max="8968" width="11.5703125" customWidth="1"/>
    <col min="9217" max="9217" width="33.85546875" customWidth="1"/>
    <col min="9218" max="9218" width="17.85546875" bestFit="1" customWidth="1"/>
    <col min="9220" max="9220" width="16.5703125" customWidth="1"/>
    <col min="9221" max="9221" width="16.7109375" customWidth="1"/>
    <col min="9222" max="9222" width="12.42578125" customWidth="1"/>
    <col min="9224" max="9224" width="11.5703125" customWidth="1"/>
    <col min="9473" max="9473" width="33.85546875" customWidth="1"/>
    <col min="9474" max="9474" width="17.85546875" bestFit="1" customWidth="1"/>
    <col min="9476" max="9476" width="16.5703125" customWidth="1"/>
    <col min="9477" max="9477" width="16.7109375" customWidth="1"/>
    <col min="9478" max="9478" width="12.42578125" customWidth="1"/>
    <col min="9480" max="9480" width="11.5703125" customWidth="1"/>
    <col min="9729" max="9729" width="33.85546875" customWidth="1"/>
    <col min="9730" max="9730" width="17.85546875" bestFit="1" customWidth="1"/>
    <col min="9732" max="9732" width="16.5703125" customWidth="1"/>
    <col min="9733" max="9733" width="16.7109375" customWidth="1"/>
    <col min="9734" max="9734" width="12.42578125" customWidth="1"/>
    <col min="9736" max="9736" width="11.5703125" customWidth="1"/>
    <col min="9985" max="9985" width="33.85546875" customWidth="1"/>
    <col min="9986" max="9986" width="17.85546875" bestFit="1" customWidth="1"/>
    <col min="9988" max="9988" width="16.5703125" customWidth="1"/>
    <col min="9989" max="9989" width="16.7109375" customWidth="1"/>
    <col min="9990" max="9990" width="12.42578125" customWidth="1"/>
    <col min="9992" max="9992" width="11.5703125" customWidth="1"/>
    <col min="10241" max="10241" width="33.85546875" customWidth="1"/>
    <col min="10242" max="10242" width="17.85546875" bestFit="1" customWidth="1"/>
    <col min="10244" max="10244" width="16.5703125" customWidth="1"/>
    <col min="10245" max="10245" width="16.7109375" customWidth="1"/>
    <col min="10246" max="10246" width="12.42578125" customWidth="1"/>
    <col min="10248" max="10248" width="11.5703125" customWidth="1"/>
    <col min="10497" max="10497" width="33.85546875" customWidth="1"/>
    <col min="10498" max="10498" width="17.85546875" bestFit="1" customWidth="1"/>
    <col min="10500" max="10500" width="16.5703125" customWidth="1"/>
    <col min="10501" max="10501" width="16.7109375" customWidth="1"/>
    <col min="10502" max="10502" width="12.42578125" customWidth="1"/>
    <col min="10504" max="10504" width="11.5703125" customWidth="1"/>
    <col min="10753" max="10753" width="33.85546875" customWidth="1"/>
    <col min="10754" max="10754" width="17.85546875" bestFit="1" customWidth="1"/>
    <col min="10756" max="10756" width="16.5703125" customWidth="1"/>
    <col min="10757" max="10757" width="16.7109375" customWidth="1"/>
    <col min="10758" max="10758" width="12.42578125" customWidth="1"/>
    <col min="10760" max="10760" width="11.5703125" customWidth="1"/>
    <col min="11009" max="11009" width="33.85546875" customWidth="1"/>
    <col min="11010" max="11010" width="17.85546875" bestFit="1" customWidth="1"/>
    <col min="11012" max="11012" width="16.5703125" customWidth="1"/>
    <col min="11013" max="11013" width="16.7109375" customWidth="1"/>
    <col min="11014" max="11014" width="12.42578125" customWidth="1"/>
    <col min="11016" max="11016" width="11.5703125" customWidth="1"/>
    <col min="11265" max="11265" width="33.85546875" customWidth="1"/>
    <col min="11266" max="11266" width="17.85546875" bestFit="1" customWidth="1"/>
    <col min="11268" max="11268" width="16.5703125" customWidth="1"/>
    <col min="11269" max="11269" width="16.7109375" customWidth="1"/>
    <col min="11270" max="11270" width="12.42578125" customWidth="1"/>
    <col min="11272" max="11272" width="11.5703125" customWidth="1"/>
    <col min="11521" max="11521" width="33.85546875" customWidth="1"/>
    <col min="11522" max="11522" width="17.85546875" bestFit="1" customWidth="1"/>
    <col min="11524" max="11524" width="16.5703125" customWidth="1"/>
    <col min="11525" max="11525" width="16.7109375" customWidth="1"/>
    <col min="11526" max="11526" width="12.42578125" customWidth="1"/>
    <col min="11528" max="11528" width="11.5703125" customWidth="1"/>
    <col min="11777" max="11777" width="33.85546875" customWidth="1"/>
    <col min="11778" max="11778" width="17.85546875" bestFit="1" customWidth="1"/>
    <col min="11780" max="11780" width="16.5703125" customWidth="1"/>
    <col min="11781" max="11781" width="16.7109375" customWidth="1"/>
    <col min="11782" max="11782" width="12.42578125" customWidth="1"/>
    <col min="11784" max="11784" width="11.5703125" customWidth="1"/>
    <col min="12033" max="12033" width="33.85546875" customWidth="1"/>
    <col min="12034" max="12034" width="17.85546875" bestFit="1" customWidth="1"/>
    <col min="12036" max="12036" width="16.5703125" customWidth="1"/>
    <col min="12037" max="12037" width="16.7109375" customWidth="1"/>
    <col min="12038" max="12038" width="12.42578125" customWidth="1"/>
    <col min="12040" max="12040" width="11.5703125" customWidth="1"/>
    <col min="12289" max="12289" width="33.85546875" customWidth="1"/>
    <col min="12290" max="12290" width="17.85546875" bestFit="1" customWidth="1"/>
    <col min="12292" max="12292" width="16.5703125" customWidth="1"/>
    <col min="12293" max="12293" width="16.7109375" customWidth="1"/>
    <col min="12294" max="12294" width="12.42578125" customWidth="1"/>
    <col min="12296" max="12296" width="11.5703125" customWidth="1"/>
    <col min="12545" max="12545" width="33.85546875" customWidth="1"/>
    <col min="12546" max="12546" width="17.85546875" bestFit="1" customWidth="1"/>
    <col min="12548" max="12548" width="16.5703125" customWidth="1"/>
    <col min="12549" max="12549" width="16.7109375" customWidth="1"/>
    <col min="12550" max="12550" width="12.42578125" customWidth="1"/>
    <col min="12552" max="12552" width="11.5703125" customWidth="1"/>
    <col min="12801" max="12801" width="33.85546875" customWidth="1"/>
    <col min="12802" max="12802" width="17.85546875" bestFit="1" customWidth="1"/>
    <col min="12804" max="12804" width="16.5703125" customWidth="1"/>
    <col min="12805" max="12805" width="16.7109375" customWidth="1"/>
    <col min="12806" max="12806" width="12.42578125" customWidth="1"/>
    <col min="12808" max="12808" width="11.5703125" customWidth="1"/>
    <col min="13057" max="13057" width="33.85546875" customWidth="1"/>
    <col min="13058" max="13058" width="17.85546875" bestFit="1" customWidth="1"/>
    <col min="13060" max="13060" width="16.5703125" customWidth="1"/>
    <col min="13061" max="13061" width="16.7109375" customWidth="1"/>
    <col min="13062" max="13062" width="12.42578125" customWidth="1"/>
    <col min="13064" max="13064" width="11.5703125" customWidth="1"/>
    <col min="13313" max="13313" width="33.85546875" customWidth="1"/>
    <col min="13314" max="13314" width="17.85546875" bestFit="1" customWidth="1"/>
    <col min="13316" max="13316" width="16.5703125" customWidth="1"/>
    <col min="13317" max="13317" width="16.7109375" customWidth="1"/>
    <col min="13318" max="13318" width="12.42578125" customWidth="1"/>
    <col min="13320" max="13320" width="11.5703125" customWidth="1"/>
    <col min="13569" max="13569" width="33.85546875" customWidth="1"/>
    <col min="13570" max="13570" width="17.85546875" bestFit="1" customWidth="1"/>
    <col min="13572" max="13572" width="16.5703125" customWidth="1"/>
    <col min="13573" max="13573" width="16.7109375" customWidth="1"/>
    <col min="13574" max="13574" width="12.42578125" customWidth="1"/>
    <col min="13576" max="13576" width="11.5703125" customWidth="1"/>
    <col min="13825" max="13825" width="33.85546875" customWidth="1"/>
    <col min="13826" max="13826" width="17.85546875" bestFit="1" customWidth="1"/>
    <col min="13828" max="13828" width="16.5703125" customWidth="1"/>
    <col min="13829" max="13829" width="16.7109375" customWidth="1"/>
    <col min="13830" max="13830" width="12.42578125" customWidth="1"/>
    <col min="13832" max="13832" width="11.5703125" customWidth="1"/>
    <col min="14081" max="14081" width="33.85546875" customWidth="1"/>
    <col min="14082" max="14082" width="17.85546875" bestFit="1" customWidth="1"/>
    <col min="14084" max="14084" width="16.5703125" customWidth="1"/>
    <col min="14085" max="14085" width="16.7109375" customWidth="1"/>
    <col min="14086" max="14086" width="12.42578125" customWidth="1"/>
    <col min="14088" max="14088" width="11.5703125" customWidth="1"/>
    <col min="14337" max="14337" width="33.85546875" customWidth="1"/>
    <col min="14338" max="14338" width="17.85546875" bestFit="1" customWidth="1"/>
    <col min="14340" max="14340" width="16.5703125" customWidth="1"/>
    <col min="14341" max="14341" width="16.7109375" customWidth="1"/>
    <col min="14342" max="14342" width="12.42578125" customWidth="1"/>
    <col min="14344" max="14344" width="11.5703125" customWidth="1"/>
    <col min="14593" max="14593" width="33.85546875" customWidth="1"/>
    <col min="14594" max="14594" width="17.85546875" bestFit="1" customWidth="1"/>
    <col min="14596" max="14596" width="16.5703125" customWidth="1"/>
    <col min="14597" max="14597" width="16.7109375" customWidth="1"/>
    <col min="14598" max="14598" width="12.42578125" customWidth="1"/>
    <col min="14600" max="14600" width="11.5703125" customWidth="1"/>
    <col min="14849" max="14849" width="33.85546875" customWidth="1"/>
    <col min="14850" max="14850" width="17.85546875" bestFit="1" customWidth="1"/>
    <col min="14852" max="14852" width="16.5703125" customWidth="1"/>
    <col min="14853" max="14853" width="16.7109375" customWidth="1"/>
    <col min="14854" max="14854" width="12.42578125" customWidth="1"/>
    <col min="14856" max="14856" width="11.5703125" customWidth="1"/>
    <col min="15105" max="15105" width="33.85546875" customWidth="1"/>
    <col min="15106" max="15106" width="17.85546875" bestFit="1" customWidth="1"/>
    <col min="15108" max="15108" width="16.5703125" customWidth="1"/>
    <col min="15109" max="15109" width="16.7109375" customWidth="1"/>
    <col min="15110" max="15110" width="12.42578125" customWidth="1"/>
    <col min="15112" max="15112" width="11.5703125" customWidth="1"/>
    <col min="15361" max="15361" width="33.85546875" customWidth="1"/>
    <col min="15362" max="15362" width="17.85546875" bestFit="1" customWidth="1"/>
    <col min="15364" max="15364" width="16.5703125" customWidth="1"/>
    <col min="15365" max="15365" width="16.7109375" customWidth="1"/>
    <col min="15366" max="15366" width="12.42578125" customWidth="1"/>
    <col min="15368" max="15368" width="11.5703125" customWidth="1"/>
    <col min="15617" max="15617" width="33.85546875" customWidth="1"/>
    <col min="15618" max="15618" width="17.85546875" bestFit="1" customWidth="1"/>
    <col min="15620" max="15620" width="16.5703125" customWidth="1"/>
    <col min="15621" max="15621" width="16.7109375" customWidth="1"/>
    <col min="15622" max="15622" width="12.42578125" customWidth="1"/>
    <col min="15624" max="15624" width="11.5703125" customWidth="1"/>
    <col min="15873" max="15873" width="33.85546875" customWidth="1"/>
    <col min="15874" max="15874" width="17.85546875" bestFit="1" customWidth="1"/>
    <col min="15876" max="15876" width="16.5703125" customWidth="1"/>
    <col min="15877" max="15877" width="16.7109375" customWidth="1"/>
    <col min="15878" max="15878" width="12.42578125" customWidth="1"/>
    <col min="15880" max="15880" width="11.5703125" customWidth="1"/>
    <col min="16129" max="16129" width="33.85546875" customWidth="1"/>
    <col min="16130" max="16130" width="17.85546875" bestFit="1" customWidth="1"/>
    <col min="16132" max="16132" width="16.5703125" customWidth="1"/>
    <col min="16133" max="16133" width="16.7109375" customWidth="1"/>
    <col min="16134" max="16134" width="12.42578125" customWidth="1"/>
    <col min="16136" max="16136" width="11.5703125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1531" t="s">
        <v>5761</v>
      </c>
      <c r="C3" s="1531"/>
      <c r="D3" s="1531"/>
      <c r="E3" s="677" t="s">
        <v>2966</v>
      </c>
      <c r="F3" s="677"/>
      <c r="G3" s="1518">
        <v>405010401090103</v>
      </c>
      <c r="H3" s="1518"/>
      <c r="I3" s="1492" t="s">
        <v>5</v>
      </c>
      <c r="J3" s="1492"/>
      <c r="K3" s="80" t="s">
        <v>3008</v>
      </c>
      <c r="L3" s="1519" t="s">
        <v>436</v>
      </c>
      <c r="M3" s="1519"/>
      <c r="N3" s="80">
        <v>0</v>
      </c>
    </row>
    <row r="4" spans="1:14">
      <c r="A4" s="1521" t="s">
        <v>4176</v>
      </c>
      <c r="B4" s="1521"/>
      <c r="C4" s="1521"/>
      <c r="D4" s="295"/>
      <c r="E4" s="715"/>
      <c r="F4" s="295"/>
      <c r="G4" s="295"/>
      <c r="H4" s="295"/>
      <c r="I4" s="295"/>
      <c r="J4" s="295"/>
      <c r="K4" s="295"/>
      <c r="L4" s="295"/>
      <c r="M4" s="295"/>
      <c r="N4" s="295"/>
    </row>
    <row r="5" spans="1:14" ht="26.25" customHeight="1">
      <c r="A5" s="677" t="s">
        <v>2967</v>
      </c>
      <c r="B5" s="80" t="s">
        <v>3009</v>
      </c>
      <c r="C5" s="1492" t="s">
        <v>2969</v>
      </c>
      <c r="D5" s="1492"/>
      <c r="E5" s="1518" t="s">
        <v>3010</v>
      </c>
      <c r="F5" s="1518"/>
      <c r="G5" s="712"/>
      <c r="H5" s="295"/>
      <c r="I5" s="295"/>
      <c r="J5" s="295"/>
      <c r="K5" s="295"/>
      <c r="L5" s="295"/>
      <c r="M5" s="295"/>
      <c r="N5" s="295"/>
    </row>
    <row r="6" spans="1:14">
      <c r="A6" s="295"/>
      <c r="B6" s="295"/>
      <c r="C6" s="295"/>
      <c r="D6" s="295"/>
      <c r="E6" s="715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26.25" customHeight="1">
      <c r="A7" s="677" t="s">
        <v>618</v>
      </c>
      <c r="B7" s="80" t="s">
        <v>3011</v>
      </c>
      <c r="C7" s="1532" t="s">
        <v>2971</v>
      </c>
      <c r="D7" s="1532"/>
      <c r="E7" s="717" t="s">
        <v>3012</v>
      </c>
      <c r="F7" s="712"/>
      <c r="G7" s="712"/>
      <c r="H7" s="295"/>
      <c r="I7" s="295"/>
      <c r="J7" s="295"/>
      <c r="K7" s="295"/>
      <c r="L7" s="295"/>
      <c r="M7" s="295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995" t="s">
        <v>3013</v>
      </c>
      <c r="C9" s="995"/>
      <c r="D9" s="995" t="s">
        <v>3014</v>
      </c>
      <c r="E9" s="995"/>
      <c r="F9" s="995" t="s">
        <v>3015</v>
      </c>
      <c r="G9" s="995"/>
      <c r="H9" s="995" t="s">
        <v>3016</v>
      </c>
      <c r="I9" s="995"/>
      <c r="J9" s="995" t="s">
        <v>3017</v>
      </c>
      <c r="K9" s="995"/>
      <c r="M9" s="696"/>
      <c r="N9" s="295"/>
    </row>
    <row r="10" spans="1:14" ht="26.25" customHeight="1">
      <c r="A10" s="677" t="s">
        <v>2974</v>
      </c>
      <c r="B10" s="80" t="s">
        <v>3018</v>
      </c>
      <c r="C10" s="995" t="s">
        <v>3019</v>
      </c>
      <c r="D10" s="995"/>
      <c r="E10" s="995" t="s">
        <v>3020</v>
      </c>
      <c r="F10" s="995"/>
      <c r="G10" s="696"/>
      <c r="H10" s="696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316" t="s">
        <v>3021</v>
      </c>
      <c r="C11" s="316" t="s">
        <v>3022</v>
      </c>
      <c r="D11" s="316"/>
      <c r="E11" s="295"/>
      <c r="F11" s="295"/>
      <c r="G11" s="295"/>
      <c r="H11" s="295"/>
      <c r="I11" s="295"/>
      <c r="J11" s="295"/>
      <c r="K11" s="295"/>
      <c r="L11" s="295"/>
      <c r="M11" s="295"/>
      <c r="N11" s="295"/>
    </row>
    <row r="12" spans="1:14" ht="26.25" customHeight="1">
      <c r="A12" s="677" t="s">
        <v>2980</v>
      </c>
      <c r="B12" s="80"/>
      <c r="C12" s="1527"/>
      <c r="D12" s="1528"/>
      <c r="E12" s="295"/>
      <c r="F12" s="295"/>
      <c r="G12" s="295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5</v>
      </c>
      <c r="C14" s="677" t="s">
        <v>2982</v>
      </c>
      <c r="D14" s="677"/>
      <c r="E14" s="317">
        <v>5</v>
      </c>
      <c r="F14" s="677" t="s">
        <v>1918</v>
      </c>
      <c r="G14" s="317">
        <v>7</v>
      </c>
      <c r="H14" s="677" t="s">
        <v>1492</v>
      </c>
      <c r="I14" s="317"/>
      <c r="J14" s="677" t="s">
        <v>1493</v>
      </c>
      <c r="K14" s="317">
        <v>2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78</v>
      </c>
      <c r="D16" s="677" t="s">
        <v>205</v>
      </c>
      <c r="E16" s="80">
        <v>10</v>
      </c>
      <c r="F16" s="677" t="s">
        <v>2983</v>
      </c>
      <c r="G16" s="80">
        <v>0</v>
      </c>
      <c r="H16" s="677" t="s">
        <v>245</v>
      </c>
      <c r="I16" s="80">
        <v>88</v>
      </c>
      <c r="J16" s="677" t="s">
        <v>207</v>
      </c>
      <c r="K16" s="80">
        <v>41</v>
      </c>
      <c r="L16" s="677" t="s">
        <v>3023</v>
      </c>
      <c r="M16" s="677"/>
      <c r="N16" s="80">
        <v>6</v>
      </c>
    </row>
    <row r="17" spans="1:14" ht="26.25" customHeight="1">
      <c r="A17" s="674" t="s">
        <v>209</v>
      </c>
      <c r="B17" s="677" t="s">
        <v>210</v>
      </c>
      <c r="C17" s="80">
        <v>177</v>
      </c>
      <c r="D17" s="677" t="s">
        <v>211</v>
      </c>
      <c r="E17" s="80">
        <v>13</v>
      </c>
      <c r="F17" s="677" t="s">
        <v>212</v>
      </c>
      <c r="G17" s="80"/>
      <c r="H17" s="677" t="s">
        <v>411</v>
      </c>
      <c r="I17" s="80">
        <v>190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197</v>
      </c>
      <c r="D18" s="677" t="s">
        <v>2986</v>
      </c>
      <c r="E18" s="80">
        <v>8</v>
      </c>
      <c r="F18" s="677" t="s">
        <v>2987</v>
      </c>
      <c r="G18" s="80"/>
      <c r="H18" s="677" t="s">
        <v>2988</v>
      </c>
      <c r="I18" s="80">
        <v>205</v>
      </c>
      <c r="J18" s="295"/>
      <c r="K18" s="295"/>
      <c r="L18" s="295"/>
      <c r="M18" s="295"/>
      <c r="N18" s="295"/>
    </row>
    <row r="19" spans="1:14" s="403" customFormat="1" ht="26.25" customHeigh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3" t="s">
        <v>217</v>
      </c>
      <c r="B20" s="1523" t="s">
        <v>218</v>
      </c>
      <c r="C20" s="1524" t="s">
        <v>219</v>
      </c>
      <c r="D20" s="1523" t="s">
        <v>1363</v>
      </c>
      <c r="E20" s="1523" t="s">
        <v>1713</v>
      </c>
      <c r="F20" s="1525" t="s">
        <v>2989</v>
      </c>
      <c r="G20" s="1525"/>
      <c r="H20" s="1525"/>
      <c r="I20" s="1525"/>
      <c r="J20" s="1525"/>
      <c r="K20" s="1525"/>
      <c r="L20" s="1525"/>
      <c r="M20" s="1525"/>
      <c r="N20" s="1525"/>
    </row>
    <row r="21" spans="1:14" ht="26.25" customHeight="1">
      <c r="A21" s="713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13" t="s">
        <v>231</v>
      </c>
    </row>
    <row r="22" spans="1:14" ht="26.25" customHeight="1">
      <c r="A22" s="677" t="s">
        <v>2990</v>
      </c>
      <c r="B22" s="80">
        <v>8000</v>
      </c>
      <c r="C22" s="317" t="s">
        <v>873</v>
      </c>
      <c r="D22" s="300">
        <v>40</v>
      </c>
      <c r="E22" s="300">
        <v>4.65252</v>
      </c>
      <c r="F22" s="699">
        <v>0</v>
      </c>
      <c r="G22" s="699">
        <v>0</v>
      </c>
      <c r="H22" s="699">
        <v>0.24</v>
      </c>
      <c r="I22" s="317"/>
      <c r="J22" s="317"/>
      <c r="K22" s="317"/>
      <c r="L22" s="317"/>
      <c r="M22" s="699">
        <f>F22+G22+H22</f>
        <v>0.24</v>
      </c>
      <c r="N22" s="699">
        <f>M22/E22*100</f>
        <v>5.15849475123159</v>
      </c>
    </row>
    <row r="23" spans="1:14" ht="26.25" customHeight="1">
      <c r="A23" s="677" t="s">
        <v>234</v>
      </c>
      <c r="B23" s="80">
        <v>7000</v>
      </c>
      <c r="C23" s="317" t="s">
        <v>873</v>
      </c>
      <c r="D23" s="30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80">
        <v>0</v>
      </c>
    </row>
    <row r="24" spans="1:14" ht="26.25" customHeight="1">
      <c r="A24" s="677" t="s">
        <v>2991</v>
      </c>
      <c r="B24" s="80">
        <v>43000</v>
      </c>
      <c r="C24" s="317" t="s">
        <v>236</v>
      </c>
      <c r="D24" s="30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80">
        <f t="shared" ref="N24:N29" si="1">M24/E24*100</f>
        <v>0</v>
      </c>
    </row>
    <row r="25" spans="1:14" ht="26.25" customHeight="1">
      <c r="A25" s="677" t="s">
        <v>2992</v>
      </c>
      <c r="B25" s="80">
        <v>37000</v>
      </c>
      <c r="C25" s="317" t="s">
        <v>236</v>
      </c>
      <c r="D25" s="30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80">
        <f t="shared" si="1"/>
        <v>0</v>
      </c>
    </row>
    <row r="26" spans="1:14" ht="26.25" customHeight="1">
      <c r="A26" s="677" t="s">
        <v>2993</v>
      </c>
      <c r="B26" s="80">
        <v>1200</v>
      </c>
      <c r="C26" s="317" t="s">
        <v>236</v>
      </c>
      <c r="D26" s="300">
        <v>6</v>
      </c>
      <c r="E26" s="300">
        <v>2</v>
      </c>
      <c r="F26" s="300">
        <v>0</v>
      </c>
      <c r="G26" s="699">
        <v>0</v>
      </c>
      <c r="H26" s="300">
        <v>1.5931200000000001</v>
      </c>
      <c r="I26" s="80"/>
      <c r="J26" s="80"/>
      <c r="K26" s="80"/>
      <c r="L26" s="80"/>
      <c r="M26" s="699">
        <f t="shared" si="0"/>
        <v>1.5931200000000001</v>
      </c>
      <c r="N26" s="80">
        <f t="shared" si="1"/>
        <v>79.656000000000006</v>
      </c>
    </row>
    <row r="27" spans="1:14" ht="26.25" customHeight="1">
      <c r="A27" s="677" t="s">
        <v>395</v>
      </c>
      <c r="B27" s="80">
        <v>565</v>
      </c>
      <c r="C27" s="317" t="s">
        <v>873</v>
      </c>
      <c r="D27" s="300">
        <v>2.83</v>
      </c>
      <c r="E27" s="300">
        <v>0.372</v>
      </c>
      <c r="F27" s="300">
        <v>0</v>
      </c>
      <c r="G27" s="699">
        <v>0</v>
      </c>
      <c r="H27" s="300">
        <v>0.3</v>
      </c>
      <c r="I27" s="80"/>
      <c r="J27" s="80"/>
      <c r="K27" s="80"/>
      <c r="L27" s="80"/>
      <c r="M27" s="699">
        <f t="shared" si="0"/>
        <v>0.3</v>
      </c>
      <c r="N27" s="300">
        <f t="shared" si="1"/>
        <v>80.645161290322577</v>
      </c>
    </row>
    <row r="28" spans="1:14" ht="26.25" customHeight="1">
      <c r="A28" s="677" t="s">
        <v>1503</v>
      </c>
      <c r="B28" s="80">
        <v>1000</v>
      </c>
      <c r="C28" s="317" t="s">
        <v>873</v>
      </c>
      <c r="D28" s="30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80">
        <v>0</v>
      </c>
    </row>
    <row r="29" spans="1:14" ht="26.25" customHeight="1">
      <c r="A29" s="677" t="s">
        <v>241</v>
      </c>
      <c r="B29" s="80">
        <v>2750</v>
      </c>
      <c r="C29" s="317" t="s">
        <v>2994</v>
      </c>
      <c r="D29" s="300">
        <v>2.31</v>
      </c>
      <c r="E29" s="300">
        <v>0.33</v>
      </c>
      <c r="F29" s="300">
        <v>0</v>
      </c>
      <c r="G29" s="699">
        <v>0</v>
      </c>
      <c r="H29" s="300">
        <v>0.13800000000000001</v>
      </c>
      <c r="I29" s="80"/>
      <c r="J29" s="80"/>
      <c r="K29" s="80"/>
      <c r="L29" s="80"/>
      <c r="M29" s="699">
        <f t="shared" si="0"/>
        <v>0.13800000000000001</v>
      </c>
      <c r="N29" s="300">
        <f t="shared" si="1"/>
        <v>41.81818181818182</v>
      </c>
    </row>
    <row r="30" spans="1:14" ht="26.25" customHeight="1">
      <c r="A30" s="677" t="s">
        <v>670</v>
      </c>
      <c r="B30" s="80">
        <v>10000</v>
      </c>
      <c r="C30" s="317" t="s">
        <v>2995</v>
      </c>
      <c r="D30" s="300">
        <v>0.1</v>
      </c>
      <c r="E30" s="300">
        <v>0</v>
      </c>
      <c r="F30" s="300">
        <v>0</v>
      </c>
      <c r="G30" s="699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80">
        <v>0</v>
      </c>
    </row>
    <row r="31" spans="1:14" ht="26.25" customHeight="1">
      <c r="A31" s="714" t="s">
        <v>230</v>
      </c>
      <c r="B31" s="80">
        <f>SUM(B22:B30)</f>
        <v>110515</v>
      </c>
      <c r="C31" s="80"/>
      <c r="D31" s="300">
        <f>SUM(D22:D30)</f>
        <v>62.64</v>
      </c>
      <c r="E31" s="300">
        <f>SUM(E22:E30)</f>
        <v>7.6945199999999998</v>
      </c>
      <c r="F31" s="300">
        <f>SUM(F22:F30)</f>
        <v>0</v>
      </c>
      <c r="G31" s="300">
        <f t="shared" ref="G31:M31" si="2">SUM(G22:G30)</f>
        <v>0</v>
      </c>
      <c r="H31" s="300">
        <f t="shared" si="2"/>
        <v>2.2711199999999998</v>
      </c>
      <c r="I31" s="300">
        <f t="shared" si="2"/>
        <v>0</v>
      </c>
      <c r="J31" s="300">
        <f t="shared" si="2"/>
        <v>0</v>
      </c>
      <c r="K31" s="300">
        <f t="shared" si="2"/>
        <v>0</v>
      </c>
      <c r="L31" s="300">
        <f t="shared" si="2"/>
        <v>0</v>
      </c>
      <c r="M31" s="300">
        <f t="shared" si="2"/>
        <v>2.2711199999999998</v>
      </c>
      <c r="N31" s="80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3">
    <mergeCell ref="H9:I9"/>
    <mergeCell ref="J9:K9"/>
    <mergeCell ref="C10:D10"/>
    <mergeCell ref="E10:F10"/>
    <mergeCell ref="C12:D12"/>
    <mergeCell ref="B20:B21"/>
    <mergeCell ref="C20:C21"/>
    <mergeCell ref="D20:D21"/>
    <mergeCell ref="E20:E21"/>
    <mergeCell ref="F20:N20"/>
    <mergeCell ref="A4:C4"/>
    <mergeCell ref="C5:D5"/>
    <mergeCell ref="E5:F5"/>
    <mergeCell ref="C7:D7"/>
    <mergeCell ref="B9:C9"/>
    <mergeCell ref="D9:E9"/>
    <mergeCell ref="F9:G9"/>
    <mergeCell ref="A1:N1"/>
    <mergeCell ref="A2:N2"/>
    <mergeCell ref="B3:D3"/>
    <mergeCell ref="G3:H3"/>
    <mergeCell ref="I3:J3"/>
    <mergeCell ref="L3:M3"/>
  </mergeCells>
  <hyperlinks>
    <hyperlink ref="A4" location="'Fact Sheet of VDC'!A1" display="&lt;&lt;Back"/>
  </hyperlinks>
  <pageMargins left="0.66" right="3.937007874015748E-2" top="0.74803149606299213" bottom="0.74803149606299213" header="0.31496062992125984" footer="0.31496062992125984"/>
  <pageSetup scale="70" orientation="landscape" r:id="rId1"/>
</worksheet>
</file>

<file path=xl/worksheets/sheet294.xml><?xml version="1.0" encoding="utf-8"?>
<worksheet xmlns="http://schemas.openxmlformats.org/spreadsheetml/2006/main" xmlns:r="http://schemas.openxmlformats.org/officeDocument/2006/relationships">
  <dimension ref="A1:N38"/>
  <sheetViews>
    <sheetView workbookViewId="0">
      <selection activeCell="A4" sqref="A4:C4"/>
    </sheetView>
  </sheetViews>
  <sheetFormatPr defaultRowHeight="15"/>
  <cols>
    <col min="1" max="1" width="33.140625" customWidth="1"/>
    <col min="2" max="2" width="11.85546875" customWidth="1"/>
    <col min="3" max="3" width="10.42578125" customWidth="1"/>
    <col min="4" max="4" width="15.85546875" customWidth="1"/>
    <col min="5" max="5" width="19.85546875" bestFit="1" customWidth="1"/>
    <col min="6" max="6" width="11.85546875" customWidth="1"/>
    <col min="8" max="8" width="11.5703125" customWidth="1"/>
    <col min="12" max="12" width="11.85546875" customWidth="1"/>
    <col min="257" max="257" width="33.140625" customWidth="1"/>
    <col min="258" max="258" width="11.85546875" customWidth="1"/>
    <col min="259" max="259" width="10.42578125" customWidth="1"/>
    <col min="260" max="260" width="15.85546875" customWidth="1"/>
    <col min="261" max="261" width="19.85546875" bestFit="1" customWidth="1"/>
    <col min="262" max="262" width="11.85546875" customWidth="1"/>
    <col min="264" max="264" width="11.5703125" customWidth="1"/>
    <col min="268" max="268" width="11.85546875" customWidth="1"/>
    <col min="513" max="513" width="33.140625" customWidth="1"/>
    <col min="514" max="514" width="11.85546875" customWidth="1"/>
    <col min="515" max="515" width="10.42578125" customWidth="1"/>
    <col min="516" max="516" width="15.85546875" customWidth="1"/>
    <col min="517" max="517" width="19.85546875" bestFit="1" customWidth="1"/>
    <col min="518" max="518" width="11.85546875" customWidth="1"/>
    <col min="520" max="520" width="11.5703125" customWidth="1"/>
    <col min="524" max="524" width="11.85546875" customWidth="1"/>
    <col min="769" max="769" width="33.140625" customWidth="1"/>
    <col min="770" max="770" width="11.85546875" customWidth="1"/>
    <col min="771" max="771" width="10.42578125" customWidth="1"/>
    <col min="772" max="772" width="15.85546875" customWidth="1"/>
    <col min="773" max="773" width="19.85546875" bestFit="1" customWidth="1"/>
    <col min="774" max="774" width="11.85546875" customWidth="1"/>
    <col min="776" max="776" width="11.5703125" customWidth="1"/>
    <col min="780" max="780" width="11.85546875" customWidth="1"/>
    <col min="1025" max="1025" width="33.140625" customWidth="1"/>
    <col min="1026" max="1026" width="11.85546875" customWidth="1"/>
    <col min="1027" max="1027" width="10.42578125" customWidth="1"/>
    <col min="1028" max="1028" width="15.85546875" customWidth="1"/>
    <col min="1029" max="1029" width="19.85546875" bestFit="1" customWidth="1"/>
    <col min="1030" max="1030" width="11.85546875" customWidth="1"/>
    <col min="1032" max="1032" width="11.5703125" customWidth="1"/>
    <col min="1036" max="1036" width="11.85546875" customWidth="1"/>
    <col min="1281" max="1281" width="33.140625" customWidth="1"/>
    <col min="1282" max="1282" width="11.85546875" customWidth="1"/>
    <col min="1283" max="1283" width="10.42578125" customWidth="1"/>
    <col min="1284" max="1284" width="15.85546875" customWidth="1"/>
    <col min="1285" max="1285" width="19.85546875" bestFit="1" customWidth="1"/>
    <col min="1286" max="1286" width="11.85546875" customWidth="1"/>
    <col min="1288" max="1288" width="11.5703125" customWidth="1"/>
    <col min="1292" max="1292" width="11.85546875" customWidth="1"/>
    <col min="1537" max="1537" width="33.140625" customWidth="1"/>
    <col min="1538" max="1538" width="11.85546875" customWidth="1"/>
    <col min="1539" max="1539" width="10.42578125" customWidth="1"/>
    <col min="1540" max="1540" width="15.85546875" customWidth="1"/>
    <col min="1541" max="1541" width="19.85546875" bestFit="1" customWidth="1"/>
    <col min="1542" max="1542" width="11.85546875" customWidth="1"/>
    <col min="1544" max="1544" width="11.5703125" customWidth="1"/>
    <col min="1548" max="1548" width="11.85546875" customWidth="1"/>
    <col min="1793" max="1793" width="33.140625" customWidth="1"/>
    <col min="1794" max="1794" width="11.85546875" customWidth="1"/>
    <col min="1795" max="1795" width="10.42578125" customWidth="1"/>
    <col min="1796" max="1796" width="15.85546875" customWidth="1"/>
    <col min="1797" max="1797" width="19.85546875" bestFit="1" customWidth="1"/>
    <col min="1798" max="1798" width="11.85546875" customWidth="1"/>
    <col min="1800" max="1800" width="11.5703125" customWidth="1"/>
    <col min="1804" max="1804" width="11.85546875" customWidth="1"/>
    <col min="2049" max="2049" width="33.140625" customWidth="1"/>
    <col min="2050" max="2050" width="11.85546875" customWidth="1"/>
    <col min="2051" max="2051" width="10.42578125" customWidth="1"/>
    <col min="2052" max="2052" width="15.85546875" customWidth="1"/>
    <col min="2053" max="2053" width="19.85546875" bestFit="1" customWidth="1"/>
    <col min="2054" max="2054" width="11.85546875" customWidth="1"/>
    <col min="2056" max="2056" width="11.5703125" customWidth="1"/>
    <col min="2060" max="2060" width="11.85546875" customWidth="1"/>
    <col min="2305" max="2305" width="33.140625" customWidth="1"/>
    <col min="2306" max="2306" width="11.85546875" customWidth="1"/>
    <col min="2307" max="2307" width="10.42578125" customWidth="1"/>
    <col min="2308" max="2308" width="15.85546875" customWidth="1"/>
    <col min="2309" max="2309" width="19.85546875" bestFit="1" customWidth="1"/>
    <col min="2310" max="2310" width="11.85546875" customWidth="1"/>
    <col min="2312" max="2312" width="11.5703125" customWidth="1"/>
    <col min="2316" max="2316" width="11.85546875" customWidth="1"/>
    <col min="2561" max="2561" width="33.140625" customWidth="1"/>
    <col min="2562" max="2562" width="11.85546875" customWidth="1"/>
    <col min="2563" max="2563" width="10.42578125" customWidth="1"/>
    <col min="2564" max="2564" width="15.85546875" customWidth="1"/>
    <col min="2565" max="2565" width="19.85546875" bestFit="1" customWidth="1"/>
    <col min="2566" max="2566" width="11.85546875" customWidth="1"/>
    <col min="2568" max="2568" width="11.5703125" customWidth="1"/>
    <col min="2572" max="2572" width="11.85546875" customWidth="1"/>
    <col min="2817" max="2817" width="33.140625" customWidth="1"/>
    <col min="2818" max="2818" width="11.85546875" customWidth="1"/>
    <col min="2819" max="2819" width="10.42578125" customWidth="1"/>
    <col min="2820" max="2820" width="15.85546875" customWidth="1"/>
    <col min="2821" max="2821" width="19.85546875" bestFit="1" customWidth="1"/>
    <col min="2822" max="2822" width="11.85546875" customWidth="1"/>
    <col min="2824" max="2824" width="11.5703125" customWidth="1"/>
    <col min="2828" max="2828" width="11.85546875" customWidth="1"/>
    <col min="3073" max="3073" width="33.140625" customWidth="1"/>
    <col min="3074" max="3074" width="11.85546875" customWidth="1"/>
    <col min="3075" max="3075" width="10.42578125" customWidth="1"/>
    <col min="3076" max="3076" width="15.85546875" customWidth="1"/>
    <col min="3077" max="3077" width="19.85546875" bestFit="1" customWidth="1"/>
    <col min="3078" max="3078" width="11.85546875" customWidth="1"/>
    <col min="3080" max="3080" width="11.5703125" customWidth="1"/>
    <col min="3084" max="3084" width="11.85546875" customWidth="1"/>
    <col min="3329" max="3329" width="33.140625" customWidth="1"/>
    <col min="3330" max="3330" width="11.85546875" customWidth="1"/>
    <col min="3331" max="3331" width="10.42578125" customWidth="1"/>
    <col min="3332" max="3332" width="15.85546875" customWidth="1"/>
    <col min="3333" max="3333" width="19.85546875" bestFit="1" customWidth="1"/>
    <col min="3334" max="3334" width="11.85546875" customWidth="1"/>
    <col min="3336" max="3336" width="11.5703125" customWidth="1"/>
    <col min="3340" max="3340" width="11.85546875" customWidth="1"/>
    <col min="3585" max="3585" width="33.140625" customWidth="1"/>
    <col min="3586" max="3586" width="11.85546875" customWidth="1"/>
    <col min="3587" max="3587" width="10.42578125" customWidth="1"/>
    <col min="3588" max="3588" width="15.85546875" customWidth="1"/>
    <col min="3589" max="3589" width="19.85546875" bestFit="1" customWidth="1"/>
    <col min="3590" max="3590" width="11.85546875" customWidth="1"/>
    <col min="3592" max="3592" width="11.5703125" customWidth="1"/>
    <col min="3596" max="3596" width="11.85546875" customWidth="1"/>
    <col min="3841" max="3841" width="33.140625" customWidth="1"/>
    <col min="3842" max="3842" width="11.85546875" customWidth="1"/>
    <col min="3843" max="3843" width="10.42578125" customWidth="1"/>
    <col min="3844" max="3844" width="15.85546875" customWidth="1"/>
    <col min="3845" max="3845" width="19.85546875" bestFit="1" customWidth="1"/>
    <col min="3846" max="3846" width="11.85546875" customWidth="1"/>
    <col min="3848" max="3848" width="11.5703125" customWidth="1"/>
    <col min="3852" max="3852" width="11.85546875" customWidth="1"/>
    <col min="4097" max="4097" width="33.140625" customWidth="1"/>
    <col min="4098" max="4098" width="11.85546875" customWidth="1"/>
    <col min="4099" max="4099" width="10.42578125" customWidth="1"/>
    <col min="4100" max="4100" width="15.85546875" customWidth="1"/>
    <col min="4101" max="4101" width="19.85546875" bestFit="1" customWidth="1"/>
    <col min="4102" max="4102" width="11.85546875" customWidth="1"/>
    <col min="4104" max="4104" width="11.5703125" customWidth="1"/>
    <col min="4108" max="4108" width="11.85546875" customWidth="1"/>
    <col min="4353" max="4353" width="33.140625" customWidth="1"/>
    <col min="4354" max="4354" width="11.85546875" customWidth="1"/>
    <col min="4355" max="4355" width="10.42578125" customWidth="1"/>
    <col min="4356" max="4356" width="15.85546875" customWidth="1"/>
    <col min="4357" max="4357" width="19.85546875" bestFit="1" customWidth="1"/>
    <col min="4358" max="4358" width="11.85546875" customWidth="1"/>
    <col min="4360" max="4360" width="11.5703125" customWidth="1"/>
    <col min="4364" max="4364" width="11.85546875" customWidth="1"/>
    <col min="4609" max="4609" width="33.140625" customWidth="1"/>
    <col min="4610" max="4610" width="11.85546875" customWidth="1"/>
    <col min="4611" max="4611" width="10.42578125" customWidth="1"/>
    <col min="4612" max="4612" width="15.85546875" customWidth="1"/>
    <col min="4613" max="4613" width="19.85546875" bestFit="1" customWidth="1"/>
    <col min="4614" max="4614" width="11.85546875" customWidth="1"/>
    <col min="4616" max="4616" width="11.5703125" customWidth="1"/>
    <col min="4620" max="4620" width="11.85546875" customWidth="1"/>
    <col min="4865" max="4865" width="33.140625" customWidth="1"/>
    <col min="4866" max="4866" width="11.85546875" customWidth="1"/>
    <col min="4867" max="4867" width="10.42578125" customWidth="1"/>
    <col min="4868" max="4868" width="15.85546875" customWidth="1"/>
    <col min="4869" max="4869" width="19.85546875" bestFit="1" customWidth="1"/>
    <col min="4870" max="4870" width="11.85546875" customWidth="1"/>
    <col min="4872" max="4872" width="11.5703125" customWidth="1"/>
    <col min="4876" max="4876" width="11.85546875" customWidth="1"/>
    <col min="5121" max="5121" width="33.140625" customWidth="1"/>
    <col min="5122" max="5122" width="11.85546875" customWidth="1"/>
    <col min="5123" max="5123" width="10.42578125" customWidth="1"/>
    <col min="5124" max="5124" width="15.85546875" customWidth="1"/>
    <col min="5125" max="5125" width="19.85546875" bestFit="1" customWidth="1"/>
    <col min="5126" max="5126" width="11.85546875" customWidth="1"/>
    <col min="5128" max="5128" width="11.5703125" customWidth="1"/>
    <col min="5132" max="5132" width="11.85546875" customWidth="1"/>
    <col min="5377" max="5377" width="33.140625" customWidth="1"/>
    <col min="5378" max="5378" width="11.85546875" customWidth="1"/>
    <col min="5379" max="5379" width="10.42578125" customWidth="1"/>
    <col min="5380" max="5380" width="15.85546875" customWidth="1"/>
    <col min="5381" max="5381" width="19.85546875" bestFit="1" customWidth="1"/>
    <col min="5382" max="5382" width="11.85546875" customWidth="1"/>
    <col min="5384" max="5384" width="11.5703125" customWidth="1"/>
    <col min="5388" max="5388" width="11.85546875" customWidth="1"/>
    <col min="5633" max="5633" width="33.140625" customWidth="1"/>
    <col min="5634" max="5634" width="11.85546875" customWidth="1"/>
    <col min="5635" max="5635" width="10.42578125" customWidth="1"/>
    <col min="5636" max="5636" width="15.85546875" customWidth="1"/>
    <col min="5637" max="5637" width="19.85546875" bestFit="1" customWidth="1"/>
    <col min="5638" max="5638" width="11.85546875" customWidth="1"/>
    <col min="5640" max="5640" width="11.5703125" customWidth="1"/>
    <col min="5644" max="5644" width="11.85546875" customWidth="1"/>
    <col min="5889" max="5889" width="33.140625" customWidth="1"/>
    <col min="5890" max="5890" width="11.85546875" customWidth="1"/>
    <col min="5891" max="5891" width="10.42578125" customWidth="1"/>
    <col min="5892" max="5892" width="15.85546875" customWidth="1"/>
    <col min="5893" max="5893" width="19.85546875" bestFit="1" customWidth="1"/>
    <col min="5894" max="5894" width="11.85546875" customWidth="1"/>
    <col min="5896" max="5896" width="11.5703125" customWidth="1"/>
    <col min="5900" max="5900" width="11.85546875" customWidth="1"/>
    <col min="6145" max="6145" width="33.140625" customWidth="1"/>
    <col min="6146" max="6146" width="11.85546875" customWidth="1"/>
    <col min="6147" max="6147" width="10.42578125" customWidth="1"/>
    <col min="6148" max="6148" width="15.85546875" customWidth="1"/>
    <col min="6149" max="6149" width="19.85546875" bestFit="1" customWidth="1"/>
    <col min="6150" max="6150" width="11.85546875" customWidth="1"/>
    <col min="6152" max="6152" width="11.5703125" customWidth="1"/>
    <col min="6156" max="6156" width="11.85546875" customWidth="1"/>
    <col min="6401" max="6401" width="33.140625" customWidth="1"/>
    <col min="6402" max="6402" width="11.85546875" customWidth="1"/>
    <col min="6403" max="6403" width="10.42578125" customWidth="1"/>
    <col min="6404" max="6404" width="15.85546875" customWidth="1"/>
    <col min="6405" max="6405" width="19.85546875" bestFit="1" customWidth="1"/>
    <col min="6406" max="6406" width="11.85546875" customWidth="1"/>
    <col min="6408" max="6408" width="11.5703125" customWidth="1"/>
    <col min="6412" max="6412" width="11.85546875" customWidth="1"/>
    <col min="6657" max="6657" width="33.140625" customWidth="1"/>
    <col min="6658" max="6658" width="11.85546875" customWidth="1"/>
    <col min="6659" max="6659" width="10.42578125" customWidth="1"/>
    <col min="6660" max="6660" width="15.85546875" customWidth="1"/>
    <col min="6661" max="6661" width="19.85546875" bestFit="1" customWidth="1"/>
    <col min="6662" max="6662" width="11.85546875" customWidth="1"/>
    <col min="6664" max="6664" width="11.5703125" customWidth="1"/>
    <col min="6668" max="6668" width="11.85546875" customWidth="1"/>
    <col min="6913" max="6913" width="33.140625" customWidth="1"/>
    <col min="6914" max="6914" width="11.85546875" customWidth="1"/>
    <col min="6915" max="6915" width="10.42578125" customWidth="1"/>
    <col min="6916" max="6916" width="15.85546875" customWidth="1"/>
    <col min="6917" max="6917" width="19.85546875" bestFit="1" customWidth="1"/>
    <col min="6918" max="6918" width="11.85546875" customWidth="1"/>
    <col min="6920" max="6920" width="11.5703125" customWidth="1"/>
    <col min="6924" max="6924" width="11.85546875" customWidth="1"/>
    <col min="7169" max="7169" width="33.140625" customWidth="1"/>
    <col min="7170" max="7170" width="11.85546875" customWidth="1"/>
    <col min="7171" max="7171" width="10.42578125" customWidth="1"/>
    <col min="7172" max="7172" width="15.85546875" customWidth="1"/>
    <col min="7173" max="7173" width="19.85546875" bestFit="1" customWidth="1"/>
    <col min="7174" max="7174" width="11.85546875" customWidth="1"/>
    <col min="7176" max="7176" width="11.5703125" customWidth="1"/>
    <col min="7180" max="7180" width="11.85546875" customWidth="1"/>
    <col min="7425" max="7425" width="33.140625" customWidth="1"/>
    <col min="7426" max="7426" width="11.85546875" customWidth="1"/>
    <col min="7427" max="7427" width="10.42578125" customWidth="1"/>
    <col min="7428" max="7428" width="15.85546875" customWidth="1"/>
    <col min="7429" max="7429" width="19.85546875" bestFit="1" customWidth="1"/>
    <col min="7430" max="7430" width="11.85546875" customWidth="1"/>
    <col min="7432" max="7432" width="11.5703125" customWidth="1"/>
    <col min="7436" max="7436" width="11.85546875" customWidth="1"/>
    <col min="7681" max="7681" width="33.140625" customWidth="1"/>
    <col min="7682" max="7682" width="11.85546875" customWidth="1"/>
    <col min="7683" max="7683" width="10.42578125" customWidth="1"/>
    <col min="7684" max="7684" width="15.85546875" customWidth="1"/>
    <col min="7685" max="7685" width="19.85546875" bestFit="1" customWidth="1"/>
    <col min="7686" max="7686" width="11.85546875" customWidth="1"/>
    <col min="7688" max="7688" width="11.5703125" customWidth="1"/>
    <col min="7692" max="7692" width="11.85546875" customWidth="1"/>
    <col min="7937" max="7937" width="33.140625" customWidth="1"/>
    <col min="7938" max="7938" width="11.85546875" customWidth="1"/>
    <col min="7939" max="7939" width="10.42578125" customWidth="1"/>
    <col min="7940" max="7940" width="15.85546875" customWidth="1"/>
    <col min="7941" max="7941" width="19.85546875" bestFit="1" customWidth="1"/>
    <col min="7942" max="7942" width="11.85546875" customWidth="1"/>
    <col min="7944" max="7944" width="11.5703125" customWidth="1"/>
    <col min="7948" max="7948" width="11.85546875" customWidth="1"/>
    <col min="8193" max="8193" width="33.140625" customWidth="1"/>
    <col min="8194" max="8194" width="11.85546875" customWidth="1"/>
    <col min="8195" max="8195" width="10.42578125" customWidth="1"/>
    <col min="8196" max="8196" width="15.85546875" customWidth="1"/>
    <col min="8197" max="8197" width="19.85546875" bestFit="1" customWidth="1"/>
    <col min="8198" max="8198" width="11.85546875" customWidth="1"/>
    <col min="8200" max="8200" width="11.5703125" customWidth="1"/>
    <col min="8204" max="8204" width="11.85546875" customWidth="1"/>
    <col min="8449" max="8449" width="33.140625" customWidth="1"/>
    <col min="8450" max="8450" width="11.85546875" customWidth="1"/>
    <col min="8451" max="8451" width="10.42578125" customWidth="1"/>
    <col min="8452" max="8452" width="15.85546875" customWidth="1"/>
    <col min="8453" max="8453" width="19.85546875" bestFit="1" customWidth="1"/>
    <col min="8454" max="8454" width="11.85546875" customWidth="1"/>
    <col min="8456" max="8456" width="11.5703125" customWidth="1"/>
    <col min="8460" max="8460" width="11.85546875" customWidth="1"/>
    <col min="8705" max="8705" width="33.140625" customWidth="1"/>
    <col min="8706" max="8706" width="11.85546875" customWidth="1"/>
    <col min="8707" max="8707" width="10.42578125" customWidth="1"/>
    <col min="8708" max="8708" width="15.85546875" customWidth="1"/>
    <col min="8709" max="8709" width="19.85546875" bestFit="1" customWidth="1"/>
    <col min="8710" max="8710" width="11.85546875" customWidth="1"/>
    <col min="8712" max="8712" width="11.5703125" customWidth="1"/>
    <col min="8716" max="8716" width="11.85546875" customWidth="1"/>
    <col min="8961" max="8961" width="33.140625" customWidth="1"/>
    <col min="8962" max="8962" width="11.85546875" customWidth="1"/>
    <col min="8963" max="8963" width="10.42578125" customWidth="1"/>
    <col min="8964" max="8964" width="15.85546875" customWidth="1"/>
    <col min="8965" max="8965" width="19.85546875" bestFit="1" customWidth="1"/>
    <col min="8966" max="8966" width="11.85546875" customWidth="1"/>
    <col min="8968" max="8968" width="11.5703125" customWidth="1"/>
    <col min="8972" max="8972" width="11.85546875" customWidth="1"/>
    <col min="9217" max="9217" width="33.140625" customWidth="1"/>
    <col min="9218" max="9218" width="11.85546875" customWidth="1"/>
    <col min="9219" max="9219" width="10.42578125" customWidth="1"/>
    <col min="9220" max="9220" width="15.85546875" customWidth="1"/>
    <col min="9221" max="9221" width="19.85546875" bestFit="1" customWidth="1"/>
    <col min="9222" max="9222" width="11.85546875" customWidth="1"/>
    <col min="9224" max="9224" width="11.5703125" customWidth="1"/>
    <col min="9228" max="9228" width="11.85546875" customWidth="1"/>
    <col min="9473" max="9473" width="33.140625" customWidth="1"/>
    <col min="9474" max="9474" width="11.85546875" customWidth="1"/>
    <col min="9475" max="9475" width="10.42578125" customWidth="1"/>
    <col min="9476" max="9476" width="15.85546875" customWidth="1"/>
    <col min="9477" max="9477" width="19.85546875" bestFit="1" customWidth="1"/>
    <col min="9478" max="9478" width="11.85546875" customWidth="1"/>
    <col min="9480" max="9480" width="11.5703125" customWidth="1"/>
    <col min="9484" max="9484" width="11.85546875" customWidth="1"/>
    <col min="9729" max="9729" width="33.140625" customWidth="1"/>
    <col min="9730" max="9730" width="11.85546875" customWidth="1"/>
    <col min="9731" max="9731" width="10.42578125" customWidth="1"/>
    <col min="9732" max="9732" width="15.85546875" customWidth="1"/>
    <col min="9733" max="9733" width="19.85546875" bestFit="1" customWidth="1"/>
    <col min="9734" max="9734" width="11.85546875" customWidth="1"/>
    <col min="9736" max="9736" width="11.5703125" customWidth="1"/>
    <col min="9740" max="9740" width="11.85546875" customWidth="1"/>
    <col min="9985" max="9985" width="33.140625" customWidth="1"/>
    <col min="9986" max="9986" width="11.85546875" customWidth="1"/>
    <col min="9987" max="9987" width="10.42578125" customWidth="1"/>
    <col min="9988" max="9988" width="15.85546875" customWidth="1"/>
    <col min="9989" max="9989" width="19.85546875" bestFit="1" customWidth="1"/>
    <col min="9990" max="9990" width="11.85546875" customWidth="1"/>
    <col min="9992" max="9992" width="11.5703125" customWidth="1"/>
    <col min="9996" max="9996" width="11.85546875" customWidth="1"/>
    <col min="10241" max="10241" width="33.140625" customWidth="1"/>
    <col min="10242" max="10242" width="11.85546875" customWidth="1"/>
    <col min="10243" max="10243" width="10.42578125" customWidth="1"/>
    <col min="10244" max="10244" width="15.85546875" customWidth="1"/>
    <col min="10245" max="10245" width="19.85546875" bestFit="1" customWidth="1"/>
    <col min="10246" max="10246" width="11.85546875" customWidth="1"/>
    <col min="10248" max="10248" width="11.5703125" customWidth="1"/>
    <col min="10252" max="10252" width="11.85546875" customWidth="1"/>
    <col min="10497" max="10497" width="33.140625" customWidth="1"/>
    <col min="10498" max="10498" width="11.85546875" customWidth="1"/>
    <col min="10499" max="10499" width="10.42578125" customWidth="1"/>
    <col min="10500" max="10500" width="15.85546875" customWidth="1"/>
    <col min="10501" max="10501" width="19.85546875" bestFit="1" customWidth="1"/>
    <col min="10502" max="10502" width="11.85546875" customWidth="1"/>
    <col min="10504" max="10504" width="11.5703125" customWidth="1"/>
    <col min="10508" max="10508" width="11.85546875" customWidth="1"/>
    <col min="10753" max="10753" width="33.140625" customWidth="1"/>
    <col min="10754" max="10754" width="11.85546875" customWidth="1"/>
    <col min="10755" max="10755" width="10.42578125" customWidth="1"/>
    <col min="10756" max="10756" width="15.85546875" customWidth="1"/>
    <col min="10757" max="10757" width="19.85546875" bestFit="1" customWidth="1"/>
    <col min="10758" max="10758" width="11.85546875" customWidth="1"/>
    <col min="10760" max="10760" width="11.5703125" customWidth="1"/>
    <col min="10764" max="10764" width="11.85546875" customWidth="1"/>
    <col min="11009" max="11009" width="33.140625" customWidth="1"/>
    <col min="11010" max="11010" width="11.85546875" customWidth="1"/>
    <col min="11011" max="11011" width="10.42578125" customWidth="1"/>
    <col min="11012" max="11012" width="15.85546875" customWidth="1"/>
    <col min="11013" max="11013" width="19.85546875" bestFit="1" customWidth="1"/>
    <col min="11014" max="11014" width="11.85546875" customWidth="1"/>
    <col min="11016" max="11016" width="11.5703125" customWidth="1"/>
    <col min="11020" max="11020" width="11.85546875" customWidth="1"/>
    <col min="11265" max="11265" width="33.140625" customWidth="1"/>
    <col min="11266" max="11266" width="11.85546875" customWidth="1"/>
    <col min="11267" max="11267" width="10.42578125" customWidth="1"/>
    <col min="11268" max="11268" width="15.85546875" customWidth="1"/>
    <col min="11269" max="11269" width="19.85546875" bestFit="1" customWidth="1"/>
    <col min="11270" max="11270" width="11.85546875" customWidth="1"/>
    <col min="11272" max="11272" width="11.5703125" customWidth="1"/>
    <col min="11276" max="11276" width="11.85546875" customWidth="1"/>
    <col min="11521" max="11521" width="33.140625" customWidth="1"/>
    <col min="11522" max="11522" width="11.85546875" customWidth="1"/>
    <col min="11523" max="11523" width="10.42578125" customWidth="1"/>
    <col min="11524" max="11524" width="15.85546875" customWidth="1"/>
    <col min="11525" max="11525" width="19.85546875" bestFit="1" customWidth="1"/>
    <col min="11526" max="11526" width="11.85546875" customWidth="1"/>
    <col min="11528" max="11528" width="11.5703125" customWidth="1"/>
    <col min="11532" max="11532" width="11.85546875" customWidth="1"/>
    <col min="11777" max="11777" width="33.140625" customWidth="1"/>
    <col min="11778" max="11778" width="11.85546875" customWidth="1"/>
    <col min="11779" max="11779" width="10.42578125" customWidth="1"/>
    <col min="11780" max="11780" width="15.85546875" customWidth="1"/>
    <col min="11781" max="11781" width="19.85546875" bestFit="1" customWidth="1"/>
    <col min="11782" max="11782" width="11.85546875" customWidth="1"/>
    <col min="11784" max="11784" width="11.5703125" customWidth="1"/>
    <col min="11788" max="11788" width="11.85546875" customWidth="1"/>
    <col min="12033" max="12033" width="33.140625" customWidth="1"/>
    <col min="12034" max="12034" width="11.85546875" customWidth="1"/>
    <col min="12035" max="12035" width="10.42578125" customWidth="1"/>
    <col min="12036" max="12036" width="15.85546875" customWidth="1"/>
    <col min="12037" max="12037" width="19.85546875" bestFit="1" customWidth="1"/>
    <col min="12038" max="12038" width="11.85546875" customWidth="1"/>
    <col min="12040" max="12040" width="11.5703125" customWidth="1"/>
    <col min="12044" max="12044" width="11.85546875" customWidth="1"/>
    <col min="12289" max="12289" width="33.140625" customWidth="1"/>
    <col min="12290" max="12290" width="11.85546875" customWidth="1"/>
    <col min="12291" max="12291" width="10.42578125" customWidth="1"/>
    <col min="12292" max="12292" width="15.85546875" customWidth="1"/>
    <col min="12293" max="12293" width="19.85546875" bestFit="1" customWidth="1"/>
    <col min="12294" max="12294" width="11.85546875" customWidth="1"/>
    <col min="12296" max="12296" width="11.5703125" customWidth="1"/>
    <col min="12300" max="12300" width="11.85546875" customWidth="1"/>
    <col min="12545" max="12545" width="33.140625" customWidth="1"/>
    <col min="12546" max="12546" width="11.85546875" customWidth="1"/>
    <col min="12547" max="12547" width="10.42578125" customWidth="1"/>
    <col min="12548" max="12548" width="15.85546875" customWidth="1"/>
    <col min="12549" max="12549" width="19.85546875" bestFit="1" customWidth="1"/>
    <col min="12550" max="12550" width="11.85546875" customWidth="1"/>
    <col min="12552" max="12552" width="11.5703125" customWidth="1"/>
    <col min="12556" max="12556" width="11.85546875" customWidth="1"/>
    <col min="12801" max="12801" width="33.140625" customWidth="1"/>
    <col min="12802" max="12802" width="11.85546875" customWidth="1"/>
    <col min="12803" max="12803" width="10.42578125" customWidth="1"/>
    <col min="12804" max="12804" width="15.85546875" customWidth="1"/>
    <col min="12805" max="12805" width="19.85546875" bestFit="1" customWidth="1"/>
    <col min="12806" max="12806" width="11.85546875" customWidth="1"/>
    <col min="12808" max="12808" width="11.5703125" customWidth="1"/>
    <col min="12812" max="12812" width="11.85546875" customWidth="1"/>
    <col min="13057" max="13057" width="33.140625" customWidth="1"/>
    <col min="13058" max="13058" width="11.85546875" customWidth="1"/>
    <col min="13059" max="13059" width="10.42578125" customWidth="1"/>
    <col min="13060" max="13060" width="15.85546875" customWidth="1"/>
    <col min="13061" max="13061" width="19.85546875" bestFit="1" customWidth="1"/>
    <col min="13062" max="13062" width="11.85546875" customWidth="1"/>
    <col min="13064" max="13064" width="11.5703125" customWidth="1"/>
    <col min="13068" max="13068" width="11.85546875" customWidth="1"/>
    <col min="13313" max="13313" width="33.140625" customWidth="1"/>
    <col min="13314" max="13314" width="11.85546875" customWidth="1"/>
    <col min="13315" max="13315" width="10.42578125" customWidth="1"/>
    <col min="13316" max="13316" width="15.85546875" customWidth="1"/>
    <col min="13317" max="13317" width="19.85546875" bestFit="1" customWidth="1"/>
    <col min="13318" max="13318" width="11.85546875" customWidth="1"/>
    <col min="13320" max="13320" width="11.5703125" customWidth="1"/>
    <col min="13324" max="13324" width="11.85546875" customWidth="1"/>
    <col min="13569" max="13569" width="33.140625" customWidth="1"/>
    <col min="13570" max="13570" width="11.85546875" customWidth="1"/>
    <col min="13571" max="13571" width="10.42578125" customWidth="1"/>
    <col min="13572" max="13572" width="15.85546875" customWidth="1"/>
    <col min="13573" max="13573" width="19.85546875" bestFit="1" customWidth="1"/>
    <col min="13574" max="13574" width="11.85546875" customWidth="1"/>
    <col min="13576" max="13576" width="11.5703125" customWidth="1"/>
    <col min="13580" max="13580" width="11.85546875" customWidth="1"/>
    <col min="13825" max="13825" width="33.140625" customWidth="1"/>
    <col min="13826" max="13826" width="11.85546875" customWidth="1"/>
    <col min="13827" max="13827" width="10.42578125" customWidth="1"/>
    <col min="13828" max="13828" width="15.85546875" customWidth="1"/>
    <col min="13829" max="13829" width="19.85546875" bestFit="1" customWidth="1"/>
    <col min="13830" max="13830" width="11.85546875" customWidth="1"/>
    <col min="13832" max="13832" width="11.5703125" customWidth="1"/>
    <col min="13836" max="13836" width="11.85546875" customWidth="1"/>
    <col min="14081" max="14081" width="33.140625" customWidth="1"/>
    <col min="14082" max="14082" width="11.85546875" customWidth="1"/>
    <col min="14083" max="14083" width="10.42578125" customWidth="1"/>
    <col min="14084" max="14084" width="15.85546875" customWidth="1"/>
    <col min="14085" max="14085" width="19.85546875" bestFit="1" customWidth="1"/>
    <col min="14086" max="14086" width="11.85546875" customWidth="1"/>
    <col min="14088" max="14088" width="11.5703125" customWidth="1"/>
    <col min="14092" max="14092" width="11.85546875" customWidth="1"/>
    <col min="14337" max="14337" width="33.140625" customWidth="1"/>
    <col min="14338" max="14338" width="11.85546875" customWidth="1"/>
    <col min="14339" max="14339" width="10.42578125" customWidth="1"/>
    <col min="14340" max="14340" width="15.85546875" customWidth="1"/>
    <col min="14341" max="14341" width="19.85546875" bestFit="1" customWidth="1"/>
    <col min="14342" max="14342" width="11.85546875" customWidth="1"/>
    <col min="14344" max="14344" width="11.5703125" customWidth="1"/>
    <col min="14348" max="14348" width="11.85546875" customWidth="1"/>
    <col min="14593" max="14593" width="33.140625" customWidth="1"/>
    <col min="14594" max="14594" width="11.85546875" customWidth="1"/>
    <col min="14595" max="14595" width="10.42578125" customWidth="1"/>
    <col min="14596" max="14596" width="15.85546875" customWidth="1"/>
    <col min="14597" max="14597" width="19.85546875" bestFit="1" customWidth="1"/>
    <col min="14598" max="14598" width="11.85546875" customWidth="1"/>
    <col min="14600" max="14600" width="11.5703125" customWidth="1"/>
    <col min="14604" max="14604" width="11.85546875" customWidth="1"/>
    <col min="14849" max="14849" width="33.140625" customWidth="1"/>
    <col min="14850" max="14850" width="11.85546875" customWidth="1"/>
    <col min="14851" max="14851" width="10.42578125" customWidth="1"/>
    <col min="14852" max="14852" width="15.85546875" customWidth="1"/>
    <col min="14853" max="14853" width="19.85546875" bestFit="1" customWidth="1"/>
    <col min="14854" max="14854" width="11.85546875" customWidth="1"/>
    <col min="14856" max="14856" width="11.5703125" customWidth="1"/>
    <col min="14860" max="14860" width="11.85546875" customWidth="1"/>
    <col min="15105" max="15105" width="33.140625" customWidth="1"/>
    <col min="15106" max="15106" width="11.85546875" customWidth="1"/>
    <col min="15107" max="15107" width="10.42578125" customWidth="1"/>
    <col min="15108" max="15108" width="15.85546875" customWidth="1"/>
    <col min="15109" max="15109" width="19.85546875" bestFit="1" customWidth="1"/>
    <col min="15110" max="15110" width="11.85546875" customWidth="1"/>
    <col min="15112" max="15112" width="11.5703125" customWidth="1"/>
    <col min="15116" max="15116" width="11.85546875" customWidth="1"/>
    <col min="15361" max="15361" width="33.140625" customWidth="1"/>
    <col min="15362" max="15362" width="11.85546875" customWidth="1"/>
    <col min="15363" max="15363" width="10.42578125" customWidth="1"/>
    <col min="15364" max="15364" width="15.85546875" customWidth="1"/>
    <col min="15365" max="15365" width="19.85546875" bestFit="1" customWidth="1"/>
    <col min="15366" max="15366" width="11.85546875" customWidth="1"/>
    <col min="15368" max="15368" width="11.5703125" customWidth="1"/>
    <col min="15372" max="15372" width="11.85546875" customWidth="1"/>
    <col min="15617" max="15617" width="33.140625" customWidth="1"/>
    <col min="15618" max="15618" width="11.85546875" customWidth="1"/>
    <col min="15619" max="15619" width="10.42578125" customWidth="1"/>
    <col min="15620" max="15620" width="15.85546875" customWidth="1"/>
    <col min="15621" max="15621" width="19.85546875" bestFit="1" customWidth="1"/>
    <col min="15622" max="15622" width="11.85546875" customWidth="1"/>
    <col min="15624" max="15624" width="11.5703125" customWidth="1"/>
    <col min="15628" max="15628" width="11.85546875" customWidth="1"/>
    <col min="15873" max="15873" width="33.140625" customWidth="1"/>
    <col min="15874" max="15874" width="11.85546875" customWidth="1"/>
    <col min="15875" max="15875" width="10.42578125" customWidth="1"/>
    <col min="15876" max="15876" width="15.85546875" customWidth="1"/>
    <col min="15877" max="15877" width="19.85546875" bestFit="1" customWidth="1"/>
    <col min="15878" max="15878" width="11.85546875" customWidth="1"/>
    <col min="15880" max="15880" width="11.5703125" customWidth="1"/>
    <col min="15884" max="15884" width="11.85546875" customWidth="1"/>
    <col min="16129" max="16129" width="33.140625" customWidth="1"/>
    <col min="16130" max="16130" width="11.85546875" customWidth="1"/>
    <col min="16131" max="16131" width="10.42578125" customWidth="1"/>
    <col min="16132" max="16132" width="15.85546875" customWidth="1"/>
    <col min="16133" max="16133" width="19.85546875" bestFit="1" customWidth="1"/>
    <col min="16134" max="16134" width="11.85546875" customWidth="1"/>
    <col min="16136" max="16136" width="11.5703125" customWidth="1"/>
    <col min="16140" max="16140" width="11.85546875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1517" t="s">
        <v>5762</v>
      </c>
      <c r="C3" s="1517"/>
      <c r="D3" s="1517"/>
      <c r="E3" s="677" t="s">
        <v>2966</v>
      </c>
      <c r="F3" s="677"/>
      <c r="G3" s="1518">
        <v>405010401130201</v>
      </c>
      <c r="H3" s="1518"/>
      <c r="I3" s="677" t="s">
        <v>5</v>
      </c>
      <c r="J3" s="677"/>
      <c r="K3" s="80" t="s">
        <v>3024</v>
      </c>
      <c r="L3" s="1519" t="s">
        <v>436</v>
      </c>
      <c r="M3" s="1519"/>
      <c r="N3" s="80">
        <v>0</v>
      </c>
    </row>
    <row r="4" spans="1:14">
      <c r="A4" s="1521" t="s">
        <v>4176</v>
      </c>
      <c r="B4" s="1521"/>
      <c r="C4" s="1521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</row>
    <row r="5" spans="1:14" ht="26.25" customHeight="1">
      <c r="A5" s="677" t="s">
        <v>2967</v>
      </c>
      <c r="B5" s="995" t="s">
        <v>3025</v>
      </c>
      <c r="C5" s="995"/>
      <c r="D5" s="1533" t="s">
        <v>2969</v>
      </c>
      <c r="E5" s="1533"/>
      <c r="F5" s="1527" t="s">
        <v>3026</v>
      </c>
      <c r="G5" s="1534"/>
      <c r="H5" s="1528"/>
      <c r="I5" s="295"/>
      <c r="J5" s="295"/>
      <c r="K5" s="295"/>
      <c r="L5" s="295"/>
      <c r="M5" s="295"/>
      <c r="N5" s="295"/>
    </row>
    <row r="6" spans="1:14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26.25" customHeight="1">
      <c r="A7" s="677" t="s">
        <v>618</v>
      </c>
      <c r="B7" s="1478"/>
      <c r="C7" s="1479"/>
      <c r="D7" s="1480"/>
      <c r="E7" s="1532" t="s">
        <v>2971</v>
      </c>
      <c r="F7" s="1532"/>
      <c r="G7" s="1522" t="s">
        <v>5763</v>
      </c>
      <c r="H7" s="1522"/>
      <c r="I7" s="1522"/>
      <c r="J7" s="1522"/>
      <c r="K7" s="295"/>
      <c r="L7" s="295"/>
      <c r="M7" s="295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995" t="s">
        <v>3027</v>
      </c>
      <c r="C9" s="995"/>
      <c r="D9" s="995" t="s">
        <v>3028</v>
      </c>
      <c r="E9" s="995"/>
      <c r="F9" s="295"/>
      <c r="G9" s="295"/>
      <c r="H9" s="295"/>
      <c r="I9" s="295"/>
      <c r="J9" s="295"/>
      <c r="K9" s="295"/>
      <c r="L9" s="295"/>
      <c r="M9" s="295"/>
      <c r="N9" s="295"/>
    </row>
    <row r="10" spans="1:14" ht="26.25" customHeight="1">
      <c r="A10" s="677" t="s">
        <v>2974</v>
      </c>
      <c r="B10" s="995" t="s">
        <v>3029</v>
      </c>
      <c r="C10" s="995"/>
      <c r="D10" s="995" t="s">
        <v>3030</v>
      </c>
      <c r="E10" s="995"/>
      <c r="F10" s="295"/>
      <c r="G10" s="295"/>
      <c r="H10" s="295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995" t="s">
        <v>3031</v>
      </c>
      <c r="C11" s="995"/>
      <c r="D11" s="80" t="s">
        <v>2976</v>
      </c>
      <c r="E11" s="80" t="s">
        <v>3032</v>
      </c>
      <c r="F11" s="1478" t="s">
        <v>3029</v>
      </c>
      <c r="G11" s="995"/>
      <c r="H11" s="80"/>
      <c r="I11" s="80"/>
      <c r="J11" s="295"/>
      <c r="K11" s="295"/>
      <c r="L11" s="295"/>
      <c r="M11" s="295"/>
      <c r="N11" s="295"/>
    </row>
    <row r="12" spans="1:14" ht="26.25" customHeight="1">
      <c r="A12" s="677" t="s">
        <v>2980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2</v>
      </c>
      <c r="C14" s="1474" t="s">
        <v>2982</v>
      </c>
      <c r="D14" s="1473"/>
      <c r="E14" s="317">
        <v>2</v>
      </c>
      <c r="F14" s="677" t="s">
        <v>1918</v>
      </c>
      <c r="G14" s="317">
        <v>5</v>
      </c>
      <c r="H14" s="677" t="s">
        <v>1492</v>
      </c>
      <c r="I14" s="317"/>
      <c r="J14" s="677" t="s">
        <v>1493</v>
      </c>
      <c r="K14" s="317">
        <v>3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48</v>
      </c>
      <c r="D16" s="677" t="s">
        <v>205</v>
      </c>
      <c r="E16" s="80">
        <v>0</v>
      </c>
      <c r="F16" s="677" t="s">
        <v>2983</v>
      </c>
      <c r="G16" s="80">
        <v>0</v>
      </c>
      <c r="H16" s="677" t="s">
        <v>245</v>
      </c>
      <c r="I16" s="80">
        <v>48</v>
      </c>
      <c r="J16" s="677" t="s">
        <v>207</v>
      </c>
      <c r="K16" s="80">
        <v>45</v>
      </c>
      <c r="L16" s="1529" t="s">
        <v>3033</v>
      </c>
      <c r="M16" s="1530"/>
      <c r="N16" s="80">
        <v>3</v>
      </c>
    </row>
    <row r="17" spans="1:14" ht="26.25" customHeight="1">
      <c r="A17" s="674" t="s">
        <v>209</v>
      </c>
      <c r="B17" s="677" t="s">
        <v>210</v>
      </c>
      <c r="C17" s="80">
        <v>80</v>
      </c>
      <c r="D17" s="677" t="s">
        <v>211</v>
      </c>
      <c r="E17" s="80"/>
      <c r="F17" s="677" t="s">
        <v>212</v>
      </c>
      <c r="G17" s="80"/>
      <c r="H17" s="677" t="s">
        <v>411</v>
      </c>
      <c r="I17" s="80">
        <v>80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99</v>
      </c>
      <c r="D18" s="677" t="s">
        <v>2986</v>
      </c>
      <c r="E18" s="80"/>
      <c r="F18" s="677" t="s">
        <v>2987</v>
      </c>
      <c r="G18" s="80"/>
      <c r="H18" s="677" t="s">
        <v>2988</v>
      </c>
      <c r="I18" s="80">
        <v>99</v>
      </c>
      <c r="J18" s="295"/>
      <c r="K18" s="295"/>
      <c r="L18" s="295"/>
      <c r="M18" s="295"/>
      <c r="N18" s="295"/>
    </row>
    <row r="19" spans="1:14" s="403" customFormat="1" ht="26.25" customHeigh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3" t="s">
        <v>217</v>
      </c>
      <c r="B20" s="1523" t="s">
        <v>218</v>
      </c>
      <c r="C20" s="1524" t="s">
        <v>219</v>
      </c>
      <c r="D20" s="1523" t="s">
        <v>1363</v>
      </c>
      <c r="E20" s="1523" t="s">
        <v>1713</v>
      </c>
      <c r="F20" s="1525" t="s">
        <v>2989</v>
      </c>
      <c r="G20" s="1525"/>
      <c r="H20" s="1525"/>
      <c r="I20" s="1525"/>
      <c r="J20" s="1525"/>
      <c r="K20" s="1525"/>
      <c r="L20" s="1525"/>
      <c r="M20" s="1525"/>
      <c r="N20" s="1525"/>
    </row>
    <row r="21" spans="1:14" ht="26.25" customHeight="1">
      <c r="A21" s="713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13" t="s">
        <v>231</v>
      </c>
    </row>
    <row r="22" spans="1:14" ht="26.25" customHeight="1">
      <c r="A22" s="677" t="s">
        <v>2990</v>
      </c>
      <c r="B22" s="80">
        <v>8000</v>
      </c>
      <c r="C22" s="317" t="s">
        <v>873</v>
      </c>
      <c r="D22" s="300">
        <v>40</v>
      </c>
      <c r="E22" s="300">
        <v>4.3339600000000003</v>
      </c>
      <c r="F22" s="699">
        <v>0</v>
      </c>
      <c r="G22" s="699">
        <v>0</v>
      </c>
      <c r="H22" s="699">
        <v>1.4429399999999999</v>
      </c>
      <c r="I22" s="317"/>
      <c r="J22" s="317"/>
      <c r="K22" s="317"/>
      <c r="L22" s="317"/>
      <c r="M22" s="699">
        <f>F22+G22+H22</f>
        <v>1.4429399999999999</v>
      </c>
      <c r="N22" s="699">
        <f>M22/E22*10</f>
        <v>3.3293800588837916</v>
      </c>
    </row>
    <row r="23" spans="1:14" ht="26.25" customHeight="1">
      <c r="A23" s="677" t="s">
        <v>234</v>
      </c>
      <c r="B23" s="80">
        <v>7000</v>
      </c>
      <c r="C23" s="317" t="s">
        <v>873</v>
      </c>
      <c r="D23" s="30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80">
        <v>0</v>
      </c>
    </row>
    <row r="24" spans="1:14" ht="26.25" customHeight="1">
      <c r="A24" s="677" t="s">
        <v>2991</v>
      </c>
      <c r="B24" s="80">
        <v>43000</v>
      </c>
      <c r="C24" s="317" t="s">
        <v>236</v>
      </c>
      <c r="D24" s="30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80">
        <f t="shared" ref="N24:N29" si="1">M24/E24*10</f>
        <v>0</v>
      </c>
    </row>
    <row r="25" spans="1:14" ht="26.25" customHeight="1">
      <c r="A25" s="677" t="s">
        <v>2992</v>
      </c>
      <c r="B25" s="80">
        <v>37000</v>
      </c>
      <c r="C25" s="317" t="s">
        <v>236</v>
      </c>
      <c r="D25" s="30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80">
        <f t="shared" si="1"/>
        <v>0</v>
      </c>
    </row>
    <row r="26" spans="1:14" ht="26.25" customHeight="1">
      <c r="A26" s="677" t="s">
        <v>2993</v>
      </c>
      <c r="B26" s="80">
        <v>1200</v>
      </c>
      <c r="C26" s="317" t="s">
        <v>236</v>
      </c>
      <c r="D26" s="300">
        <v>6</v>
      </c>
      <c r="E26" s="300">
        <v>2</v>
      </c>
      <c r="F26" s="300">
        <v>0</v>
      </c>
      <c r="G26" s="699">
        <v>0</v>
      </c>
      <c r="H26" s="300">
        <v>1.56057</v>
      </c>
      <c r="I26" s="80"/>
      <c r="J26" s="80"/>
      <c r="K26" s="80"/>
      <c r="L26" s="80"/>
      <c r="M26" s="699">
        <f t="shared" si="0"/>
        <v>1.56057</v>
      </c>
      <c r="N26" s="80">
        <f t="shared" si="1"/>
        <v>7.8028500000000003</v>
      </c>
    </row>
    <row r="27" spans="1:14" ht="26.25" customHeight="1">
      <c r="A27" s="677" t="s">
        <v>395</v>
      </c>
      <c r="B27" s="80">
        <v>565</v>
      </c>
      <c r="C27" s="317" t="s">
        <v>873</v>
      </c>
      <c r="D27" s="300">
        <v>2.83</v>
      </c>
      <c r="E27" s="300">
        <v>0.72</v>
      </c>
      <c r="F27" s="300">
        <v>0</v>
      </c>
      <c r="G27" s="699">
        <v>0</v>
      </c>
      <c r="H27" s="300">
        <v>0.25</v>
      </c>
      <c r="I27" s="80"/>
      <c r="J27" s="80"/>
      <c r="K27" s="80"/>
      <c r="L27" s="80"/>
      <c r="M27" s="699">
        <f t="shared" si="0"/>
        <v>0.25</v>
      </c>
      <c r="N27" s="300">
        <f t="shared" si="1"/>
        <v>3.4722222222222223</v>
      </c>
    </row>
    <row r="28" spans="1:14" ht="26.25" customHeight="1">
      <c r="A28" s="677" t="s">
        <v>1503</v>
      </c>
      <c r="B28" s="80">
        <v>1000</v>
      </c>
      <c r="C28" s="317" t="s">
        <v>873</v>
      </c>
      <c r="D28" s="30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80">
        <v>0</v>
      </c>
    </row>
    <row r="29" spans="1:14" ht="26.25" customHeight="1">
      <c r="A29" s="677" t="s">
        <v>241</v>
      </c>
      <c r="B29" s="80">
        <v>2750</v>
      </c>
      <c r="C29" s="317" t="s">
        <v>2994</v>
      </c>
      <c r="D29" s="300">
        <v>2.31</v>
      </c>
      <c r="E29" s="300">
        <v>0.33</v>
      </c>
      <c r="F29" s="300">
        <v>0</v>
      </c>
      <c r="G29" s="699">
        <v>0</v>
      </c>
      <c r="H29" s="300">
        <v>0.16500000000000001</v>
      </c>
      <c r="I29" s="80"/>
      <c r="J29" s="80"/>
      <c r="K29" s="80"/>
      <c r="L29" s="80"/>
      <c r="M29" s="699">
        <f t="shared" si="0"/>
        <v>0.16500000000000001</v>
      </c>
      <c r="N29" s="80">
        <f t="shared" si="1"/>
        <v>5</v>
      </c>
    </row>
    <row r="30" spans="1:14" ht="26.25" customHeight="1">
      <c r="A30" s="677" t="s">
        <v>670</v>
      </c>
      <c r="B30" s="80">
        <v>10000</v>
      </c>
      <c r="C30" s="317" t="s">
        <v>2995</v>
      </c>
      <c r="D30" s="300">
        <v>0.1</v>
      </c>
      <c r="E30" s="300">
        <v>0</v>
      </c>
      <c r="F30" s="300">
        <v>0</v>
      </c>
      <c r="G30" s="699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80">
        <v>0</v>
      </c>
    </row>
    <row r="31" spans="1:14" ht="26.25" customHeight="1">
      <c r="A31" s="714" t="s">
        <v>230</v>
      </c>
      <c r="B31" s="80">
        <f>SUM(B22:B30)</f>
        <v>110515</v>
      </c>
      <c r="C31" s="80"/>
      <c r="D31" s="80">
        <f>SUM(D22:D30)</f>
        <v>62.64</v>
      </c>
      <c r="E31" s="300">
        <f>SUM(E22:E30)</f>
        <v>7.7239599999999999</v>
      </c>
      <c r="F31" s="300">
        <f>SUM(F22:F30)</f>
        <v>0</v>
      </c>
      <c r="G31" s="300">
        <f t="shared" ref="G31:M31" si="2">SUM(G22:G30)</f>
        <v>0</v>
      </c>
      <c r="H31" s="300">
        <f t="shared" si="2"/>
        <v>3.4185099999999999</v>
      </c>
      <c r="I31" s="300">
        <f t="shared" si="2"/>
        <v>0</v>
      </c>
      <c r="J31" s="300">
        <f t="shared" si="2"/>
        <v>0</v>
      </c>
      <c r="K31" s="300">
        <f t="shared" si="2"/>
        <v>0</v>
      </c>
      <c r="L31" s="300">
        <f t="shared" si="2"/>
        <v>0</v>
      </c>
      <c r="M31" s="300">
        <f t="shared" si="2"/>
        <v>3.4185099999999999</v>
      </c>
      <c r="N31" s="80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5">
    <mergeCell ref="C14:D14"/>
    <mergeCell ref="L16:M16"/>
    <mergeCell ref="B20:B21"/>
    <mergeCell ref="C20:C21"/>
    <mergeCell ref="D20:D21"/>
    <mergeCell ref="E20:E21"/>
    <mergeCell ref="F20:N20"/>
    <mergeCell ref="F11:G11"/>
    <mergeCell ref="B5:C5"/>
    <mergeCell ref="D5:E5"/>
    <mergeCell ref="F5:H5"/>
    <mergeCell ref="B7:D7"/>
    <mergeCell ref="E7:F7"/>
    <mergeCell ref="G7:J7"/>
    <mergeCell ref="B9:C9"/>
    <mergeCell ref="D9:E9"/>
    <mergeCell ref="B10:C10"/>
    <mergeCell ref="D10:E10"/>
    <mergeCell ref="B11:C11"/>
    <mergeCell ref="A4:C4"/>
    <mergeCell ref="A1:N1"/>
    <mergeCell ref="A2:N2"/>
    <mergeCell ref="B3:D3"/>
    <mergeCell ref="G3:H3"/>
    <mergeCell ref="L3:M3"/>
  </mergeCells>
  <hyperlinks>
    <hyperlink ref="A4" location="'Fact Sheet of VDC'!A1" display="&lt;&lt;Back"/>
  </hyperlinks>
  <pageMargins left="0.23622047244094491" right="7.874015748031496E-2" top="0.74803149606299213" bottom="0.74803149606299213" header="0.31496062992125984" footer="0.31496062992125984"/>
  <pageSetup scale="70" orientation="landscape" r:id="rId1"/>
</worksheet>
</file>

<file path=xl/worksheets/sheet295.xml><?xml version="1.0" encoding="utf-8"?>
<worksheet xmlns="http://schemas.openxmlformats.org/spreadsheetml/2006/main" xmlns:r="http://schemas.openxmlformats.org/officeDocument/2006/relationships">
  <dimension ref="A1:N38"/>
  <sheetViews>
    <sheetView workbookViewId="0">
      <selection activeCell="A4" sqref="A4:C4"/>
    </sheetView>
  </sheetViews>
  <sheetFormatPr defaultRowHeight="15"/>
  <cols>
    <col min="1" max="1" width="36.7109375" customWidth="1"/>
    <col min="2" max="2" width="12.140625" customWidth="1"/>
    <col min="3" max="3" width="10.28515625" customWidth="1"/>
    <col min="4" max="4" width="17.140625" customWidth="1"/>
    <col min="5" max="5" width="15.85546875" customWidth="1"/>
    <col min="6" max="6" width="13.7109375" customWidth="1"/>
    <col min="8" max="8" width="11.5703125" customWidth="1"/>
    <col min="12" max="12" width="12.140625" customWidth="1"/>
    <col min="13" max="13" width="7.28515625" customWidth="1"/>
    <col min="14" max="14" width="9.5703125" bestFit="1" customWidth="1"/>
    <col min="257" max="257" width="36.7109375" customWidth="1"/>
    <col min="258" max="258" width="12.140625" customWidth="1"/>
    <col min="259" max="259" width="10.28515625" customWidth="1"/>
    <col min="260" max="260" width="17.140625" customWidth="1"/>
    <col min="261" max="261" width="15.85546875" customWidth="1"/>
    <col min="262" max="262" width="13.7109375" customWidth="1"/>
    <col min="264" max="264" width="11.5703125" customWidth="1"/>
    <col min="268" max="268" width="12.140625" customWidth="1"/>
    <col min="269" max="269" width="7.28515625" customWidth="1"/>
    <col min="270" max="270" width="9.5703125" bestFit="1" customWidth="1"/>
    <col min="513" max="513" width="36.7109375" customWidth="1"/>
    <col min="514" max="514" width="12.140625" customWidth="1"/>
    <col min="515" max="515" width="10.28515625" customWidth="1"/>
    <col min="516" max="516" width="17.140625" customWidth="1"/>
    <col min="517" max="517" width="15.85546875" customWidth="1"/>
    <col min="518" max="518" width="13.7109375" customWidth="1"/>
    <col min="520" max="520" width="11.5703125" customWidth="1"/>
    <col min="524" max="524" width="12.140625" customWidth="1"/>
    <col min="525" max="525" width="7.28515625" customWidth="1"/>
    <col min="526" max="526" width="9.5703125" bestFit="1" customWidth="1"/>
    <col min="769" max="769" width="36.7109375" customWidth="1"/>
    <col min="770" max="770" width="12.140625" customWidth="1"/>
    <col min="771" max="771" width="10.28515625" customWidth="1"/>
    <col min="772" max="772" width="17.140625" customWidth="1"/>
    <col min="773" max="773" width="15.85546875" customWidth="1"/>
    <col min="774" max="774" width="13.7109375" customWidth="1"/>
    <col min="776" max="776" width="11.5703125" customWidth="1"/>
    <col min="780" max="780" width="12.140625" customWidth="1"/>
    <col min="781" max="781" width="7.28515625" customWidth="1"/>
    <col min="782" max="782" width="9.5703125" bestFit="1" customWidth="1"/>
    <col min="1025" max="1025" width="36.7109375" customWidth="1"/>
    <col min="1026" max="1026" width="12.140625" customWidth="1"/>
    <col min="1027" max="1027" width="10.28515625" customWidth="1"/>
    <col min="1028" max="1028" width="17.140625" customWidth="1"/>
    <col min="1029" max="1029" width="15.85546875" customWidth="1"/>
    <col min="1030" max="1030" width="13.7109375" customWidth="1"/>
    <col min="1032" max="1032" width="11.5703125" customWidth="1"/>
    <col min="1036" max="1036" width="12.140625" customWidth="1"/>
    <col min="1037" max="1037" width="7.28515625" customWidth="1"/>
    <col min="1038" max="1038" width="9.5703125" bestFit="1" customWidth="1"/>
    <col min="1281" max="1281" width="36.7109375" customWidth="1"/>
    <col min="1282" max="1282" width="12.140625" customWidth="1"/>
    <col min="1283" max="1283" width="10.28515625" customWidth="1"/>
    <col min="1284" max="1284" width="17.140625" customWidth="1"/>
    <col min="1285" max="1285" width="15.85546875" customWidth="1"/>
    <col min="1286" max="1286" width="13.7109375" customWidth="1"/>
    <col min="1288" max="1288" width="11.5703125" customWidth="1"/>
    <col min="1292" max="1292" width="12.140625" customWidth="1"/>
    <col min="1293" max="1293" width="7.28515625" customWidth="1"/>
    <col min="1294" max="1294" width="9.5703125" bestFit="1" customWidth="1"/>
    <col min="1537" max="1537" width="36.7109375" customWidth="1"/>
    <col min="1538" max="1538" width="12.140625" customWidth="1"/>
    <col min="1539" max="1539" width="10.28515625" customWidth="1"/>
    <col min="1540" max="1540" width="17.140625" customWidth="1"/>
    <col min="1541" max="1541" width="15.85546875" customWidth="1"/>
    <col min="1542" max="1542" width="13.7109375" customWidth="1"/>
    <col min="1544" max="1544" width="11.5703125" customWidth="1"/>
    <col min="1548" max="1548" width="12.140625" customWidth="1"/>
    <col min="1549" max="1549" width="7.28515625" customWidth="1"/>
    <col min="1550" max="1550" width="9.5703125" bestFit="1" customWidth="1"/>
    <col min="1793" max="1793" width="36.7109375" customWidth="1"/>
    <col min="1794" max="1794" width="12.140625" customWidth="1"/>
    <col min="1795" max="1795" width="10.28515625" customWidth="1"/>
    <col min="1796" max="1796" width="17.140625" customWidth="1"/>
    <col min="1797" max="1797" width="15.85546875" customWidth="1"/>
    <col min="1798" max="1798" width="13.7109375" customWidth="1"/>
    <col min="1800" max="1800" width="11.5703125" customWidth="1"/>
    <col min="1804" max="1804" width="12.140625" customWidth="1"/>
    <col min="1805" max="1805" width="7.28515625" customWidth="1"/>
    <col min="1806" max="1806" width="9.5703125" bestFit="1" customWidth="1"/>
    <col min="2049" max="2049" width="36.7109375" customWidth="1"/>
    <col min="2050" max="2050" width="12.140625" customWidth="1"/>
    <col min="2051" max="2051" width="10.28515625" customWidth="1"/>
    <col min="2052" max="2052" width="17.140625" customWidth="1"/>
    <col min="2053" max="2053" width="15.85546875" customWidth="1"/>
    <col min="2054" max="2054" width="13.7109375" customWidth="1"/>
    <col min="2056" max="2056" width="11.5703125" customWidth="1"/>
    <col min="2060" max="2060" width="12.140625" customWidth="1"/>
    <col min="2061" max="2061" width="7.28515625" customWidth="1"/>
    <col min="2062" max="2062" width="9.5703125" bestFit="1" customWidth="1"/>
    <col min="2305" max="2305" width="36.7109375" customWidth="1"/>
    <col min="2306" max="2306" width="12.140625" customWidth="1"/>
    <col min="2307" max="2307" width="10.28515625" customWidth="1"/>
    <col min="2308" max="2308" width="17.140625" customWidth="1"/>
    <col min="2309" max="2309" width="15.85546875" customWidth="1"/>
    <col min="2310" max="2310" width="13.7109375" customWidth="1"/>
    <col min="2312" max="2312" width="11.5703125" customWidth="1"/>
    <col min="2316" max="2316" width="12.140625" customWidth="1"/>
    <col min="2317" max="2317" width="7.28515625" customWidth="1"/>
    <col min="2318" max="2318" width="9.5703125" bestFit="1" customWidth="1"/>
    <col min="2561" max="2561" width="36.7109375" customWidth="1"/>
    <col min="2562" max="2562" width="12.140625" customWidth="1"/>
    <col min="2563" max="2563" width="10.28515625" customWidth="1"/>
    <col min="2564" max="2564" width="17.140625" customWidth="1"/>
    <col min="2565" max="2565" width="15.85546875" customWidth="1"/>
    <col min="2566" max="2566" width="13.7109375" customWidth="1"/>
    <col min="2568" max="2568" width="11.5703125" customWidth="1"/>
    <col min="2572" max="2572" width="12.140625" customWidth="1"/>
    <col min="2573" max="2573" width="7.28515625" customWidth="1"/>
    <col min="2574" max="2574" width="9.5703125" bestFit="1" customWidth="1"/>
    <col min="2817" max="2817" width="36.7109375" customWidth="1"/>
    <col min="2818" max="2818" width="12.140625" customWidth="1"/>
    <col min="2819" max="2819" width="10.28515625" customWidth="1"/>
    <col min="2820" max="2820" width="17.140625" customWidth="1"/>
    <col min="2821" max="2821" width="15.85546875" customWidth="1"/>
    <col min="2822" max="2822" width="13.7109375" customWidth="1"/>
    <col min="2824" max="2824" width="11.5703125" customWidth="1"/>
    <col min="2828" max="2828" width="12.140625" customWidth="1"/>
    <col min="2829" max="2829" width="7.28515625" customWidth="1"/>
    <col min="2830" max="2830" width="9.5703125" bestFit="1" customWidth="1"/>
    <col min="3073" max="3073" width="36.7109375" customWidth="1"/>
    <col min="3074" max="3074" width="12.140625" customWidth="1"/>
    <col min="3075" max="3075" width="10.28515625" customWidth="1"/>
    <col min="3076" max="3076" width="17.140625" customWidth="1"/>
    <col min="3077" max="3077" width="15.85546875" customWidth="1"/>
    <col min="3078" max="3078" width="13.7109375" customWidth="1"/>
    <col min="3080" max="3080" width="11.5703125" customWidth="1"/>
    <col min="3084" max="3084" width="12.140625" customWidth="1"/>
    <col min="3085" max="3085" width="7.28515625" customWidth="1"/>
    <col min="3086" max="3086" width="9.5703125" bestFit="1" customWidth="1"/>
    <col min="3329" max="3329" width="36.7109375" customWidth="1"/>
    <col min="3330" max="3330" width="12.140625" customWidth="1"/>
    <col min="3331" max="3331" width="10.28515625" customWidth="1"/>
    <col min="3332" max="3332" width="17.140625" customWidth="1"/>
    <col min="3333" max="3333" width="15.85546875" customWidth="1"/>
    <col min="3334" max="3334" width="13.7109375" customWidth="1"/>
    <col min="3336" max="3336" width="11.5703125" customWidth="1"/>
    <col min="3340" max="3340" width="12.140625" customWidth="1"/>
    <col min="3341" max="3341" width="7.28515625" customWidth="1"/>
    <col min="3342" max="3342" width="9.5703125" bestFit="1" customWidth="1"/>
    <col min="3585" max="3585" width="36.7109375" customWidth="1"/>
    <col min="3586" max="3586" width="12.140625" customWidth="1"/>
    <col min="3587" max="3587" width="10.28515625" customWidth="1"/>
    <col min="3588" max="3588" width="17.140625" customWidth="1"/>
    <col min="3589" max="3589" width="15.85546875" customWidth="1"/>
    <col min="3590" max="3590" width="13.7109375" customWidth="1"/>
    <col min="3592" max="3592" width="11.5703125" customWidth="1"/>
    <col min="3596" max="3596" width="12.140625" customWidth="1"/>
    <col min="3597" max="3597" width="7.28515625" customWidth="1"/>
    <col min="3598" max="3598" width="9.5703125" bestFit="1" customWidth="1"/>
    <col min="3841" max="3841" width="36.7109375" customWidth="1"/>
    <col min="3842" max="3842" width="12.140625" customWidth="1"/>
    <col min="3843" max="3843" width="10.28515625" customWidth="1"/>
    <col min="3844" max="3844" width="17.140625" customWidth="1"/>
    <col min="3845" max="3845" width="15.85546875" customWidth="1"/>
    <col min="3846" max="3846" width="13.7109375" customWidth="1"/>
    <col min="3848" max="3848" width="11.5703125" customWidth="1"/>
    <col min="3852" max="3852" width="12.140625" customWidth="1"/>
    <col min="3853" max="3853" width="7.28515625" customWidth="1"/>
    <col min="3854" max="3854" width="9.5703125" bestFit="1" customWidth="1"/>
    <col min="4097" max="4097" width="36.7109375" customWidth="1"/>
    <col min="4098" max="4098" width="12.140625" customWidth="1"/>
    <col min="4099" max="4099" width="10.28515625" customWidth="1"/>
    <col min="4100" max="4100" width="17.140625" customWidth="1"/>
    <col min="4101" max="4101" width="15.85546875" customWidth="1"/>
    <col min="4102" max="4102" width="13.7109375" customWidth="1"/>
    <col min="4104" max="4104" width="11.5703125" customWidth="1"/>
    <col min="4108" max="4108" width="12.140625" customWidth="1"/>
    <col min="4109" max="4109" width="7.28515625" customWidth="1"/>
    <col min="4110" max="4110" width="9.5703125" bestFit="1" customWidth="1"/>
    <col min="4353" max="4353" width="36.7109375" customWidth="1"/>
    <col min="4354" max="4354" width="12.140625" customWidth="1"/>
    <col min="4355" max="4355" width="10.28515625" customWidth="1"/>
    <col min="4356" max="4356" width="17.140625" customWidth="1"/>
    <col min="4357" max="4357" width="15.85546875" customWidth="1"/>
    <col min="4358" max="4358" width="13.7109375" customWidth="1"/>
    <col min="4360" max="4360" width="11.5703125" customWidth="1"/>
    <col min="4364" max="4364" width="12.140625" customWidth="1"/>
    <col min="4365" max="4365" width="7.28515625" customWidth="1"/>
    <col min="4366" max="4366" width="9.5703125" bestFit="1" customWidth="1"/>
    <col min="4609" max="4609" width="36.7109375" customWidth="1"/>
    <col min="4610" max="4610" width="12.140625" customWidth="1"/>
    <col min="4611" max="4611" width="10.28515625" customWidth="1"/>
    <col min="4612" max="4612" width="17.140625" customWidth="1"/>
    <col min="4613" max="4613" width="15.85546875" customWidth="1"/>
    <col min="4614" max="4614" width="13.7109375" customWidth="1"/>
    <col min="4616" max="4616" width="11.5703125" customWidth="1"/>
    <col min="4620" max="4620" width="12.140625" customWidth="1"/>
    <col min="4621" max="4621" width="7.28515625" customWidth="1"/>
    <col min="4622" max="4622" width="9.5703125" bestFit="1" customWidth="1"/>
    <col min="4865" max="4865" width="36.7109375" customWidth="1"/>
    <col min="4866" max="4866" width="12.140625" customWidth="1"/>
    <col min="4867" max="4867" width="10.28515625" customWidth="1"/>
    <col min="4868" max="4868" width="17.140625" customWidth="1"/>
    <col min="4869" max="4869" width="15.85546875" customWidth="1"/>
    <col min="4870" max="4870" width="13.7109375" customWidth="1"/>
    <col min="4872" max="4872" width="11.5703125" customWidth="1"/>
    <col min="4876" max="4876" width="12.140625" customWidth="1"/>
    <col min="4877" max="4877" width="7.28515625" customWidth="1"/>
    <col min="4878" max="4878" width="9.5703125" bestFit="1" customWidth="1"/>
    <col min="5121" max="5121" width="36.7109375" customWidth="1"/>
    <col min="5122" max="5122" width="12.140625" customWidth="1"/>
    <col min="5123" max="5123" width="10.28515625" customWidth="1"/>
    <col min="5124" max="5124" width="17.140625" customWidth="1"/>
    <col min="5125" max="5125" width="15.85546875" customWidth="1"/>
    <col min="5126" max="5126" width="13.7109375" customWidth="1"/>
    <col min="5128" max="5128" width="11.5703125" customWidth="1"/>
    <col min="5132" max="5132" width="12.140625" customWidth="1"/>
    <col min="5133" max="5133" width="7.28515625" customWidth="1"/>
    <col min="5134" max="5134" width="9.5703125" bestFit="1" customWidth="1"/>
    <col min="5377" max="5377" width="36.7109375" customWidth="1"/>
    <col min="5378" max="5378" width="12.140625" customWidth="1"/>
    <col min="5379" max="5379" width="10.28515625" customWidth="1"/>
    <col min="5380" max="5380" width="17.140625" customWidth="1"/>
    <col min="5381" max="5381" width="15.85546875" customWidth="1"/>
    <col min="5382" max="5382" width="13.7109375" customWidth="1"/>
    <col min="5384" max="5384" width="11.5703125" customWidth="1"/>
    <col min="5388" max="5388" width="12.140625" customWidth="1"/>
    <col min="5389" max="5389" width="7.28515625" customWidth="1"/>
    <col min="5390" max="5390" width="9.5703125" bestFit="1" customWidth="1"/>
    <col min="5633" max="5633" width="36.7109375" customWidth="1"/>
    <col min="5634" max="5634" width="12.140625" customWidth="1"/>
    <col min="5635" max="5635" width="10.28515625" customWidth="1"/>
    <col min="5636" max="5636" width="17.140625" customWidth="1"/>
    <col min="5637" max="5637" width="15.85546875" customWidth="1"/>
    <col min="5638" max="5638" width="13.7109375" customWidth="1"/>
    <col min="5640" max="5640" width="11.5703125" customWidth="1"/>
    <col min="5644" max="5644" width="12.140625" customWidth="1"/>
    <col min="5645" max="5645" width="7.28515625" customWidth="1"/>
    <col min="5646" max="5646" width="9.5703125" bestFit="1" customWidth="1"/>
    <col min="5889" max="5889" width="36.7109375" customWidth="1"/>
    <col min="5890" max="5890" width="12.140625" customWidth="1"/>
    <col min="5891" max="5891" width="10.28515625" customWidth="1"/>
    <col min="5892" max="5892" width="17.140625" customWidth="1"/>
    <col min="5893" max="5893" width="15.85546875" customWidth="1"/>
    <col min="5894" max="5894" width="13.7109375" customWidth="1"/>
    <col min="5896" max="5896" width="11.5703125" customWidth="1"/>
    <col min="5900" max="5900" width="12.140625" customWidth="1"/>
    <col min="5901" max="5901" width="7.28515625" customWidth="1"/>
    <col min="5902" max="5902" width="9.5703125" bestFit="1" customWidth="1"/>
    <col min="6145" max="6145" width="36.7109375" customWidth="1"/>
    <col min="6146" max="6146" width="12.140625" customWidth="1"/>
    <col min="6147" max="6147" width="10.28515625" customWidth="1"/>
    <col min="6148" max="6148" width="17.140625" customWidth="1"/>
    <col min="6149" max="6149" width="15.85546875" customWidth="1"/>
    <col min="6150" max="6150" width="13.7109375" customWidth="1"/>
    <col min="6152" max="6152" width="11.5703125" customWidth="1"/>
    <col min="6156" max="6156" width="12.140625" customWidth="1"/>
    <col min="6157" max="6157" width="7.28515625" customWidth="1"/>
    <col min="6158" max="6158" width="9.5703125" bestFit="1" customWidth="1"/>
    <col min="6401" max="6401" width="36.7109375" customWidth="1"/>
    <col min="6402" max="6402" width="12.140625" customWidth="1"/>
    <col min="6403" max="6403" width="10.28515625" customWidth="1"/>
    <col min="6404" max="6404" width="17.140625" customWidth="1"/>
    <col min="6405" max="6405" width="15.85546875" customWidth="1"/>
    <col min="6406" max="6406" width="13.7109375" customWidth="1"/>
    <col min="6408" max="6408" width="11.5703125" customWidth="1"/>
    <col min="6412" max="6412" width="12.140625" customWidth="1"/>
    <col min="6413" max="6413" width="7.28515625" customWidth="1"/>
    <col min="6414" max="6414" width="9.5703125" bestFit="1" customWidth="1"/>
    <col min="6657" max="6657" width="36.7109375" customWidth="1"/>
    <col min="6658" max="6658" width="12.140625" customWidth="1"/>
    <col min="6659" max="6659" width="10.28515625" customWidth="1"/>
    <col min="6660" max="6660" width="17.140625" customWidth="1"/>
    <col min="6661" max="6661" width="15.85546875" customWidth="1"/>
    <col min="6662" max="6662" width="13.7109375" customWidth="1"/>
    <col min="6664" max="6664" width="11.5703125" customWidth="1"/>
    <col min="6668" max="6668" width="12.140625" customWidth="1"/>
    <col min="6669" max="6669" width="7.28515625" customWidth="1"/>
    <col min="6670" max="6670" width="9.5703125" bestFit="1" customWidth="1"/>
    <col min="6913" max="6913" width="36.7109375" customWidth="1"/>
    <col min="6914" max="6914" width="12.140625" customWidth="1"/>
    <col min="6915" max="6915" width="10.28515625" customWidth="1"/>
    <col min="6916" max="6916" width="17.140625" customWidth="1"/>
    <col min="6917" max="6917" width="15.85546875" customWidth="1"/>
    <col min="6918" max="6918" width="13.7109375" customWidth="1"/>
    <col min="6920" max="6920" width="11.5703125" customWidth="1"/>
    <col min="6924" max="6924" width="12.140625" customWidth="1"/>
    <col min="6925" max="6925" width="7.28515625" customWidth="1"/>
    <col min="6926" max="6926" width="9.5703125" bestFit="1" customWidth="1"/>
    <col min="7169" max="7169" width="36.7109375" customWidth="1"/>
    <col min="7170" max="7170" width="12.140625" customWidth="1"/>
    <col min="7171" max="7171" width="10.28515625" customWidth="1"/>
    <col min="7172" max="7172" width="17.140625" customWidth="1"/>
    <col min="7173" max="7173" width="15.85546875" customWidth="1"/>
    <col min="7174" max="7174" width="13.7109375" customWidth="1"/>
    <col min="7176" max="7176" width="11.5703125" customWidth="1"/>
    <col min="7180" max="7180" width="12.140625" customWidth="1"/>
    <col min="7181" max="7181" width="7.28515625" customWidth="1"/>
    <col min="7182" max="7182" width="9.5703125" bestFit="1" customWidth="1"/>
    <col min="7425" max="7425" width="36.7109375" customWidth="1"/>
    <col min="7426" max="7426" width="12.140625" customWidth="1"/>
    <col min="7427" max="7427" width="10.28515625" customWidth="1"/>
    <col min="7428" max="7428" width="17.140625" customWidth="1"/>
    <col min="7429" max="7429" width="15.85546875" customWidth="1"/>
    <col min="7430" max="7430" width="13.7109375" customWidth="1"/>
    <col min="7432" max="7432" width="11.5703125" customWidth="1"/>
    <col min="7436" max="7436" width="12.140625" customWidth="1"/>
    <col min="7437" max="7437" width="7.28515625" customWidth="1"/>
    <col min="7438" max="7438" width="9.5703125" bestFit="1" customWidth="1"/>
    <col min="7681" max="7681" width="36.7109375" customWidth="1"/>
    <col min="7682" max="7682" width="12.140625" customWidth="1"/>
    <col min="7683" max="7683" width="10.28515625" customWidth="1"/>
    <col min="7684" max="7684" width="17.140625" customWidth="1"/>
    <col min="7685" max="7685" width="15.85546875" customWidth="1"/>
    <col min="7686" max="7686" width="13.7109375" customWidth="1"/>
    <col min="7688" max="7688" width="11.5703125" customWidth="1"/>
    <col min="7692" max="7692" width="12.140625" customWidth="1"/>
    <col min="7693" max="7693" width="7.28515625" customWidth="1"/>
    <col min="7694" max="7694" width="9.5703125" bestFit="1" customWidth="1"/>
    <col min="7937" max="7937" width="36.7109375" customWidth="1"/>
    <col min="7938" max="7938" width="12.140625" customWidth="1"/>
    <col min="7939" max="7939" width="10.28515625" customWidth="1"/>
    <col min="7940" max="7940" width="17.140625" customWidth="1"/>
    <col min="7941" max="7941" width="15.85546875" customWidth="1"/>
    <col min="7942" max="7942" width="13.7109375" customWidth="1"/>
    <col min="7944" max="7944" width="11.5703125" customWidth="1"/>
    <col min="7948" max="7948" width="12.140625" customWidth="1"/>
    <col min="7949" max="7949" width="7.28515625" customWidth="1"/>
    <col min="7950" max="7950" width="9.5703125" bestFit="1" customWidth="1"/>
    <col min="8193" max="8193" width="36.7109375" customWidth="1"/>
    <col min="8194" max="8194" width="12.140625" customWidth="1"/>
    <col min="8195" max="8195" width="10.28515625" customWidth="1"/>
    <col min="8196" max="8196" width="17.140625" customWidth="1"/>
    <col min="8197" max="8197" width="15.85546875" customWidth="1"/>
    <col min="8198" max="8198" width="13.7109375" customWidth="1"/>
    <col min="8200" max="8200" width="11.5703125" customWidth="1"/>
    <col min="8204" max="8204" width="12.140625" customWidth="1"/>
    <col min="8205" max="8205" width="7.28515625" customWidth="1"/>
    <col min="8206" max="8206" width="9.5703125" bestFit="1" customWidth="1"/>
    <col min="8449" max="8449" width="36.7109375" customWidth="1"/>
    <col min="8450" max="8450" width="12.140625" customWidth="1"/>
    <col min="8451" max="8451" width="10.28515625" customWidth="1"/>
    <col min="8452" max="8452" width="17.140625" customWidth="1"/>
    <col min="8453" max="8453" width="15.85546875" customWidth="1"/>
    <col min="8454" max="8454" width="13.7109375" customWidth="1"/>
    <col min="8456" max="8456" width="11.5703125" customWidth="1"/>
    <col min="8460" max="8460" width="12.140625" customWidth="1"/>
    <col min="8461" max="8461" width="7.28515625" customWidth="1"/>
    <col min="8462" max="8462" width="9.5703125" bestFit="1" customWidth="1"/>
    <col min="8705" max="8705" width="36.7109375" customWidth="1"/>
    <col min="8706" max="8706" width="12.140625" customWidth="1"/>
    <col min="8707" max="8707" width="10.28515625" customWidth="1"/>
    <col min="8708" max="8708" width="17.140625" customWidth="1"/>
    <col min="8709" max="8709" width="15.85546875" customWidth="1"/>
    <col min="8710" max="8710" width="13.7109375" customWidth="1"/>
    <col min="8712" max="8712" width="11.5703125" customWidth="1"/>
    <col min="8716" max="8716" width="12.140625" customWidth="1"/>
    <col min="8717" max="8717" width="7.28515625" customWidth="1"/>
    <col min="8718" max="8718" width="9.5703125" bestFit="1" customWidth="1"/>
    <col min="8961" max="8961" width="36.7109375" customWidth="1"/>
    <col min="8962" max="8962" width="12.140625" customWidth="1"/>
    <col min="8963" max="8963" width="10.28515625" customWidth="1"/>
    <col min="8964" max="8964" width="17.140625" customWidth="1"/>
    <col min="8965" max="8965" width="15.85546875" customWidth="1"/>
    <col min="8966" max="8966" width="13.7109375" customWidth="1"/>
    <col min="8968" max="8968" width="11.5703125" customWidth="1"/>
    <col min="8972" max="8972" width="12.140625" customWidth="1"/>
    <col min="8973" max="8973" width="7.28515625" customWidth="1"/>
    <col min="8974" max="8974" width="9.5703125" bestFit="1" customWidth="1"/>
    <col min="9217" max="9217" width="36.7109375" customWidth="1"/>
    <col min="9218" max="9218" width="12.140625" customWidth="1"/>
    <col min="9219" max="9219" width="10.28515625" customWidth="1"/>
    <col min="9220" max="9220" width="17.140625" customWidth="1"/>
    <col min="9221" max="9221" width="15.85546875" customWidth="1"/>
    <col min="9222" max="9222" width="13.7109375" customWidth="1"/>
    <col min="9224" max="9224" width="11.5703125" customWidth="1"/>
    <col min="9228" max="9228" width="12.140625" customWidth="1"/>
    <col min="9229" max="9229" width="7.28515625" customWidth="1"/>
    <col min="9230" max="9230" width="9.5703125" bestFit="1" customWidth="1"/>
    <col min="9473" max="9473" width="36.7109375" customWidth="1"/>
    <col min="9474" max="9474" width="12.140625" customWidth="1"/>
    <col min="9475" max="9475" width="10.28515625" customWidth="1"/>
    <col min="9476" max="9476" width="17.140625" customWidth="1"/>
    <col min="9477" max="9477" width="15.85546875" customWidth="1"/>
    <col min="9478" max="9478" width="13.7109375" customWidth="1"/>
    <col min="9480" max="9480" width="11.5703125" customWidth="1"/>
    <col min="9484" max="9484" width="12.140625" customWidth="1"/>
    <col min="9485" max="9485" width="7.28515625" customWidth="1"/>
    <col min="9486" max="9486" width="9.5703125" bestFit="1" customWidth="1"/>
    <col min="9729" max="9729" width="36.7109375" customWidth="1"/>
    <col min="9730" max="9730" width="12.140625" customWidth="1"/>
    <col min="9731" max="9731" width="10.28515625" customWidth="1"/>
    <col min="9732" max="9732" width="17.140625" customWidth="1"/>
    <col min="9733" max="9733" width="15.85546875" customWidth="1"/>
    <col min="9734" max="9734" width="13.7109375" customWidth="1"/>
    <col min="9736" max="9736" width="11.5703125" customWidth="1"/>
    <col min="9740" max="9740" width="12.140625" customWidth="1"/>
    <col min="9741" max="9741" width="7.28515625" customWidth="1"/>
    <col min="9742" max="9742" width="9.5703125" bestFit="1" customWidth="1"/>
    <col min="9985" max="9985" width="36.7109375" customWidth="1"/>
    <col min="9986" max="9986" width="12.140625" customWidth="1"/>
    <col min="9987" max="9987" width="10.28515625" customWidth="1"/>
    <col min="9988" max="9988" width="17.140625" customWidth="1"/>
    <col min="9989" max="9989" width="15.85546875" customWidth="1"/>
    <col min="9990" max="9990" width="13.7109375" customWidth="1"/>
    <col min="9992" max="9992" width="11.5703125" customWidth="1"/>
    <col min="9996" max="9996" width="12.140625" customWidth="1"/>
    <col min="9997" max="9997" width="7.28515625" customWidth="1"/>
    <col min="9998" max="9998" width="9.5703125" bestFit="1" customWidth="1"/>
    <col min="10241" max="10241" width="36.7109375" customWidth="1"/>
    <col min="10242" max="10242" width="12.140625" customWidth="1"/>
    <col min="10243" max="10243" width="10.28515625" customWidth="1"/>
    <col min="10244" max="10244" width="17.140625" customWidth="1"/>
    <col min="10245" max="10245" width="15.85546875" customWidth="1"/>
    <col min="10246" max="10246" width="13.7109375" customWidth="1"/>
    <col min="10248" max="10248" width="11.5703125" customWidth="1"/>
    <col min="10252" max="10252" width="12.140625" customWidth="1"/>
    <col min="10253" max="10253" width="7.28515625" customWidth="1"/>
    <col min="10254" max="10254" width="9.5703125" bestFit="1" customWidth="1"/>
    <col min="10497" max="10497" width="36.7109375" customWidth="1"/>
    <col min="10498" max="10498" width="12.140625" customWidth="1"/>
    <col min="10499" max="10499" width="10.28515625" customWidth="1"/>
    <col min="10500" max="10500" width="17.140625" customWidth="1"/>
    <col min="10501" max="10501" width="15.85546875" customWidth="1"/>
    <col min="10502" max="10502" width="13.7109375" customWidth="1"/>
    <col min="10504" max="10504" width="11.5703125" customWidth="1"/>
    <col min="10508" max="10508" width="12.140625" customWidth="1"/>
    <col min="10509" max="10509" width="7.28515625" customWidth="1"/>
    <col min="10510" max="10510" width="9.5703125" bestFit="1" customWidth="1"/>
    <col min="10753" max="10753" width="36.7109375" customWidth="1"/>
    <col min="10754" max="10754" width="12.140625" customWidth="1"/>
    <col min="10755" max="10755" width="10.28515625" customWidth="1"/>
    <col min="10756" max="10756" width="17.140625" customWidth="1"/>
    <col min="10757" max="10757" width="15.85546875" customWidth="1"/>
    <col min="10758" max="10758" width="13.7109375" customWidth="1"/>
    <col min="10760" max="10760" width="11.5703125" customWidth="1"/>
    <col min="10764" max="10764" width="12.140625" customWidth="1"/>
    <col min="10765" max="10765" width="7.28515625" customWidth="1"/>
    <col min="10766" max="10766" width="9.5703125" bestFit="1" customWidth="1"/>
    <col min="11009" max="11009" width="36.7109375" customWidth="1"/>
    <col min="11010" max="11010" width="12.140625" customWidth="1"/>
    <col min="11011" max="11011" width="10.28515625" customWidth="1"/>
    <col min="11012" max="11012" width="17.140625" customWidth="1"/>
    <col min="11013" max="11013" width="15.85546875" customWidth="1"/>
    <col min="11014" max="11014" width="13.7109375" customWidth="1"/>
    <col min="11016" max="11016" width="11.5703125" customWidth="1"/>
    <col min="11020" max="11020" width="12.140625" customWidth="1"/>
    <col min="11021" max="11021" width="7.28515625" customWidth="1"/>
    <col min="11022" max="11022" width="9.5703125" bestFit="1" customWidth="1"/>
    <col min="11265" max="11265" width="36.7109375" customWidth="1"/>
    <col min="11266" max="11266" width="12.140625" customWidth="1"/>
    <col min="11267" max="11267" width="10.28515625" customWidth="1"/>
    <col min="11268" max="11268" width="17.140625" customWidth="1"/>
    <col min="11269" max="11269" width="15.85546875" customWidth="1"/>
    <col min="11270" max="11270" width="13.7109375" customWidth="1"/>
    <col min="11272" max="11272" width="11.5703125" customWidth="1"/>
    <col min="11276" max="11276" width="12.140625" customWidth="1"/>
    <col min="11277" max="11277" width="7.28515625" customWidth="1"/>
    <col min="11278" max="11278" width="9.5703125" bestFit="1" customWidth="1"/>
    <col min="11521" max="11521" width="36.7109375" customWidth="1"/>
    <col min="11522" max="11522" width="12.140625" customWidth="1"/>
    <col min="11523" max="11523" width="10.28515625" customWidth="1"/>
    <col min="11524" max="11524" width="17.140625" customWidth="1"/>
    <col min="11525" max="11525" width="15.85546875" customWidth="1"/>
    <col min="11526" max="11526" width="13.7109375" customWidth="1"/>
    <col min="11528" max="11528" width="11.5703125" customWidth="1"/>
    <col min="11532" max="11532" width="12.140625" customWidth="1"/>
    <col min="11533" max="11533" width="7.28515625" customWidth="1"/>
    <col min="11534" max="11534" width="9.5703125" bestFit="1" customWidth="1"/>
    <col min="11777" max="11777" width="36.7109375" customWidth="1"/>
    <col min="11778" max="11778" width="12.140625" customWidth="1"/>
    <col min="11779" max="11779" width="10.28515625" customWidth="1"/>
    <col min="11780" max="11780" width="17.140625" customWidth="1"/>
    <col min="11781" max="11781" width="15.85546875" customWidth="1"/>
    <col min="11782" max="11782" width="13.7109375" customWidth="1"/>
    <col min="11784" max="11784" width="11.5703125" customWidth="1"/>
    <col min="11788" max="11788" width="12.140625" customWidth="1"/>
    <col min="11789" max="11789" width="7.28515625" customWidth="1"/>
    <col min="11790" max="11790" width="9.5703125" bestFit="1" customWidth="1"/>
    <col min="12033" max="12033" width="36.7109375" customWidth="1"/>
    <col min="12034" max="12034" width="12.140625" customWidth="1"/>
    <col min="12035" max="12035" width="10.28515625" customWidth="1"/>
    <col min="12036" max="12036" width="17.140625" customWidth="1"/>
    <col min="12037" max="12037" width="15.85546875" customWidth="1"/>
    <col min="12038" max="12038" width="13.7109375" customWidth="1"/>
    <col min="12040" max="12040" width="11.5703125" customWidth="1"/>
    <col min="12044" max="12044" width="12.140625" customWidth="1"/>
    <col min="12045" max="12045" width="7.28515625" customWidth="1"/>
    <col min="12046" max="12046" width="9.5703125" bestFit="1" customWidth="1"/>
    <col min="12289" max="12289" width="36.7109375" customWidth="1"/>
    <col min="12290" max="12290" width="12.140625" customWidth="1"/>
    <col min="12291" max="12291" width="10.28515625" customWidth="1"/>
    <col min="12292" max="12292" width="17.140625" customWidth="1"/>
    <col min="12293" max="12293" width="15.85546875" customWidth="1"/>
    <col min="12294" max="12294" width="13.7109375" customWidth="1"/>
    <col min="12296" max="12296" width="11.5703125" customWidth="1"/>
    <col min="12300" max="12300" width="12.140625" customWidth="1"/>
    <col min="12301" max="12301" width="7.28515625" customWidth="1"/>
    <col min="12302" max="12302" width="9.5703125" bestFit="1" customWidth="1"/>
    <col min="12545" max="12545" width="36.7109375" customWidth="1"/>
    <col min="12546" max="12546" width="12.140625" customWidth="1"/>
    <col min="12547" max="12547" width="10.28515625" customWidth="1"/>
    <col min="12548" max="12548" width="17.140625" customWidth="1"/>
    <col min="12549" max="12549" width="15.85546875" customWidth="1"/>
    <col min="12550" max="12550" width="13.7109375" customWidth="1"/>
    <col min="12552" max="12552" width="11.5703125" customWidth="1"/>
    <col min="12556" max="12556" width="12.140625" customWidth="1"/>
    <col min="12557" max="12557" width="7.28515625" customWidth="1"/>
    <col min="12558" max="12558" width="9.5703125" bestFit="1" customWidth="1"/>
    <col min="12801" max="12801" width="36.7109375" customWidth="1"/>
    <col min="12802" max="12802" width="12.140625" customWidth="1"/>
    <col min="12803" max="12803" width="10.28515625" customWidth="1"/>
    <col min="12804" max="12804" width="17.140625" customWidth="1"/>
    <col min="12805" max="12805" width="15.85546875" customWidth="1"/>
    <col min="12806" max="12806" width="13.7109375" customWidth="1"/>
    <col min="12808" max="12808" width="11.5703125" customWidth="1"/>
    <col min="12812" max="12812" width="12.140625" customWidth="1"/>
    <col min="12813" max="12813" width="7.28515625" customWidth="1"/>
    <col min="12814" max="12814" width="9.5703125" bestFit="1" customWidth="1"/>
    <col min="13057" max="13057" width="36.7109375" customWidth="1"/>
    <col min="13058" max="13058" width="12.140625" customWidth="1"/>
    <col min="13059" max="13059" width="10.28515625" customWidth="1"/>
    <col min="13060" max="13060" width="17.140625" customWidth="1"/>
    <col min="13061" max="13061" width="15.85546875" customWidth="1"/>
    <col min="13062" max="13062" width="13.7109375" customWidth="1"/>
    <col min="13064" max="13064" width="11.5703125" customWidth="1"/>
    <col min="13068" max="13068" width="12.140625" customWidth="1"/>
    <col min="13069" max="13069" width="7.28515625" customWidth="1"/>
    <col min="13070" max="13070" width="9.5703125" bestFit="1" customWidth="1"/>
    <col min="13313" max="13313" width="36.7109375" customWidth="1"/>
    <col min="13314" max="13314" width="12.140625" customWidth="1"/>
    <col min="13315" max="13315" width="10.28515625" customWidth="1"/>
    <col min="13316" max="13316" width="17.140625" customWidth="1"/>
    <col min="13317" max="13317" width="15.85546875" customWidth="1"/>
    <col min="13318" max="13318" width="13.7109375" customWidth="1"/>
    <col min="13320" max="13320" width="11.5703125" customWidth="1"/>
    <col min="13324" max="13324" width="12.140625" customWidth="1"/>
    <col min="13325" max="13325" width="7.28515625" customWidth="1"/>
    <col min="13326" max="13326" width="9.5703125" bestFit="1" customWidth="1"/>
    <col min="13569" max="13569" width="36.7109375" customWidth="1"/>
    <col min="13570" max="13570" width="12.140625" customWidth="1"/>
    <col min="13571" max="13571" width="10.28515625" customWidth="1"/>
    <col min="13572" max="13572" width="17.140625" customWidth="1"/>
    <col min="13573" max="13573" width="15.85546875" customWidth="1"/>
    <col min="13574" max="13574" width="13.7109375" customWidth="1"/>
    <col min="13576" max="13576" width="11.5703125" customWidth="1"/>
    <col min="13580" max="13580" width="12.140625" customWidth="1"/>
    <col min="13581" max="13581" width="7.28515625" customWidth="1"/>
    <col min="13582" max="13582" width="9.5703125" bestFit="1" customWidth="1"/>
    <col min="13825" max="13825" width="36.7109375" customWidth="1"/>
    <col min="13826" max="13826" width="12.140625" customWidth="1"/>
    <col min="13827" max="13827" width="10.28515625" customWidth="1"/>
    <col min="13828" max="13828" width="17.140625" customWidth="1"/>
    <col min="13829" max="13829" width="15.85546875" customWidth="1"/>
    <col min="13830" max="13830" width="13.7109375" customWidth="1"/>
    <col min="13832" max="13832" width="11.5703125" customWidth="1"/>
    <col min="13836" max="13836" width="12.140625" customWidth="1"/>
    <col min="13837" max="13837" width="7.28515625" customWidth="1"/>
    <col min="13838" max="13838" width="9.5703125" bestFit="1" customWidth="1"/>
    <col min="14081" max="14081" width="36.7109375" customWidth="1"/>
    <col min="14082" max="14082" width="12.140625" customWidth="1"/>
    <col min="14083" max="14083" width="10.28515625" customWidth="1"/>
    <col min="14084" max="14084" width="17.140625" customWidth="1"/>
    <col min="14085" max="14085" width="15.85546875" customWidth="1"/>
    <col min="14086" max="14086" width="13.7109375" customWidth="1"/>
    <col min="14088" max="14088" width="11.5703125" customWidth="1"/>
    <col min="14092" max="14092" width="12.140625" customWidth="1"/>
    <col min="14093" max="14093" width="7.28515625" customWidth="1"/>
    <col min="14094" max="14094" width="9.5703125" bestFit="1" customWidth="1"/>
    <col min="14337" max="14337" width="36.7109375" customWidth="1"/>
    <col min="14338" max="14338" width="12.140625" customWidth="1"/>
    <col min="14339" max="14339" width="10.28515625" customWidth="1"/>
    <col min="14340" max="14340" width="17.140625" customWidth="1"/>
    <col min="14341" max="14341" width="15.85546875" customWidth="1"/>
    <col min="14342" max="14342" width="13.7109375" customWidth="1"/>
    <col min="14344" max="14344" width="11.5703125" customWidth="1"/>
    <col min="14348" max="14348" width="12.140625" customWidth="1"/>
    <col min="14349" max="14349" width="7.28515625" customWidth="1"/>
    <col min="14350" max="14350" width="9.5703125" bestFit="1" customWidth="1"/>
    <col min="14593" max="14593" width="36.7109375" customWidth="1"/>
    <col min="14594" max="14594" width="12.140625" customWidth="1"/>
    <col min="14595" max="14595" width="10.28515625" customWidth="1"/>
    <col min="14596" max="14596" width="17.140625" customWidth="1"/>
    <col min="14597" max="14597" width="15.85546875" customWidth="1"/>
    <col min="14598" max="14598" width="13.7109375" customWidth="1"/>
    <col min="14600" max="14600" width="11.5703125" customWidth="1"/>
    <col min="14604" max="14604" width="12.140625" customWidth="1"/>
    <col min="14605" max="14605" width="7.28515625" customWidth="1"/>
    <col min="14606" max="14606" width="9.5703125" bestFit="1" customWidth="1"/>
    <col min="14849" max="14849" width="36.7109375" customWidth="1"/>
    <col min="14850" max="14850" width="12.140625" customWidth="1"/>
    <col min="14851" max="14851" width="10.28515625" customWidth="1"/>
    <col min="14852" max="14852" width="17.140625" customWidth="1"/>
    <col min="14853" max="14853" width="15.85546875" customWidth="1"/>
    <col min="14854" max="14854" width="13.7109375" customWidth="1"/>
    <col min="14856" max="14856" width="11.5703125" customWidth="1"/>
    <col min="14860" max="14860" width="12.140625" customWidth="1"/>
    <col min="14861" max="14861" width="7.28515625" customWidth="1"/>
    <col min="14862" max="14862" width="9.5703125" bestFit="1" customWidth="1"/>
    <col min="15105" max="15105" width="36.7109375" customWidth="1"/>
    <col min="15106" max="15106" width="12.140625" customWidth="1"/>
    <col min="15107" max="15107" width="10.28515625" customWidth="1"/>
    <col min="15108" max="15108" width="17.140625" customWidth="1"/>
    <col min="15109" max="15109" width="15.85546875" customWidth="1"/>
    <col min="15110" max="15110" width="13.7109375" customWidth="1"/>
    <col min="15112" max="15112" width="11.5703125" customWidth="1"/>
    <col min="15116" max="15116" width="12.140625" customWidth="1"/>
    <col min="15117" max="15117" width="7.28515625" customWidth="1"/>
    <col min="15118" max="15118" width="9.5703125" bestFit="1" customWidth="1"/>
    <col min="15361" max="15361" width="36.7109375" customWidth="1"/>
    <col min="15362" max="15362" width="12.140625" customWidth="1"/>
    <col min="15363" max="15363" width="10.28515625" customWidth="1"/>
    <col min="15364" max="15364" width="17.140625" customWidth="1"/>
    <col min="15365" max="15365" width="15.85546875" customWidth="1"/>
    <col min="15366" max="15366" width="13.7109375" customWidth="1"/>
    <col min="15368" max="15368" width="11.5703125" customWidth="1"/>
    <col min="15372" max="15372" width="12.140625" customWidth="1"/>
    <col min="15373" max="15373" width="7.28515625" customWidth="1"/>
    <col min="15374" max="15374" width="9.5703125" bestFit="1" customWidth="1"/>
    <col min="15617" max="15617" width="36.7109375" customWidth="1"/>
    <col min="15618" max="15618" width="12.140625" customWidth="1"/>
    <col min="15619" max="15619" width="10.28515625" customWidth="1"/>
    <col min="15620" max="15620" width="17.140625" customWidth="1"/>
    <col min="15621" max="15621" width="15.85546875" customWidth="1"/>
    <col min="15622" max="15622" width="13.7109375" customWidth="1"/>
    <col min="15624" max="15624" width="11.5703125" customWidth="1"/>
    <col min="15628" max="15628" width="12.140625" customWidth="1"/>
    <col min="15629" max="15629" width="7.28515625" customWidth="1"/>
    <col min="15630" max="15630" width="9.5703125" bestFit="1" customWidth="1"/>
    <col min="15873" max="15873" width="36.7109375" customWidth="1"/>
    <col min="15874" max="15874" width="12.140625" customWidth="1"/>
    <col min="15875" max="15875" width="10.28515625" customWidth="1"/>
    <col min="15876" max="15876" width="17.140625" customWidth="1"/>
    <col min="15877" max="15877" width="15.85546875" customWidth="1"/>
    <col min="15878" max="15878" width="13.7109375" customWidth="1"/>
    <col min="15880" max="15880" width="11.5703125" customWidth="1"/>
    <col min="15884" max="15884" width="12.140625" customWidth="1"/>
    <col min="15885" max="15885" width="7.28515625" customWidth="1"/>
    <col min="15886" max="15886" width="9.5703125" bestFit="1" customWidth="1"/>
    <col min="16129" max="16129" width="36.7109375" customWidth="1"/>
    <col min="16130" max="16130" width="12.140625" customWidth="1"/>
    <col min="16131" max="16131" width="10.28515625" customWidth="1"/>
    <col min="16132" max="16132" width="17.140625" customWidth="1"/>
    <col min="16133" max="16133" width="15.85546875" customWidth="1"/>
    <col min="16134" max="16134" width="13.7109375" customWidth="1"/>
    <col min="16136" max="16136" width="11.5703125" customWidth="1"/>
    <col min="16140" max="16140" width="12.140625" customWidth="1"/>
    <col min="16141" max="16141" width="7.28515625" customWidth="1"/>
    <col min="16142" max="16142" width="9.5703125" bestFit="1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1478" t="s">
        <v>5764</v>
      </c>
      <c r="C3" s="1480"/>
      <c r="D3" s="1533" t="s">
        <v>2966</v>
      </c>
      <c r="E3" s="1533"/>
      <c r="F3" s="1518">
        <v>405010401140101</v>
      </c>
      <c r="G3" s="1518"/>
      <c r="H3" s="1533" t="s">
        <v>5</v>
      </c>
      <c r="I3" s="1533"/>
      <c r="J3" s="317" t="s">
        <v>3034</v>
      </c>
      <c r="K3" s="1535" t="s">
        <v>436</v>
      </c>
      <c r="L3" s="1536"/>
      <c r="M3" s="1537"/>
      <c r="N3" s="80">
        <v>0</v>
      </c>
    </row>
    <row r="4" spans="1:14">
      <c r="A4" s="1521" t="s">
        <v>4176</v>
      </c>
      <c r="B4" s="1521"/>
      <c r="C4" s="1521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</row>
    <row r="5" spans="1:14" ht="26.25" customHeight="1">
      <c r="A5" s="677" t="s">
        <v>2967</v>
      </c>
      <c r="B5" s="1517" t="s">
        <v>3035</v>
      </c>
      <c r="C5" s="1517"/>
      <c r="D5" s="1519"/>
      <c r="E5" s="677" t="s">
        <v>2969</v>
      </c>
      <c r="F5" s="677"/>
      <c r="G5" s="1527" t="s">
        <v>3036</v>
      </c>
      <c r="H5" s="1528"/>
      <c r="I5" s="295"/>
      <c r="J5" s="295"/>
      <c r="K5" s="295"/>
      <c r="L5" s="295"/>
      <c r="M5" s="295"/>
      <c r="N5" s="295"/>
    </row>
    <row r="6" spans="1:14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26.25" customHeight="1">
      <c r="A7" s="677" t="s">
        <v>618</v>
      </c>
      <c r="B7" s="1478" t="s">
        <v>3037</v>
      </c>
      <c r="C7" s="1480"/>
      <c r="D7" s="1505" t="s">
        <v>2971</v>
      </c>
      <c r="E7" s="1505"/>
      <c r="F7" s="1527" t="s">
        <v>5765</v>
      </c>
      <c r="G7" s="1528"/>
      <c r="H7" s="295"/>
      <c r="I7" s="295"/>
      <c r="J7" s="295"/>
      <c r="K7" s="295"/>
      <c r="L7" s="295"/>
      <c r="M7" s="295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995" t="s">
        <v>3038</v>
      </c>
      <c r="C9" s="995"/>
      <c r="D9" s="80" t="s">
        <v>3039</v>
      </c>
      <c r="E9" s="80" t="s">
        <v>3040</v>
      </c>
      <c r="F9" s="716" t="s">
        <v>3041</v>
      </c>
      <c r="G9" s="80"/>
      <c r="H9" s="80"/>
      <c r="I9" s="80"/>
      <c r="J9" s="295"/>
      <c r="K9" s="295"/>
      <c r="L9" s="295"/>
      <c r="M9" s="295"/>
      <c r="N9" s="295"/>
    </row>
    <row r="10" spans="1:14" ht="26.25" customHeight="1">
      <c r="A10" s="677" t="s">
        <v>2974</v>
      </c>
      <c r="B10" s="80" t="s">
        <v>3042</v>
      </c>
      <c r="C10" s="995" t="s">
        <v>3043</v>
      </c>
      <c r="D10" s="995"/>
      <c r="E10" s="80" t="s">
        <v>3044</v>
      </c>
      <c r="F10" s="295"/>
      <c r="G10" s="295"/>
      <c r="H10" s="295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995" t="s">
        <v>3045</v>
      </c>
      <c r="C11" s="995"/>
      <c r="D11" s="995" t="s">
        <v>3046</v>
      </c>
      <c r="E11" s="995"/>
      <c r="F11" s="1479" t="s">
        <v>3047</v>
      </c>
      <c r="G11" s="995"/>
      <c r="H11" s="995" t="s">
        <v>3048</v>
      </c>
      <c r="I11" s="995"/>
      <c r="J11" s="1480" t="s">
        <v>3049</v>
      </c>
      <c r="K11" s="995"/>
      <c r="L11" s="295"/>
      <c r="M11" s="295"/>
      <c r="N11" s="295"/>
    </row>
    <row r="12" spans="1:14" ht="26.25" customHeight="1">
      <c r="A12" s="677" t="s">
        <v>2980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4</v>
      </c>
      <c r="C14" s="677" t="s">
        <v>2982</v>
      </c>
      <c r="D14" s="677"/>
      <c r="E14" s="317">
        <v>4</v>
      </c>
      <c r="F14" s="677" t="s">
        <v>1918</v>
      </c>
      <c r="G14" s="317">
        <v>12</v>
      </c>
      <c r="H14" s="677" t="s">
        <v>1492</v>
      </c>
      <c r="I14" s="317">
        <v>1</v>
      </c>
      <c r="J14" s="677" t="s">
        <v>1493</v>
      </c>
      <c r="K14" s="317">
        <v>2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116</v>
      </c>
      <c r="D16" s="677" t="s">
        <v>205</v>
      </c>
      <c r="E16" s="80">
        <v>0</v>
      </c>
      <c r="F16" s="677" t="s">
        <v>2983</v>
      </c>
      <c r="G16" s="80">
        <v>20</v>
      </c>
      <c r="H16" s="677" t="s">
        <v>245</v>
      </c>
      <c r="I16" s="80">
        <v>136</v>
      </c>
      <c r="J16" s="677" t="s">
        <v>207</v>
      </c>
      <c r="K16" s="80">
        <v>63</v>
      </c>
      <c r="L16" s="1529" t="s">
        <v>2984</v>
      </c>
      <c r="M16" s="1530"/>
      <c r="N16" s="80">
        <v>9</v>
      </c>
    </row>
    <row r="17" spans="1:14" ht="26.25" customHeight="1">
      <c r="A17" s="674" t="s">
        <v>209</v>
      </c>
      <c r="B17" s="677" t="s">
        <v>210</v>
      </c>
      <c r="C17" s="80">
        <v>259</v>
      </c>
      <c r="D17" s="677" t="s">
        <v>211</v>
      </c>
      <c r="E17" s="80">
        <v>0</v>
      </c>
      <c r="F17" s="677" t="s">
        <v>212</v>
      </c>
      <c r="G17" s="80">
        <v>54</v>
      </c>
      <c r="H17" s="677" t="s">
        <v>411</v>
      </c>
      <c r="I17" s="80">
        <v>313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245</v>
      </c>
      <c r="D18" s="677" t="s">
        <v>2986</v>
      </c>
      <c r="E18" s="80">
        <v>0</v>
      </c>
      <c r="F18" s="677" t="s">
        <v>2987</v>
      </c>
      <c r="G18" s="80">
        <v>48</v>
      </c>
      <c r="H18" s="677" t="s">
        <v>2988</v>
      </c>
      <c r="I18" s="80">
        <v>293</v>
      </c>
      <c r="J18" s="295"/>
      <c r="K18" s="295"/>
      <c r="L18" s="295"/>
      <c r="M18" s="295"/>
      <c r="N18" s="295"/>
    </row>
    <row r="19" spans="1:14" s="403" customFormat="1" ht="26.25" customHeight="1" thickBo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8" t="s">
        <v>217</v>
      </c>
      <c r="B20" s="1538" t="s">
        <v>218</v>
      </c>
      <c r="C20" s="1539" t="s">
        <v>219</v>
      </c>
      <c r="D20" s="1538" t="s">
        <v>1363</v>
      </c>
      <c r="E20" s="1538" t="s">
        <v>1713</v>
      </c>
      <c r="F20" s="1540" t="s">
        <v>2989</v>
      </c>
      <c r="G20" s="1540"/>
      <c r="H20" s="1540"/>
      <c r="I20" s="1540"/>
      <c r="J20" s="1540"/>
      <c r="K20" s="1540"/>
      <c r="L20" s="1540"/>
      <c r="M20" s="1540"/>
      <c r="N20" s="1541"/>
    </row>
    <row r="21" spans="1:14" ht="26.25" customHeight="1">
      <c r="A21" s="719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20" t="s">
        <v>231</v>
      </c>
    </row>
    <row r="22" spans="1:14" ht="26.25" customHeight="1">
      <c r="A22" s="721" t="s">
        <v>2990</v>
      </c>
      <c r="B22" s="80">
        <v>8000</v>
      </c>
      <c r="C22" s="317" t="s">
        <v>873</v>
      </c>
      <c r="D22" s="80">
        <v>40</v>
      </c>
      <c r="E22" s="300">
        <v>5.1208600000000004</v>
      </c>
      <c r="F22" s="699">
        <v>0</v>
      </c>
      <c r="G22" s="699">
        <v>0</v>
      </c>
      <c r="H22" s="699">
        <v>0</v>
      </c>
      <c r="I22" s="317"/>
      <c r="J22" s="317"/>
      <c r="K22" s="317"/>
      <c r="L22" s="317"/>
      <c r="M22" s="699">
        <f>F22+G22+H22</f>
        <v>0</v>
      </c>
      <c r="N22" s="722">
        <f>M22/E22*100</f>
        <v>0</v>
      </c>
    </row>
    <row r="23" spans="1:14" ht="26.25" customHeight="1">
      <c r="A23" s="721" t="s">
        <v>234</v>
      </c>
      <c r="B23" s="80">
        <v>7000</v>
      </c>
      <c r="C23" s="317" t="s">
        <v>873</v>
      </c>
      <c r="D23" s="8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723">
        <v>0</v>
      </c>
    </row>
    <row r="24" spans="1:14" ht="26.25" customHeight="1">
      <c r="A24" s="721" t="s">
        <v>2991</v>
      </c>
      <c r="B24" s="80">
        <v>43000</v>
      </c>
      <c r="C24" s="317" t="s">
        <v>236</v>
      </c>
      <c r="D24" s="8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723">
        <f t="shared" ref="N24:N29" si="1">M24/E24*100</f>
        <v>0</v>
      </c>
    </row>
    <row r="25" spans="1:14" ht="26.25" customHeight="1">
      <c r="A25" s="721" t="s">
        <v>2992</v>
      </c>
      <c r="B25" s="80">
        <v>37000</v>
      </c>
      <c r="C25" s="317" t="s">
        <v>236</v>
      </c>
      <c r="D25" s="8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723">
        <f t="shared" si="1"/>
        <v>0</v>
      </c>
    </row>
    <row r="26" spans="1:14" ht="26.25" customHeight="1">
      <c r="A26" s="721" t="s">
        <v>2993</v>
      </c>
      <c r="B26" s="80">
        <v>1200</v>
      </c>
      <c r="C26" s="317" t="s">
        <v>236</v>
      </c>
      <c r="D26" s="80">
        <v>6</v>
      </c>
      <c r="E26" s="300">
        <v>2</v>
      </c>
      <c r="F26" s="300">
        <v>0</v>
      </c>
      <c r="G26" s="699">
        <v>0</v>
      </c>
      <c r="H26" s="300">
        <v>1.36585</v>
      </c>
      <c r="I26" s="80"/>
      <c r="J26" s="80"/>
      <c r="K26" s="80"/>
      <c r="L26" s="80"/>
      <c r="M26" s="699">
        <f t="shared" si="0"/>
        <v>1.36585</v>
      </c>
      <c r="N26" s="724">
        <f t="shared" si="1"/>
        <v>68.292500000000004</v>
      </c>
    </row>
    <row r="27" spans="1:14" ht="26.25" customHeight="1">
      <c r="A27" s="721" t="s">
        <v>395</v>
      </c>
      <c r="B27" s="80">
        <v>565</v>
      </c>
      <c r="C27" s="317" t="s">
        <v>873</v>
      </c>
      <c r="D27" s="80">
        <v>2.83</v>
      </c>
      <c r="E27" s="300">
        <v>0.314</v>
      </c>
      <c r="F27" s="300">
        <v>0</v>
      </c>
      <c r="G27" s="699">
        <v>0</v>
      </c>
      <c r="H27" s="300">
        <v>0.15</v>
      </c>
      <c r="I27" s="80"/>
      <c r="J27" s="80"/>
      <c r="K27" s="80"/>
      <c r="L27" s="80"/>
      <c r="M27" s="699">
        <f t="shared" si="0"/>
        <v>0.15</v>
      </c>
      <c r="N27" s="724">
        <f t="shared" si="1"/>
        <v>47.770700636942678</v>
      </c>
    </row>
    <row r="28" spans="1:14" ht="26.25" customHeight="1">
      <c r="A28" s="721" t="s">
        <v>1503</v>
      </c>
      <c r="B28" s="80">
        <v>1000</v>
      </c>
      <c r="C28" s="317" t="s">
        <v>873</v>
      </c>
      <c r="D28" s="8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723">
        <v>0</v>
      </c>
    </row>
    <row r="29" spans="1:14" ht="26.25" customHeight="1">
      <c r="A29" s="721" t="s">
        <v>241</v>
      </c>
      <c r="B29" s="80">
        <v>2750</v>
      </c>
      <c r="C29" s="317" t="s">
        <v>2994</v>
      </c>
      <c r="D29" s="80">
        <v>2.31</v>
      </c>
      <c r="E29" s="300">
        <v>0.33</v>
      </c>
      <c r="F29" s="300">
        <v>0</v>
      </c>
      <c r="G29" s="699">
        <v>0</v>
      </c>
      <c r="H29" s="300">
        <v>0.14699999999999999</v>
      </c>
      <c r="I29" s="80"/>
      <c r="J29" s="80"/>
      <c r="K29" s="80"/>
      <c r="L29" s="80"/>
      <c r="M29" s="699">
        <f t="shared" si="0"/>
        <v>0.14699999999999999</v>
      </c>
      <c r="N29" s="724">
        <f t="shared" si="1"/>
        <v>44.545454545454547</v>
      </c>
    </row>
    <row r="30" spans="1:14" ht="26.25" customHeight="1">
      <c r="A30" s="721" t="s">
        <v>670</v>
      </c>
      <c r="B30" s="80">
        <v>10000</v>
      </c>
      <c r="C30" s="317" t="s">
        <v>2995</v>
      </c>
      <c r="D30" s="80">
        <v>0.1</v>
      </c>
      <c r="E30" s="300">
        <v>0</v>
      </c>
      <c r="F30" s="300">
        <v>0</v>
      </c>
      <c r="G30" s="699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723">
        <v>0</v>
      </c>
    </row>
    <row r="31" spans="1:14" ht="26.25" customHeight="1" thickBot="1">
      <c r="A31" s="725" t="s">
        <v>230</v>
      </c>
      <c r="B31" s="726">
        <f>SUM(B22:B30)</f>
        <v>110515</v>
      </c>
      <c r="C31" s="726"/>
      <c r="D31" s="726">
        <f>SUM(D22:D30)</f>
        <v>62.64</v>
      </c>
      <c r="E31" s="727">
        <f>SUM(E22:E30)</f>
        <v>8.1048600000000004</v>
      </c>
      <c r="F31" s="727">
        <f>SUM(F22:F30)</f>
        <v>0</v>
      </c>
      <c r="G31" s="727">
        <f t="shared" ref="G31:M31" si="2">SUM(G22:G30)</f>
        <v>0</v>
      </c>
      <c r="H31" s="727">
        <f t="shared" si="2"/>
        <v>1.6628499999999999</v>
      </c>
      <c r="I31" s="727">
        <f t="shared" si="2"/>
        <v>0</v>
      </c>
      <c r="J31" s="727">
        <f t="shared" si="2"/>
        <v>0</v>
      </c>
      <c r="K31" s="727">
        <f t="shared" si="2"/>
        <v>0</v>
      </c>
      <c r="L31" s="727">
        <f t="shared" si="2"/>
        <v>0</v>
      </c>
      <c r="M31" s="727">
        <f t="shared" si="2"/>
        <v>1.6628499999999999</v>
      </c>
      <c r="N31" s="728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6">
    <mergeCell ref="J11:K11"/>
    <mergeCell ref="L16:M16"/>
    <mergeCell ref="B20:B21"/>
    <mergeCell ref="C20:C21"/>
    <mergeCell ref="D20:D21"/>
    <mergeCell ref="E20:E21"/>
    <mergeCell ref="F20:N20"/>
    <mergeCell ref="H11:I11"/>
    <mergeCell ref="B9:C9"/>
    <mergeCell ref="C10:D10"/>
    <mergeCell ref="B11:C11"/>
    <mergeCell ref="D11:E11"/>
    <mergeCell ref="F11:G11"/>
    <mergeCell ref="A4:C4"/>
    <mergeCell ref="B5:D5"/>
    <mergeCell ref="G5:H5"/>
    <mergeCell ref="B7:C7"/>
    <mergeCell ref="D7:E7"/>
    <mergeCell ref="F7:G7"/>
    <mergeCell ref="A1:N1"/>
    <mergeCell ref="A2:N2"/>
    <mergeCell ref="B3:C3"/>
    <mergeCell ref="D3:E3"/>
    <mergeCell ref="F3:G3"/>
    <mergeCell ref="H3:I3"/>
    <mergeCell ref="K3:M3"/>
  </mergeCells>
  <hyperlinks>
    <hyperlink ref="A4" location="'Fact Sheet of VDC'!A1" display="&lt;&lt;Back"/>
  </hyperlinks>
  <pageMargins left="0.48" right="7.874015748031496E-2" top="0.52" bottom="0.74803149606299213" header="0.31496062992125984" footer="0.31496062992125984"/>
  <pageSetup scale="70" orientation="landscape" r:id="rId1"/>
</worksheet>
</file>

<file path=xl/worksheets/sheet296.xml><?xml version="1.0" encoding="utf-8"?>
<worksheet xmlns="http://schemas.openxmlformats.org/spreadsheetml/2006/main" xmlns:r="http://schemas.openxmlformats.org/officeDocument/2006/relationships">
  <dimension ref="A1:N38"/>
  <sheetViews>
    <sheetView workbookViewId="0">
      <selection activeCell="A4" sqref="A4:C4"/>
    </sheetView>
  </sheetViews>
  <sheetFormatPr defaultRowHeight="15"/>
  <cols>
    <col min="1" max="1" width="33.5703125" customWidth="1"/>
    <col min="2" max="2" width="14" customWidth="1"/>
    <col min="3" max="3" width="10.5703125" customWidth="1"/>
    <col min="4" max="4" width="15.140625" customWidth="1"/>
    <col min="5" max="5" width="16.7109375" customWidth="1"/>
    <col min="6" max="6" width="12.5703125" customWidth="1"/>
    <col min="8" max="8" width="10.5703125" customWidth="1"/>
    <col min="9" max="9" width="7.7109375" customWidth="1"/>
    <col min="10" max="10" width="8.42578125" customWidth="1"/>
    <col min="12" max="12" width="12.140625" customWidth="1"/>
    <col min="257" max="257" width="33.5703125" customWidth="1"/>
    <col min="258" max="258" width="14" customWidth="1"/>
    <col min="259" max="259" width="10.5703125" customWidth="1"/>
    <col min="260" max="260" width="15.140625" customWidth="1"/>
    <col min="261" max="261" width="16.7109375" customWidth="1"/>
    <col min="262" max="262" width="12.5703125" customWidth="1"/>
    <col min="264" max="264" width="10.5703125" customWidth="1"/>
    <col min="265" max="265" width="7.7109375" customWidth="1"/>
    <col min="266" max="266" width="8.42578125" customWidth="1"/>
    <col min="268" max="268" width="12.140625" customWidth="1"/>
    <col min="513" max="513" width="33.5703125" customWidth="1"/>
    <col min="514" max="514" width="14" customWidth="1"/>
    <col min="515" max="515" width="10.5703125" customWidth="1"/>
    <col min="516" max="516" width="15.140625" customWidth="1"/>
    <col min="517" max="517" width="16.7109375" customWidth="1"/>
    <col min="518" max="518" width="12.5703125" customWidth="1"/>
    <col min="520" max="520" width="10.5703125" customWidth="1"/>
    <col min="521" max="521" width="7.7109375" customWidth="1"/>
    <col min="522" max="522" width="8.42578125" customWidth="1"/>
    <col min="524" max="524" width="12.140625" customWidth="1"/>
    <col min="769" max="769" width="33.5703125" customWidth="1"/>
    <col min="770" max="770" width="14" customWidth="1"/>
    <col min="771" max="771" width="10.5703125" customWidth="1"/>
    <col min="772" max="772" width="15.140625" customWidth="1"/>
    <col min="773" max="773" width="16.7109375" customWidth="1"/>
    <col min="774" max="774" width="12.5703125" customWidth="1"/>
    <col min="776" max="776" width="10.5703125" customWidth="1"/>
    <col min="777" max="777" width="7.7109375" customWidth="1"/>
    <col min="778" max="778" width="8.42578125" customWidth="1"/>
    <col min="780" max="780" width="12.140625" customWidth="1"/>
    <col min="1025" max="1025" width="33.5703125" customWidth="1"/>
    <col min="1026" max="1026" width="14" customWidth="1"/>
    <col min="1027" max="1027" width="10.5703125" customWidth="1"/>
    <col min="1028" max="1028" width="15.140625" customWidth="1"/>
    <col min="1029" max="1029" width="16.7109375" customWidth="1"/>
    <col min="1030" max="1030" width="12.5703125" customWidth="1"/>
    <col min="1032" max="1032" width="10.5703125" customWidth="1"/>
    <col min="1033" max="1033" width="7.7109375" customWidth="1"/>
    <col min="1034" max="1034" width="8.42578125" customWidth="1"/>
    <col min="1036" max="1036" width="12.140625" customWidth="1"/>
    <col min="1281" max="1281" width="33.5703125" customWidth="1"/>
    <col min="1282" max="1282" width="14" customWidth="1"/>
    <col min="1283" max="1283" width="10.5703125" customWidth="1"/>
    <col min="1284" max="1284" width="15.140625" customWidth="1"/>
    <col min="1285" max="1285" width="16.7109375" customWidth="1"/>
    <col min="1286" max="1286" width="12.5703125" customWidth="1"/>
    <col min="1288" max="1288" width="10.5703125" customWidth="1"/>
    <col min="1289" max="1289" width="7.7109375" customWidth="1"/>
    <col min="1290" max="1290" width="8.42578125" customWidth="1"/>
    <col min="1292" max="1292" width="12.140625" customWidth="1"/>
    <col min="1537" max="1537" width="33.5703125" customWidth="1"/>
    <col min="1538" max="1538" width="14" customWidth="1"/>
    <col min="1539" max="1539" width="10.5703125" customWidth="1"/>
    <col min="1540" max="1540" width="15.140625" customWidth="1"/>
    <col min="1541" max="1541" width="16.7109375" customWidth="1"/>
    <col min="1542" max="1542" width="12.5703125" customWidth="1"/>
    <col min="1544" max="1544" width="10.5703125" customWidth="1"/>
    <col min="1545" max="1545" width="7.7109375" customWidth="1"/>
    <col min="1546" max="1546" width="8.42578125" customWidth="1"/>
    <col min="1548" max="1548" width="12.140625" customWidth="1"/>
    <col min="1793" max="1793" width="33.5703125" customWidth="1"/>
    <col min="1794" max="1794" width="14" customWidth="1"/>
    <col min="1795" max="1795" width="10.5703125" customWidth="1"/>
    <col min="1796" max="1796" width="15.140625" customWidth="1"/>
    <col min="1797" max="1797" width="16.7109375" customWidth="1"/>
    <col min="1798" max="1798" width="12.5703125" customWidth="1"/>
    <col min="1800" max="1800" width="10.5703125" customWidth="1"/>
    <col min="1801" max="1801" width="7.7109375" customWidth="1"/>
    <col min="1802" max="1802" width="8.42578125" customWidth="1"/>
    <col min="1804" max="1804" width="12.140625" customWidth="1"/>
    <col min="2049" max="2049" width="33.5703125" customWidth="1"/>
    <col min="2050" max="2050" width="14" customWidth="1"/>
    <col min="2051" max="2051" width="10.5703125" customWidth="1"/>
    <col min="2052" max="2052" width="15.140625" customWidth="1"/>
    <col min="2053" max="2053" width="16.7109375" customWidth="1"/>
    <col min="2054" max="2054" width="12.5703125" customWidth="1"/>
    <col min="2056" max="2056" width="10.5703125" customWidth="1"/>
    <col min="2057" max="2057" width="7.7109375" customWidth="1"/>
    <col min="2058" max="2058" width="8.42578125" customWidth="1"/>
    <col min="2060" max="2060" width="12.140625" customWidth="1"/>
    <col min="2305" max="2305" width="33.5703125" customWidth="1"/>
    <col min="2306" max="2306" width="14" customWidth="1"/>
    <col min="2307" max="2307" width="10.5703125" customWidth="1"/>
    <col min="2308" max="2308" width="15.140625" customWidth="1"/>
    <col min="2309" max="2309" width="16.7109375" customWidth="1"/>
    <col min="2310" max="2310" width="12.5703125" customWidth="1"/>
    <col min="2312" max="2312" width="10.5703125" customWidth="1"/>
    <col min="2313" max="2313" width="7.7109375" customWidth="1"/>
    <col min="2314" max="2314" width="8.42578125" customWidth="1"/>
    <col min="2316" max="2316" width="12.140625" customWidth="1"/>
    <col min="2561" max="2561" width="33.5703125" customWidth="1"/>
    <col min="2562" max="2562" width="14" customWidth="1"/>
    <col min="2563" max="2563" width="10.5703125" customWidth="1"/>
    <col min="2564" max="2564" width="15.140625" customWidth="1"/>
    <col min="2565" max="2565" width="16.7109375" customWidth="1"/>
    <col min="2566" max="2566" width="12.5703125" customWidth="1"/>
    <col min="2568" max="2568" width="10.5703125" customWidth="1"/>
    <col min="2569" max="2569" width="7.7109375" customWidth="1"/>
    <col min="2570" max="2570" width="8.42578125" customWidth="1"/>
    <col min="2572" max="2572" width="12.140625" customWidth="1"/>
    <col min="2817" max="2817" width="33.5703125" customWidth="1"/>
    <col min="2818" max="2818" width="14" customWidth="1"/>
    <col min="2819" max="2819" width="10.5703125" customWidth="1"/>
    <col min="2820" max="2820" width="15.140625" customWidth="1"/>
    <col min="2821" max="2821" width="16.7109375" customWidth="1"/>
    <col min="2822" max="2822" width="12.5703125" customWidth="1"/>
    <col min="2824" max="2824" width="10.5703125" customWidth="1"/>
    <col min="2825" max="2825" width="7.7109375" customWidth="1"/>
    <col min="2826" max="2826" width="8.42578125" customWidth="1"/>
    <col min="2828" max="2828" width="12.140625" customWidth="1"/>
    <col min="3073" max="3073" width="33.5703125" customWidth="1"/>
    <col min="3074" max="3074" width="14" customWidth="1"/>
    <col min="3075" max="3075" width="10.5703125" customWidth="1"/>
    <col min="3076" max="3076" width="15.140625" customWidth="1"/>
    <col min="3077" max="3077" width="16.7109375" customWidth="1"/>
    <col min="3078" max="3078" width="12.5703125" customWidth="1"/>
    <col min="3080" max="3080" width="10.5703125" customWidth="1"/>
    <col min="3081" max="3081" width="7.7109375" customWidth="1"/>
    <col min="3082" max="3082" width="8.42578125" customWidth="1"/>
    <col min="3084" max="3084" width="12.140625" customWidth="1"/>
    <col min="3329" max="3329" width="33.5703125" customWidth="1"/>
    <col min="3330" max="3330" width="14" customWidth="1"/>
    <col min="3331" max="3331" width="10.5703125" customWidth="1"/>
    <col min="3332" max="3332" width="15.140625" customWidth="1"/>
    <col min="3333" max="3333" width="16.7109375" customWidth="1"/>
    <col min="3334" max="3334" width="12.5703125" customWidth="1"/>
    <col min="3336" max="3336" width="10.5703125" customWidth="1"/>
    <col min="3337" max="3337" width="7.7109375" customWidth="1"/>
    <col min="3338" max="3338" width="8.42578125" customWidth="1"/>
    <col min="3340" max="3340" width="12.140625" customWidth="1"/>
    <col min="3585" max="3585" width="33.5703125" customWidth="1"/>
    <col min="3586" max="3586" width="14" customWidth="1"/>
    <col min="3587" max="3587" width="10.5703125" customWidth="1"/>
    <col min="3588" max="3588" width="15.140625" customWidth="1"/>
    <col min="3589" max="3589" width="16.7109375" customWidth="1"/>
    <col min="3590" max="3590" width="12.5703125" customWidth="1"/>
    <col min="3592" max="3592" width="10.5703125" customWidth="1"/>
    <col min="3593" max="3593" width="7.7109375" customWidth="1"/>
    <col min="3594" max="3594" width="8.42578125" customWidth="1"/>
    <col min="3596" max="3596" width="12.140625" customWidth="1"/>
    <col min="3841" max="3841" width="33.5703125" customWidth="1"/>
    <col min="3842" max="3842" width="14" customWidth="1"/>
    <col min="3843" max="3843" width="10.5703125" customWidth="1"/>
    <col min="3844" max="3844" width="15.140625" customWidth="1"/>
    <col min="3845" max="3845" width="16.7109375" customWidth="1"/>
    <col min="3846" max="3846" width="12.5703125" customWidth="1"/>
    <col min="3848" max="3848" width="10.5703125" customWidth="1"/>
    <col min="3849" max="3849" width="7.7109375" customWidth="1"/>
    <col min="3850" max="3850" width="8.42578125" customWidth="1"/>
    <col min="3852" max="3852" width="12.140625" customWidth="1"/>
    <col min="4097" max="4097" width="33.5703125" customWidth="1"/>
    <col min="4098" max="4098" width="14" customWidth="1"/>
    <col min="4099" max="4099" width="10.5703125" customWidth="1"/>
    <col min="4100" max="4100" width="15.140625" customWidth="1"/>
    <col min="4101" max="4101" width="16.7109375" customWidth="1"/>
    <col min="4102" max="4102" width="12.5703125" customWidth="1"/>
    <col min="4104" max="4104" width="10.5703125" customWidth="1"/>
    <col min="4105" max="4105" width="7.7109375" customWidth="1"/>
    <col min="4106" max="4106" width="8.42578125" customWidth="1"/>
    <col min="4108" max="4108" width="12.140625" customWidth="1"/>
    <col min="4353" max="4353" width="33.5703125" customWidth="1"/>
    <col min="4354" max="4354" width="14" customWidth="1"/>
    <col min="4355" max="4355" width="10.5703125" customWidth="1"/>
    <col min="4356" max="4356" width="15.140625" customWidth="1"/>
    <col min="4357" max="4357" width="16.7109375" customWidth="1"/>
    <col min="4358" max="4358" width="12.5703125" customWidth="1"/>
    <col min="4360" max="4360" width="10.5703125" customWidth="1"/>
    <col min="4361" max="4361" width="7.7109375" customWidth="1"/>
    <col min="4362" max="4362" width="8.42578125" customWidth="1"/>
    <col min="4364" max="4364" width="12.140625" customWidth="1"/>
    <col min="4609" max="4609" width="33.5703125" customWidth="1"/>
    <col min="4610" max="4610" width="14" customWidth="1"/>
    <col min="4611" max="4611" width="10.5703125" customWidth="1"/>
    <col min="4612" max="4612" width="15.140625" customWidth="1"/>
    <col min="4613" max="4613" width="16.7109375" customWidth="1"/>
    <col min="4614" max="4614" width="12.5703125" customWidth="1"/>
    <col min="4616" max="4616" width="10.5703125" customWidth="1"/>
    <col min="4617" max="4617" width="7.7109375" customWidth="1"/>
    <col min="4618" max="4618" width="8.42578125" customWidth="1"/>
    <col min="4620" max="4620" width="12.140625" customWidth="1"/>
    <col min="4865" max="4865" width="33.5703125" customWidth="1"/>
    <col min="4866" max="4866" width="14" customWidth="1"/>
    <col min="4867" max="4867" width="10.5703125" customWidth="1"/>
    <col min="4868" max="4868" width="15.140625" customWidth="1"/>
    <col min="4869" max="4869" width="16.7109375" customWidth="1"/>
    <col min="4870" max="4870" width="12.5703125" customWidth="1"/>
    <col min="4872" max="4872" width="10.5703125" customWidth="1"/>
    <col min="4873" max="4873" width="7.7109375" customWidth="1"/>
    <col min="4874" max="4874" width="8.42578125" customWidth="1"/>
    <col min="4876" max="4876" width="12.140625" customWidth="1"/>
    <col min="5121" max="5121" width="33.5703125" customWidth="1"/>
    <col min="5122" max="5122" width="14" customWidth="1"/>
    <col min="5123" max="5123" width="10.5703125" customWidth="1"/>
    <col min="5124" max="5124" width="15.140625" customWidth="1"/>
    <col min="5125" max="5125" width="16.7109375" customWidth="1"/>
    <col min="5126" max="5126" width="12.5703125" customWidth="1"/>
    <col min="5128" max="5128" width="10.5703125" customWidth="1"/>
    <col min="5129" max="5129" width="7.7109375" customWidth="1"/>
    <col min="5130" max="5130" width="8.42578125" customWidth="1"/>
    <col min="5132" max="5132" width="12.140625" customWidth="1"/>
    <col min="5377" max="5377" width="33.5703125" customWidth="1"/>
    <col min="5378" max="5378" width="14" customWidth="1"/>
    <col min="5379" max="5379" width="10.5703125" customWidth="1"/>
    <col min="5380" max="5380" width="15.140625" customWidth="1"/>
    <col min="5381" max="5381" width="16.7109375" customWidth="1"/>
    <col min="5382" max="5382" width="12.5703125" customWidth="1"/>
    <col min="5384" max="5384" width="10.5703125" customWidth="1"/>
    <col min="5385" max="5385" width="7.7109375" customWidth="1"/>
    <col min="5386" max="5386" width="8.42578125" customWidth="1"/>
    <col min="5388" max="5388" width="12.140625" customWidth="1"/>
    <col min="5633" max="5633" width="33.5703125" customWidth="1"/>
    <col min="5634" max="5634" width="14" customWidth="1"/>
    <col min="5635" max="5635" width="10.5703125" customWidth="1"/>
    <col min="5636" max="5636" width="15.140625" customWidth="1"/>
    <col min="5637" max="5637" width="16.7109375" customWidth="1"/>
    <col min="5638" max="5638" width="12.5703125" customWidth="1"/>
    <col min="5640" max="5640" width="10.5703125" customWidth="1"/>
    <col min="5641" max="5641" width="7.7109375" customWidth="1"/>
    <col min="5642" max="5642" width="8.42578125" customWidth="1"/>
    <col min="5644" max="5644" width="12.140625" customWidth="1"/>
    <col min="5889" max="5889" width="33.5703125" customWidth="1"/>
    <col min="5890" max="5890" width="14" customWidth="1"/>
    <col min="5891" max="5891" width="10.5703125" customWidth="1"/>
    <col min="5892" max="5892" width="15.140625" customWidth="1"/>
    <col min="5893" max="5893" width="16.7109375" customWidth="1"/>
    <col min="5894" max="5894" width="12.5703125" customWidth="1"/>
    <col min="5896" max="5896" width="10.5703125" customWidth="1"/>
    <col min="5897" max="5897" width="7.7109375" customWidth="1"/>
    <col min="5898" max="5898" width="8.42578125" customWidth="1"/>
    <col min="5900" max="5900" width="12.140625" customWidth="1"/>
    <col min="6145" max="6145" width="33.5703125" customWidth="1"/>
    <col min="6146" max="6146" width="14" customWidth="1"/>
    <col min="6147" max="6147" width="10.5703125" customWidth="1"/>
    <col min="6148" max="6148" width="15.140625" customWidth="1"/>
    <col min="6149" max="6149" width="16.7109375" customWidth="1"/>
    <col min="6150" max="6150" width="12.5703125" customWidth="1"/>
    <col min="6152" max="6152" width="10.5703125" customWidth="1"/>
    <col min="6153" max="6153" width="7.7109375" customWidth="1"/>
    <col min="6154" max="6154" width="8.42578125" customWidth="1"/>
    <col min="6156" max="6156" width="12.140625" customWidth="1"/>
    <col min="6401" max="6401" width="33.5703125" customWidth="1"/>
    <col min="6402" max="6402" width="14" customWidth="1"/>
    <col min="6403" max="6403" width="10.5703125" customWidth="1"/>
    <col min="6404" max="6404" width="15.140625" customWidth="1"/>
    <col min="6405" max="6405" width="16.7109375" customWidth="1"/>
    <col min="6406" max="6406" width="12.5703125" customWidth="1"/>
    <col min="6408" max="6408" width="10.5703125" customWidth="1"/>
    <col min="6409" max="6409" width="7.7109375" customWidth="1"/>
    <col min="6410" max="6410" width="8.42578125" customWidth="1"/>
    <col min="6412" max="6412" width="12.140625" customWidth="1"/>
    <col min="6657" max="6657" width="33.5703125" customWidth="1"/>
    <col min="6658" max="6658" width="14" customWidth="1"/>
    <col min="6659" max="6659" width="10.5703125" customWidth="1"/>
    <col min="6660" max="6660" width="15.140625" customWidth="1"/>
    <col min="6661" max="6661" width="16.7109375" customWidth="1"/>
    <col min="6662" max="6662" width="12.5703125" customWidth="1"/>
    <col min="6664" max="6664" width="10.5703125" customWidth="1"/>
    <col min="6665" max="6665" width="7.7109375" customWidth="1"/>
    <col min="6666" max="6666" width="8.42578125" customWidth="1"/>
    <col min="6668" max="6668" width="12.140625" customWidth="1"/>
    <col min="6913" max="6913" width="33.5703125" customWidth="1"/>
    <col min="6914" max="6914" width="14" customWidth="1"/>
    <col min="6915" max="6915" width="10.5703125" customWidth="1"/>
    <col min="6916" max="6916" width="15.140625" customWidth="1"/>
    <col min="6917" max="6917" width="16.7109375" customWidth="1"/>
    <col min="6918" max="6918" width="12.5703125" customWidth="1"/>
    <col min="6920" max="6920" width="10.5703125" customWidth="1"/>
    <col min="6921" max="6921" width="7.7109375" customWidth="1"/>
    <col min="6922" max="6922" width="8.42578125" customWidth="1"/>
    <col min="6924" max="6924" width="12.140625" customWidth="1"/>
    <col min="7169" max="7169" width="33.5703125" customWidth="1"/>
    <col min="7170" max="7170" width="14" customWidth="1"/>
    <col min="7171" max="7171" width="10.5703125" customWidth="1"/>
    <col min="7172" max="7172" width="15.140625" customWidth="1"/>
    <col min="7173" max="7173" width="16.7109375" customWidth="1"/>
    <col min="7174" max="7174" width="12.5703125" customWidth="1"/>
    <col min="7176" max="7176" width="10.5703125" customWidth="1"/>
    <col min="7177" max="7177" width="7.7109375" customWidth="1"/>
    <col min="7178" max="7178" width="8.42578125" customWidth="1"/>
    <col min="7180" max="7180" width="12.140625" customWidth="1"/>
    <col min="7425" max="7425" width="33.5703125" customWidth="1"/>
    <col min="7426" max="7426" width="14" customWidth="1"/>
    <col min="7427" max="7427" width="10.5703125" customWidth="1"/>
    <col min="7428" max="7428" width="15.140625" customWidth="1"/>
    <col min="7429" max="7429" width="16.7109375" customWidth="1"/>
    <col min="7430" max="7430" width="12.5703125" customWidth="1"/>
    <col min="7432" max="7432" width="10.5703125" customWidth="1"/>
    <col min="7433" max="7433" width="7.7109375" customWidth="1"/>
    <col min="7434" max="7434" width="8.42578125" customWidth="1"/>
    <col min="7436" max="7436" width="12.140625" customWidth="1"/>
    <col min="7681" max="7681" width="33.5703125" customWidth="1"/>
    <col min="7682" max="7682" width="14" customWidth="1"/>
    <col min="7683" max="7683" width="10.5703125" customWidth="1"/>
    <col min="7684" max="7684" width="15.140625" customWidth="1"/>
    <col min="7685" max="7685" width="16.7109375" customWidth="1"/>
    <col min="7686" max="7686" width="12.5703125" customWidth="1"/>
    <col min="7688" max="7688" width="10.5703125" customWidth="1"/>
    <col min="7689" max="7689" width="7.7109375" customWidth="1"/>
    <col min="7690" max="7690" width="8.42578125" customWidth="1"/>
    <col min="7692" max="7692" width="12.140625" customWidth="1"/>
    <col min="7937" max="7937" width="33.5703125" customWidth="1"/>
    <col min="7938" max="7938" width="14" customWidth="1"/>
    <col min="7939" max="7939" width="10.5703125" customWidth="1"/>
    <col min="7940" max="7940" width="15.140625" customWidth="1"/>
    <col min="7941" max="7941" width="16.7109375" customWidth="1"/>
    <col min="7942" max="7942" width="12.5703125" customWidth="1"/>
    <col min="7944" max="7944" width="10.5703125" customWidth="1"/>
    <col min="7945" max="7945" width="7.7109375" customWidth="1"/>
    <col min="7946" max="7946" width="8.42578125" customWidth="1"/>
    <col min="7948" max="7948" width="12.140625" customWidth="1"/>
    <col min="8193" max="8193" width="33.5703125" customWidth="1"/>
    <col min="8194" max="8194" width="14" customWidth="1"/>
    <col min="8195" max="8195" width="10.5703125" customWidth="1"/>
    <col min="8196" max="8196" width="15.140625" customWidth="1"/>
    <col min="8197" max="8197" width="16.7109375" customWidth="1"/>
    <col min="8198" max="8198" width="12.5703125" customWidth="1"/>
    <col min="8200" max="8200" width="10.5703125" customWidth="1"/>
    <col min="8201" max="8201" width="7.7109375" customWidth="1"/>
    <col min="8202" max="8202" width="8.42578125" customWidth="1"/>
    <col min="8204" max="8204" width="12.140625" customWidth="1"/>
    <col min="8449" max="8449" width="33.5703125" customWidth="1"/>
    <col min="8450" max="8450" width="14" customWidth="1"/>
    <col min="8451" max="8451" width="10.5703125" customWidth="1"/>
    <col min="8452" max="8452" width="15.140625" customWidth="1"/>
    <col min="8453" max="8453" width="16.7109375" customWidth="1"/>
    <col min="8454" max="8454" width="12.5703125" customWidth="1"/>
    <col min="8456" max="8456" width="10.5703125" customWidth="1"/>
    <col min="8457" max="8457" width="7.7109375" customWidth="1"/>
    <col min="8458" max="8458" width="8.42578125" customWidth="1"/>
    <col min="8460" max="8460" width="12.140625" customWidth="1"/>
    <col min="8705" max="8705" width="33.5703125" customWidth="1"/>
    <col min="8706" max="8706" width="14" customWidth="1"/>
    <col min="8707" max="8707" width="10.5703125" customWidth="1"/>
    <col min="8708" max="8708" width="15.140625" customWidth="1"/>
    <col min="8709" max="8709" width="16.7109375" customWidth="1"/>
    <col min="8710" max="8710" width="12.5703125" customWidth="1"/>
    <col min="8712" max="8712" width="10.5703125" customWidth="1"/>
    <col min="8713" max="8713" width="7.7109375" customWidth="1"/>
    <col min="8714" max="8714" width="8.42578125" customWidth="1"/>
    <col min="8716" max="8716" width="12.140625" customWidth="1"/>
    <col min="8961" max="8961" width="33.5703125" customWidth="1"/>
    <col min="8962" max="8962" width="14" customWidth="1"/>
    <col min="8963" max="8963" width="10.5703125" customWidth="1"/>
    <col min="8964" max="8964" width="15.140625" customWidth="1"/>
    <col min="8965" max="8965" width="16.7109375" customWidth="1"/>
    <col min="8966" max="8966" width="12.5703125" customWidth="1"/>
    <col min="8968" max="8968" width="10.5703125" customWidth="1"/>
    <col min="8969" max="8969" width="7.7109375" customWidth="1"/>
    <col min="8970" max="8970" width="8.42578125" customWidth="1"/>
    <col min="8972" max="8972" width="12.140625" customWidth="1"/>
    <col min="9217" max="9217" width="33.5703125" customWidth="1"/>
    <col min="9218" max="9218" width="14" customWidth="1"/>
    <col min="9219" max="9219" width="10.5703125" customWidth="1"/>
    <col min="9220" max="9220" width="15.140625" customWidth="1"/>
    <col min="9221" max="9221" width="16.7109375" customWidth="1"/>
    <col min="9222" max="9222" width="12.5703125" customWidth="1"/>
    <col min="9224" max="9224" width="10.5703125" customWidth="1"/>
    <col min="9225" max="9225" width="7.7109375" customWidth="1"/>
    <col min="9226" max="9226" width="8.42578125" customWidth="1"/>
    <col min="9228" max="9228" width="12.140625" customWidth="1"/>
    <col min="9473" max="9473" width="33.5703125" customWidth="1"/>
    <col min="9474" max="9474" width="14" customWidth="1"/>
    <col min="9475" max="9475" width="10.5703125" customWidth="1"/>
    <col min="9476" max="9476" width="15.140625" customWidth="1"/>
    <col min="9477" max="9477" width="16.7109375" customWidth="1"/>
    <col min="9478" max="9478" width="12.5703125" customWidth="1"/>
    <col min="9480" max="9480" width="10.5703125" customWidth="1"/>
    <col min="9481" max="9481" width="7.7109375" customWidth="1"/>
    <col min="9482" max="9482" width="8.42578125" customWidth="1"/>
    <col min="9484" max="9484" width="12.140625" customWidth="1"/>
    <col min="9729" max="9729" width="33.5703125" customWidth="1"/>
    <col min="9730" max="9730" width="14" customWidth="1"/>
    <col min="9731" max="9731" width="10.5703125" customWidth="1"/>
    <col min="9732" max="9732" width="15.140625" customWidth="1"/>
    <col min="9733" max="9733" width="16.7109375" customWidth="1"/>
    <col min="9734" max="9734" width="12.5703125" customWidth="1"/>
    <col min="9736" max="9736" width="10.5703125" customWidth="1"/>
    <col min="9737" max="9737" width="7.7109375" customWidth="1"/>
    <col min="9738" max="9738" width="8.42578125" customWidth="1"/>
    <col min="9740" max="9740" width="12.140625" customWidth="1"/>
    <col min="9985" max="9985" width="33.5703125" customWidth="1"/>
    <col min="9986" max="9986" width="14" customWidth="1"/>
    <col min="9987" max="9987" width="10.5703125" customWidth="1"/>
    <col min="9988" max="9988" width="15.140625" customWidth="1"/>
    <col min="9989" max="9989" width="16.7109375" customWidth="1"/>
    <col min="9990" max="9990" width="12.5703125" customWidth="1"/>
    <col min="9992" max="9992" width="10.5703125" customWidth="1"/>
    <col min="9993" max="9993" width="7.7109375" customWidth="1"/>
    <col min="9994" max="9994" width="8.42578125" customWidth="1"/>
    <col min="9996" max="9996" width="12.140625" customWidth="1"/>
    <col min="10241" max="10241" width="33.5703125" customWidth="1"/>
    <col min="10242" max="10242" width="14" customWidth="1"/>
    <col min="10243" max="10243" width="10.5703125" customWidth="1"/>
    <col min="10244" max="10244" width="15.140625" customWidth="1"/>
    <col min="10245" max="10245" width="16.7109375" customWidth="1"/>
    <col min="10246" max="10246" width="12.5703125" customWidth="1"/>
    <col min="10248" max="10248" width="10.5703125" customWidth="1"/>
    <col min="10249" max="10249" width="7.7109375" customWidth="1"/>
    <col min="10250" max="10250" width="8.42578125" customWidth="1"/>
    <col min="10252" max="10252" width="12.140625" customWidth="1"/>
    <col min="10497" max="10497" width="33.5703125" customWidth="1"/>
    <col min="10498" max="10498" width="14" customWidth="1"/>
    <col min="10499" max="10499" width="10.5703125" customWidth="1"/>
    <col min="10500" max="10500" width="15.140625" customWidth="1"/>
    <col min="10501" max="10501" width="16.7109375" customWidth="1"/>
    <col min="10502" max="10502" width="12.5703125" customWidth="1"/>
    <col min="10504" max="10504" width="10.5703125" customWidth="1"/>
    <col min="10505" max="10505" width="7.7109375" customWidth="1"/>
    <col min="10506" max="10506" width="8.42578125" customWidth="1"/>
    <col min="10508" max="10508" width="12.140625" customWidth="1"/>
    <col min="10753" max="10753" width="33.5703125" customWidth="1"/>
    <col min="10754" max="10754" width="14" customWidth="1"/>
    <col min="10755" max="10755" width="10.5703125" customWidth="1"/>
    <col min="10756" max="10756" width="15.140625" customWidth="1"/>
    <col min="10757" max="10757" width="16.7109375" customWidth="1"/>
    <col min="10758" max="10758" width="12.5703125" customWidth="1"/>
    <col min="10760" max="10760" width="10.5703125" customWidth="1"/>
    <col min="10761" max="10761" width="7.7109375" customWidth="1"/>
    <col min="10762" max="10762" width="8.42578125" customWidth="1"/>
    <col min="10764" max="10764" width="12.140625" customWidth="1"/>
    <col min="11009" max="11009" width="33.5703125" customWidth="1"/>
    <col min="11010" max="11010" width="14" customWidth="1"/>
    <col min="11011" max="11011" width="10.5703125" customWidth="1"/>
    <col min="11012" max="11012" width="15.140625" customWidth="1"/>
    <col min="11013" max="11013" width="16.7109375" customWidth="1"/>
    <col min="11014" max="11014" width="12.5703125" customWidth="1"/>
    <col min="11016" max="11016" width="10.5703125" customWidth="1"/>
    <col min="11017" max="11017" width="7.7109375" customWidth="1"/>
    <col min="11018" max="11018" width="8.42578125" customWidth="1"/>
    <col min="11020" max="11020" width="12.140625" customWidth="1"/>
    <col min="11265" max="11265" width="33.5703125" customWidth="1"/>
    <col min="11266" max="11266" width="14" customWidth="1"/>
    <col min="11267" max="11267" width="10.5703125" customWidth="1"/>
    <col min="11268" max="11268" width="15.140625" customWidth="1"/>
    <col min="11269" max="11269" width="16.7109375" customWidth="1"/>
    <col min="11270" max="11270" width="12.5703125" customWidth="1"/>
    <col min="11272" max="11272" width="10.5703125" customWidth="1"/>
    <col min="11273" max="11273" width="7.7109375" customWidth="1"/>
    <col min="11274" max="11274" width="8.42578125" customWidth="1"/>
    <col min="11276" max="11276" width="12.140625" customWidth="1"/>
    <col min="11521" max="11521" width="33.5703125" customWidth="1"/>
    <col min="11522" max="11522" width="14" customWidth="1"/>
    <col min="11523" max="11523" width="10.5703125" customWidth="1"/>
    <col min="11524" max="11524" width="15.140625" customWidth="1"/>
    <col min="11525" max="11525" width="16.7109375" customWidth="1"/>
    <col min="11526" max="11526" width="12.5703125" customWidth="1"/>
    <col min="11528" max="11528" width="10.5703125" customWidth="1"/>
    <col min="11529" max="11529" width="7.7109375" customWidth="1"/>
    <col min="11530" max="11530" width="8.42578125" customWidth="1"/>
    <col min="11532" max="11532" width="12.140625" customWidth="1"/>
    <col min="11777" max="11777" width="33.5703125" customWidth="1"/>
    <col min="11778" max="11778" width="14" customWidth="1"/>
    <col min="11779" max="11779" width="10.5703125" customWidth="1"/>
    <col min="11780" max="11780" width="15.140625" customWidth="1"/>
    <col min="11781" max="11781" width="16.7109375" customWidth="1"/>
    <col min="11782" max="11782" width="12.5703125" customWidth="1"/>
    <col min="11784" max="11784" width="10.5703125" customWidth="1"/>
    <col min="11785" max="11785" width="7.7109375" customWidth="1"/>
    <col min="11786" max="11786" width="8.42578125" customWidth="1"/>
    <col min="11788" max="11788" width="12.140625" customWidth="1"/>
    <col min="12033" max="12033" width="33.5703125" customWidth="1"/>
    <col min="12034" max="12034" width="14" customWidth="1"/>
    <col min="12035" max="12035" width="10.5703125" customWidth="1"/>
    <col min="12036" max="12036" width="15.140625" customWidth="1"/>
    <col min="12037" max="12037" width="16.7109375" customWidth="1"/>
    <col min="12038" max="12038" width="12.5703125" customWidth="1"/>
    <col min="12040" max="12040" width="10.5703125" customWidth="1"/>
    <col min="12041" max="12041" width="7.7109375" customWidth="1"/>
    <col min="12042" max="12042" width="8.42578125" customWidth="1"/>
    <col min="12044" max="12044" width="12.140625" customWidth="1"/>
    <col min="12289" max="12289" width="33.5703125" customWidth="1"/>
    <col min="12290" max="12290" width="14" customWidth="1"/>
    <col min="12291" max="12291" width="10.5703125" customWidth="1"/>
    <col min="12292" max="12292" width="15.140625" customWidth="1"/>
    <col min="12293" max="12293" width="16.7109375" customWidth="1"/>
    <col min="12294" max="12294" width="12.5703125" customWidth="1"/>
    <col min="12296" max="12296" width="10.5703125" customWidth="1"/>
    <col min="12297" max="12297" width="7.7109375" customWidth="1"/>
    <col min="12298" max="12298" width="8.42578125" customWidth="1"/>
    <col min="12300" max="12300" width="12.140625" customWidth="1"/>
    <col min="12545" max="12545" width="33.5703125" customWidth="1"/>
    <col min="12546" max="12546" width="14" customWidth="1"/>
    <col min="12547" max="12547" width="10.5703125" customWidth="1"/>
    <col min="12548" max="12548" width="15.140625" customWidth="1"/>
    <col min="12549" max="12549" width="16.7109375" customWidth="1"/>
    <col min="12550" max="12550" width="12.5703125" customWidth="1"/>
    <col min="12552" max="12552" width="10.5703125" customWidth="1"/>
    <col min="12553" max="12553" width="7.7109375" customWidth="1"/>
    <col min="12554" max="12554" width="8.42578125" customWidth="1"/>
    <col min="12556" max="12556" width="12.140625" customWidth="1"/>
    <col min="12801" max="12801" width="33.5703125" customWidth="1"/>
    <col min="12802" max="12802" width="14" customWidth="1"/>
    <col min="12803" max="12803" width="10.5703125" customWidth="1"/>
    <col min="12804" max="12804" width="15.140625" customWidth="1"/>
    <col min="12805" max="12805" width="16.7109375" customWidth="1"/>
    <col min="12806" max="12806" width="12.5703125" customWidth="1"/>
    <col min="12808" max="12808" width="10.5703125" customWidth="1"/>
    <col min="12809" max="12809" width="7.7109375" customWidth="1"/>
    <col min="12810" max="12810" width="8.42578125" customWidth="1"/>
    <col min="12812" max="12812" width="12.140625" customWidth="1"/>
    <col min="13057" max="13057" width="33.5703125" customWidth="1"/>
    <col min="13058" max="13058" width="14" customWidth="1"/>
    <col min="13059" max="13059" width="10.5703125" customWidth="1"/>
    <col min="13060" max="13060" width="15.140625" customWidth="1"/>
    <col min="13061" max="13061" width="16.7109375" customWidth="1"/>
    <col min="13062" max="13062" width="12.5703125" customWidth="1"/>
    <col min="13064" max="13064" width="10.5703125" customWidth="1"/>
    <col min="13065" max="13065" width="7.7109375" customWidth="1"/>
    <col min="13066" max="13066" width="8.42578125" customWidth="1"/>
    <col min="13068" max="13068" width="12.140625" customWidth="1"/>
    <col min="13313" max="13313" width="33.5703125" customWidth="1"/>
    <col min="13314" max="13314" width="14" customWidth="1"/>
    <col min="13315" max="13315" width="10.5703125" customWidth="1"/>
    <col min="13316" max="13316" width="15.140625" customWidth="1"/>
    <col min="13317" max="13317" width="16.7109375" customWidth="1"/>
    <col min="13318" max="13318" width="12.5703125" customWidth="1"/>
    <col min="13320" max="13320" width="10.5703125" customWidth="1"/>
    <col min="13321" max="13321" width="7.7109375" customWidth="1"/>
    <col min="13322" max="13322" width="8.42578125" customWidth="1"/>
    <col min="13324" max="13324" width="12.140625" customWidth="1"/>
    <col min="13569" max="13569" width="33.5703125" customWidth="1"/>
    <col min="13570" max="13570" width="14" customWidth="1"/>
    <col min="13571" max="13571" width="10.5703125" customWidth="1"/>
    <col min="13572" max="13572" width="15.140625" customWidth="1"/>
    <col min="13573" max="13573" width="16.7109375" customWidth="1"/>
    <col min="13574" max="13574" width="12.5703125" customWidth="1"/>
    <col min="13576" max="13576" width="10.5703125" customWidth="1"/>
    <col min="13577" max="13577" width="7.7109375" customWidth="1"/>
    <col min="13578" max="13578" width="8.42578125" customWidth="1"/>
    <col min="13580" max="13580" width="12.140625" customWidth="1"/>
    <col min="13825" max="13825" width="33.5703125" customWidth="1"/>
    <col min="13826" max="13826" width="14" customWidth="1"/>
    <col min="13827" max="13827" width="10.5703125" customWidth="1"/>
    <col min="13828" max="13828" width="15.140625" customWidth="1"/>
    <col min="13829" max="13829" width="16.7109375" customWidth="1"/>
    <col min="13830" max="13830" width="12.5703125" customWidth="1"/>
    <col min="13832" max="13832" width="10.5703125" customWidth="1"/>
    <col min="13833" max="13833" width="7.7109375" customWidth="1"/>
    <col min="13834" max="13834" width="8.42578125" customWidth="1"/>
    <col min="13836" max="13836" width="12.140625" customWidth="1"/>
    <col min="14081" max="14081" width="33.5703125" customWidth="1"/>
    <col min="14082" max="14082" width="14" customWidth="1"/>
    <col min="14083" max="14083" width="10.5703125" customWidth="1"/>
    <col min="14084" max="14084" width="15.140625" customWidth="1"/>
    <col min="14085" max="14085" width="16.7109375" customWidth="1"/>
    <col min="14086" max="14086" width="12.5703125" customWidth="1"/>
    <col min="14088" max="14088" width="10.5703125" customWidth="1"/>
    <col min="14089" max="14089" width="7.7109375" customWidth="1"/>
    <col min="14090" max="14090" width="8.42578125" customWidth="1"/>
    <col min="14092" max="14092" width="12.140625" customWidth="1"/>
    <col min="14337" max="14337" width="33.5703125" customWidth="1"/>
    <col min="14338" max="14338" width="14" customWidth="1"/>
    <col min="14339" max="14339" width="10.5703125" customWidth="1"/>
    <col min="14340" max="14340" width="15.140625" customWidth="1"/>
    <col min="14341" max="14341" width="16.7109375" customWidth="1"/>
    <col min="14342" max="14342" width="12.5703125" customWidth="1"/>
    <col min="14344" max="14344" width="10.5703125" customWidth="1"/>
    <col min="14345" max="14345" width="7.7109375" customWidth="1"/>
    <col min="14346" max="14346" width="8.42578125" customWidth="1"/>
    <col min="14348" max="14348" width="12.140625" customWidth="1"/>
    <col min="14593" max="14593" width="33.5703125" customWidth="1"/>
    <col min="14594" max="14594" width="14" customWidth="1"/>
    <col min="14595" max="14595" width="10.5703125" customWidth="1"/>
    <col min="14596" max="14596" width="15.140625" customWidth="1"/>
    <col min="14597" max="14597" width="16.7109375" customWidth="1"/>
    <col min="14598" max="14598" width="12.5703125" customWidth="1"/>
    <col min="14600" max="14600" width="10.5703125" customWidth="1"/>
    <col min="14601" max="14601" width="7.7109375" customWidth="1"/>
    <col min="14602" max="14602" width="8.42578125" customWidth="1"/>
    <col min="14604" max="14604" width="12.140625" customWidth="1"/>
    <col min="14849" max="14849" width="33.5703125" customWidth="1"/>
    <col min="14850" max="14850" width="14" customWidth="1"/>
    <col min="14851" max="14851" width="10.5703125" customWidth="1"/>
    <col min="14852" max="14852" width="15.140625" customWidth="1"/>
    <col min="14853" max="14853" width="16.7109375" customWidth="1"/>
    <col min="14854" max="14854" width="12.5703125" customWidth="1"/>
    <col min="14856" max="14856" width="10.5703125" customWidth="1"/>
    <col min="14857" max="14857" width="7.7109375" customWidth="1"/>
    <col min="14858" max="14858" width="8.42578125" customWidth="1"/>
    <col min="14860" max="14860" width="12.140625" customWidth="1"/>
    <col min="15105" max="15105" width="33.5703125" customWidth="1"/>
    <col min="15106" max="15106" width="14" customWidth="1"/>
    <col min="15107" max="15107" width="10.5703125" customWidth="1"/>
    <col min="15108" max="15108" width="15.140625" customWidth="1"/>
    <col min="15109" max="15109" width="16.7109375" customWidth="1"/>
    <col min="15110" max="15110" width="12.5703125" customWidth="1"/>
    <col min="15112" max="15112" width="10.5703125" customWidth="1"/>
    <col min="15113" max="15113" width="7.7109375" customWidth="1"/>
    <col min="15114" max="15114" width="8.42578125" customWidth="1"/>
    <col min="15116" max="15116" width="12.140625" customWidth="1"/>
    <col min="15361" max="15361" width="33.5703125" customWidth="1"/>
    <col min="15362" max="15362" width="14" customWidth="1"/>
    <col min="15363" max="15363" width="10.5703125" customWidth="1"/>
    <col min="15364" max="15364" width="15.140625" customWidth="1"/>
    <col min="15365" max="15365" width="16.7109375" customWidth="1"/>
    <col min="15366" max="15366" width="12.5703125" customWidth="1"/>
    <col min="15368" max="15368" width="10.5703125" customWidth="1"/>
    <col min="15369" max="15369" width="7.7109375" customWidth="1"/>
    <col min="15370" max="15370" width="8.42578125" customWidth="1"/>
    <col min="15372" max="15372" width="12.140625" customWidth="1"/>
    <col min="15617" max="15617" width="33.5703125" customWidth="1"/>
    <col min="15618" max="15618" width="14" customWidth="1"/>
    <col min="15619" max="15619" width="10.5703125" customWidth="1"/>
    <col min="15620" max="15620" width="15.140625" customWidth="1"/>
    <col min="15621" max="15621" width="16.7109375" customWidth="1"/>
    <col min="15622" max="15622" width="12.5703125" customWidth="1"/>
    <col min="15624" max="15624" width="10.5703125" customWidth="1"/>
    <col min="15625" max="15625" width="7.7109375" customWidth="1"/>
    <col min="15626" max="15626" width="8.42578125" customWidth="1"/>
    <col min="15628" max="15628" width="12.140625" customWidth="1"/>
    <col min="15873" max="15873" width="33.5703125" customWidth="1"/>
    <col min="15874" max="15874" width="14" customWidth="1"/>
    <col min="15875" max="15875" width="10.5703125" customWidth="1"/>
    <col min="15876" max="15876" width="15.140625" customWidth="1"/>
    <col min="15877" max="15877" width="16.7109375" customWidth="1"/>
    <col min="15878" max="15878" width="12.5703125" customWidth="1"/>
    <col min="15880" max="15880" width="10.5703125" customWidth="1"/>
    <col min="15881" max="15881" width="7.7109375" customWidth="1"/>
    <col min="15882" max="15882" width="8.42578125" customWidth="1"/>
    <col min="15884" max="15884" width="12.140625" customWidth="1"/>
    <col min="16129" max="16129" width="33.5703125" customWidth="1"/>
    <col min="16130" max="16130" width="14" customWidth="1"/>
    <col min="16131" max="16131" width="10.5703125" customWidth="1"/>
    <col min="16132" max="16132" width="15.140625" customWidth="1"/>
    <col min="16133" max="16133" width="16.7109375" customWidth="1"/>
    <col min="16134" max="16134" width="12.5703125" customWidth="1"/>
    <col min="16136" max="16136" width="10.5703125" customWidth="1"/>
    <col min="16137" max="16137" width="7.7109375" customWidth="1"/>
    <col min="16138" max="16138" width="8.42578125" customWidth="1"/>
    <col min="16140" max="16140" width="12.140625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315" t="s">
        <v>5766</v>
      </c>
      <c r="C3" s="1492" t="s">
        <v>2966</v>
      </c>
      <c r="D3" s="1492"/>
      <c r="E3" s="729">
        <v>405010401140101</v>
      </c>
      <c r="F3" s="1492" t="s">
        <v>5</v>
      </c>
      <c r="G3" s="1492"/>
      <c r="H3" s="317" t="s">
        <v>3050</v>
      </c>
      <c r="I3" s="1492" t="s">
        <v>436</v>
      </c>
      <c r="J3" s="1492"/>
      <c r="K3" s="1492"/>
      <c r="L3" s="317">
        <v>0</v>
      </c>
      <c r="M3" s="712"/>
      <c r="N3" s="295"/>
    </row>
    <row r="4" spans="1:14">
      <c r="A4" s="1521" t="s">
        <v>4176</v>
      </c>
      <c r="B4" s="1521"/>
      <c r="C4" s="1521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</row>
    <row r="5" spans="1:14" ht="26.25" customHeight="1">
      <c r="A5" s="677" t="s">
        <v>2967</v>
      </c>
      <c r="B5" s="995" t="s">
        <v>3051</v>
      </c>
      <c r="C5" s="995"/>
      <c r="D5" s="1492" t="s">
        <v>2969</v>
      </c>
      <c r="E5" s="1492"/>
      <c r="F5" s="1522" t="s">
        <v>3052</v>
      </c>
      <c r="G5" s="1522"/>
      <c r="H5" s="295"/>
      <c r="I5" s="295"/>
      <c r="J5" s="295"/>
      <c r="K5" s="295"/>
      <c r="L5" s="295"/>
      <c r="M5" s="295"/>
      <c r="N5" s="295"/>
    </row>
    <row r="6" spans="1:14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26.25" customHeight="1">
      <c r="A7" s="677" t="s">
        <v>618</v>
      </c>
      <c r="B7" s="995" t="s">
        <v>3053</v>
      </c>
      <c r="C7" s="995"/>
      <c r="D7" s="1505" t="s">
        <v>2971</v>
      </c>
      <c r="E7" s="1505"/>
      <c r="F7" s="1527" t="s">
        <v>3054</v>
      </c>
      <c r="G7" s="1528"/>
      <c r="H7" s="295"/>
      <c r="I7" s="295"/>
      <c r="J7" s="295"/>
      <c r="K7" s="295"/>
      <c r="L7" s="295"/>
      <c r="M7" s="295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80" t="s">
        <v>3055</v>
      </c>
      <c r="C9" s="295"/>
      <c r="D9" s="295"/>
      <c r="E9" s="295"/>
      <c r="F9" s="295"/>
      <c r="G9" s="80"/>
      <c r="H9" s="80"/>
      <c r="I9" s="80"/>
      <c r="J9" s="295"/>
      <c r="K9" s="295"/>
      <c r="L9" s="295"/>
      <c r="M9" s="295"/>
      <c r="N9" s="295"/>
    </row>
    <row r="10" spans="1:14" ht="26.25" customHeight="1">
      <c r="A10" s="677" t="s">
        <v>2974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80" t="s">
        <v>3056</v>
      </c>
      <c r="C11" s="995" t="s">
        <v>3057</v>
      </c>
      <c r="D11" s="995"/>
      <c r="E11" s="995" t="s">
        <v>3058</v>
      </c>
      <c r="F11" s="1478"/>
      <c r="G11" s="995" t="s">
        <v>3059</v>
      </c>
      <c r="H11" s="995"/>
      <c r="I11" s="995" t="s">
        <v>3060</v>
      </c>
      <c r="J11" s="1480"/>
      <c r="K11" s="995"/>
      <c r="L11" s="295"/>
      <c r="M11" s="295"/>
      <c r="N11" s="295"/>
    </row>
    <row r="12" spans="1:14" ht="26.25" customHeight="1">
      <c r="A12" s="677" t="s">
        <v>2980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1</v>
      </c>
      <c r="C14" s="677" t="s">
        <v>2982</v>
      </c>
      <c r="D14" s="677"/>
      <c r="E14" s="317">
        <v>0</v>
      </c>
      <c r="F14" s="677" t="s">
        <v>1918</v>
      </c>
      <c r="G14" s="317">
        <v>5</v>
      </c>
      <c r="H14" s="677" t="s">
        <v>1492</v>
      </c>
      <c r="I14" s="317">
        <v>1</v>
      </c>
      <c r="J14" s="677" t="s">
        <v>1493</v>
      </c>
      <c r="K14" s="317">
        <v>2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53</v>
      </c>
      <c r="D16" s="677" t="s">
        <v>205</v>
      </c>
      <c r="E16" s="80">
        <v>0</v>
      </c>
      <c r="F16" s="677" t="s">
        <v>2983</v>
      </c>
      <c r="G16" s="80">
        <v>0</v>
      </c>
      <c r="H16" s="677" t="s">
        <v>245</v>
      </c>
      <c r="I16" s="80">
        <v>53</v>
      </c>
      <c r="J16" s="677" t="s">
        <v>207</v>
      </c>
      <c r="K16" s="80">
        <v>6</v>
      </c>
      <c r="L16" s="1505" t="s">
        <v>2984</v>
      </c>
      <c r="M16" s="1505"/>
      <c r="N16" s="80">
        <v>2</v>
      </c>
    </row>
    <row r="17" spans="1:14" ht="26.25" customHeight="1">
      <c r="A17" s="674" t="s">
        <v>209</v>
      </c>
      <c r="B17" s="677" t="s">
        <v>210</v>
      </c>
      <c r="C17" s="80">
        <v>135</v>
      </c>
      <c r="D17" s="677" t="s">
        <v>211</v>
      </c>
      <c r="E17" s="80">
        <v>0</v>
      </c>
      <c r="F17" s="677" t="s">
        <v>212</v>
      </c>
      <c r="G17" s="80">
        <v>0</v>
      </c>
      <c r="H17" s="677" t="s">
        <v>411</v>
      </c>
      <c r="I17" s="80">
        <v>135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131</v>
      </c>
      <c r="D18" s="677" t="s">
        <v>2986</v>
      </c>
      <c r="E18" s="80">
        <v>0</v>
      </c>
      <c r="F18" s="677" t="s">
        <v>2987</v>
      </c>
      <c r="G18" s="80">
        <v>0</v>
      </c>
      <c r="H18" s="677" t="s">
        <v>2988</v>
      </c>
      <c r="I18" s="80">
        <v>131</v>
      </c>
      <c r="J18" s="295"/>
      <c r="K18" s="295"/>
      <c r="L18" s="295"/>
      <c r="M18" s="295"/>
      <c r="N18" s="295"/>
    </row>
    <row r="19" spans="1:14" s="403" customFormat="1" ht="26.25" customHeight="1" thickBo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8" t="s">
        <v>217</v>
      </c>
      <c r="B20" s="1538" t="s">
        <v>218</v>
      </c>
      <c r="C20" s="1539" t="s">
        <v>219</v>
      </c>
      <c r="D20" s="1538" t="s">
        <v>1363</v>
      </c>
      <c r="E20" s="1538" t="s">
        <v>1713</v>
      </c>
      <c r="F20" s="1540" t="s">
        <v>2989</v>
      </c>
      <c r="G20" s="1540"/>
      <c r="H20" s="1540"/>
      <c r="I20" s="1540"/>
      <c r="J20" s="1540"/>
      <c r="K20" s="1540"/>
      <c r="L20" s="1540"/>
      <c r="M20" s="1540"/>
      <c r="N20" s="1541"/>
    </row>
    <row r="21" spans="1:14" ht="26.25" customHeight="1">
      <c r="A21" s="719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20" t="s">
        <v>231</v>
      </c>
    </row>
    <row r="22" spans="1:14" ht="26.25" customHeight="1">
      <c r="A22" s="721" t="s">
        <v>2990</v>
      </c>
      <c r="B22" s="80">
        <v>8000</v>
      </c>
      <c r="C22" s="317" t="s">
        <v>873</v>
      </c>
      <c r="D22" s="300">
        <v>40</v>
      </c>
      <c r="E22" s="300">
        <v>4.8213800000000004</v>
      </c>
      <c r="F22" s="699">
        <v>0</v>
      </c>
      <c r="G22" s="699">
        <v>0</v>
      </c>
      <c r="H22" s="699">
        <v>0.74</v>
      </c>
      <c r="I22" s="317"/>
      <c r="J22" s="317"/>
      <c r="K22" s="317"/>
      <c r="L22" s="317"/>
      <c r="M22" s="699">
        <f>F22+G22+H22</f>
        <v>0.74</v>
      </c>
      <c r="N22" s="730">
        <f>M22/E22*100</f>
        <v>15.348302768087144</v>
      </c>
    </row>
    <row r="23" spans="1:14" ht="26.25" customHeight="1">
      <c r="A23" s="721" t="s">
        <v>234</v>
      </c>
      <c r="B23" s="80">
        <v>7000</v>
      </c>
      <c r="C23" s="317" t="s">
        <v>873</v>
      </c>
      <c r="D23" s="30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731">
        <v>0</v>
      </c>
    </row>
    <row r="24" spans="1:14" ht="26.25" customHeight="1">
      <c r="A24" s="721" t="s">
        <v>2991</v>
      </c>
      <c r="B24" s="80">
        <v>43000</v>
      </c>
      <c r="C24" s="317" t="s">
        <v>236</v>
      </c>
      <c r="D24" s="30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731">
        <f t="shared" ref="N24:N29" si="1">M24/E24*100</f>
        <v>0</v>
      </c>
    </row>
    <row r="25" spans="1:14" ht="26.25" customHeight="1">
      <c r="A25" s="721" t="s">
        <v>2992</v>
      </c>
      <c r="B25" s="80">
        <v>37000</v>
      </c>
      <c r="C25" s="317" t="s">
        <v>236</v>
      </c>
      <c r="D25" s="30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731">
        <f t="shared" si="1"/>
        <v>0</v>
      </c>
    </row>
    <row r="26" spans="1:14" ht="26.25" customHeight="1">
      <c r="A26" s="721" t="s">
        <v>2993</v>
      </c>
      <c r="B26" s="80">
        <v>1200</v>
      </c>
      <c r="C26" s="317" t="s">
        <v>236</v>
      </c>
      <c r="D26" s="300">
        <v>6</v>
      </c>
      <c r="E26" s="300">
        <v>2</v>
      </c>
      <c r="F26" s="300">
        <v>0</v>
      </c>
      <c r="G26" s="699">
        <v>0</v>
      </c>
      <c r="H26" s="300">
        <v>1.4375</v>
      </c>
      <c r="I26" s="80"/>
      <c r="J26" s="80"/>
      <c r="K26" s="80"/>
      <c r="L26" s="80"/>
      <c r="M26" s="699">
        <f t="shared" si="0"/>
        <v>1.4375</v>
      </c>
      <c r="N26" s="731">
        <f t="shared" si="1"/>
        <v>71.875</v>
      </c>
    </row>
    <row r="27" spans="1:14" ht="26.25" customHeight="1">
      <c r="A27" s="721" t="s">
        <v>395</v>
      </c>
      <c r="B27" s="80">
        <v>565</v>
      </c>
      <c r="C27" s="317" t="s">
        <v>873</v>
      </c>
      <c r="D27" s="300">
        <v>2.83</v>
      </c>
      <c r="E27" s="300">
        <v>0.54700000000000004</v>
      </c>
      <c r="F27" s="300">
        <v>0</v>
      </c>
      <c r="G27" s="699">
        <v>0</v>
      </c>
      <c r="H27" s="300">
        <v>0.25</v>
      </c>
      <c r="I27" s="80"/>
      <c r="J27" s="80"/>
      <c r="K27" s="80"/>
      <c r="L27" s="80"/>
      <c r="M27" s="699">
        <f t="shared" si="0"/>
        <v>0.25</v>
      </c>
      <c r="N27" s="731">
        <f t="shared" si="1"/>
        <v>45.703839122486286</v>
      </c>
    </row>
    <row r="28" spans="1:14" ht="26.25" customHeight="1">
      <c r="A28" s="721" t="s">
        <v>1503</v>
      </c>
      <c r="B28" s="80">
        <v>1000</v>
      </c>
      <c r="C28" s="317" t="s">
        <v>873</v>
      </c>
      <c r="D28" s="30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731">
        <v>0</v>
      </c>
    </row>
    <row r="29" spans="1:14" ht="26.25" customHeight="1">
      <c r="A29" s="721" t="s">
        <v>241</v>
      </c>
      <c r="B29" s="80">
        <v>2750</v>
      </c>
      <c r="C29" s="317" t="s">
        <v>2994</v>
      </c>
      <c r="D29" s="300">
        <v>2.31</v>
      </c>
      <c r="E29" s="300">
        <v>0.33</v>
      </c>
      <c r="F29" s="300">
        <v>0</v>
      </c>
      <c r="G29" s="699">
        <v>0</v>
      </c>
      <c r="H29" s="300">
        <v>0.16500000000000001</v>
      </c>
      <c r="I29" s="80"/>
      <c r="J29" s="80"/>
      <c r="K29" s="80"/>
      <c r="L29" s="80"/>
      <c r="M29" s="699">
        <f t="shared" si="0"/>
        <v>0.16500000000000001</v>
      </c>
      <c r="N29" s="731">
        <f t="shared" si="1"/>
        <v>50</v>
      </c>
    </row>
    <row r="30" spans="1:14" ht="26.25" customHeight="1">
      <c r="A30" s="721" t="s">
        <v>670</v>
      </c>
      <c r="B30" s="80">
        <v>10000</v>
      </c>
      <c r="C30" s="317" t="s">
        <v>3061</v>
      </c>
      <c r="D30" s="300">
        <v>0.1</v>
      </c>
      <c r="E30" s="300">
        <v>0</v>
      </c>
      <c r="F30" s="300">
        <v>0</v>
      </c>
      <c r="G30" s="300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731">
        <v>0</v>
      </c>
    </row>
    <row r="31" spans="1:14" ht="26.25" customHeight="1" thickBot="1">
      <c r="A31" s="725" t="s">
        <v>230</v>
      </c>
      <c r="B31" s="726">
        <f>SUM(B22:B30)</f>
        <v>110515</v>
      </c>
      <c r="C31" s="726"/>
      <c r="D31" s="727">
        <f>SUM(D22:D30)</f>
        <v>62.64</v>
      </c>
      <c r="E31" s="727">
        <f>SUM(E22:E30)</f>
        <v>8.0383800000000001</v>
      </c>
      <c r="F31" s="727">
        <f>SUM(F22:F30)</f>
        <v>0</v>
      </c>
      <c r="G31" s="727">
        <f t="shared" ref="G31:M31" si="2">SUM(G22:G30)</f>
        <v>0</v>
      </c>
      <c r="H31" s="727">
        <f t="shared" si="2"/>
        <v>2.5925000000000002</v>
      </c>
      <c r="I31" s="727">
        <f t="shared" si="2"/>
        <v>0</v>
      </c>
      <c r="J31" s="727">
        <f t="shared" si="2"/>
        <v>0</v>
      </c>
      <c r="K31" s="727">
        <f t="shared" si="2"/>
        <v>0</v>
      </c>
      <c r="L31" s="727">
        <f t="shared" si="2"/>
        <v>0</v>
      </c>
      <c r="M31" s="727">
        <f t="shared" si="2"/>
        <v>2.5925000000000002</v>
      </c>
      <c r="N31" s="728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2">
    <mergeCell ref="C11:D11"/>
    <mergeCell ref="E11:F11"/>
    <mergeCell ref="G11:H11"/>
    <mergeCell ref="I11:K11"/>
    <mergeCell ref="L16:M16"/>
    <mergeCell ref="B20:B21"/>
    <mergeCell ref="C20:C21"/>
    <mergeCell ref="D20:D21"/>
    <mergeCell ref="E20:E21"/>
    <mergeCell ref="F20:N20"/>
    <mergeCell ref="B5:C5"/>
    <mergeCell ref="D5:E5"/>
    <mergeCell ref="F5:G5"/>
    <mergeCell ref="B7:C7"/>
    <mergeCell ref="D7:E7"/>
    <mergeCell ref="F7:G7"/>
    <mergeCell ref="A4:C4"/>
    <mergeCell ref="A1:N1"/>
    <mergeCell ref="A2:N2"/>
    <mergeCell ref="C3:D3"/>
    <mergeCell ref="F3:G3"/>
    <mergeCell ref="I3:K3"/>
  </mergeCells>
  <hyperlinks>
    <hyperlink ref="A4" location="'Fact Sheet of VDC'!A1" display="&lt;&lt;Back"/>
  </hyperlinks>
  <pageMargins left="0.27559055118110237" right="0.11811023622047245" top="0.45" bottom="0.43" header="0.31496062992125984" footer="0.31496062992125984"/>
  <pageSetup scale="75" orientation="landscape" r:id="rId1"/>
</worksheet>
</file>

<file path=xl/worksheets/sheet297.xml><?xml version="1.0" encoding="utf-8"?>
<worksheet xmlns="http://schemas.openxmlformats.org/spreadsheetml/2006/main" xmlns:r="http://schemas.openxmlformats.org/officeDocument/2006/relationships">
  <dimension ref="A1:N38"/>
  <sheetViews>
    <sheetView workbookViewId="0">
      <selection activeCell="A4" sqref="A4:C4"/>
    </sheetView>
  </sheetViews>
  <sheetFormatPr defaultRowHeight="15"/>
  <cols>
    <col min="1" max="1" width="33.28515625" customWidth="1"/>
    <col min="2" max="2" width="14.7109375" customWidth="1"/>
    <col min="3" max="3" width="13.28515625" customWidth="1"/>
    <col min="4" max="4" width="15.140625" customWidth="1"/>
    <col min="5" max="5" width="17.28515625" customWidth="1"/>
    <col min="6" max="6" width="13.7109375" customWidth="1"/>
    <col min="7" max="7" width="8.5703125" bestFit="1" customWidth="1"/>
    <col min="8" max="8" width="11.5703125" customWidth="1"/>
    <col min="9" max="9" width="6.85546875" customWidth="1"/>
    <col min="11" max="11" width="6.28515625" customWidth="1"/>
    <col min="12" max="12" width="11.5703125" customWidth="1"/>
    <col min="14" max="14" width="9.5703125" bestFit="1" customWidth="1"/>
    <col min="257" max="257" width="33.28515625" customWidth="1"/>
    <col min="258" max="258" width="14.7109375" customWidth="1"/>
    <col min="259" max="259" width="13.28515625" customWidth="1"/>
    <col min="260" max="260" width="15.140625" customWidth="1"/>
    <col min="261" max="261" width="17.28515625" customWidth="1"/>
    <col min="262" max="262" width="13.7109375" customWidth="1"/>
    <col min="263" max="263" width="8.5703125" bestFit="1" customWidth="1"/>
    <col min="264" max="264" width="11.5703125" customWidth="1"/>
    <col min="265" max="265" width="6.85546875" customWidth="1"/>
    <col min="267" max="267" width="6.28515625" customWidth="1"/>
    <col min="268" max="268" width="11.5703125" customWidth="1"/>
    <col min="270" max="270" width="9.5703125" bestFit="1" customWidth="1"/>
    <col min="513" max="513" width="33.28515625" customWidth="1"/>
    <col min="514" max="514" width="14.7109375" customWidth="1"/>
    <col min="515" max="515" width="13.28515625" customWidth="1"/>
    <col min="516" max="516" width="15.140625" customWidth="1"/>
    <col min="517" max="517" width="17.28515625" customWidth="1"/>
    <col min="518" max="518" width="13.7109375" customWidth="1"/>
    <col min="519" max="519" width="8.5703125" bestFit="1" customWidth="1"/>
    <col min="520" max="520" width="11.5703125" customWidth="1"/>
    <col min="521" max="521" width="6.85546875" customWidth="1"/>
    <col min="523" max="523" width="6.28515625" customWidth="1"/>
    <col min="524" max="524" width="11.5703125" customWidth="1"/>
    <col min="526" max="526" width="9.5703125" bestFit="1" customWidth="1"/>
    <col min="769" max="769" width="33.28515625" customWidth="1"/>
    <col min="770" max="770" width="14.7109375" customWidth="1"/>
    <col min="771" max="771" width="13.28515625" customWidth="1"/>
    <col min="772" max="772" width="15.140625" customWidth="1"/>
    <col min="773" max="773" width="17.28515625" customWidth="1"/>
    <col min="774" max="774" width="13.7109375" customWidth="1"/>
    <col min="775" max="775" width="8.5703125" bestFit="1" customWidth="1"/>
    <col min="776" max="776" width="11.5703125" customWidth="1"/>
    <col min="777" max="777" width="6.85546875" customWidth="1"/>
    <col min="779" max="779" width="6.28515625" customWidth="1"/>
    <col min="780" max="780" width="11.5703125" customWidth="1"/>
    <col min="782" max="782" width="9.5703125" bestFit="1" customWidth="1"/>
    <col min="1025" max="1025" width="33.28515625" customWidth="1"/>
    <col min="1026" max="1026" width="14.7109375" customWidth="1"/>
    <col min="1027" max="1027" width="13.28515625" customWidth="1"/>
    <col min="1028" max="1028" width="15.140625" customWidth="1"/>
    <col min="1029" max="1029" width="17.28515625" customWidth="1"/>
    <col min="1030" max="1030" width="13.7109375" customWidth="1"/>
    <col min="1031" max="1031" width="8.5703125" bestFit="1" customWidth="1"/>
    <col min="1032" max="1032" width="11.5703125" customWidth="1"/>
    <col min="1033" max="1033" width="6.85546875" customWidth="1"/>
    <col min="1035" max="1035" width="6.28515625" customWidth="1"/>
    <col min="1036" max="1036" width="11.5703125" customWidth="1"/>
    <col min="1038" max="1038" width="9.5703125" bestFit="1" customWidth="1"/>
    <col min="1281" max="1281" width="33.28515625" customWidth="1"/>
    <col min="1282" max="1282" width="14.7109375" customWidth="1"/>
    <col min="1283" max="1283" width="13.28515625" customWidth="1"/>
    <col min="1284" max="1284" width="15.140625" customWidth="1"/>
    <col min="1285" max="1285" width="17.28515625" customWidth="1"/>
    <col min="1286" max="1286" width="13.7109375" customWidth="1"/>
    <col min="1287" max="1287" width="8.5703125" bestFit="1" customWidth="1"/>
    <col min="1288" max="1288" width="11.5703125" customWidth="1"/>
    <col min="1289" max="1289" width="6.85546875" customWidth="1"/>
    <col min="1291" max="1291" width="6.28515625" customWidth="1"/>
    <col min="1292" max="1292" width="11.5703125" customWidth="1"/>
    <col min="1294" max="1294" width="9.5703125" bestFit="1" customWidth="1"/>
    <col min="1537" max="1537" width="33.28515625" customWidth="1"/>
    <col min="1538" max="1538" width="14.7109375" customWidth="1"/>
    <col min="1539" max="1539" width="13.28515625" customWidth="1"/>
    <col min="1540" max="1540" width="15.140625" customWidth="1"/>
    <col min="1541" max="1541" width="17.28515625" customWidth="1"/>
    <col min="1542" max="1542" width="13.7109375" customWidth="1"/>
    <col min="1543" max="1543" width="8.5703125" bestFit="1" customWidth="1"/>
    <col min="1544" max="1544" width="11.5703125" customWidth="1"/>
    <col min="1545" max="1545" width="6.85546875" customWidth="1"/>
    <col min="1547" max="1547" width="6.28515625" customWidth="1"/>
    <col min="1548" max="1548" width="11.5703125" customWidth="1"/>
    <col min="1550" max="1550" width="9.5703125" bestFit="1" customWidth="1"/>
    <col min="1793" max="1793" width="33.28515625" customWidth="1"/>
    <col min="1794" max="1794" width="14.7109375" customWidth="1"/>
    <col min="1795" max="1795" width="13.28515625" customWidth="1"/>
    <col min="1796" max="1796" width="15.140625" customWidth="1"/>
    <col min="1797" max="1797" width="17.28515625" customWidth="1"/>
    <col min="1798" max="1798" width="13.7109375" customWidth="1"/>
    <col min="1799" max="1799" width="8.5703125" bestFit="1" customWidth="1"/>
    <col min="1800" max="1800" width="11.5703125" customWidth="1"/>
    <col min="1801" max="1801" width="6.85546875" customWidth="1"/>
    <col min="1803" max="1803" width="6.28515625" customWidth="1"/>
    <col min="1804" max="1804" width="11.5703125" customWidth="1"/>
    <col min="1806" max="1806" width="9.5703125" bestFit="1" customWidth="1"/>
    <col min="2049" max="2049" width="33.28515625" customWidth="1"/>
    <col min="2050" max="2050" width="14.7109375" customWidth="1"/>
    <col min="2051" max="2051" width="13.28515625" customWidth="1"/>
    <col min="2052" max="2052" width="15.140625" customWidth="1"/>
    <col min="2053" max="2053" width="17.28515625" customWidth="1"/>
    <col min="2054" max="2054" width="13.7109375" customWidth="1"/>
    <col min="2055" max="2055" width="8.5703125" bestFit="1" customWidth="1"/>
    <col min="2056" max="2056" width="11.5703125" customWidth="1"/>
    <col min="2057" max="2057" width="6.85546875" customWidth="1"/>
    <col min="2059" max="2059" width="6.28515625" customWidth="1"/>
    <col min="2060" max="2060" width="11.5703125" customWidth="1"/>
    <col min="2062" max="2062" width="9.5703125" bestFit="1" customWidth="1"/>
    <col min="2305" max="2305" width="33.28515625" customWidth="1"/>
    <col min="2306" max="2306" width="14.7109375" customWidth="1"/>
    <col min="2307" max="2307" width="13.28515625" customWidth="1"/>
    <col min="2308" max="2308" width="15.140625" customWidth="1"/>
    <col min="2309" max="2309" width="17.28515625" customWidth="1"/>
    <col min="2310" max="2310" width="13.7109375" customWidth="1"/>
    <col min="2311" max="2311" width="8.5703125" bestFit="1" customWidth="1"/>
    <col min="2312" max="2312" width="11.5703125" customWidth="1"/>
    <col min="2313" max="2313" width="6.85546875" customWidth="1"/>
    <col min="2315" max="2315" width="6.28515625" customWidth="1"/>
    <col min="2316" max="2316" width="11.5703125" customWidth="1"/>
    <col min="2318" max="2318" width="9.5703125" bestFit="1" customWidth="1"/>
    <col min="2561" max="2561" width="33.28515625" customWidth="1"/>
    <col min="2562" max="2562" width="14.7109375" customWidth="1"/>
    <col min="2563" max="2563" width="13.28515625" customWidth="1"/>
    <col min="2564" max="2564" width="15.140625" customWidth="1"/>
    <col min="2565" max="2565" width="17.28515625" customWidth="1"/>
    <col min="2566" max="2566" width="13.7109375" customWidth="1"/>
    <col min="2567" max="2567" width="8.5703125" bestFit="1" customWidth="1"/>
    <col min="2568" max="2568" width="11.5703125" customWidth="1"/>
    <col min="2569" max="2569" width="6.85546875" customWidth="1"/>
    <col min="2571" max="2571" width="6.28515625" customWidth="1"/>
    <col min="2572" max="2572" width="11.5703125" customWidth="1"/>
    <col min="2574" max="2574" width="9.5703125" bestFit="1" customWidth="1"/>
    <col min="2817" max="2817" width="33.28515625" customWidth="1"/>
    <col min="2818" max="2818" width="14.7109375" customWidth="1"/>
    <col min="2819" max="2819" width="13.28515625" customWidth="1"/>
    <col min="2820" max="2820" width="15.140625" customWidth="1"/>
    <col min="2821" max="2821" width="17.28515625" customWidth="1"/>
    <col min="2822" max="2822" width="13.7109375" customWidth="1"/>
    <col min="2823" max="2823" width="8.5703125" bestFit="1" customWidth="1"/>
    <col min="2824" max="2824" width="11.5703125" customWidth="1"/>
    <col min="2825" max="2825" width="6.85546875" customWidth="1"/>
    <col min="2827" max="2827" width="6.28515625" customWidth="1"/>
    <col min="2828" max="2828" width="11.5703125" customWidth="1"/>
    <col min="2830" max="2830" width="9.5703125" bestFit="1" customWidth="1"/>
    <col min="3073" max="3073" width="33.28515625" customWidth="1"/>
    <col min="3074" max="3074" width="14.7109375" customWidth="1"/>
    <col min="3075" max="3075" width="13.28515625" customWidth="1"/>
    <col min="3076" max="3076" width="15.140625" customWidth="1"/>
    <col min="3077" max="3077" width="17.28515625" customWidth="1"/>
    <col min="3078" max="3078" width="13.7109375" customWidth="1"/>
    <col min="3079" max="3079" width="8.5703125" bestFit="1" customWidth="1"/>
    <col min="3080" max="3080" width="11.5703125" customWidth="1"/>
    <col min="3081" max="3081" width="6.85546875" customWidth="1"/>
    <col min="3083" max="3083" width="6.28515625" customWidth="1"/>
    <col min="3084" max="3084" width="11.5703125" customWidth="1"/>
    <col min="3086" max="3086" width="9.5703125" bestFit="1" customWidth="1"/>
    <col min="3329" max="3329" width="33.28515625" customWidth="1"/>
    <col min="3330" max="3330" width="14.7109375" customWidth="1"/>
    <col min="3331" max="3331" width="13.28515625" customWidth="1"/>
    <col min="3332" max="3332" width="15.140625" customWidth="1"/>
    <col min="3333" max="3333" width="17.28515625" customWidth="1"/>
    <col min="3334" max="3334" width="13.7109375" customWidth="1"/>
    <col min="3335" max="3335" width="8.5703125" bestFit="1" customWidth="1"/>
    <col min="3336" max="3336" width="11.5703125" customWidth="1"/>
    <col min="3337" max="3337" width="6.85546875" customWidth="1"/>
    <col min="3339" max="3339" width="6.28515625" customWidth="1"/>
    <col min="3340" max="3340" width="11.5703125" customWidth="1"/>
    <col min="3342" max="3342" width="9.5703125" bestFit="1" customWidth="1"/>
    <col min="3585" max="3585" width="33.28515625" customWidth="1"/>
    <col min="3586" max="3586" width="14.7109375" customWidth="1"/>
    <col min="3587" max="3587" width="13.28515625" customWidth="1"/>
    <col min="3588" max="3588" width="15.140625" customWidth="1"/>
    <col min="3589" max="3589" width="17.28515625" customWidth="1"/>
    <col min="3590" max="3590" width="13.7109375" customWidth="1"/>
    <col min="3591" max="3591" width="8.5703125" bestFit="1" customWidth="1"/>
    <col min="3592" max="3592" width="11.5703125" customWidth="1"/>
    <col min="3593" max="3593" width="6.85546875" customWidth="1"/>
    <col min="3595" max="3595" width="6.28515625" customWidth="1"/>
    <col min="3596" max="3596" width="11.5703125" customWidth="1"/>
    <col min="3598" max="3598" width="9.5703125" bestFit="1" customWidth="1"/>
    <col min="3841" max="3841" width="33.28515625" customWidth="1"/>
    <col min="3842" max="3842" width="14.7109375" customWidth="1"/>
    <col min="3843" max="3843" width="13.28515625" customWidth="1"/>
    <col min="3844" max="3844" width="15.140625" customWidth="1"/>
    <col min="3845" max="3845" width="17.28515625" customWidth="1"/>
    <col min="3846" max="3846" width="13.7109375" customWidth="1"/>
    <col min="3847" max="3847" width="8.5703125" bestFit="1" customWidth="1"/>
    <col min="3848" max="3848" width="11.5703125" customWidth="1"/>
    <col min="3849" max="3849" width="6.85546875" customWidth="1"/>
    <col min="3851" max="3851" width="6.28515625" customWidth="1"/>
    <col min="3852" max="3852" width="11.5703125" customWidth="1"/>
    <col min="3854" max="3854" width="9.5703125" bestFit="1" customWidth="1"/>
    <col min="4097" max="4097" width="33.28515625" customWidth="1"/>
    <col min="4098" max="4098" width="14.7109375" customWidth="1"/>
    <col min="4099" max="4099" width="13.28515625" customWidth="1"/>
    <col min="4100" max="4100" width="15.140625" customWidth="1"/>
    <col min="4101" max="4101" width="17.28515625" customWidth="1"/>
    <col min="4102" max="4102" width="13.7109375" customWidth="1"/>
    <col min="4103" max="4103" width="8.5703125" bestFit="1" customWidth="1"/>
    <col min="4104" max="4104" width="11.5703125" customWidth="1"/>
    <col min="4105" max="4105" width="6.85546875" customWidth="1"/>
    <col min="4107" max="4107" width="6.28515625" customWidth="1"/>
    <col min="4108" max="4108" width="11.5703125" customWidth="1"/>
    <col min="4110" max="4110" width="9.5703125" bestFit="1" customWidth="1"/>
    <col min="4353" max="4353" width="33.28515625" customWidth="1"/>
    <col min="4354" max="4354" width="14.7109375" customWidth="1"/>
    <col min="4355" max="4355" width="13.28515625" customWidth="1"/>
    <col min="4356" max="4356" width="15.140625" customWidth="1"/>
    <col min="4357" max="4357" width="17.28515625" customWidth="1"/>
    <col min="4358" max="4358" width="13.7109375" customWidth="1"/>
    <col min="4359" max="4359" width="8.5703125" bestFit="1" customWidth="1"/>
    <col min="4360" max="4360" width="11.5703125" customWidth="1"/>
    <col min="4361" max="4361" width="6.85546875" customWidth="1"/>
    <col min="4363" max="4363" width="6.28515625" customWidth="1"/>
    <col min="4364" max="4364" width="11.5703125" customWidth="1"/>
    <col min="4366" max="4366" width="9.5703125" bestFit="1" customWidth="1"/>
    <col min="4609" max="4609" width="33.28515625" customWidth="1"/>
    <col min="4610" max="4610" width="14.7109375" customWidth="1"/>
    <col min="4611" max="4611" width="13.28515625" customWidth="1"/>
    <col min="4612" max="4612" width="15.140625" customWidth="1"/>
    <col min="4613" max="4613" width="17.28515625" customWidth="1"/>
    <col min="4614" max="4614" width="13.7109375" customWidth="1"/>
    <col min="4615" max="4615" width="8.5703125" bestFit="1" customWidth="1"/>
    <col min="4616" max="4616" width="11.5703125" customWidth="1"/>
    <col min="4617" max="4617" width="6.85546875" customWidth="1"/>
    <col min="4619" max="4619" width="6.28515625" customWidth="1"/>
    <col min="4620" max="4620" width="11.5703125" customWidth="1"/>
    <col min="4622" max="4622" width="9.5703125" bestFit="1" customWidth="1"/>
    <col min="4865" max="4865" width="33.28515625" customWidth="1"/>
    <col min="4866" max="4866" width="14.7109375" customWidth="1"/>
    <col min="4867" max="4867" width="13.28515625" customWidth="1"/>
    <col min="4868" max="4868" width="15.140625" customWidth="1"/>
    <col min="4869" max="4869" width="17.28515625" customWidth="1"/>
    <col min="4870" max="4870" width="13.7109375" customWidth="1"/>
    <col min="4871" max="4871" width="8.5703125" bestFit="1" customWidth="1"/>
    <col min="4872" max="4872" width="11.5703125" customWidth="1"/>
    <col min="4873" max="4873" width="6.85546875" customWidth="1"/>
    <col min="4875" max="4875" width="6.28515625" customWidth="1"/>
    <col min="4876" max="4876" width="11.5703125" customWidth="1"/>
    <col min="4878" max="4878" width="9.5703125" bestFit="1" customWidth="1"/>
    <col min="5121" max="5121" width="33.28515625" customWidth="1"/>
    <col min="5122" max="5122" width="14.7109375" customWidth="1"/>
    <col min="5123" max="5123" width="13.28515625" customWidth="1"/>
    <col min="5124" max="5124" width="15.140625" customWidth="1"/>
    <col min="5125" max="5125" width="17.28515625" customWidth="1"/>
    <col min="5126" max="5126" width="13.7109375" customWidth="1"/>
    <col min="5127" max="5127" width="8.5703125" bestFit="1" customWidth="1"/>
    <col min="5128" max="5128" width="11.5703125" customWidth="1"/>
    <col min="5129" max="5129" width="6.85546875" customWidth="1"/>
    <col min="5131" max="5131" width="6.28515625" customWidth="1"/>
    <col min="5132" max="5132" width="11.5703125" customWidth="1"/>
    <col min="5134" max="5134" width="9.5703125" bestFit="1" customWidth="1"/>
    <col min="5377" max="5377" width="33.28515625" customWidth="1"/>
    <col min="5378" max="5378" width="14.7109375" customWidth="1"/>
    <col min="5379" max="5379" width="13.28515625" customWidth="1"/>
    <col min="5380" max="5380" width="15.140625" customWidth="1"/>
    <col min="5381" max="5381" width="17.28515625" customWidth="1"/>
    <col min="5382" max="5382" width="13.7109375" customWidth="1"/>
    <col min="5383" max="5383" width="8.5703125" bestFit="1" customWidth="1"/>
    <col min="5384" max="5384" width="11.5703125" customWidth="1"/>
    <col min="5385" max="5385" width="6.85546875" customWidth="1"/>
    <col min="5387" max="5387" width="6.28515625" customWidth="1"/>
    <col min="5388" max="5388" width="11.5703125" customWidth="1"/>
    <col min="5390" max="5390" width="9.5703125" bestFit="1" customWidth="1"/>
    <col min="5633" max="5633" width="33.28515625" customWidth="1"/>
    <col min="5634" max="5634" width="14.7109375" customWidth="1"/>
    <col min="5635" max="5635" width="13.28515625" customWidth="1"/>
    <col min="5636" max="5636" width="15.140625" customWidth="1"/>
    <col min="5637" max="5637" width="17.28515625" customWidth="1"/>
    <col min="5638" max="5638" width="13.7109375" customWidth="1"/>
    <col min="5639" max="5639" width="8.5703125" bestFit="1" customWidth="1"/>
    <col min="5640" max="5640" width="11.5703125" customWidth="1"/>
    <col min="5641" max="5641" width="6.85546875" customWidth="1"/>
    <col min="5643" max="5643" width="6.28515625" customWidth="1"/>
    <col min="5644" max="5644" width="11.5703125" customWidth="1"/>
    <col min="5646" max="5646" width="9.5703125" bestFit="1" customWidth="1"/>
    <col min="5889" max="5889" width="33.28515625" customWidth="1"/>
    <col min="5890" max="5890" width="14.7109375" customWidth="1"/>
    <col min="5891" max="5891" width="13.28515625" customWidth="1"/>
    <col min="5892" max="5892" width="15.140625" customWidth="1"/>
    <col min="5893" max="5893" width="17.28515625" customWidth="1"/>
    <col min="5894" max="5894" width="13.7109375" customWidth="1"/>
    <col min="5895" max="5895" width="8.5703125" bestFit="1" customWidth="1"/>
    <col min="5896" max="5896" width="11.5703125" customWidth="1"/>
    <col min="5897" max="5897" width="6.85546875" customWidth="1"/>
    <col min="5899" max="5899" width="6.28515625" customWidth="1"/>
    <col min="5900" max="5900" width="11.5703125" customWidth="1"/>
    <col min="5902" max="5902" width="9.5703125" bestFit="1" customWidth="1"/>
    <col min="6145" max="6145" width="33.28515625" customWidth="1"/>
    <col min="6146" max="6146" width="14.7109375" customWidth="1"/>
    <col min="6147" max="6147" width="13.28515625" customWidth="1"/>
    <col min="6148" max="6148" width="15.140625" customWidth="1"/>
    <col min="6149" max="6149" width="17.28515625" customWidth="1"/>
    <col min="6150" max="6150" width="13.7109375" customWidth="1"/>
    <col min="6151" max="6151" width="8.5703125" bestFit="1" customWidth="1"/>
    <col min="6152" max="6152" width="11.5703125" customWidth="1"/>
    <col min="6153" max="6153" width="6.85546875" customWidth="1"/>
    <col min="6155" max="6155" width="6.28515625" customWidth="1"/>
    <col min="6156" max="6156" width="11.5703125" customWidth="1"/>
    <col min="6158" max="6158" width="9.5703125" bestFit="1" customWidth="1"/>
    <col min="6401" max="6401" width="33.28515625" customWidth="1"/>
    <col min="6402" max="6402" width="14.7109375" customWidth="1"/>
    <col min="6403" max="6403" width="13.28515625" customWidth="1"/>
    <col min="6404" max="6404" width="15.140625" customWidth="1"/>
    <col min="6405" max="6405" width="17.28515625" customWidth="1"/>
    <col min="6406" max="6406" width="13.7109375" customWidth="1"/>
    <col min="6407" max="6407" width="8.5703125" bestFit="1" customWidth="1"/>
    <col min="6408" max="6408" width="11.5703125" customWidth="1"/>
    <col min="6409" max="6409" width="6.85546875" customWidth="1"/>
    <col min="6411" max="6411" width="6.28515625" customWidth="1"/>
    <col min="6412" max="6412" width="11.5703125" customWidth="1"/>
    <col min="6414" max="6414" width="9.5703125" bestFit="1" customWidth="1"/>
    <col min="6657" max="6657" width="33.28515625" customWidth="1"/>
    <col min="6658" max="6658" width="14.7109375" customWidth="1"/>
    <col min="6659" max="6659" width="13.28515625" customWidth="1"/>
    <col min="6660" max="6660" width="15.140625" customWidth="1"/>
    <col min="6661" max="6661" width="17.28515625" customWidth="1"/>
    <col min="6662" max="6662" width="13.7109375" customWidth="1"/>
    <col min="6663" max="6663" width="8.5703125" bestFit="1" customWidth="1"/>
    <col min="6664" max="6664" width="11.5703125" customWidth="1"/>
    <col min="6665" max="6665" width="6.85546875" customWidth="1"/>
    <col min="6667" max="6667" width="6.28515625" customWidth="1"/>
    <col min="6668" max="6668" width="11.5703125" customWidth="1"/>
    <col min="6670" max="6670" width="9.5703125" bestFit="1" customWidth="1"/>
    <col min="6913" max="6913" width="33.28515625" customWidth="1"/>
    <col min="6914" max="6914" width="14.7109375" customWidth="1"/>
    <col min="6915" max="6915" width="13.28515625" customWidth="1"/>
    <col min="6916" max="6916" width="15.140625" customWidth="1"/>
    <col min="6917" max="6917" width="17.28515625" customWidth="1"/>
    <col min="6918" max="6918" width="13.7109375" customWidth="1"/>
    <col min="6919" max="6919" width="8.5703125" bestFit="1" customWidth="1"/>
    <col min="6920" max="6920" width="11.5703125" customWidth="1"/>
    <col min="6921" max="6921" width="6.85546875" customWidth="1"/>
    <col min="6923" max="6923" width="6.28515625" customWidth="1"/>
    <col min="6924" max="6924" width="11.5703125" customWidth="1"/>
    <col min="6926" max="6926" width="9.5703125" bestFit="1" customWidth="1"/>
    <col min="7169" max="7169" width="33.28515625" customWidth="1"/>
    <col min="7170" max="7170" width="14.7109375" customWidth="1"/>
    <col min="7171" max="7171" width="13.28515625" customWidth="1"/>
    <col min="7172" max="7172" width="15.140625" customWidth="1"/>
    <col min="7173" max="7173" width="17.28515625" customWidth="1"/>
    <col min="7174" max="7174" width="13.7109375" customWidth="1"/>
    <col min="7175" max="7175" width="8.5703125" bestFit="1" customWidth="1"/>
    <col min="7176" max="7176" width="11.5703125" customWidth="1"/>
    <col min="7177" max="7177" width="6.85546875" customWidth="1"/>
    <col min="7179" max="7179" width="6.28515625" customWidth="1"/>
    <col min="7180" max="7180" width="11.5703125" customWidth="1"/>
    <col min="7182" max="7182" width="9.5703125" bestFit="1" customWidth="1"/>
    <col min="7425" max="7425" width="33.28515625" customWidth="1"/>
    <col min="7426" max="7426" width="14.7109375" customWidth="1"/>
    <col min="7427" max="7427" width="13.28515625" customWidth="1"/>
    <col min="7428" max="7428" width="15.140625" customWidth="1"/>
    <col min="7429" max="7429" width="17.28515625" customWidth="1"/>
    <col min="7430" max="7430" width="13.7109375" customWidth="1"/>
    <col min="7431" max="7431" width="8.5703125" bestFit="1" customWidth="1"/>
    <col min="7432" max="7432" width="11.5703125" customWidth="1"/>
    <col min="7433" max="7433" width="6.85546875" customWidth="1"/>
    <col min="7435" max="7435" width="6.28515625" customWidth="1"/>
    <col min="7436" max="7436" width="11.5703125" customWidth="1"/>
    <col min="7438" max="7438" width="9.5703125" bestFit="1" customWidth="1"/>
    <col min="7681" max="7681" width="33.28515625" customWidth="1"/>
    <col min="7682" max="7682" width="14.7109375" customWidth="1"/>
    <col min="7683" max="7683" width="13.28515625" customWidth="1"/>
    <col min="7684" max="7684" width="15.140625" customWidth="1"/>
    <col min="7685" max="7685" width="17.28515625" customWidth="1"/>
    <col min="7686" max="7686" width="13.7109375" customWidth="1"/>
    <col min="7687" max="7687" width="8.5703125" bestFit="1" customWidth="1"/>
    <col min="7688" max="7688" width="11.5703125" customWidth="1"/>
    <col min="7689" max="7689" width="6.85546875" customWidth="1"/>
    <col min="7691" max="7691" width="6.28515625" customWidth="1"/>
    <col min="7692" max="7692" width="11.5703125" customWidth="1"/>
    <col min="7694" max="7694" width="9.5703125" bestFit="1" customWidth="1"/>
    <col min="7937" max="7937" width="33.28515625" customWidth="1"/>
    <col min="7938" max="7938" width="14.7109375" customWidth="1"/>
    <col min="7939" max="7939" width="13.28515625" customWidth="1"/>
    <col min="7940" max="7940" width="15.140625" customWidth="1"/>
    <col min="7941" max="7941" width="17.28515625" customWidth="1"/>
    <col min="7942" max="7942" width="13.7109375" customWidth="1"/>
    <col min="7943" max="7943" width="8.5703125" bestFit="1" customWidth="1"/>
    <col min="7944" max="7944" width="11.5703125" customWidth="1"/>
    <col min="7945" max="7945" width="6.85546875" customWidth="1"/>
    <col min="7947" max="7947" width="6.28515625" customWidth="1"/>
    <col min="7948" max="7948" width="11.5703125" customWidth="1"/>
    <col min="7950" max="7950" width="9.5703125" bestFit="1" customWidth="1"/>
    <col min="8193" max="8193" width="33.28515625" customWidth="1"/>
    <col min="8194" max="8194" width="14.7109375" customWidth="1"/>
    <col min="8195" max="8195" width="13.28515625" customWidth="1"/>
    <col min="8196" max="8196" width="15.140625" customWidth="1"/>
    <col min="8197" max="8197" width="17.28515625" customWidth="1"/>
    <col min="8198" max="8198" width="13.7109375" customWidth="1"/>
    <col min="8199" max="8199" width="8.5703125" bestFit="1" customWidth="1"/>
    <col min="8200" max="8200" width="11.5703125" customWidth="1"/>
    <col min="8201" max="8201" width="6.85546875" customWidth="1"/>
    <col min="8203" max="8203" width="6.28515625" customWidth="1"/>
    <col min="8204" max="8204" width="11.5703125" customWidth="1"/>
    <col min="8206" max="8206" width="9.5703125" bestFit="1" customWidth="1"/>
    <col min="8449" max="8449" width="33.28515625" customWidth="1"/>
    <col min="8450" max="8450" width="14.7109375" customWidth="1"/>
    <col min="8451" max="8451" width="13.28515625" customWidth="1"/>
    <col min="8452" max="8452" width="15.140625" customWidth="1"/>
    <col min="8453" max="8453" width="17.28515625" customWidth="1"/>
    <col min="8454" max="8454" width="13.7109375" customWidth="1"/>
    <col min="8455" max="8455" width="8.5703125" bestFit="1" customWidth="1"/>
    <col min="8456" max="8456" width="11.5703125" customWidth="1"/>
    <col min="8457" max="8457" width="6.85546875" customWidth="1"/>
    <col min="8459" max="8459" width="6.28515625" customWidth="1"/>
    <col min="8460" max="8460" width="11.5703125" customWidth="1"/>
    <col min="8462" max="8462" width="9.5703125" bestFit="1" customWidth="1"/>
    <col min="8705" max="8705" width="33.28515625" customWidth="1"/>
    <col min="8706" max="8706" width="14.7109375" customWidth="1"/>
    <col min="8707" max="8707" width="13.28515625" customWidth="1"/>
    <col min="8708" max="8708" width="15.140625" customWidth="1"/>
    <col min="8709" max="8709" width="17.28515625" customWidth="1"/>
    <col min="8710" max="8710" width="13.7109375" customWidth="1"/>
    <col min="8711" max="8711" width="8.5703125" bestFit="1" customWidth="1"/>
    <col min="8712" max="8712" width="11.5703125" customWidth="1"/>
    <col min="8713" max="8713" width="6.85546875" customWidth="1"/>
    <col min="8715" max="8715" width="6.28515625" customWidth="1"/>
    <col min="8716" max="8716" width="11.5703125" customWidth="1"/>
    <col min="8718" max="8718" width="9.5703125" bestFit="1" customWidth="1"/>
    <col min="8961" max="8961" width="33.28515625" customWidth="1"/>
    <col min="8962" max="8962" width="14.7109375" customWidth="1"/>
    <col min="8963" max="8963" width="13.28515625" customWidth="1"/>
    <col min="8964" max="8964" width="15.140625" customWidth="1"/>
    <col min="8965" max="8965" width="17.28515625" customWidth="1"/>
    <col min="8966" max="8966" width="13.7109375" customWidth="1"/>
    <col min="8967" max="8967" width="8.5703125" bestFit="1" customWidth="1"/>
    <col min="8968" max="8968" width="11.5703125" customWidth="1"/>
    <col min="8969" max="8969" width="6.85546875" customWidth="1"/>
    <col min="8971" max="8971" width="6.28515625" customWidth="1"/>
    <col min="8972" max="8972" width="11.5703125" customWidth="1"/>
    <col min="8974" max="8974" width="9.5703125" bestFit="1" customWidth="1"/>
    <col min="9217" max="9217" width="33.28515625" customWidth="1"/>
    <col min="9218" max="9218" width="14.7109375" customWidth="1"/>
    <col min="9219" max="9219" width="13.28515625" customWidth="1"/>
    <col min="9220" max="9220" width="15.140625" customWidth="1"/>
    <col min="9221" max="9221" width="17.28515625" customWidth="1"/>
    <col min="9222" max="9222" width="13.7109375" customWidth="1"/>
    <col min="9223" max="9223" width="8.5703125" bestFit="1" customWidth="1"/>
    <col min="9224" max="9224" width="11.5703125" customWidth="1"/>
    <col min="9225" max="9225" width="6.85546875" customWidth="1"/>
    <col min="9227" max="9227" width="6.28515625" customWidth="1"/>
    <col min="9228" max="9228" width="11.5703125" customWidth="1"/>
    <col min="9230" max="9230" width="9.5703125" bestFit="1" customWidth="1"/>
    <col min="9473" max="9473" width="33.28515625" customWidth="1"/>
    <col min="9474" max="9474" width="14.7109375" customWidth="1"/>
    <col min="9475" max="9475" width="13.28515625" customWidth="1"/>
    <col min="9476" max="9476" width="15.140625" customWidth="1"/>
    <col min="9477" max="9477" width="17.28515625" customWidth="1"/>
    <col min="9478" max="9478" width="13.7109375" customWidth="1"/>
    <col min="9479" max="9479" width="8.5703125" bestFit="1" customWidth="1"/>
    <col min="9480" max="9480" width="11.5703125" customWidth="1"/>
    <col min="9481" max="9481" width="6.85546875" customWidth="1"/>
    <col min="9483" max="9483" width="6.28515625" customWidth="1"/>
    <col min="9484" max="9484" width="11.5703125" customWidth="1"/>
    <col min="9486" max="9486" width="9.5703125" bestFit="1" customWidth="1"/>
    <col min="9729" max="9729" width="33.28515625" customWidth="1"/>
    <col min="9730" max="9730" width="14.7109375" customWidth="1"/>
    <col min="9731" max="9731" width="13.28515625" customWidth="1"/>
    <col min="9732" max="9732" width="15.140625" customWidth="1"/>
    <col min="9733" max="9733" width="17.28515625" customWidth="1"/>
    <col min="9734" max="9734" width="13.7109375" customWidth="1"/>
    <col min="9735" max="9735" width="8.5703125" bestFit="1" customWidth="1"/>
    <col min="9736" max="9736" width="11.5703125" customWidth="1"/>
    <col min="9737" max="9737" width="6.85546875" customWidth="1"/>
    <col min="9739" max="9739" width="6.28515625" customWidth="1"/>
    <col min="9740" max="9740" width="11.5703125" customWidth="1"/>
    <col min="9742" max="9742" width="9.5703125" bestFit="1" customWidth="1"/>
    <col min="9985" max="9985" width="33.28515625" customWidth="1"/>
    <col min="9986" max="9986" width="14.7109375" customWidth="1"/>
    <col min="9987" max="9987" width="13.28515625" customWidth="1"/>
    <col min="9988" max="9988" width="15.140625" customWidth="1"/>
    <col min="9989" max="9989" width="17.28515625" customWidth="1"/>
    <col min="9990" max="9990" width="13.7109375" customWidth="1"/>
    <col min="9991" max="9991" width="8.5703125" bestFit="1" customWidth="1"/>
    <col min="9992" max="9992" width="11.5703125" customWidth="1"/>
    <col min="9993" max="9993" width="6.85546875" customWidth="1"/>
    <col min="9995" max="9995" width="6.28515625" customWidth="1"/>
    <col min="9996" max="9996" width="11.5703125" customWidth="1"/>
    <col min="9998" max="9998" width="9.5703125" bestFit="1" customWidth="1"/>
    <col min="10241" max="10241" width="33.28515625" customWidth="1"/>
    <col min="10242" max="10242" width="14.7109375" customWidth="1"/>
    <col min="10243" max="10243" width="13.28515625" customWidth="1"/>
    <col min="10244" max="10244" width="15.140625" customWidth="1"/>
    <col min="10245" max="10245" width="17.28515625" customWidth="1"/>
    <col min="10246" max="10246" width="13.7109375" customWidth="1"/>
    <col min="10247" max="10247" width="8.5703125" bestFit="1" customWidth="1"/>
    <col min="10248" max="10248" width="11.5703125" customWidth="1"/>
    <col min="10249" max="10249" width="6.85546875" customWidth="1"/>
    <col min="10251" max="10251" width="6.28515625" customWidth="1"/>
    <col min="10252" max="10252" width="11.5703125" customWidth="1"/>
    <col min="10254" max="10254" width="9.5703125" bestFit="1" customWidth="1"/>
    <col min="10497" max="10497" width="33.28515625" customWidth="1"/>
    <col min="10498" max="10498" width="14.7109375" customWidth="1"/>
    <col min="10499" max="10499" width="13.28515625" customWidth="1"/>
    <col min="10500" max="10500" width="15.140625" customWidth="1"/>
    <col min="10501" max="10501" width="17.28515625" customWidth="1"/>
    <col min="10502" max="10502" width="13.7109375" customWidth="1"/>
    <col min="10503" max="10503" width="8.5703125" bestFit="1" customWidth="1"/>
    <col min="10504" max="10504" width="11.5703125" customWidth="1"/>
    <col min="10505" max="10505" width="6.85546875" customWidth="1"/>
    <col min="10507" max="10507" width="6.28515625" customWidth="1"/>
    <col min="10508" max="10508" width="11.5703125" customWidth="1"/>
    <col min="10510" max="10510" width="9.5703125" bestFit="1" customWidth="1"/>
    <col min="10753" max="10753" width="33.28515625" customWidth="1"/>
    <col min="10754" max="10754" width="14.7109375" customWidth="1"/>
    <col min="10755" max="10755" width="13.28515625" customWidth="1"/>
    <col min="10756" max="10756" width="15.140625" customWidth="1"/>
    <col min="10757" max="10757" width="17.28515625" customWidth="1"/>
    <col min="10758" max="10758" width="13.7109375" customWidth="1"/>
    <col min="10759" max="10759" width="8.5703125" bestFit="1" customWidth="1"/>
    <col min="10760" max="10760" width="11.5703125" customWidth="1"/>
    <col min="10761" max="10761" width="6.85546875" customWidth="1"/>
    <col min="10763" max="10763" width="6.28515625" customWidth="1"/>
    <col min="10764" max="10764" width="11.5703125" customWidth="1"/>
    <col min="10766" max="10766" width="9.5703125" bestFit="1" customWidth="1"/>
    <col min="11009" max="11009" width="33.28515625" customWidth="1"/>
    <col min="11010" max="11010" width="14.7109375" customWidth="1"/>
    <col min="11011" max="11011" width="13.28515625" customWidth="1"/>
    <col min="11012" max="11012" width="15.140625" customWidth="1"/>
    <col min="11013" max="11013" width="17.28515625" customWidth="1"/>
    <col min="11014" max="11014" width="13.7109375" customWidth="1"/>
    <col min="11015" max="11015" width="8.5703125" bestFit="1" customWidth="1"/>
    <col min="11016" max="11016" width="11.5703125" customWidth="1"/>
    <col min="11017" max="11017" width="6.85546875" customWidth="1"/>
    <col min="11019" max="11019" width="6.28515625" customWidth="1"/>
    <col min="11020" max="11020" width="11.5703125" customWidth="1"/>
    <col min="11022" max="11022" width="9.5703125" bestFit="1" customWidth="1"/>
    <col min="11265" max="11265" width="33.28515625" customWidth="1"/>
    <col min="11266" max="11266" width="14.7109375" customWidth="1"/>
    <col min="11267" max="11267" width="13.28515625" customWidth="1"/>
    <col min="11268" max="11268" width="15.140625" customWidth="1"/>
    <col min="11269" max="11269" width="17.28515625" customWidth="1"/>
    <col min="11270" max="11270" width="13.7109375" customWidth="1"/>
    <col min="11271" max="11271" width="8.5703125" bestFit="1" customWidth="1"/>
    <col min="11272" max="11272" width="11.5703125" customWidth="1"/>
    <col min="11273" max="11273" width="6.85546875" customWidth="1"/>
    <col min="11275" max="11275" width="6.28515625" customWidth="1"/>
    <col min="11276" max="11276" width="11.5703125" customWidth="1"/>
    <col min="11278" max="11278" width="9.5703125" bestFit="1" customWidth="1"/>
    <col min="11521" max="11521" width="33.28515625" customWidth="1"/>
    <col min="11522" max="11522" width="14.7109375" customWidth="1"/>
    <col min="11523" max="11523" width="13.28515625" customWidth="1"/>
    <col min="11524" max="11524" width="15.140625" customWidth="1"/>
    <col min="11525" max="11525" width="17.28515625" customWidth="1"/>
    <col min="11526" max="11526" width="13.7109375" customWidth="1"/>
    <col min="11527" max="11527" width="8.5703125" bestFit="1" customWidth="1"/>
    <col min="11528" max="11528" width="11.5703125" customWidth="1"/>
    <col min="11529" max="11529" width="6.85546875" customWidth="1"/>
    <col min="11531" max="11531" width="6.28515625" customWidth="1"/>
    <col min="11532" max="11532" width="11.5703125" customWidth="1"/>
    <col min="11534" max="11534" width="9.5703125" bestFit="1" customWidth="1"/>
    <col min="11777" max="11777" width="33.28515625" customWidth="1"/>
    <col min="11778" max="11778" width="14.7109375" customWidth="1"/>
    <col min="11779" max="11779" width="13.28515625" customWidth="1"/>
    <col min="11780" max="11780" width="15.140625" customWidth="1"/>
    <col min="11781" max="11781" width="17.28515625" customWidth="1"/>
    <col min="11782" max="11782" width="13.7109375" customWidth="1"/>
    <col min="11783" max="11783" width="8.5703125" bestFit="1" customWidth="1"/>
    <col min="11784" max="11784" width="11.5703125" customWidth="1"/>
    <col min="11785" max="11785" width="6.85546875" customWidth="1"/>
    <col min="11787" max="11787" width="6.28515625" customWidth="1"/>
    <col min="11788" max="11788" width="11.5703125" customWidth="1"/>
    <col min="11790" max="11790" width="9.5703125" bestFit="1" customWidth="1"/>
    <col min="12033" max="12033" width="33.28515625" customWidth="1"/>
    <col min="12034" max="12034" width="14.7109375" customWidth="1"/>
    <col min="12035" max="12035" width="13.28515625" customWidth="1"/>
    <col min="12036" max="12036" width="15.140625" customWidth="1"/>
    <col min="12037" max="12037" width="17.28515625" customWidth="1"/>
    <col min="12038" max="12038" width="13.7109375" customWidth="1"/>
    <col min="12039" max="12039" width="8.5703125" bestFit="1" customWidth="1"/>
    <col min="12040" max="12040" width="11.5703125" customWidth="1"/>
    <col min="12041" max="12041" width="6.85546875" customWidth="1"/>
    <col min="12043" max="12043" width="6.28515625" customWidth="1"/>
    <col min="12044" max="12044" width="11.5703125" customWidth="1"/>
    <col min="12046" max="12046" width="9.5703125" bestFit="1" customWidth="1"/>
    <col min="12289" max="12289" width="33.28515625" customWidth="1"/>
    <col min="12290" max="12290" width="14.7109375" customWidth="1"/>
    <col min="12291" max="12291" width="13.28515625" customWidth="1"/>
    <col min="12292" max="12292" width="15.140625" customWidth="1"/>
    <col min="12293" max="12293" width="17.28515625" customWidth="1"/>
    <col min="12294" max="12294" width="13.7109375" customWidth="1"/>
    <col min="12295" max="12295" width="8.5703125" bestFit="1" customWidth="1"/>
    <col min="12296" max="12296" width="11.5703125" customWidth="1"/>
    <col min="12297" max="12297" width="6.85546875" customWidth="1"/>
    <col min="12299" max="12299" width="6.28515625" customWidth="1"/>
    <col min="12300" max="12300" width="11.5703125" customWidth="1"/>
    <col min="12302" max="12302" width="9.5703125" bestFit="1" customWidth="1"/>
    <col min="12545" max="12545" width="33.28515625" customWidth="1"/>
    <col min="12546" max="12546" width="14.7109375" customWidth="1"/>
    <col min="12547" max="12547" width="13.28515625" customWidth="1"/>
    <col min="12548" max="12548" width="15.140625" customWidth="1"/>
    <col min="12549" max="12549" width="17.28515625" customWidth="1"/>
    <col min="12550" max="12550" width="13.7109375" customWidth="1"/>
    <col min="12551" max="12551" width="8.5703125" bestFit="1" customWidth="1"/>
    <col min="12552" max="12552" width="11.5703125" customWidth="1"/>
    <col min="12553" max="12553" width="6.85546875" customWidth="1"/>
    <col min="12555" max="12555" width="6.28515625" customWidth="1"/>
    <col min="12556" max="12556" width="11.5703125" customWidth="1"/>
    <col min="12558" max="12558" width="9.5703125" bestFit="1" customWidth="1"/>
    <col min="12801" max="12801" width="33.28515625" customWidth="1"/>
    <col min="12802" max="12802" width="14.7109375" customWidth="1"/>
    <col min="12803" max="12803" width="13.28515625" customWidth="1"/>
    <col min="12804" max="12804" width="15.140625" customWidth="1"/>
    <col min="12805" max="12805" width="17.28515625" customWidth="1"/>
    <col min="12806" max="12806" width="13.7109375" customWidth="1"/>
    <col min="12807" max="12807" width="8.5703125" bestFit="1" customWidth="1"/>
    <col min="12808" max="12808" width="11.5703125" customWidth="1"/>
    <col min="12809" max="12809" width="6.85546875" customWidth="1"/>
    <col min="12811" max="12811" width="6.28515625" customWidth="1"/>
    <col min="12812" max="12812" width="11.5703125" customWidth="1"/>
    <col min="12814" max="12814" width="9.5703125" bestFit="1" customWidth="1"/>
    <col min="13057" max="13057" width="33.28515625" customWidth="1"/>
    <col min="13058" max="13058" width="14.7109375" customWidth="1"/>
    <col min="13059" max="13059" width="13.28515625" customWidth="1"/>
    <col min="13060" max="13060" width="15.140625" customWidth="1"/>
    <col min="13061" max="13061" width="17.28515625" customWidth="1"/>
    <col min="13062" max="13062" width="13.7109375" customWidth="1"/>
    <col min="13063" max="13063" width="8.5703125" bestFit="1" customWidth="1"/>
    <col min="13064" max="13064" width="11.5703125" customWidth="1"/>
    <col min="13065" max="13065" width="6.85546875" customWidth="1"/>
    <col min="13067" max="13067" width="6.28515625" customWidth="1"/>
    <col min="13068" max="13068" width="11.5703125" customWidth="1"/>
    <col min="13070" max="13070" width="9.5703125" bestFit="1" customWidth="1"/>
    <col min="13313" max="13313" width="33.28515625" customWidth="1"/>
    <col min="13314" max="13314" width="14.7109375" customWidth="1"/>
    <col min="13315" max="13315" width="13.28515625" customWidth="1"/>
    <col min="13316" max="13316" width="15.140625" customWidth="1"/>
    <col min="13317" max="13317" width="17.28515625" customWidth="1"/>
    <col min="13318" max="13318" width="13.7109375" customWidth="1"/>
    <col min="13319" max="13319" width="8.5703125" bestFit="1" customWidth="1"/>
    <col min="13320" max="13320" width="11.5703125" customWidth="1"/>
    <col min="13321" max="13321" width="6.85546875" customWidth="1"/>
    <col min="13323" max="13323" width="6.28515625" customWidth="1"/>
    <col min="13324" max="13324" width="11.5703125" customWidth="1"/>
    <col min="13326" max="13326" width="9.5703125" bestFit="1" customWidth="1"/>
    <col min="13569" max="13569" width="33.28515625" customWidth="1"/>
    <col min="13570" max="13570" width="14.7109375" customWidth="1"/>
    <col min="13571" max="13571" width="13.28515625" customWidth="1"/>
    <col min="13572" max="13572" width="15.140625" customWidth="1"/>
    <col min="13573" max="13573" width="17.28515625" customWidth="1"/>
    <col min="13574" max="13574" width="13.7109375" customWidth="1"/>
    <col min="13575" max="13575" width="8.5703125" bestFit="1" customWidth="1"/>
    <col min="13576" max="13576" width="11.5703125" customWidth="1"/>
    <col min="13577" max="13577" width="6.85546875" customWidth="1"/>
    <col min="13579" max="13579" width="6.28515625" customWidth="1"/>
    <col min="13580" max="13580" width="11.5703125" customWidth="1"/>
    <col min="13582" max="13582" width="9.5703125" bestFit="1" customWidth="1"/>
    <col min="13825" max="13825" width="33.28515625" customWidth="1"/>
    <col min="13826" max="13826" width="14.7109375" customWidth="1"/>
    <col min="13827" max="13827" width="13.28515625" customWidth="1"/>
    <col min="13828" max="13828" width="15.140625" customWidth="1"/>
    <col min="13829" max="13829" width="17.28515625" customWidth="1"/>
    <col min="13830" max="13830" width="13.7109375" customWidth="1"/>
    <col min="13831" max="13831" width="8.5703125" bestFit="1" customWidth="1"/>
    <col min="13832" max="13832" width="11.5703125" customWidth="1"/>
    <col min="13833" max="13833" width="6.85546875" customWidth="1"/>
    <col min="13835" max="13835" width="6.28515625" customWidth="1"/>
    <col min="13836" max="13836" width="11.5703125" customWidth="1"/>
    <col min="13838" max="13838" width="9.5703125" bestFit="1" customWidth="1"/>
    <col min="14081" max="14081" width="33.28515625" customWidth="1"/>
    <col min="14082" max="14082" width="14.7109375" customWidth="1"/>
    <col min="14083" max="14083" width="13.28515625" customWidth="1"/>
    <col min="14084" max="14084" width="15.140625" customWidth="1"/>
    <col min="14085" max="14085" width="17.28515625" customWidth="1"/>
    <col min="14086" max="14086" width="13.7109375" customWidth="1"/>
    <col min="14087" max="14087" width="8.5703125" bestFit="1" customWidth="1"/>
    <col min="14088" max="14088" width="11.5703125" customWidth="1"/>
    <col min="14089" max="14089" width="6.85546875" customWidth="1"/>
    <col min="14091" max="14091" width="6.28515625" customWidth="1"/>
    <col min="14092" max="14092" width="11.5703125" customWidth="1"/>
    <col min="14094" max="14094" width="9.5703125" bestFit="1" customWidth="1"/>
    <col min="14337" max="14337" width="33.28515625" customWidth="1"/>
    <col min="14338" max="14338" width="14.7109375" customWidth="1"/>
    <col min="14339" max="14339" width="13.28515625" customWidth="1"/>
    <col min="14340" max="14340" width="15.140625" customWidth="1"/>
    <col min="14341" max="14341" width="17.28515625" customWidth="1"/>
    <col min="14342" max="14342" width="13.7109375" customWidth="1"/>
    <col min="14343" max="14343" width="8.5703125" bestFit="1" customWidth="1"/>
    <col min="14344" max="14344" width="11.5703125" customWidth="1"/>
    <col min="14345" max="14345" width="6.85546875" customWidth="1"/>
    <col min="14347" max="14347" width="6.28515625" customWidth="1"/>
    <col min="14348" max="14348" width="11.5703125" customWidth="1"/>
    <col min="14350" max="14350" width="9.5703125" bestFit="1" customWidth="1"/>
    <col min="14593" max="14593" width="33.28515625" customWidth="1"/>
    <col min="14594" max="14594" width="14.7109375" customWidth="1"/>
    <col min="14595" max="14595" width="13.28515625" customWidth="1"/>
    <col min="14596" max="14596" width="15.140625" customWidth="1"/>
    <col min="14597" max="14597" width="17.28515625" customWidth="1"/>
    <col min="14598" max="14598" width="13.7109375" customWidth="1"/>
    <col min="14599" max="14599" width="8.5703125" bestFit="1" customWidth="1"/>
    <col min="14600" max="14600" width="11.5703125" customWidth="1"/>
    <col min="14601" max="14601" width="6.85546875" customWidth="1"/>
    <col min="14603" max="14603" width="6.28515625" customWidth="1"/>
    <col min="14604" max="14604" width="11.5703125" customWidth="1"/>
    <col min="14606" max="14606" width="9.5703125" bestFit="1" customWidth="1"/>
    <col min="14849" max="14849" width="33.28515625" customWidth="1"/>
    <col min="14850" max="14850" width="14.7109375" customWidth="1"/>
    <col min="14851" max="14851" width="13.28515625" customWidth="1"/>
    <col min="14852" max="14852" width="15.140625" customWidth="1"/>
    <col min="14853" max="14853" width="17.28515625" customWidth="1"/>
    <col min="14854" max="14854" width="13.7109375" customWidth="1"/>
    <col min="14855" max="14855" width="8.5703125" bestFit="1" customWidth="1"/>
    <col min="14856" max="14856" width="11.5703125" customWidth="1"/>
    <col min="14857" max="14857" width="6.85546875" customWidth="1"/>
    <col min="14859" max="14859" width="6.28515625" customWidth="1"/>
    <col min="14860" max="14860" width="11.5703125" customWidth="1"/>
    <col min="14862" max="14862" width="9.5703125" bestFit="1" customWidth="1"/>
    <col min="15105" max="15105" width="33.28515625" customWidth="1"/>
    <col min="15106" max="15106" width="14.7109375" customWidth="1"/>
    <col min="15107" max="15107" width="13.28515625" customWidth="1"/>
    <col min="15108" max="15108" width="15.140625" customWidth="1"/>
    <col min="15109" max="15109" width="17.28515625" customWidth="1"/>
    <col min="15110" max="15110" width="13.7109375" customWidth="1"/>
    <col min="15111" max="15111" width="8.5703125" bestFit="1" customWidth="1"/>
    <col min="15112" max="15112" width="11.5703125" customWidth="1"/>
    <col min="15113" max="15113" width="6.85546875" customWidth="1"/>
    <col min="15115" max="15115" width="6.28515625" customWidth="1"/>
    <col min="15116" max="15116" width="11.5703125" customWidth="1"/>
    <col min="15118" max="15118" width="9.5703125" bestFit="1" customWidth="1"/>
    <col min="15361" max="15361" width="33.28515625" customWidth="1"/>
    <col min="15362" max="15362" width="14.7109375" customWidth="1"/>
    <col min="15363" max="15363" width="13.28515625" customWidth="1"/>
    <col min="15364" max="15364" width="15.140625" customWidth="1"/>
    <col min="15365" max="15365" width="17.28515625" customWidth="1"/>
    <col min="15366" max="15366" width="13.7109375" customWidth="1"/>
    <col min="15367" max="15367" width="8.5703125" bestFit="1" customWidth="1"/>
    <col min="15368" max="15368" width="11.5703125" customWidth="1"/>
    <col min="15369" max="15369" width="6.85546875" customWidth="1"/>
    <col min="15371" max="15371" width="6.28515625" customWidth="1"/>
    <col min="15372" max="15372" width="11.5703125" customWidth="1"/>
    <col min="15374" max="15374" width="9.5703125" bestFit="1" customWidth="1"/>
    <col min="15617" max="15617" width="33.28515625" customWidth="1"/>
    <col min="15618" max="15618" width="14.7109375" customWidth="1"/>
    <col min="15619" max="15619" width="13.28515625" customWidth="1"/>
    <col min="15620" max="15620" width="15.140625" customWidth="1"/>
    <col min="15621" max="15621" width="17.28515625" customWidth="1"/>
    <col min="15622" max="15622" width="13.7109375" customWidth="1"/>
    <col min="15623" max="15623" width="8.5703125" bestFit="1" customWidth="1"/>
    <col min="15624" max="15624" width="11.5703125" customWidth="1"/>
    <col min="15625" max="15625" width="6.85546875" customWidth="1"/>
    <col min="15627" max="15627" width="6.28515625" customWidth="1"/>
    <col min="15628" max="15628" width="11.5703125" customWidth="1"/>
    <col min="15630" max="15630" width="9.5703125" bestFit="1" customWidth="1"/>
    <col min="15873" max="15873" width="33.28515625" customWidth="1"/>
    <col min="15874" max="15874" width="14.7109375" customWidth="1"/>
    <col min="15875" max="15875" width="13.28515625" customWidth="1"/>
    <col min="15876" max="15876" width="15.140625" customWidth="1"/>
    <col min="15877" max="15877" width="17.28515625" customWidth="1"/>
    <col min="15878" max="15878" width="13.7109375" customWidth="1"/>
    <col min="15879" max="15879" width="8.5703125" bestFit="1" customWidth="1"/>
    <col min="15880" max="15880" width="11.5703125" customWidth="1"/>
    <col min="15881" max="15881" width="6.85546875" customWidth="1"/>
    <col min="15883" max="15883" width="6.28515625" customWidth="1"/>
    <col min="15884" max="15884" width="11.5703125" customWidth="1"/>
    <col min="15886" max="15886" width="9.5703125" bestFit="1" customWidth="1"/>
    <col min="16129" max="16129" width="33.28515625" customWidth="1"/>
    <col min="16130" max="16130" width="14.7109375" customWidth="1"/>
    <col min="16131" max="16131" width="13.28515625" customWidth="1"/>
    <col min="16132" max="16132" width="15.140625" customWidth="1"/>
    <col min="16133" max="16133" width="17.28515625" customWidth="1"/>
    <col min="16134" max="16134" width="13.7109375" customWidth="1"/>
    <col min="16135" max="16135" width="8.5703125" bestFit="1" customWidth="1"/>
    <col min="16136" max="16136" width="11.5703125" customWidth="1"/>
    <col min="16137" max="16137" width="6.85546875" customWidth="1"/>
    <col min="16139" max="16139" width="6.28515625" customWidth="1"/>
    <col min="16140" max="16140" width="11.5703125" customWidth="1"/>
    <col min="16142" max="16142" width="9.5703125" bestFit="1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1542" t="s">
        <v>5767</v>
      </c>
      <c r="C3" s="1542"/>
      <c r="D3" s="1492" t="s">
        <v>2966</v>
      </c>
      <c r="E3" s="1492"/>
      <c r="F3" s="1518">
        <v>405010401140102</v>
      </c>
      <c r="G3" s="1518"/>
      <c r="H3" s="1492" t="s">
        <v>5</v>
      </c>
      <c r="I3" s="1492"/>
      <c r="J3" s="1543" t="s">
        <v>3062</v>
      </c>
      <c r="K3" s="1543"/>
      <c r="L3" s="1492" t="s">
        <v>436</v>
      </c>
      <c r="M3" s="1492"/>
      <c r="N3" s="80">
        <v>0</v>
      </c>
    </row>
    <row r="4" spans="1:14">
      <c r="A4" s="1521" t="s">
        <v>4176</v>
      </c>
      <c r="B4" s="1521"/>
      <c r="C4" s="1521"/>
      <c r="D4" s="295"/>
      <c r="E4" s="712"/>
      <c r="F4" s="712"/>
      <c r="G4" s="712"/>
      <c r="H4" s="712"/>
      <c r="I4" s="712"/>
      <c r="J4" s="712"/>
      <c r="K4" s="712"/>
      <c r="L4" s="712"/>
      <c r="M4" s="712"/>
      <c r="N4" s="295"/>
    </row>
    <row r="5" spans="1:14" ht="26.25" customHeight="1">
      <c r="A5" s="677" t="s">
        <v>2967</v>
      </c>
      <c r="B5" s="995" t="s">
        <v>3063</v>
      </c>
      <c r="C5" s="995"/>
      <c r="D5" s="1492" t="s">
        <v>2969</v>
      </c>
      <c r="E5" s="1492"/>
      <c r="F5" s="1522" t="s">
        <v>3064</v>
      </c>
      <c r="G5" s="1522"/>
      <c r="H5" s="712"/>
      <c r="I5" s="712"/>
      <c r="J5" s="712"/>
      <c r="K5" s="712"/>
      <c r="L5" s="712"/>
      <c r="M5" s="712"/>
      <c r="N5" s="295"/>
    </row>
    <row r="6" spans="1:14">
      <c r="A6" s="295"/>
      <c r="B6" s="295"/>
      <c r="C6" s="295"/>
      <c r="D6" s="295"/>
      <c r="E6" s="712"/>
      <c r="F6" s="712"/>
      <c r="G6" s="712"/>
      <c r="H6" s="712"/>
      <c r="I6" s="712"/>
      <c r="J6" s="712"/>
      <c r="K6" s="712"/>
      <c r="L6" s="712"/>
      <c r="M6" s="712"/>
      <c r="N6" s="295"/>
    </row>
    <row r="7" spans="1:14" ht="26.25" customHeight="1">
      <c r="A7" s="677" t="s">
        <v>618</v>
      </c>
      <c r="B7" s="995" t="s">
        <v>3065</v>
      </c>
      <c r="C7" s="995"/>
      <c r="D7" s="1505" t="s">
        <v>2971</v>
      </c>
      <c r="E7" s="1505"/>
      <c r="F7" s="1522" t="s">
        <v>5768</v>
      </c>
      <c r="G7" s="1522"/>
      <c r="H7" s="712"/>
      <c r="I7" s="712"/>
      <c r="J7" s="712"/>
      <c r="K7" s="712"/>
      <c r="L7" s="712"/>
      <c r="M7" s="712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80" t="s">
        <v>3067</v>
      </c>
      <c r="C9" s="80" t="s">
        <v>3066</v>
      </c>
      <c r="D9" s="80" t="s">
        <v>3068</v>
      </c>
      <c r="E9" s="295"/>
      <c r="F9" s="295"/>
      <c r="G9" s="295"/>
      <c r="H9" s="295"/>
      <c r="I9" s="295"/>
      <c r="J9" s="295"/>
      <c r="K9" s="295"/>
      <c r="L9" s="295"/>
      <c r="M9" s="295"/>
      <c r="N9" s="295"/>
    </row>
    <row r="10" spans="1:14" ht="26.25" customHeight="1">
      <c r="A10" s="677" t="s">
        <v>2974</v>
      </c>
      <c r="B10" s="995" t="s">
        <v>3032</v>
      </c>
      <c r="C10" s="995"/>
      <c r="D10" s="995" t="s">
        <v>3069</v>
      </c>
      <c r="E10" s="995"/>
      <c r="F10" s="995" t="s">
        <v>3070</v>
      </c>
      <c r="G10" s="995"/>
      <c r="H10" s="295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80" t="s">
        <v>3071</v>
      </c>
      <c r="C11" s="80" t="s">
        <v>3072</v>
      </c>
      <c r="D11" s="80" t="s">
        <v>3073</v>
      </c>
      <c r="E11" s="80" t="s">
        <v>3074</v>
      </c>
      <c r="F11" s="995" t="s">
        <v>3075</v>
      </c>
      <c r="G11" s="995"/>
      <c r="H11" s="295"/>
      <c r="I11" s="295"/>
      <c r="J11" s="295"/>
      <c r="K11" s="295"/>
      <c r="L11" s="295"/>
      <c r="M11" s="295"/>
      <c r="N11" s="295"/>
    </row>
    <row r="12" spans="1:14" ht="26.25" customHeight="1">
      <c r="A12" s="677" t="s">
        <v>2980</v>
      </c>
      <c r="B12" s="80"/>
      <c r="C12" s="80"/>
      <c r="D12" s="80"/>
      <c r="E12" s="80"/>
      <c r="F12" s="1478"/>
      <c r="G12" s="1544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3</v>
      </c>
      <c r="C14" s="1492" t="s">
        <v>2982</v>
      </c>
      <c r="D14" s="1492"/>
      <c r="E14" s="317">
        <v>3</v>
      </c>
      <c r="F14" s="677" t="s">
        <v>1918</v>
      </c>
      <c r="G14" s="317">
        <v>16</v>
      </c>
      <c r="H14" s="677" t="s">
        <v>1492</v>
      </c>
      <c r="I14" s="317">
        <v>2</v>
      </c>
      <c r="J14" s="677" t="s">
        <v>1493</v>
      </c>
      <c r="K14" s="317">
        <v>6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145</v>
      </c>
      <c r="D16" s="677" t="s">
        <v>205</v>
      </c>
      <c r="E16" s="80">
        <v>15</v>
      </c>
      <c r="F16" s="677" t="s">
        <v>2983</v>
      </c>
      <c r="G16" s="80">
        <v>35</v>
      </c>
      <c r="H16" s="677" t="s">
        <v>245</v>
      </c>
      <c r="I16" s="80">
        <v>195</v>
      </c>
      <c r="J16" s="677" t="s">
        <v>207</v>
      </c>
      <c r="K16" s="80">
        <v>40</v>
      </c>
      <c r="L16" s="1505" t="s">
        <v>2984</v>
      </c>
      <c r="M16" s="1505"/>
      <c r="N16" s="80">
        <v>6</v>
      </c>
    </row>
    <row r="17" spans="1:14" ht="26.25" customHeight="1">
      <c r="A17" s="674" t="s">
        <v>209</v>
      </c>
      <c r="B17" s="677" t="s">
        <v>210</v>
      </c>
      <c r="C17" s="80">
        <v>353</v>
      </c>
      <c r="D17" s="677" t="s">
        <v>211</v>
      </c>
      <c r="E17" s="80">
        <v>40</v>
      </c>
      <c r="F17" s="677" t="s">
        <v>212</v>
      </c>
      <c r="G17" s="80">
        <v>96</v>
      </c>
      <c r="H17" s="677" t="s">
        <v>411</v>
      </c>
      <c r="I17" s="80">
        <v>489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318</v>
      </c>
      <c r="D18" s="677" t="s">
        <v>2986</v>
      </c>
      <c r="E18" s="80">
        <v>37</v>
      </c>
      <c r="F18" s="677" t="s">
        <v>2987</v>
      </c>
      <c r="G18" s="80">
        <v>94</v>
      </c>
      <c r="H18" s="677" t="s">
        <v>2988</v>
      </c>
      <c r="I18" s="80">
        <v>449</v>
      </c>
      <c r="J18" s="295"/>
      <c r="K18" s="295"/>
      <c r="L18" s="295"/>
      <c r="M18" s="295"/>
      <c r="N18" s="295"/>
    </row>
    <row r="19" spans="1:14" s="403" customFormat="1" ht="26.25" customHeight="1" thickBo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8" t="s">
        <v>217</v>
      </c>
      <c r="B20" s="1538" t="s">
        <v>218</v>
      </c>
      <c r="C20" s="1539" t="s">
        <v>219</v>
      </c>
      <c r="D20" s="1538" t="s">
        <v>1363</v>
      </c>
      <c r="E20" s="1538" t="s">
        <v>1713</v>
      </c>
      <c r="F20" s="1540" t="s">
        <v>2989</v>
      </c>
      <c r="G20" s="1540"/>
      <c r="H20" s="1540"/>
      <c r="I20" s="1540"/>
      <c r="J20" s="1540"/>
      <c r="K20" s="1540"/>
      <c r="L20" s="1540"/>
      <c r="M20" s="1540"/>
      <c r="N20" s="1541"/>
    </row>
    <row r="21" spans="1:14" ht="26.25" customHeight="1">
      <c r="A21" s="719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20" t="s">
        <v>231</v>
      </c>
    </row>
    <row r="22" spans="1:14" ht="26.25" customHeight="1">
      <c r="A22" s="721" t="s">
        <v>2990</v>
      </c>
      <c r="B22" s="80">
        <v>8000</v>
      </c>
      <c r="C22" s="317" t="s">
        <v>873</v>
      </c>
      <c r="D22" s="300">
        <v>40</v>
      </c>
      <c r="E22" s="300">
        <v>4.6399800000000004</v>
      </c>
      <c r="F22" s="699">
        <v>0</v>
      </c>
      <c r="G22" s="699">
        <v>0</v>
      </c>
      <c r="H22" s="699">
        <v>0.57779999999999998</v>
      </c>
      <c r="I22" s="317"/>
      <c r="J22" s="317"/>
      <c r="K22" s="317"/>
      <c r="L22" s="317"/>
      <c r="M22" s="699">
        <f>F22+G22+H22</f>
        <v>0.57779999999999998</v>
      </c>
      <c r="N22" s="722">
        <f>M22/E22</f>
        <v>0.12452639882068456</v>
      </c>
    </row>
    <row r="23" spans="1:14" ht="26.25" customHeight="1">
      <c r="A23" s="721" t="s">
        <v>234</v>
      </c>
      <c r="B23" s="80">
        <v>7000</v>
      </c>
      <c r="C23" s="317" t="s">
        <v>873</v>
      </c>
      <c r="D23" s="30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731">
        <v>0</v>
      </c>
    </row>
    <row r="24" spans="1:14" ht="26.25" customHeight="1">
      <c r="A24" s="721" t="s">
        <v>2991</v>
      </c>
      <c r="B24" s="80">
        <v>43000</v>
      </c>
      <c r="C24" s="317" t="s">
        <v>236</v>
      </c>
      <c r="D24" s="30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731">
        <f t="shared" ref="N24:N29" si="1">M24/E24</f>
        <v>0</v>
      </c>
    </row>
    <row r="25" spans="1:14" ht="26.25" customHeight="1">
      <c r="A25" s="721" t="s">
        <v>2992</v>
      </c>
      <c r="B25" s="80">
        <v>37000</v>
      </c>
      <c r="C25" s="317" t="s">
        <v>236</v>
      </c>
      <c r="D25" s="30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731">
        <f t="shared" si="1"/>
        <v>0</v>
      </c>
    </row>
    <row r="26" spans="1:14" ht="26.25" customHeight="1">
      <c r="A26" s="721" t="s">
        <v>2993</v>
      </c>
      <c r="B26" s="80">
        <v>1200</v>
      </c>
      <c r="C26" s="317" t="s">
        <v>236</v>
      </c>
      <c r="D26" s="300">
        <v>6</v>
      </c>
      <c r="E26" s="300">
        <v>2</v>
      </c>
      <c r="F26" s="300">
        <v>0</v>
      </c>
      <c r="G26" s="699">
        <v>0</v>
      </c>
      <c r="H26" s="300">
        <v>1.4020600000000001</v>
      </c>
      <c r="I26" s="80"/>
      <c r="J26" s="80"/>
      <c r="K26" s="80"/>
      <c r="L26" s="80"/>
      <c r="M26" s="699">
        <f t="shared" si="0"/>
        <v>1.4020600000000001</v>
      </c>
      <c r="N26" s="724">
        <f t="shared" si="1"/>
        <v>0.70103000000000004</v>
      </c>
    </row>
    <row r="27" spans="1:14" ht="26.25" customHeight="1">
      <c r="A27" s="721" t="s">
        <v>395</v>
      </c>
      <c r="B27" s="80">
        <v>565</v>
      </c>
      <c r="C27" s="317" t="s">
        <v>873</v>
      </c>
      <c r="D27" s="300">
        <v>2.83</v>
      </c>
      <c r="E27" s="300">
        <v>0.50900000000000001</v>
      </c>
      <c r="F27" s="300">
        <v>0</v>
      </c>
      <c r="G27" s="699">
        <v>0</v>
      </c>
      <c r="H27" s="300">
        <v>0.21</v>
      </c>
      <c r="I27" s="80"/>
      <c r="J27" s="80"/>
      <c r="K27" s="80"/>
      <c r="L27" s="80"/>
      <c r="M27" s="699">
        <f t="shared" si="0"/>
        <v>0.21</v>
      </c>
      <c r="N27" s="724">
        <f t="shared" si="1"/>
        <v>0.41257367387033395</v>
      </c>
    </row>
    <row r="28" spans="1:14" ht="26.25" customHeight="1">
      <c r="A28" s="721" t="s">
        <v>1503</v>
      </c>
      <c r="B28" s="80">
        <v>1000</v>
      </c>
      <c r="C28" s="317" t="s">
        <v>873</v>
      </c>
      <c r="D28" s="30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731">
        <v>0</v>
      </c>
    </row>
    <row r="29" spans="1:14" ht="26.25" customHeight="1">
      <c r="A29" s="721" t="s">
        <v>241</v>
      </c>
      <c r="B29" s="80">
        <v>2750</v>
      </c>
      <c r="C29" s="317" t="s">
        <v>2994</v>
      </c>
      <c r="D29" s="300">
        <v>2.31</v>
      </c>
      <c r="E29" s="300">
        <v>0.33</v>
      </c>
      <c r="F29" s="300">
        <v>0</v>
      </c>
      <c r="G29" s="699">
        <v>0</v>
      </c>
      <c r="H29" s="300">
        <v>0.16500000000000001</v>
      </c>
      <c r="I29" s="80"/>
      <c r="J29" s="80"/>
      <c r="K29" s="80"/>
      <c r="L29" s="80"/>
      <c r="M29" s="699">
        <f t="shared" si="0"/>
        <v>0.16500000000000001</v>
      </c>
      <c r="N29" s="724">
        <f t="shared" si="1"/>
        <v>0.5</v>
      </c>
    </row>
    <row r="30" spans="1:14" ht="26.25" customHeight="1">
      <c r="A30" s="721" t="s">
        <v>670</v>
      </c>
      <c r="B30" s="80">
        <v>10000</v>
      </c>
      <c r="C30" s="317" t="s">
        <v>2995</v>
      </c>
      <c r="D30" s="300">
        <v>0.1</v>
      </c>
      <c r="E30" s="300">
        <v>0</v>
      </c>
      <c r="F30" s="300">
        <v>0</v>
      </c>
      <c r="G30" s="699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731">
        <v>0</v>
      </c>
    </row>
    <row r="31" spans="1:14" ht="26.25" customHeight="1" thickBot="1">
      <c r="A31" s="725" t="s">
        <v>230</v>
      </c>
      <c r="B31" s="726">
        <f>SUM(B22:B30)</f>
        <v>110515</v>
      </c>
      <c r="C31" s="726"/>
      <c r="D31" s="727">
        <f>SUM(D22:D30)</f>
        <v>62.64</v>
      </c>
      <c r="E31" s="727">
        <f>SUM(E22:E30)</f>
        <v>7.8189800000000007</v>
      </c>
      <c r="F31" s="727">
        <f>SUM(F22:F30)</f>
        <v>0</v>
      </c>
      <c r="G31" s="727">
        <f t="shared" ref="G31:M31" si="2">SUM(G22:G30)</f>
        <v>0</v>
      </c>
      <c r="H31" s="727">
        <f t="shared" si="2"/>
        <v>2.35486</v>
      </c>
      <c r="I31" s="727">
        <f t="shared" si="2"/>
        <v>0</v>
      </c>
      <c r="J31" s="727">
        <f t="shared" si="2"/>
        <v>0</v>
      </c>
      <c r="K31" s="727">
        <f t="shared" si="2"/>
        <v>0</v>
      </c>
      <c r="L31" s="727">
        <f t="shared" si="2"/>
        <v>0</v>
      </c>
      <c r="M31" s="727">
        <f t="shared" si="2"/>
        <v>2.35486</v>
      </c>
      <c r="N31" s="728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7">
    <mergeCell ref="L16:M16"/>
    <mergeCell ref="B20:B21"/>
    <mergeCell ref="C20:C21"/>
    <mergeCell ref="D20:D21"/>
    <mergeCell ref="E20:E21"/>
    <mergeCell ref="F20:N20"/>
    <mergeCell ref="C14:D14"/>
    <mergeCell ref="A4:C4"/>
    <mergeCell ref="B5:C5"/>
    <mergeCell ref="D5:E5"/>
    <mergeCell ref="F5:G5"/>
    <mergeCell ref="B7:C7"/>
    <mergeCell ref="D7:E7"/>
    <mergeCell ref="F7:G7"/>
    <mergeCell ref="B10:C10"/>
    <mergeCell ref="D10:E10"/>
    <mergeCell ref="F10:G10"/>
    <mergeCell ref="F11:G11"/>
    <mergeCell ref="F12:G12"/>
    <mergeCell ref="A1:N1"/>
    <mergeCell ref="A2:N2"/>
    <mergeCell ref="B3:C3"/>
    <mergeCell ref="D3:E3"/>
    <mergeCell ref="F3:G3"/>
    <mergeCell ref="H3:I3"/>
    <mergeCell ref="J3:K3"/>
    <mergeCell ref="L3:M3"/>
  </mergeCells>
  <hyperlinks>
    <hyperlink ref="A4" location="'Fact Sheet of VDC'!A1" display="&lt;&lt;Back"/>
  </hyperlinks>
  <pageMargins left="0.15" right="0.16" top="0.45" bottom="0.41" header="0.31496062992125984" footer="0.31496062992125984"/>
  <pageSetup scale="75" orientation="landscape" horizontalDpi="300" verticalDpi="300" r:id="rId1"/>
</worksheet>
</file>

<file path=xl/worksheets/sheet298.xml><?xml version="1.0" encoding="utf-8"?>
<worksheet xmlns="http://schemas.openxmlformats.org/spreadsheetml/2006/main" xmlns:r="http://schemas.openxmlformats.org/officeDocument/2006/relationships">
  <dimension ref="A1:N38"/>
  <sheetViews>
    <sheetView workbookViewId="0">
      <selection activeCell="A4" sqref="A4:C4"/>
    </sheetView>
  </sheetViews>
  <sheetFormatPr defaultRowHeight="15"/>
  <cols>
    <col min="1" max="1" width="34.42578125" customWidth="1"/>
    <col min="2" max="2" width="14.28515625" customWidth="1"/>
    <col min="3" max="3" width="12" customWidth="1"/>
    <col min="4" max="4" width="12.5703125" customWidth="1"/>
    <col min="5" max="5" width="14.42578125" customWidth="1"/>
    <col min="6" max="6" width="13.7109375" customWidth="1"/>
    <col min="8" max="8" width="11.5703125" customWidth="1"/>
    <col min="12" max="12" width="12.85546875" customWidth="1"/>
    <col min="257" max="257" width="34.42578125" customWidth="1"/>
    <col min="258" max="258" width="14.28515625" customWidth="1"/>
    <col min="259" max="259" width="12" customWidth="1"/>
    <col min="260" max="260" width="12.5703125" customWidth="1"/>
    <col min="261" max="261" width="14.42578125" customWidth="1"/>
    <col min="262" max="262" width="13.7109375" customWidth="1"/>
    <col min="264" max="264" width="11.5703125" customWidth="1"/>
    <col min="268" max="268" width="12.85546875" customWidth="1"/>
    <col min="513" max="513" width="34.42578125" customWidth="1"/>
    <col min="514" max="514" width="14.28515625" customWidth="1"/>
    <col min="515" max="515" width="12" customWidth="1"/>
    <col min="516" max="516" width="12.5703125" customWidth="1"/>
    <col min="517" max="517" width="14.42578125" customWidth="1"/>
    <col min="518" max="518" width="13.7109375" customWidth="1"/>
    <col min="520" max="520" width="11.5703125" customWidth="1"/>
    <col min="524" max="524" width="12.85546875" customWidth="1"/>
    <col min="769" max="769" width="34.42578125" customWidth="1"/>
    <col min="770" max="770" width="14.28515625" customWidth="1"/>
    <col min="771" max="771" width="12" customWidth="1"/>
    <col min="772" max="772" width="12.5703125" customWidth="1"/>
    <col min="773" max="773" width="14.42578125" customWidth="1"/>
    <col min="774" max="774" width="13.7109375" customWidth="1"/>
    <col min="776" max="776" width="11.5703125" customWidth="1"/>
    <col min="780" max="780" width="12.85546875" customWidth="1"/>
    <col min="1025" max="1025" width="34.42578125" customWidth="1"/>
    <col min="1026" max="1026" width="14.28515625" customWidth="1"/>
    <col min="1027" max="1027" width="12" customWidth="1"/>
    <col min="1028" max="1028" width="12.5703125" customWidth="1"/>
    <col min="1029" max="1029" width="14.42578125" customWidth="1"/>
    <col min="1030" max="1030" width="13.7109375" customWidth="1"/>
    <col min="1032" max="1032" width="11.5703125" customWidth="1"/>
    <col min="1036" max="1036" width="12.85546875" customWidth="1"/>
    <col min="1281" max="1281" width="34.42578125" customWidth="1"/>
    <col min="1282" max="1282" width="14.28515625" customWidth="1"/>
    <col min="1283" max="1283" width="12" customWidth="1"/>
    <col min="1284" max="1284" width="12.5703125" customWidth="1"/>
    <col min="1285" max="1285" width="14.42578125" customWidth="1"/>
    <col min="1286" max="1286" width="13.7109375" customWidth="1"/>
    <col min="1288" max="1288" width="11.5703125" customWidth="1"/>
    <col min="1292" max="1292" width="12.85546875" customWidth="1"/>
    <col min="1537" max="1537" width="34.42578125" customWidth="1"/>
    <col min="1538" max="1538" width="14.28515625" customWidth="1"/>
    <col min="1539" max="1539" width="12" customWidth="1"/>
    <col min="1540" max="1540" width="12.5703125" customWidth="1"/>
    <col min="1541" max="1541" width="14.42578125" customWidth="1"/>
    <col min="1542" max="1542" width="13.7109375" customWidth="1"/>
    <col min="1544" max="1544" width="11.5703125" customWidth="1"/>
    <col min="1548" max="1548" width="12.85546875" customWidth="1"/>
    <col min="1793" max="1793" width="34.42578125" customWidth="1"/>
    <col min="1794" max="1794" width="14.28515625" customWidth="1"/>
    <col min="1795" max="1795" width="12" customWidth="1"/>
    <col min="1796" max="1796" width="12.5703125" customWidth="1"/>
    <col min="1797" max="1797" width="14.42578125" customWidth="1"/>
    <col min="1798" max="1798" width="13.7109375" customWidth="1"/>
    <col min="1800" max="1800" width="11.5703125" customWidth="1"/>
    <col min="1804" max="1804" width="12.85546875" customWidth="1"/>
    <col min="2049" max="2049" width="34.42578125" customWidth="1"/>
    <col min="2050" max="2050" width="14.28515625" customWidth="1"/>
    <col min="2051" max="2051" width="12" customWidth="1"/>
    <col min="2052" max="2052" width="12.5703125" customWidth="1"/>
    <col min="2053" max="2053" width="14.42578125" customWidth="1"/>
    <col min="2054" max="2054" width="13.7109375" customWidth="1"/>
    <col min="2056" max="2056" width="11.5703125" customWidth="1"/>
    <col min="2060" max="2060" width="12.85546875" customWidth="1"/>
    <col min="2305" max="2305" width="34.42578125" customWidth="1"/>
    <col min="2306" max="2306" width="14.28515625" customWidth="1"/>
    <col min="2307" max="2307" width="12" customWidth="1"/>
    <col min="2308" max="2308" width="12.5703125" customWidth="1"/>
    <col min="2309" max="2309" width="14.42578125" customWidth="1"/>
    <col min="2310" max="2310" width="13.7109375" customWidth="1"/>
    <col min="2312" max="2312" width="11.5703125" customWidth="1"/>
    <col min="2316" max="2316" width="12.85546875" customWidth="1"/>
    <col min="2561" max="2561" width="34.42578125" customWidth="1"/>
    <col min="2562" max="2562" width="14.28515625" customWidth="1"/>
    <col min="2563" max="2563" width="12" customWidth="1"/>
    <col min="2564" max="2564" width="12.5703125" customWidth="1"/>
    <col min="2565" max="2565" width="14.42578125" customWidth="1"/>
    <col min="2566" max="2566" width="13.7109375" customWidth="1"/>
    <col min="2568" max="2568" width="11.5703125" customWidth="1"/>
    <col min="2572" max="2572" width="12.85546875" customWidth="1"/>
    <col min="2817" max="2817" width="34.42578125" customWidth="1"/>
    <col min="2818" max="2818" width="14.28515625" customWidth="1"/>
    <col min="2819" max="2819" width="12" customWidth="1"/>
    <col min="2820" max="2820" width="12.5703125" customWidth="1"/>
    <col min="2821" max="2821" width="14.42578125" customWidth="1"/>
    <col min="2822" max="2822" width="13.7109375" customWidth="1"/>
    <col min="2824" max="2824" width="11.5703125" customWidth="1"/>
    <col min="2828" max="2828" width="12.85546875" customWidth="1"/>
    <col min="3073" max="3073" width="34.42578125" customWidth="1"/>
    <col min="3074" max="3074" width="14.28515625" customWidth="1"/>
    <col min="3075" max="3075" width="12" customWidth="1"/>
    <col min="3076" max="3076" width="12.5703125" customWidth="1"/>
    <col min="3077" max="3077" width="14.42578125" customWidth="1"/>
    <col min="3078" max="3078" width="13.7109375" customWidth="1"/>
    <col min="3080" max="3080" width="11.5703125" customWidth="1"/>
    <col min="3084" max="3084" width="12.85546875" customWidth="1"/>
    <col min="3329" max="3329" width="34.42578125" customWidth="1"/>
    <col min="3330" max="3330" width="14.28515625" customWidth="1"/>
    <col min="3331" max="3331" width="12" customWidth="1"/>
    <col min="3332" max="3332" width="12.5703125" customWidth="1"/>
    <col min="3333" max="3333" width="14.42578125" customWidth="1"/>
    <col min="3334" max="3334" width="13.7109375" customWidth="1"/>
    <col min="3336" max="3336" width="11.5703125" customWidth="1"/>
    <col min="3340" max="3340" width="12.85546875" customWidth="1"/>
    <col min="3585" max="3585" width="34.42578125" customWidth="1"/>
    <col min="3586" max="3586" width="14.28515625" customWidth="1"/>
    <col min="3587" max="3587" width="12" customWidth="1"/>
    <col min="3588" max="3588" width="12.5703125" customWidth="1"/>
    <col min="3589" max="3589" width="14.42578125" customWidth="1"/>
    <col min="3590" max="3590" width="13.7109375" customWidth="1"/>
    <col min="3592" max="3592" width="11.5703125" customWidth="1"/>
    <col min="3596" max="3596" width="12.85546875" customWidth="1"/>
    <col min="3841" max="3841" width="34.42578125" customWidth="1"/>
    <col min="3842" max="3842" width="14.28515625" customWidth="1"/>
    <col min="3843" max="3843" width="12" customWidth="1"/>
    <col min="3844" max="3844" width="12.5703125" customWidth="1"/>
    <col min="3845" max="3845" width="14.42578125" customWidth="1"/>
    <col min="3846" max="3846" width="13.7109375" customWidth="1"/>
    <col min="3848" max="3848" width="11.5703125" customWidth="1"/>
    <col min="3852" max="3852" width="12.85546875" customWidth="1"/>
    <col min="4097" max="4097" width="34.42578125" customWidth="1"/>
    <col min="4098" max="4098" width="14.28515625" customWidth="1"/>
    <col min="4099" max="4099" width="12" customWidth="1"/>
    <col min="4100" max="4100" width="12.5703125" customWidth="1"/>
    <col min="4101" max="4101" width="14.42578125" customWidth="1"/>
    <col min="4102" max="4102" width="13.7109375" customWidth="1"/>
    <col min="4104" max="4104" width="11.5703125" customWidth="1"/>
    <col min="4108" max="4108" width="12.85546875" customWidth="1"/>
    <col min="4353" max="4353" width="34.42578125" customWidth="1"/>
    <col min="4354" max="4354" width="14.28515625" customWidth="1"/>
    <col min="4355" max="4355" width="12" customWidth="1"/>
    <col min="4356" max="4356" width="12.5703125" customWidth="1"/>
    <col min="4357" max="4357" width="14.42578125" customWidth="1"/>
    <col min="4358" max="4358" width="13.7109375" customWidth="1"/>
    <col min="4360" max="4360" width="11.5703125" customWidth="1"/>
    <col min="4364" max="4364" width="12.85546875" customWidth="1"/>
    <col min="4609" max="4609" width="34.42578125" customWidth="1"/>
    <col min="4610" max="4610" width="14.28515625" customWidth="1"/>
    <col min="4611" max="4611" width="12" customWidth="1"/>
    <col min="4612" max="4612" width="12.5703125" customWidth="1"/>
    <col min="4613" max="4613" width="14.42578125" customWidth="1"/>
    <col min="4614" max="4614" width="13.7109375" customWidth="1"/>
    <col min="4616" max="4616" width="11.5703125" customWidth="1"/>
    <col min="4620" max="4620" width="12.85546875" customWidth="1"/>
    <col min="4865" max="4865" width="34.42578125" customWidth="1"/>
    <col min="4866" max="4866" width="14.28515625" customWidth="1"/>
    <col min="4867" max="4867" width="12" customWidth="1"/>
    <col min="4868" max="4868" width="12.5703125" customWidth="1"/>
    <col min="4869" max="4869" width="14.42578125" customWidth="1"/>
    <col min="4870" max="4870" width="13.7109375" customWidth="1"/>
    <col min="4872" max="4872" width="11.5703125" customWidth="1"/>
    <col min="4876" max="4876" width="12.85546875" customWidth="1"/>
    <col min="5121" max="5121" width="34.42578125" customWidth="1"/>
    <col min="5122" max="5122" width="14.28515625" customWidth="1"/>
    <col min="5123" max="5123" width="12" customWidth="1"/>
    <col min="5124" max="5124" width="12.5703125" customWidth="1"/>
    <col min="5125" max="5125" width="14.42578125" customWidth="1"/>
    <col min="5126" max="5126" width="13.7109375" customWidth="1"/>
    <col min="5128" max="5128" width="11.5703125" customWidth="1"/>
    <col min="5132" max="5132" width="12.85546875" customWidth="1"/>
    <col min="5377" max="5377" width="34.42578125" customWidth="1"/>
    <col min="5378" max="5378" width="14.28515625" customWidth="1"/>
    <col min="5379" max="5379" width="12" customWidth="1"/>
    <col min="5380" max="5380" width="12.5703125" customWidth="1"/>
    <col min="5381" max="5381" width="14.42578125" customWidth="1"/>
    <col min="5382" max="5382" width="13.7109375" customWidth="1"/>
    <col min="5384" max="5384" width="11.5703125" customWidth="1"/>
    <col min="5388" max="5388" width="12.85546875" customWidth="1"/>
    <col min="5633" max="5633" width="34.42578125" customWidth="1"/>
    <col min="5634" max="5634" width="14.28515625" customWidth="1"/>
    <col min="5635" max="5635" width="12" customWidth="1"/>
    <col min="5636" max="5636" width="12.5703125" customWidth="1"/>
    <col min="5637" max="5637" width="14.42578125" customWidth="1"/>
    <col min="5638" max="5638" width="13.7109375" customWidth="1"/>
    <col min="5640" max="5640" width="11.5703125" customWidth="1"/>
    <col min="5644" max="5644" width="12.85546875" customWidth="1"/>
    <col min="5889" max="5889" width="34.42578125" customWidth="1"/>
    <col min="5890" max="5890" width="14.28515625" customWidth="1"/>
    <col min="5891" max="5891" width="12" customWidth="1"/>
    <col min="5892" max="5892" width="12.5703125" customWidth="1"/>
    <col min="5893" max="5893" width="14.42578125" customWidth="1"/>
    <col min="5894" max="5894" width="13.7109375" customWidth="1"/>
    <col min="5896" max="5896" width="11.5703125" customWidth="1"/>
    <col min="5900" max="5900" width="12.85546875" customWidth="1"/>
    <col min="6145" max="6145" width="34.42578125" customWidth="1"/>
    <col min="6146" max="6146" width="14.28515625" customWidth="1"/>
    <col min="6147" max="6147" width="12" customWidth="1"/>
    <col min="6148" max="6148" width="12.5703125" customWidth="1"/>
    <col min="6149" max="6149" width="14.42578125" customWidth="1"/>
    <col min="6150" max="6150" width="13.7109375" customWidth="1"/>
    <col min="6152" max="6152" width="11.5703125" customWidth="1"/>
    <col min="6156" max="6156" width="12.85546875" customWidth="1"/>
    <col min="6401" max="6401" width="34.42578125" customWidth="1"/>
    <col min="6402" max="6402" width="14.28515625" customWidth="1"/>
    <col min="6403" max="6403" width="12" customWidth="1"/>
    <col min="6404" max="6404" width="12.5703125" customWidth="1"/>
    <col min="6405" max="6405" width="14.42578125" customWidth="1"/>
    <col min="6406" max="6406" width="13.7109375" customWidth="1"/>
    <col min="6408" max="6408" width="11.5703125" customWidth="1"/>
    <col min="6412" max="6412" width="12.85546875" customWidth="1"/>
    <col min="6657" max="6657" width="34.42578125" customWidth="1"/>
    <col min="6658" max="6658" width="14.28515625" customWidth="1"/>
    <col min="6659" max="6659" width="12" customWidth="1"/>
    <col min="6660" max="6660" width="12.5703125" customWidth="1"/>
    <col min="6661" max="6661" width="14.42578125" customWidth="1"/>
    <col min="6662" max="6662" width="13.7109375" customWidth="1"/>
    <col min="6664" max="6664" width="11.5703125" customWidth="1"/>
    <col min="6668" max="6668" width="12.85546875" customWidth="1"/>
    <col min="6913" max="6913" width="34.42578125" customWidth="1"/>
    <col min="6914" max="6914" width="14.28515625" customWidth="1"/>
    <col min="6915" max="6915" width="12" customWidth="1"/>
    <col min="6916" max="6916" width="12.5703125" customWidth="1"/>
    <col min="6917" max="6917" width="14.42578125" customWidth="1"/>
    <col min="6918" max="6918" width="13.7109375" customWidth="1"/>
    <col min="6920" max="6920" width="11.5703125" customWidth="1"/>
    <col min="6924" max="6924" width="12.85546875" customWidth="1"/>
    <col min="7169" max="7169" width="34.42578125" customWidth="1"/>
    <col min="7170" max="7170" width="14.28515625" customWidth="1"/>
    <col min="7171" max="7171" width="12" customWidth="1"/>
    <col min="7172" max="7172" width="12.5703125" customWidth="1"/>
    <col min="7173" max="7173" width="14.42578125" customWidth="1"/>
    <col min="7174" max="7174" width="13.7109375" customWidth="1"/>
    <col min="7176" max="7176" width="11.5703125" customWidth="1"/>
    <col min="7180" max="7180" width="12.85546875" customWidth="1"/>
    <col min="7425" max="7425" width="34.42578125" customWidth="1"/>
    <col min="7426" max="7426" width="14.28515625" customWidth="1"/>
    <col min="7427" max="7427" width="12" customWidth="1"/>
    <col min="7428" max="7428" width="12.5703125" customWidth="1"/>
    <col min="7429" max="7429" width="14.42578125" customWidth="1"/>
    <col min="7430" max="7430" width="13.7109375" customWidth="1"/>
    <col min="7432" max="7432" width="11.5703125" customWidth="1"/>
    <col min="7436" max="7436" width="12.85546875" customWidth="1"/>
    <col min="7681" max="7681" width="34.42578125" customWidth="1"/>
    <col min="7682" max="7682" width="14.28515625" customWidth="1"/>
    <col min="7683" max="7683" width="12" customWidth="1"/>
    <col min="7684" max="7684" width="12.5703125" customWidth="1"/>
    <col min="7685" max="7685" width="14.42578125" customWidth="1"/>
    <col min="7686" max="7686" width="13.7109375" customWidth="1"/>
    <col min="7688" max="7688" width="11.5703125" customWidth="1"/>
    <col min="7692" max="7692" width="12.85546875" customWidth="1"/>
    <col min="7937" max="7937" width="34.42578125" customWidth="1"/>
    <col min="7938" max="7938" width="14.28515625" customWidth="1"/>
    <col min="7939" max="7939" width="12" customWidth="1"/>
    <col min="7940" max="7940" width="12.5703125" customWidth="1"/>
    <col min="7941" max="7941" width="14.42578125" customWidth="1"/>
    <col min="7942" max="7942" width="13.7109375" customWidth="1"/>
    <col min="7944" max="7944" width="11.5703125" customWidth="1"/>
    <col min="7948" max="7948" width="12.85546875" customWidth="1"/>
    <col min="8193" max="8193" width="34.42578125" customWidth="1"/>
    <col min="8194" max="8194" width="14.28515625" customWidth="1"/>
    <col min="8195" max="8195" width="12" customWidth="1"/>
    <col min="8196" max="8196" width="12.5703125" customWidth="1"/>
    <col min="8197" max="8197" width="14.42578125" customWidth="1"/>
    <col min="8198" max="8198" width="13.7109375" customWidth="1"/>
    <col min="8200" max="8200" width="11.5703125" customWidth="1"/>
    <col min="8204" max="8204" width="12.85546875" customWidth="1"/>
    <col min="8449" max="8449" width="34.42578125" customWidth="1"/>
    <col min="8450" max="8450" width="14.28515625" customWidth="1"/>
    <col min="8451" max="8451" width="12" customWidth="1"/>
    <col min="8452" max="8452" width="12.5703125" customWidth="1"/>
    <col min="8453" max="8453" width="14.42578125" customWidth="1"/>
    <col min="8454" max="8454" width="13.7109375" customWidth="1"/>
    <col min="8456" max="8456" width="11.5703125" customWidth="1"/>
    <col min="8460" max="8460" width="12.85546875" customWidth="1"/>
    <col min="8705" max="8705" width="34.42578125" customWidth="1"/>
    <col min="8706" max="8706" width="14.28515625" customWidth="1"/>
    <col min="8707" max="8707" width="12" customWidth="1"/>
    <col min="8708" max="8708" width="12.5703125" customWidth="1"/>
    <col min="8709" max="8709" width="14.42578125" customWidth="1"/>
    <col min="8710" max="8710" width="13.7109375" customWidth="1"/>
    <col min="8712" max="8712" width="11.5703125" customWidth="1"/>
    <col min="8716" max="8716" width="12.85546875" customWidth="1"/>
    <col min="8961" max="8961" width="34.42578125" customWidth="1"/>
    <col min="8962" max="8962" width="14.28515625" customWidth="1"/>
    <col min="8963" max="8963" width="12" customWidth="1"/>
    <col min="8964" max="8964" width="12.5703125" customWidth="1"/>
    <col min="8965" max="8965" width="14.42578125" customWidth="1"/>
    <col min="8966" max="8966" width="13.7109375" customWidth="1"/>
    <col min="8968" max="8968" width="11.5703125" customWidth="1"/>
    <col min="8972" max="8972" width="12.85546875" customWidth="1"/>
    <col min="9217" max="9217" width="34.42578125" customWidth="1"/>
    <col min="9218" max="9218" width="14.28515625" customWidth="1"/>
    <col min="9219" max="9219" width="12" customWidth="1"/>
    <col min="9220" max="9220" width="12.5703125" customWidth="1"/>
    <col min="9221" max="9221" width="14.42578125" customWidth="1"/>
    <col min="9222" max="9222" width="13.7109375" customWidth="1"/>
    <col min="9224" max="9224" width="11.5703125" customWidth="1"/>
    <col min="9228" max="9228" width="12.85546875" customWidth="1"/>
    <col min="9473" max="9473" width="34.42578125" customWidth="1"/>
    <col min="9474" max="9474" width="14.28515625" customWidth="1"/>
    <col min="9475" max="9475" width="12" customWidth="1"/>
    <col min="9476" max="9476" width="12.5703125" customWidth="1"/>
    <col min="9477" max="9477" width="14.42578125" customWidth="1"/>
    <col min="9478" max="9478" width="13.7109375" customWidth="1"/>
    <col min="9480" max="9480" width="11.5703125" customWidth="1"/>
    <col min="9484" max="9484" width="12.85546875" customWidth="1"/>
    <col min="9729" max="9729" width="34.42578125" customWidth="1"/>
    <col min="9730" max="9730" width="14.28515625" customWidth="1"/>
    <col min="9731" max="9731" width="12" customWidth="1"/>
    <col min="9732" max="9732" width="12.5703125" customWidth="1"/>
    <col min="9733" max="9733" width="14.42578125" customWidth="1"/>
    <col min="9734" max="9734" width="13.7109375" customWidth="1"/>
    <col min="9736" max="9736" width="11.5703125" customWidth="1"/>
    <col min="9740" max="9740" width="12.85546875" customWidth="1"/>
    <col min="9985" max="9985" width="34.42578125" customWidth="1"/>
    <col min="9986" max="9986" width="14.28515625" customWidth="1"/>
    <col min="9987" max="9987" width="12" customWidth="1"/>
    <col min="9988" max="9988" width="12.5703125" customWidth="1"/>
    <col min="9989" max="9989" width="14.42578125" customWidth="1"/>
    <col min="9990" max="9990" width="13.7109375" customWidth="1"/>
    <col min="9992" max="9992" width="11.5703125" customWidth="1"/>
    <col min="9996" max="9996" width="12.85546875" customWidth="1"/>
    <col min="10241" max="10241" width="34.42578125" customWidth="1"/>
    <col min="10242" max="10242" width="14.28515625" customWidth="1"/>
    <col min="10243" max="10243" width="12" customWidth="1"/>
    <col min="10244" max="10244" width="12.5703125" customWidth="1"/>
    <col min="10245" max="10245" width="14.42578125" customWidth="1"/>
    <col min="10246" max="10246" width="13.7109375" customWidth="1"/>
    <col min="10248" max="10248" width="11.5703125" customWidth="1"/>
    <col min="10252" max="10252" width="12.85546875" customWidth="1"/>
    <col min="10497" max="10497" width="34.42578125" customWidth="1"/>
    <col min="10498" max="10498" width="14.28515625" customWidth="1"/>
    <col min="10499" max="10499" width="12" customWidth="1"/>
    <col min="10500" max="10500" width="12.5703125" customWidth="1"/>
    <col min="10501" max="10501" width="14.42578125" customWidth="1"/>
    <col min="10502" max="10502" width="13.7109375" customWidth="1"/>
    <col min="10504" max="10504" width="11.5703125" customWidth="1"/>
    <col min="10508" max="10508" width="12.85546875" customWidth="1"/>
    <col min="10753" max="10753" width="34.42578125" customWidth="1"/>
    <col min="10754" max="10754" width="14.28515625" customWidth="1"/>
    <col min="10755" max="10755" width="12" customWidth="1"/>
    <col min="10756" max="10756" width="12.5703125" customWidth="1"/>
    <col min="10757" max="10757" width="14.42578125" customWidth="1"/>
    <col min="10758" max="10758" width="13.7109375" customWidth="1"/>
    <col min="10760" max="10760" width="11.5703125" customWidth="1"/>
    <col min="10764" max="10764" width="12.85546875" customWidth="1"/>
    <col min="11009" max="11009" width="34.42578125" customWidth="1"/>
    <col min="11010" max="11010" width="14.28515625" customWidth="1"/>
    <col min="11011" max="11011" width="12" customWidth="1"/>
    <col min="11012" max="11012" width="12.5703125" customWidth="1"/>
    <col min="11013" max="11013" width="14.42578125" customWidth="1"/>
    <col min="11014" max="11014" width="13.7109375" customWidth="1"/>
    <col min="11016" max="11016" width="11.5703125" customWidth="1"/>
    <col min="11020" max="11020" width="12.85546875" customWidth="1"/>
    <col min="11265" max="11265" width="34.42578125" customWidth="1"/>
    <col min="11266" max="11266" width="14.28515625" customWidth="1"/>
    <col min="11267" max="11267" width="12" customWidth="1"/>
    <col min="11268" max="11268" width="12.5703125" customWidth="1"/>
    <col min="11269" max="11269" width="14.42578125" customWidth="1"/>
    <col min="11270" max="11270" width="13.7109375" customWidth="1"/>
    <col min="11272" max="11272" width="11.5703125" customWidth="1"/>
    <col min="11276" max="11276" width="12.85546875" customWidth="1"/>
    <col min="11521" max="11521" width="34.42578125" customWidth="1"/>
    <col min="11522" max="11522" width="14.28515625" customWidth="1"/>
    <col min="11523" max="11523" width="12" customWidth="1"/>
    <col min="11524" max="11524" width="12.5703125" customWidth="1"/>
    <col min="11525" max="11525" width="14.42578125" customWidth="1"/>
    <col min="11526" max="11526" width="13.7109375" customWidth="1"/>
    <col min="11528" max="11528" width="11.5703125" customWidth="1"/>
    <col min="11532" max="11532" width="12.85546875" customWidth="1"/>
    <col min="11777" max="11777" width="34.42578125" customWidth="1"/>
    <col min="11778" max="11778" width="14.28515625" customWidth="1"/>
    <col min="11779" max="11779" width="12" customWidth="1"/>
    <col min="11780" max="11780" width="12.5703125" customWidth="1"/>
    <col min="11781" max="11781" width="14.42578125" customWidth="1"/>
    <col min="11782" max="11782" width="13.7109375" customWidth="1"/>
    <col min="11784" max="11784" width="11.5703125" customWidth="1"/>
    <col min="11788" max="11788" width="12.85546875" customWidth="1"/>
    <col min="12033" max="12033" width="34.42578125" customWidth="1"/>
    <col min="12034" max="12034" width="14.28515625" customWidth="1"/>
    <col min="12035" max="12035" width="12" customWidth="1"/>
    <col min="12036" max="12036" width="12.5703125" customWidth="1"/>
    <col min="12037" max="12037" width="14.42578125" customWidth="1"/>
    <col min="12038" max="12038" width="13.7109375" customWidth="1"/>
    <col min="12040" max="12040" width="11.5703125" customWidth="1"/>
    <col min="12044" max="12044" width="12.85546875" customWidth="1"/>
    <col min="12289" max="12289" width="34.42578125" customWidth="1"/>
    <col min="12290" max="12290" width="14.28515625" customWidth="1"/>
    <col min="12291" max="12291" width="12" customWidth="1"/>
    <col min="12292" max="12292" width="12.5703125" customWidth="1"/>
    <col min="12293" max="12293" width="14.42578125" customWidth="1"/>
    <col min="12294" max="12294" width="13.7109375" customWidth="1"/>
    <col min="12296" max="12296" width="11.5703125" customWidth="1"/>
    <col min="12300" max="12300" width="12.85546875" customWidth="1"/>
    <col min="12545" max="12545" width="34.42578125" customWidth="1"/>
    <col min="12546" max="12546" width="14.28515625" customWidth="1"/>
    <col min="12547" max="12547" width="12" customWidth="1"/>
    <col min="12548" max="12548" width="12.5703125" customWidth="1"/>
    <col min="12549" max="12549" width="14.42578125" customWidth="1"/>
    <col min="12550" max="12550" width="13.7109375" customWidth="1"/>
    <col min="12552" max="12552" width="11.5703125" customWidth="1"/>
    <col min="12556" max="12556" width="12.85546875" customWidth="1"/>
    <col min="12801" max="12801" width="34.42578125" customWidth="1"/>
    <col min="12802" max="12802" width="14.28515625" customWidth="1"/>
    <col min="12803" max="12803" width="12" customWidth="1"/>
    <col min="12804" max="12804" width="12.5703125" customWidth="1"/>
    <col min="12805" max="12805" width="14.42578125" customWidth="1"/>
    <col min="12806" max="12806" width="13.7109375" customWidth="1"/>
    <col min="12808" max="12808" width="11.5703125" customWidth="1"/>
    <col min="12812" max="12812" width="12.85546875" customWidth="1"/>
    <col min="13057" max="13057" width="34.42578125" customWidth="1"/>
    <col min="13058" max="13058" width="14.28515625" customWidth="1"/>
    <col min="13059" max="13059" width="12" customWidth="1"/>
    <col min="13060" max="13060" width="12.5703125" customWidth="1"/>
    <col min="13061" max="13061" width="14.42578125" customWidth="1"/>
    <col min="13062" max="13062" width="13.7109375" customWidth="1"/>
    <col min="13064" max="13064" width="11.5703125" customWidth="1"/>
    <col min="13068" max="13068" width="12.85546875" customWidth="1"/>
    <col min="13313" max="13313" width="34.42578125" customWidth="1"/>
    <col min="13314" max="13314" width="14.28515625" customWidth="1"/>
    <col min="13315" max="13315" width="12" customWidth="1"/>
    <col min="13316" max="13316" width="12.5703125" customWidth="1"/>
    <col min="13317" max="13317" width="14.42578125" customWidth="1"/>
    <col min="13318" max="13318" width="13.7109375" customWidth="1"/>
    <col min="13320" max="13320" width="11.5703125" customWidth="1"/>
    <col min="13324" max="13324" width="12.85546875" customWidth="1"/>
    <col min="13569" max="13569" width="34.42578125" customWidth="1"/>
    <col min="13570" max="13570" width="14.28515625" customWidth="1"/>
    <col min="13571" max="13571" width="12" customWidth="1"/>
    <col min="13572" max="13572" width="12.5703125" customWidth="1"/>
    <col min="13573" max="13573" width="14.42578125" customWidth="1"/>
    <col min="13574" max="13574" width="13.7109375" customWidth="1"/>
    <col min="13576" max="13576" width="11.5703125" customWidth="1"/>
    <col min="13580" max="13580" width="12.85546875" customWidth="1"/>
    <col min="13825" max="13825" width="34.42578125" customWidth="1"/>
    <col min="13826" max="13826" width="14.28515625" customWidth="1"/>
    <col min="13827" max="13827" width="12" customWidth="1"/>
    <col min="13828" max="13828" width="12.5703125" customWidth="1"/>
    <col min="13829" max="13829" width="14.42578125" customWidth="1"/>
    <col min="13830" max="13830" width="13.7109375" customWidth="1"/>
    <col min="13832" max="13832" width="11.5703125" customWidth="1"/>
    <col min="13836" max="13836" width="12.85546875" customWidth="1"/>
    <col min="14081" max="14081" width="34.42578125" customWidth="1"/>
    <col min="14082" max="14082" width="14.28515625" customWidth="1"/>
    <col min="14083" max="14083" width="12" customWidth="1"/>
    <col min="14084" max="14084" width="12.5703125" customWidth="1"/>
    <col min="14085" max="14085" width="14.42578125" customWidth="1"/>
    <col min="14086" max="14086" width="13.7109375" customWidth="1"/>
    <col min="14088" max="14088" width="11.5703125" customWidth="1"/>
    <col min="14092" max="14092" width="12.85546875" customWidth="1"/>
    <col min="14337" max="14337" width="34.42578125" customWidth="1"/>
    <col min="14338" max="14338" width="14.28515625" customWidth="1"/>
    <col min="14339" max="14339" width="12" customWidth="1"/>
    <col min="14340" max="14340" width="12.5703125" customWidth="1"/>
    <col min="14341" max="14341" width="14.42578125" customWidth="1"/>
    <col min="14342" max="14342" width="13.7109375" customWidth="1"/>
    <col min="14344" max="14344" width="11.5703125" customWidth="1"/>
    <col min="14348" max="14348" width="12.85546875" customWidth="1"/>
    <col min="14593" max="14593" width="34.42578125" customWidth="1"/>
    <col min="14594" max="14594" width="14.28515625" customWidth="1"/>
    <col min="14595" max="14595" width="12" customWidth="1"/>
    <col min="14596" max="14596" width="12.5703125" customWidth="1"/>
    <col min="14597" max="14597" width="14.42578125" customWidth="1"/>
    <col min="14598" max="14598" width="13.7109375" customWidth="1"/>
    <col min="14600" max="14600" width="11.5703125" customWidth="1"/>
    <col min="14604" max="14604" width="12.85546875" customWidth="1"/>
    <col min="14849" max="14849" width="34.42578125" customWidth="1"/>
    <col min="14850" max="14850" width="14.28515625" customWidth="1"/>
    <col min="14851" max="14851" width="12" customWidth="1"/>
    <col min="14852" max="14852" width="12.5703125" customWidth="1"/>
    <col min="14853" max="14853" width="14.42578125" customWidth="1"/>
    <col min="14854" max="14854" width="13.7109375" customWidth="1"/>
    <col min="14856" max="14856" width="11.5703125" customWidth="1"/>
    <col min="14860" max="14860" width="12.85546875" customWidth="1"/>
    <col min="15105" max="15105" width="34.42578125" customWidth="1"/>
    <col min="15106" max="15106" width="14.28515625" customWidth="1"/>
    <col min="15107" max="15107" width="12" customWidth="1"/>
    <col min="15108" max="15108" width="12.5703125" customWidth="1"/>
    <col min="15109" max="15109" width="14.42578125" customWidth="1"/>
    <col min="15110" max="15110" width="13.7109375" customWidth="1"/>
    <col min="15112" max="15112" width="11.5703125" customWidth="1"/>
    <col min="15116" max="15116" width="12.85546875" customWidth="1"/>
    <col min="15361" max="15361" width="34.42578125" customWidth="1"/>
    <col min="15362" max="15362" width="14.28515625" customWidth="1"/>
    <col min="15363" max="15363" width="12" customWidth="1"/>
    <col min="15364" max="15364" width="12.5703125" customWidth="1"/>
    <col min="15365" max="15365" width="14.42578125" customWidth="1"/>
    <col min="15366" max="15366" width="13.7109375" customWidth="1"/>
    <col min="15368" max="15368" width="11.5703125" customWidth="1"/>
    <col min="15372" max="15372" width="12.85546875" customWidth="1"/>
    <col min="15617" max="15617" width="34.42578125" customWidth="1"/>
    <col min="15618" max="15618" width="14.28515625" customWidth="1"/>
    <col min="15619" max="15619" width="12" customWidth="1"/>
    <col min="15620" max="15620" width="12.5703125" customWidth="1"/>
    <col min="15621" max="15621" width="14.42578125" customWidth="1"/>
    <col min="15622" max="15622" width="13.7109375" customWidth="1"/>
    <col min="15624" max="15624" width="11.5703125" customWidth="1"/>
    <col min="15628" max="15628" width="12.85546875" customWidth="1"/>
    <col min="15873" max="15873" width="34.42578125" customWidth="1"/>
    <col min="15874" max="15874" width="14.28515625" customWidth="1"/>
    <col min="15875" max="15875" width="12" customWidth="1"/>
    <col min="15876" max="15876" width="12.5703125" customWidth="1"/>
    <col min="15877" max="15877" width="14.42578125" customWidth="1"/>
    <col min="15878" max="15878" width="13.7109375" customWidth="1"/>
    <col min="15880" max="15880" width="11.5703125" customWidth="1"/>
    <col min="15884" max="15884" width="12.85546875" customWidth="1"/>
    <col min="16129" max="16129" width="34.42578125" customWidth="1"/>
    <col min="16130" max="16130" width="14.28515625" customWidth="1"/>
    <col min="16131" max="16131" width="12" customWidth="1"/>
    <col min="16132" max="16132" width="12.5703125" customWidth="1"/>
    <col min="16133" max="16133" width="14.42578125" customWidth="1"/>
    <col min="16134" max="16134" width="13.7109375" customWidth="1"/>
    <col min="16136" max="16136" width="11.5703125" customWidth="1"/>
    <col min="16140" max="16140" width="12.85546875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995" t="s">
        <v>5769</v>
      </c>
      <c r="C3" s="995"/>
      <c r="D3" s="995"/>
      <c r="E3" s="677" t="s">
        <v>2966</v>
      </c>
      <c r="F3" s="677"/>
      <c r="G3" s="1518">
        <v>405010401160102</v>
      </c>
      <c r="H3" s="1518"/>
      <c r="I3" s="1492" t="s">
        <v>5</v>
      </c>
      <c r="J3" s="1492"/>
      <c r="K3" s="80" t="s">
        <v>3076</v>
      </c>
      <c r="L3" s="1519" t="s">
        <v>436</v>
      </c>
      <c r="M3" s="1519"/>
      <c r="N3" s="80">
        <v>0</v>
      </c>
    </row>
    <row r="4" spans="1:14">
      <c r="A4" s="1521" t="s">
        <v>4176</v>
      </c>
      <c r="B4" s="1521"/>
      <c r="C4" s="1521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</row>
    <row r="5" spans="1:14" ht="26.25" customHeight="1">
      <c r="A5" s="677" t="s">
        <v>2967</v>
      </c>
      <c r="B5" s="80" t="s">
        <v>3077</v>
      </c>
      <c r="C5" s="1492" t="s">
        <v>2969</v>
      </c>
      <c r="D5" s="1492"/>
      <c r="E5" s="1492"/>
      <c r="F5" s="1522" t="s">
        <v>3032</v>
      </c>
      <c r="G5" s="1522"/>
      <c r="H5" s="295"/>
      <c r="I5" s="295"/>
      <c r="J5" s="295"/>
      <c r="K5" s="295"/>
      <c r="L5" s="295"/>
      <c r="M5" s="295"/>
      <c r="N5" s="295"/>
    </row>
    <row r="6" spans="1:14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26.25" customHeight="1">
      <c r="A7" s="677" t="s">
        <v>618</v>
      </c>
      <c r="B7" s="80"/>
      <c r="C7" s="1505" t="s">
        <v>2971</v>
      </c>
      <c r="D7" s="1505"/>
      <c r="E7" s="1522" t="s">
        <v>5770</v>
      </c>
      <c r="F7" s="1522"/>
      <c r="G7" s="712"/>
      <c r="H7" s="295"/>
      <c r="I7" s="295"/>
      <c r="J7" s="295"/>
      <c r="K7" s="295"/>
      <c r="L7" s="295"/>
      <c r="M7" s="295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80" t="s">
        <v>3078</v>
      </c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</row>
    <row r="10" spans="1:14" ht="26.25" customHeight="1">
      <c r="A10" s="677" t="s">
        <v>2974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995" t="s">
        <v>3079</v>
      </c>
      <c r="C11" s="995"/>
      <c r="D11" s="995" t="s">
        <v>3080</v>
      </c>
      <c r="E11" s="995"/>
      <c r="F11" s="1478" t="s">
        <v>3009</v>
      </c>
      <c r="G11" s="995"/>
      <c r="H11" s="995" t="s">
        <v>3077</v>
      </c>
      <c r="I11" s="995"/>
      <c r="J11" s="295"/>
      <c r="K11" s="295"/>
      <c r="L11" s="295"/>
      <c r="M11" s="295"/>
      <c r="N11" s="295"/>
    </row>
    <row r="12" spans="1:14" ht="26.25" customHeight="1">
      <c r="A12" s="677" t="s">
        <v>2980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1</v>
      </c>
      <c r="C14" s="677" t="s">
        <v>2982</v>
      </c>
      <c r="D14" s="677"/>
      <c r="E14" s="317"/>
      <c r="F14" s="677" t="s">
        <v>1918</v>
      </c>
      <c r="G14" s="317">
        <v>7</v>
      </c>
      <c r="H14" s="677" t="s">
        <v>1492</v>
      </c>
      <c r="I14" s="317">
        <v>0</v>
      </c>
      <c r="J14" s="677" t="s">
        <v>1493</v>
      </c>
      <c r="K14" s="317">
        <v>0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100</v>
      </c>
      <c r="D16" s="677" t="s">
        <v>205</v>
      </c>
      <c r="E16" s="80">
        <v>0</v>
      </c>
      <c r="F16" s="677" t="s">
        <v>2983</v>
      </c>
      <c r="G16" s="80">
        <v>0</v>
      </c>
      <c r="H16" s="677" t="s">
        <v>245</v>
      </c>
      <c r="I16" s="80">
        <v>100</v>
      </c>
      <c r="J16" s="677" t="s">
        <v>207</v>
      </c>
      <c r="K16" s="80">
        <v>65</v>
      </c>
      <c r="L16" s="1505" t="s">
        <v>2984</v>
      </c>
      <c r="M16" s="1505"/>
      <c r="N16" s="80">
        <v>9</v>
      </c>
    </row>
    <row r="17" spans="1:14" ht="26.25" customHeight="1">
      <c r="A17" s="674" t="s">
        <v>209</v>
      </c>
      <c r="B17" s="677" t="s">
        <v>210</v>
      </c>
      <c r="C17" s="80">
        <v>258</v>
      </c>
      <c r="D17" s="677" t="s">
        <v>211</v>
      </c>
      <c r="E17" s="80">
        <v>0</v>
      </c>
      <c r="F17" s="677" t="s">
        <v>212</v>
      </c>
      <c r="G17" s="80">
        <v>0</v>
      </c>
      <c r="H17" s="677" t="s">
        <v>411</v>
      </c>
      <c r="I17" s="80">
        <v>258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241</v>
      </c>
      <c r="D18" s="677" t="s">
        <v>2986</v>
      </c>
      <c r="E18" s="80">
        <v>0</v>
      </c>
      <c r="F18" s="677" t="s">
        <v>2987</v>
      </c>
      <c r="G18" s="80">
        <v>0</v>
      </c>
      <c r="H18" s="677" t="s">
        <v>2988</v>
      </c>
      <c r="I18" s="80">
        <v>241</v>
      </c>
      <c r="J18" s="295"/>
      <c r="K18" s="295"/>
      <c r="L18" s="295"/>
      <c r="M18" s="295"/>
      <c r="N18" s="295"/>
    </row>
    <row r="19" spans="1:14" s="403" customFormat="1" ht="26.25" customHeight="1" thickBo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8" t="s">
        <v>217</v>
      </c>
      <c r="B20" s="1538" t="s">
        <v>218</v>
      </c>
      <c r="C20" s="1539" t="s">
        <v>219</v>
      </c>
      <c r="D20" s="1538" t="s">
        <v>1363</v>
      </c>
      <c r="E20" s="1538" t="s">
        <v>1713</v>
      </c>
      <c r="F20" s="1540" t="s">
        <v>2989</v>
      </c>
      <c r="G20" s="1540"/>
      <c r="H20" s="1540"/>
      <c r="I20" s="1540"/>
      <c r="J20" s="1540"/>
      <c r="K20" s="1540"/>
      <c r="L20" s="1540"/>
      <c r="M20" s="1540"/>
      <c r="N20" s="1541"/>
    </row>
    <row r="21" spans="1:14" ht="26.25" customHeight="1">
      <c r="A21" s="719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20" t="s">
        <v>231</v>
      </c>
    </row>
    <row r="22" spans="1:14" ht="26.25" customHeight="1">
      <c r="A22" s="721" t="s">
        <v>2990</v>
      </c>
      <c r="B22" s="80">
        <v>8000</v>
      </c>
      <c r="C22" s="317" t="s">
        <v>873</v>
      </c>
      <c r="D22" s="300">
        <v>40</v>
      </c>
      <c r="E22" s="300">
        <v>5.2694999999999999</v>
      </c>
      <c r="F22" s="699">
        <v>0</v>
      </c>
      <c r="G22" s="699">
        <v>0</v>
      </c>
      <c r="H22" s="699">
        <v>0.89600000000000002</v>
      </c>
      <c r="I22" s="317"/>
      <c r="J22" s="317"/>
      <c r="K22" s="317"/>
      <c r="L22" s="317"/>
      <c r="M22" s="699">
        <f>F22+G22+H22</f>
        <v>0.89600000000000002</v>
      </c>
      <c r="N22" s="722">
        <f>M22/E22*100</f>
        <v>17.003510769522727</v>
      </c>
    </row>
    <row r="23" spans="1:14" ht="26.25" customHeight="1">
      <c r="A23" s="721" t="s">
        <v>234</v>
      </c>
      <c r="B23" s="80">
        <v>7000</v>
      </c>
      <c r="C23" s="317" t="s">
        <v>873</v>
      </c>
      <c r="D23" s="30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731">
        <v>0</v>
      </c>
    </row>
    <row r="24" spans="1:14" ht="26.25" customHeight="1">
      <c r="A24" s="721" t="s">
        <v>2991</v>
      </c>
      <c r="B24" s="80">
        <v>43000</v>
      </c>
      <c r="C24" s="317" t="s">
        <v>236</v>
      </c>
      <c r="D24" s="30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731">
        <f t="shared" ref="N24:N29" si="1">M24/E24*100</f>
        <v>0</v>
      </c>
    </row>
    <row r="25" spans="1:14" ht="26.25" customHeight="1">
      <c r="A25" s="721" t="s">
        <v>2992</v>
      </c>
      <c r="B25" s="80">
        <v>37000</v>
      </c>
      <c r="C25" s="317" t="s">
        <v>236</v>
      </c>
      <c r="D25" s="30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731">
        <f t="shared" si="1"/>
        <v>0</v>
      </c>
    </row>
    <row r="26" spans="1:14" ht="26.25" customHeight="1">
      <c r="A26" s="721" t="s">
        <v>2993</v>
      </c>
      <c r="B26" s="80">
        <v>1200</v>
      </c>
      <c r="C26" s="317" t="s">
        <v>236</v>
      </c>
      <c r="D26" s="300">
        <v>6</v>
      </c>
      <c r="E26" s="300">
        <v>2</v>
      </c>
      <c r="F26" s="300">
        <v>0</v>
      </c>
      <c r="G26" s="699">
        <v>0</v>
      </c>
      <c r="H26" s="300">
        <v>2.5649999999999999E-2</v>
      </c>
      <c r="I26" s="80"/>
      <c r="J26" s="80"/>
      <c r="K26" s="80"/>
      <c r="L26" s="80"/>
      <c r="M26" s="699">
        <f t="shared" si="0"/>
        <v>2.5649999999999999E-2</v>
      </c>
      <c r="N26" s="731">
        <f t="shared" si="1"/>
        <v>1.2825</v>
      </c>
    </row>
    <row r="27" spans="1:14" ht="26.25" customHeight="1">
      <c r="A27" s="721" t="s">
        <v>395</v>
      </c>
      <c r="B27" s="80">
        <v>565</v>
      </c>
      <c r="C27" s="317" t="s">
        <v>873</v>
      </c>
      <c r="D27" s="300">
        <v>2.83</v>
      </c>
      <c r="E27" s="300">
        <v>0.67300000000000004</v>
      </c>
      <c r="F27" s="300">
        <v>0</v>
      </c>
      <c r="G27" s="699">
        <v>0</v>
      </c>
      <c r="H27" s="300">
        <v>0.15</v>
      </c>
      <c r="I27" s="80"/>
      <c r="J27" s="80"/>
      <c r="K27" s="80"/>
      <c r="L27" s="80"/>
      <c r="M27" s="699">
        <f t="shared" si="0"/>
        <v>0.15</v>
      </c>
      <c r="N27" s="724">
        <f t="shared" si="1"/>
        <v>22.288261515601782</v>
      </c>
    </row>
    <row r="28" spans="1:14" ht="26.25" customHeight="1">
      <c r="A28" s="721" t="s">
        <v>1503</v>
      </c>
      <c r="B28" s="80">
        <v>1000</v>
      </c>
      <c r="C28" s="317" t="s">
        <v>873</v>
      </c>
      <c r="D28" s="30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731">
        <v>0</v>
      </c>
    </row>
    <row r="29" spans="1:14" ht="26.25" customHeight="1">
      <c r="A29" s="721" t="s">
        <v>241</v>
      </c>
      <c r="B29" s="80">
        <v>2750</v>
      </c>
      <c r="C29" s="317" t="s">
        <v>2994</v>
      </c>
      <c r="D29" s="300">
        <v>2.31</v>
      </c>
      <c r="E29" s="300">
        <v>0.33</v>
      </c>
      <c r="F29" s="300">
        <v>0</v>
      </c>
      <c r="G29" s="699">
        <v>0</v>
      </c>
      <c r="H29" s="300">
        <v>0.11700000000000001</v>
      </c>
      <c r="I29" s="80"/>
      <c r="J29" s="80"/>
      <c r="K29" s="80"/>
      <c r="L29" s="80"/>
      <c r="M29" s="699">
        <f t="shared" si="0"/>
        <v>0.11700000000000001</v>
      </c>
      <c r="N29" s="724">
        <f t="shared" si="1"/>
        <v>35.454545454545453</v>
      </c>
    </row>
    <row r="30" spans="1:14" ht="26.25" customHeight="1">
      <c r="A30" s="721" t="s">
        <v>670</v>
      </c>
      <c r="B30" s="80">
        <v>10000</v>
      </c>
      <c r="C30" s="317" t="s">
        <v>2995</v>
      </c>
      <c r="D30" s="300">
        <v>0.1</v>
      </c>
      <c r="E30" s="300">
        <v>0</v>
      </c>
      <c r="F30" s="300">
        <v>0</v>
      </c>
      <c r="G30" s="699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731">
        <v>0</v>
      </c>
    </row>
    <row r="31" spans="1:14" ht="26.25" customHeight="1" thickBot="1">
      <c r="A31" s="732" t="s">
        <v>230</v>
      </c>
      <c r="B31" s="726">
        <f>SUM(B22:B30)</f>
        <v>110515</v>
      </c>
      <c r="C31" s="726"/>
      <c r="D31" s="727">
        <f>SUM(D22:D30)</f>
        <v>62.64</v>
      </c>
      <c r="E31" s="727">
        <f>SUM(E22:E30)</f>
        <v>8.6124999999999989</v>
      </c>
      <c r="F31" s="727">
        <f>SUM(F22:F30)</f>
        <v>0</v>
      </c>
      <c r="G31" s="727">
        <f t="shared" ref="G31:M31" si="2">SUM(G22:G30)</f>
        <v>0</v>
      </c>
      <c r="H31" s="727">
        <f t="shared" si="2"/>
        <v>1.18865</v>
      </c>
      <c r="I31" s="727">
        <f t="shared" si="2"/>
        <v>0</v>
      </c>
      <c r="J31" s="727">
        <f t="shared" si="2"/>
        <v>0</v>
      </c>
      <c r="K31" s="727">
        <f t="shared" si="2"/>
        <v>0</v>
      </c>
      <c r="L31" s="727">
        <f t="shared" si="2"/>
        <v>0</v>
      </c>
      <c r="M31" s="727">
        <f t="shared" si="2"/>
        <v>1.18865</v>
      </c>
      <c r="N31" s="728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1">
    <mergeCell ref="H11:I11"/>
    <mergeCell ref="L16:M16"/>
    <mergeCell ref="B20:B21"/>
    <mergeCell ref="C20:C21"/>
    <mergeCell ref="D20:D21"/>
    <mergeCell ref="E20:E21"/>
    <mergeCell ref="F20:N20"/>
    <mergeCell ref="B11:C11"/>
    <mergeCell ref="D11:E11"/>
    <mergeCell ref="F11:G11"/>
    <mergeCell ref="A4:C4"/>
    <mergeCell ref="C5:E5"/>
    <mergeCell ref="F5:G5"/>
    <mergeCell ref="C7:D7"/>
    <mergeCell ref="E7:F7"/>
    <mergeCell ref="A1:N1"/>
    <mergeCell ref="A2:N2"/>
    <mergeCell ref="B3:D3"/>
    <mergeCell ref="G3:H3"/>
    <mergeCell ref="I3:J3"/>
    <mergeCell ref="L3:M3"/>
  </mergeCells>
  <hyperlinks>
    <hyperlink ref="A4" location="'Fact Sheet of VDC'!A1" display="&lt;&lt;Back"/>
  </hyperlinks>
  <pageMargins left="0.17" right="7.0000000000000007E-2" top="0.45" bottom="0.46" header="0.31496062992125984" footer="0.31496062992125984"/>
  <pageSetup scale="75" orientation="landscape" r:id="rId1"/>
</worksheet>
</file>

<file path=xl/worksheets/sheet299.xml><?xml version="1.0" encoding="utf-8"?>
<worksheet xmlns="http://schemas.openxmlformats.org/spreadsheetml/2006/main" xmlns:r="http://schemas.openxmlformats.org/officeDocument/2006/relationships">
  <dimension ref="A1:N38"/>
  <sheetViews>
    <sheetView zoomScale="90" zoomScaleNormal="90" workbookViewId="0">
      <selection activeCell="A4" sqref="A4:C4"/>
    </sheetView>
  </sheetViews>
  <sheetFormatPr defaultRowHeight="15"/>
  <cols>
    <col min="1" max="1" width="36.7109375" customWidth="1"/>
    <col min="2" max="2" width="10" customWidth="1"/>
    <col min="4" max="4" width="15.140625" customWidth="1"/>
    <col min="5" max="5" width="16.7109375" customWidth="1"/>
    <col min="6" max="6" width="13.7109375" customWidth="1"/>
    <col min="8" max="8" width="11.5703125" customWidth="1"/>
    <col min="12" max="12" width="11.42578125" customWidth="1"/>
    <col min="257" max="257" width="36.7109375" customWidth="1"/>
    <col min="258" max="258" width="10" customWidth="1"/>
    <col min="260" max="260" width="15.140625" customWidth="1"/>
    <col min="261" max="261" width="16.7109375" customWidth="1"/>
    <col min="262" max="262" width="13.7109375" customWidth="1"/>
    <col min="264" max="264" width="11.5703125" customWidth="1"/>
    <col min="268" max="268" width="11.42578125" customWidth="1"/>
    <col min="513" max="513" width="36.7109375" customWidth="1"/>
    <col min="514" max="514" width="10" customWidth="1"/>
    <col min="516" max="516" width="15.140625" customWidth="1"/>
    <col min="517" max="517" width="16.7109375" customWidth="1"/>
    <col min="518" max="518" width="13.7109375" customWidth="1"/>
    <col min="520" max="520" width="11.5703125" customWidth="1"/>
    <col min="524" max="524" width="11.42578125" customWidth="1"/>
    <col min="769" max="769" width="36.7109375" customWidth="1"/>
    <col min="770" max="770" width="10" customWidth="1"/>
    <col min="772" max="772" width="15.140625" customWidth="1"/>
    <col min="773" max="773" width="16.7109375" customWidth="1"/>
    <col min="774" max="774" width="13.7109375" customWidth="1"/>
    <col min="776" max="776" width="11.5703125" customWidth="1"/>
    <col min="780" max="780" width="11.42578125" customWidth="1"/>
    <col min="1025" max="1025" width="36.7109375" customWidth="1"/>
    <col min="1026" max="1026" width="10" customWidth="1"/>
    <col min="1028" max="1028" width="15.140625" customWidth="1"/>
    <col min="1029" max="1029" width="16.7109375" customWidth="1"/>
    <col min="1030" max="1030" width="13.7109375" customWidth="1"/>
    <col min="1032" max="1032" width="11.5703125" customWidth="1"/>
    <col min="1036" max="1036" width="11.42578125" customWidth="1"/>
    <col min="1281" max="1281" width="36.7109375" customWidth="1"/>
    <col min="1282" max="1282" width="10" customWidth="1"/>
    <col min="1284" max="1284" width="15.140625" customWidth="1"/>
    <col min="1285" max="1285" width="16.7109375" customWidth="1"/>
    <col min="1286" max="1286" width="13.7109375" customWidth="1"/>
    <col min="1288" max="1288" width="11.5703125" customWidth="1"/>
    <col min="1292" max="1292" width="11.42578125" customWidth="1"/>
    <col min="1537" max="1537" width="36.7109375" customWidth="1"/>
    <col min="1538" max="1538" width="10" customWidth="1"/>
    <col min="1540" max="1540" width="15.140625" customWidth="1"/>
    <col min="1541" max="1541" width="16.7109375" customWidth="1"/>
    <col min="1542" max="1542" width="13.7109375" customWidth="1"/>
    <col min="1544" max="1544" width="11.5703125" customWidth="1"/>
    <col min="1548" max="1548" width="11.42578125" customWidth="1"/>
    <col min="1793" max="1793" width="36.7109375" customWidth="1"/>
    <col min="1794" max="1794" width="10" customWidth="1"/>
    <col min="1796" max="1796" width="15.140625" customWidth="1"/>
    <col min="1797" max="1797" width="16.7109375" customWidth="1"/>
    <col min="1798" max="1798" width="13.7109375" customWidth="1"/>
    <col min="1800" max="1800" width="11.5703125" customWidth="1"/>
    <col min="1804" max="1804" width="11.42578125" customWidth="1"/>
    <col min="2049" max="2049" width="36.7109375" customWidth="1"/>
    <col min="2050" max="2050" width="10" customWidth="1"/>
    <col min="2052" max="2052" width="15.140625" customWidth="1"/>
    <col min="2053" max="2053" width="16.7109375" customWidth="1"/>
    <col min="2054" max="2054" width="13.7109375" customWidth="1"/>
    <col min="2056" max="2056" width="11.5703125" customWidth="1"/>
    <col min="2060" max="2060" width="11.42578125" customWidth="1"/>
    <col min="2305" max="2305" width="36.7109375" customWidth="1"/>
    <col min="2306" max="2306" width="10" customWidth="1"/>
    <col min="2308" max="2308" width="15.140625" customWidth="1"/>
    <col min="2309" max="2309" width="16.7109375" customWidth="1"/>
    <col min="2310" max="2310" width="13.7109375" customWidth="1"/>
    <col min="2312" max="2312" width="11.5703125" customWidth="1"/>
    <col min="2316" max="2316" width="11.42578125" customWidth="1"/>
    <col min="2561" max="2561" width="36.7109375" customWidth="1"/>
    <col min="2562" max="2562" width="10" customWidth="1"/>
    <col min="2564" max="2564" width="15.140625" customWidth="1"/>
    <col min="2565" max="2565" width="16.7109375" customWidth="1"/>
    <col min="2566" max="2566" width="13.7109375" customWidth="1"/>
    <col min="2568" max="2568" width="11.5703125" customWidth="1"/>
    <col min="2572" max="2572" width="11.42578125" customWidth="1"/>
    <col min="2817" max="2817" width="36.7109375" customWidth="1"/>
    <col min="2818" max="2818" width="10" customWidth="1"/>
    <col min="2820" max="2820" width="15.140625" customWidth="1"/>
    <col min="2821" max="2821" width="16.7109375" customWidth="1"/>
    <col min="2822" max="2822" width="13.7109375" customWidth="1"/>
    <col min="2824" max="2824" width="11.5703125" customWidth="1"/>
    <col min="2828" max="2828" width="11.42578125" customWidth="1"/>
    <col min="3073" max="3073" width="36.7109375" customWidth="1"/>
    <col min="3074" max="3074" width="10" customWidth="1"/>
    <col min="3076" max="3076" width="15.140625" customWidth="1"/>
    <col min="3077" max="3077" width="16.7109375" customWidth="1"/>
    <col min="3078" max="3078" width="13.7109375" customWidth="1"/>
    <col min="3080" max="3080" width="11.5703125" customWidth="1"/>
    <col min="3084" max="3084" width="11.42578125" customWidth="1"/>
    <col min="3329" max="3329" width="36.7109375" customWidth="1"/>
    <col min="3330" max="3330" width="10" customWidth="1"/>
    <col min="3332" max="3332" width="15.140625" customWidth="1"/>
    <col min="3333" max="3333" width="16.7109375" customWidth="1"/>
    <col min="3334" max="3334" width="13.7109375" customWidth="1"/>
    <col min="3336" max="3336" width="11.5703125" customWidth="1"/>
    <col min="3340" max="3340" width="11.42578125" customWidth="1"/>
    <col min="3585" max="3585" width="36.7109375" customWidth="1"/>
    <col min="3586" max="3586" width="10" customWidth="1"/>
    <col min="3588" max="3588" width="15.140625" customWidth="1"/>
    <col min="3589" max="3589" width="16.7109375" customWidth="1"/>
    <col min="3590" max="3590" width="13.7109375" customWidth="1"/>
    <col min="3592" max="3592" width="11.5703125" customWidth="1"/>
    <col min="3596" max="3596" width="11.42578125" customWidth="1"/>
    <col min="3841" max="3841" width="36.7109375" customWidth="1"/>
    <col min="3842" max="3842" width="10" customWidth="1"/>
    <col min="3844" max="3844" width="15.140625" customWidth="1"/>
    <col min="3845" max="3845" width="16.7109375" customWidth="1"/>
    <col min="3846" max="3846" width="13.7109375" customWidth="1"/>
    <col min="3848" max="3848" width="11.5703125" customWidth="1"/>
    <col min="3852" max="3852" width="11.42578125" customWidth="1"/>
    <col min="4097" max="4097" width="36.7109375" customWidth="1"/>
    <col min="4098" max="4098" width="10" customWidth="1"/>
    <col min="4100" max="4100" width="15.140625" customWidth="1"/>
    <col min="4101" max="4101" width="16.7109375" customWidth="1"/>
    <col min="4102" max="4102" width="13.7109375" customWidth="1"/>
    <col min="4104" max="4104" width="11.5703125" customWidth="1"/>
    <col min="4108" max="4108" width="11.42578125" customWidth="1"/>
    <col min="4353" max="4353" width="36.7109375" customWidth="1"/>
    <col min="4354" max="4354" width="10" customWidth="1"/>
    <col min="4356" max="4356" width="15.140625" customWidth="1"/>
    <col min="4357" max="4357" width="16.7109375" customWidth="1"/>
    <col min="4358" max="4358" width="13.7109375" customWidth="1"/>
    <col min="4360" max="4360" width="11.5703125" customWidth="1"/>
    <col min="4364" max="4364" width="11.42578125" customWidth="1"/>
    <col min="4609" max="4609" width="36.7109375" customWidth="1"/>
    <col min="4610" max="4610" width="10" customWidth="1"/>
    <col min="4612" max="4612" width="15.140625" customWidth="1"/>
    <col min="4613" max="4613" width="16.7109375" customWidth="1"/>
    <col min="4614" max="4614" width="13.7109375" customWidth="1"/>
    <col min="4616" max="4616" width="11.5703125" customWidth="1"/>
    <col min="4620" max="4620" width="11.42578125" customWidth="1"/>
    <col min="4865" max="4865" width="36.7109375" customWidth="1"/>
    <col min="4866" max="4866" width="10" customWidth="1"/>
    <col min="4868" max="4868" width="15.140625" customWidth="1"/>
    <col min="4869" max="4869" width="16.7109375" customWidth="1"/>
    <col min="4870" max="4870" width="13.7109375" customWidth="1"/>
    <col min="4872" max="4872" width="11.5703125" customWidth="1"/>
    <col min="4876" max="4876" width="11.42578125" customWidth="1"/>
    <col min="5121" max="5121" width="36.7109375" customWidth="1"/>
    <col min="5122" max="5122" width="10" customWidth="1"/>
    <col min="5124" max="5124" width="15.140625" customWidth="1"/>
    <col min="5125" max="5125" width="16.7109375" customWidth="1"/>
    <col min="5126" max="5126" width="13.7109375" customWidth="1"/>
    <col min="5128" max="5128" width="11.5703125" customWidth="1"/>
    <col min="5132" max="5132" width="11.42578125" customWidth="1"/>
    <col min="5377" max="5377" width="36.7109375" customWidth="1"/>
    <col min="5378" max="5378" width="10" customWidth="1"/>
    <col min="5380" max="5380" width="15.140625" customWidth="1"/>
    <col min="5381" max="5381" width="16.7109375" customWidth="1"/>
    <col min="5382" max="5382" width="13.7109375" customWidth="1"/>
    <col min="5384" max="5384" width="11.5703125" customWidth="1"/>
    <col min="5388" max="5388" width="11.42578125" customWidth="1"/>
    <col min="5633" max="5633" width="36.7109375" customWidth="1"/>
    <col min="5634" max="5634" width="10" customWidth="1"/>
    <col min="5636" max="5636" width="15.140625" customWidth="1"/>
    <col min="5637" max="5637" width="16.7109375" customWidth="1"/>
    <col min="5638" max="5638" width="13.7109375" customWidth="1"/>
    <col min="5640" max="5640" width="11.5703125" customWidth="1"/>
    <col min="5644" max="5644" width="11.42578125" customWidth="1"/>
    <col min="5889" max="5889" width="36.7109375" customWidth="1"/>
    <col min="5890" max="5890" width="10" customWidth="1"/>
    <col min="5892" max="5892" width="15.140625" customWidth="1"/>
    <col min="5893" max="5893" width="16.7109375" customWidth="1"/>
    <col min="5894" max="5894" width="13.7109375" customWidth="1"/>
    <col min="5896" max="5896" width="11.5703125" customWidth="1"/>
    <col min="5900" max="5900" width="11.42578125" customWidth="1"/>
    <col min="6145" max="6145" width="36.7109375" customWidth="1"/>
    <col min="6146" max="6146" width="10" customWidth="1"/>
    <col min="6148" max="6148" width="15.140625" customWidth="1"/>
    <col min="6149" max="6149" width="16.7109375" customWidth="1"/>
    <col min="6150" max="6150" width="13.7109375" customWidth="1"/>
    <col min="6152" max="6152" width="11.5703125" customWidth="1"/>
    <col min="6156" max="6156" width="11.42578125" customWidth="1"/>
    <col min="6401" max="6401" width="36.7109375" customWidth="1"/>
    <col min="6402" max="6402" width="10" customWidth="1"/>
    <col min="6404" max="6404" width="15.140625" customWidth="1"/>
    <col min="6405" max="6405" width="16.7109375" customWidth="1"/>
    <col min="6406" max="6406" width="13.7109375" customWidth="1"/>
    <col min="6408" max="6408" width="11.5703125" customWidth="1"/>
    <col min="6412" max="6412" width="11.42578125" customWidth="1"/>
    <col min="6657" max="6657" width="36.7109375" customWidth="1"/>
    <col min="6658" max="6658" width="10" customWidth="1"/>
    <col min="6660" max="6660" width="15.140625" customWidth="1"/>
    <col min="6661" max="6661" width="16.7109375" customWidth="1"/>
    <col min="6662" max="6662" width="13.7109375" customWidth="1"/>
    <col min="6664" max="6664" width="11.5703125" customWidth="1"/>
    <col min="6668" max="6668" width="11.42578125" customWidth="1"/>
    <col min="6913" max="6913" width="36.7109375" customWidth="1"/>
    <col min="6914" max="6914" width="10" customWidth="1"/>
    <col min="6916" max="6916" width="15.140625" customWidth="1"/>
    <col min="6917" max="6917" width="16.7109375" customWidth="1"/>
    <col min="6918" max="6918" width="13.7109375" customWidth="1"/>
    <col min="6920" max="6920" width="11.5703125" customWidth="1"/>
    <col min="6924" max="6924" width="11.42578125" customWidth="1"/>
    <col min="7169" max="7169" width="36.7109375" customWidth="1"/>
    <col min="7170" max="7170" width="10" customWidth="1"/>
    <col min="7172" max="7172" width="15.140625" customWidth="1"/>
    <col min="7173" max="7173" width="16.7109375" customWidth="1"/>
    <col min="7174" max="7174" width="13.7109375" customWidth="1"/>
    <col min="7176" max="7176" width="11.5703125" customWidth="1"/>
    <col min="7180" max="7180" width="11.42578125" customWidth="1"/>
    <col min="7425" max="7425" width="36.7109375" customWidth="1"/>
    <col min="7426" max="7426" width="10" customWidth="1"/>
    <col min="7428" max="7428" width="15.140625" customWidth="1"/>
    <col min="7429" max="7429" width="16.7109375" customWidth="1"/>
    <col min="7430" max="7430" width="13.7109375" customWidth="1"/>
    <col min="7432" max="7432" width="11.5703125" customWidth="1"/>
    <col min="7436" max="7436" width="11.42578125" customWidth="1"/>
    <col min="7681" max="7681" width="36.7109375" customWidth="1"/>
    <col min="7682" max="7682" width="10" customWidth="1"/>
    <col min="7684" max="7684" width="15.140625" customWidth="1"/>
    <col min="7685" max="7685" width="16.7109375" customWidth="1"/>
    <col min="7686" max="7686" width="13.7109375" customWidth="1"/>
    <col min="7688" max="7688" width="11.5703125" customWidth="1"/>
    <col min="7692" max="7692" width="11.42578125" customWidth="1"/>
    <col min="7937" max="7937" width="36.7109375" customWidth="1"/>
    <col min="7938" max="7938" width="10" customWidth="1"/>
    <col min="7940" max="7940" width="15.140625" customWidth="1"/>
    <col min="7941" max="7941" width="16.7109375" customWidth="1"/>
    <col min="7942" max="7942" width="13.7109375" customWidth="1"/>
    <col min="7944" max="7944" width="11.5703125" customWidth="1"/>
    <col min="7948" max="7948" width="11.42578125" customWidth="1"/>
    <col min="8193" max="8193" width="36.7109375" customWidth="1"/>
    <col min="8194" max="8194" width="10" customWidth="1"/>
    <col min="8196" max="8196" width="15.140625" customWidth="1"/>
    <col min="8197" max="8197" width="16.7109375" customWidth="1"/>
    <col min="8198" max="8198" width="13.7109375" customWidth="1"/>
    <col min="8200" max="8200" width="11.5703125" customWidth="1"/>
    <col min="8204" max="8204" width="11.42578125" customWidth="1"/>
    <col min="8449" max="8449" width="36.7109375" customWidth="1"/>
    <col min="8450" max="8450" width="10" customWidth="1"/>
    <col min="8452" max="8452" width="15.140625" customWidth="1"/>
    <col min="8453" max="8453" width="16.7109375" customWidth="1"/>
    <col min="8454" max="8454" width="13.7109375" customWidth="1"/>
    <col min="8456" max="8456" width="11.5703125" customWidth="1"/>
    <col min="8460" max="8460" width="11.42578125" customWidth="1"/>
    <col min="8705" max="8705" width="36.7109375" customWidth="1"/>
    <col min="8706" max="8706" width="10" customWidth="1"/>
    <col min="8708" max="8708" width="15.140625" customWidth="1"/>
    <col min="8709" max="8709" width="16.7109375" customWidth="1"/>
    <col min="8710" max="8710" width="13.7109375" customWidth="1"/>
    <col min="8712" max="8712" width="11.5703125" customWidth="1"/>
    <col min="8716" max="8716" width="11.42578125" customWidth="1"/>
    <col min="8961" max="8961" width="36.7109375" customWidth="1"/>
    <col min="8962" max="8962" width="10" customWidth="1"/>
    <col min="8964" max="8964" width="15.140625" customWidth="1"/>
    <col min="8965" max="8965" width="16.7109375" customWidth="1"/>
    <col min="8966" max="8966" width="13.7109375" customWidth="1"/>
    <col min="8968" max="8968" width="11.5703125" customWidth="1"/>
    <col min="8972" max="8972" width="11.42578125" customWidth="1"/>
    <col min="9217" max="9217" width="36.7109375" customWidth="1"/>
    <col min="9218" max="9218" width="10" customWidth="1"/>
    <col min="9220" max="9220" width="15.140625" customWidth="1"/>
    <col min="9221" max="9221" width="16.7109375" customWidth="1"/>
    <col min="9222" max="9222" width="13.7109375" customWidth="1"/>
    <col min="9224" max="9224" width="11.5703125" customWidth="1"/>
    <col min="9228" max="9228" width="11.42578125" customWidth="1"/>
    <col min="9473" max="9473" width="36.7109375" customWidth="1"/>
    <col min="9474" max="9474" width="10" customWidth="1"/>
    <col min="9476" max="9476" width="15.140625" customWidth="1"/>
    <col min="9477" max="9477" width="16.7109375" customWidth="1"/>
    <col min="9478" max="9478" width="13.7109375" customWidth="1"/>
    <col min="9480" max="9480" width="11.5703125" customWidth="1"/>
    <col min="9484" max="9484" width="11.42578125" customWidth="1"/>
    <col min="9729" max="9729" width="36.7109375" customWidth="1"/>
    <col min="9730" max="9730" width="10" customWidth="1"/>
    <col min="9732" max="9732" width="15.140625" customWidth="1"/>
    <col min="9733" max="9733" width="16.7109375" customWidth="1"/>
    <col min="9734" max="9734" width="13.7109375" customWidth="1"/>
    <col min="9736" max="9736" width="11.5703125" customWidth="1"/>
    <col min="9740" max="9740" width="11.42578125" customWidth="1"/>
    <col min="9985" max="9985" width="36.7109375" customWidth="1"/>
    <col min="9986" max="9986" width="10" customWidth="1"/>
    <col min="9988" max="9988" width="15.140625" customWidth="1"/>
    <col min="9989" max="9989" width="16.7109375" customWidth="1"/>
    <col min="9990" max="9990" width="13.7109375" customWidth="1"/>
    <col min="9992" max="9992" width="11.5703125" customWidth="1"/>
    <col min="9996" max="9996" width="11.42578125" customWidth="1"/>
    <col min="10241" max="10241" width="36.7109375" customWidth="1"/>
    <col min="10242" max="10242" width="10" customWidth="1"/>
    <col min="10244" max="10244" width="15.140625" customWidth="1"/>
    <col min="10245" max="10245" width="16.7109375" customWidth="1"/>
    <col min="10246" max="10246" width="13.7109375" customWidth="1"/>
    <col min="10248" max="10248" width="11.5703125" customWidth="1"/>
    <col min="10252" max="10252" width="11.42578125" customWidth="1"/>
    <col min="10497" max="10497" width="36.7109375" customWidth="1"/>
    <col min="10498" max="10498" width="10" customWidth="1"/>
    <col min="10500" max="10500" width="15.140625" customWidth="1"/>
    <col min="10501" max="10501" width="16.7109375" customWidth="1"/>
    <col min="10502" max="10502" width="13.7109375" customWidth="1"/>
    <col min="10504" max="10504" width="11.5703125" customWidth="1"/>
    <col min="10508" max="10508" width="11.42578125" customWidth="1"/>
    <col min="10753" max="10753" width="36.7109375" customWidth="1"/>
    <col min="10754" max="10754" width="10" customWidth="1"/>
    <col min="10756" max="10756" width="15.140625" customWidth="1"/>
    <col min="10757" max="10757" width="16.7109375" customWidth="1"/>
    <col min="10758" max="10758" width="13.7109375" customWidth="1"/>
    <col min="10760" max="10760" width="11.5703125" customWidth="1"/>
    <col min="10764" max="10764" width="11.42578125" customWidth="1"/>
    <col min="11009" max="11009" width="36.7109375" customWidth="1"/>
    <col min="11010" max="11010" width="10" customWidth="1"/>
    <col min="11012" max="11012" width="15.140625" customWidth="1"/>
    <col min="11013" max="11013" width="16.7109375" customWidth="1"/>
    <col min="11014" max="11014" width="13.7109375" customWidth="1"/>
    <col min="11016" max="11016" width="11.5703125" customWidth="1"/>
    <col min="11020" max="11020" width="11.42578125" customWidth="1"/>
    <col min="11265" max="11265" width="36.7109375" customWidth="1"/>
    <col min="11266" max="11266" width="10" customWidth="1"/>
    <col min="11268" max="11268" width="15.140625" customWidth="1"/>
    <col min="11269" max="11269" width="16.7109375" customWidth="1"/>
    <col min="11270" max="11270" width="13.7109375" customWidth="1"/>
    <col min="11272" max="11272" width="11.5703125" customWidth="1"/>
    <col min="11276" max="11276" width="11.42578125" customWidth="1"/>
    <col min="11521" max="11521" width="36.7109375" customWidth="1"/>
    <col min="11522" max="11522" width="10" customWidth="1"/>
    <col min="11524" max="11524" width="15.140625" customWidth="1"/>
    <col min="11525" max="11525" width="16.7109375" customWidth="1"/>
    <col min="11526" max="11526" width="13.7109375" customWidth="1"/>
    <col min="11528" max="11528" width="11.5703125" customWidth="1"/>
    <col min="11532" max="11532" width="11.42578125" customWidth="1"/>
    <col min="11777" max="11777" width="36.7109375" customWidth="1"/>
    <col min="11778" max="11778" width="10" customWidth="1"/>
    <col min="11780" max="11780" width="15.140625" customWidth="1"/>
    <col min="11781" max="11781" width="16.7109375" customWidth="1"/>
    <col min="11782" max="11782" width="13.7109375" customWidth="1"/>
    <col min="11784" max="11784" width="11.5703125" customWidth="1"/>
    <col min="11788" max="11788" width="11.42578125" customWidth="1"/>
    <col min="12033" max="12033" width="36.7109375" customWidth="1"/>
    <col min="12034" max="12034" width="10" customWidth="1"/>
    <col min="12036" max="12036" width="15.140625" customWidth="1"/>
    <col min="12037" max="12037" width="16.7109375" customWidth="1"/>
    <col min="12038" max="12038" width="13.7109375" customWidth="1"/>
    <col min="12040" max="12040" width="11.5703125" customWidth="1"/>
    <col min="12044" max="12044" width="11.42578125" customWidth="1"/>
    <col min="12289" max="12289" width="36.7109375" customWidth="1"/>
    <col min="12290" max="12290" width="10" customWidth="1"/>
    <col min="12292" max="12292" width="15.140625" customWidth="1"/>
    <col min="12293" max="12293" width="16.7109375" customWidth="1"/>
    <col min="12294" max="12294" width="13.7109375" customWidth="1"/>
    <col min="12296" max="12296" width="11.5703125" customWidth="1"/>
    <col min="12300" max="12300" width="11.42578125" customWidth="1"/>
    <col min="12545" max="12545" width="36.7109375" customWidth="1"/>
    <col min="12546" max="12546" width="10" customWidth="1"/>
    <col min="12548" max="12548" width="15.140625" customWidth="1"/>
    <col min="12549" max="12549" width="16.7109375" customWidth="1"/>
    <col min="12550" max="12550" width="13.7109375" customWidth="1"/>
    <col min="12552" max="12552" width="11.5703125" customWidth="1"/>
    <col min="12556" max="12556" width="11.42578125" customWidth="1"/>
    <col min="12801" max="12801" width="36.7109375" customWidth="1"/>
    <col min="12802" max="12802" width="10" customWidth="1"/>
    <col min="12804" max="12804" width="15.140625" customWidth="1"/>
    <col min="12805" max="12805" width="16.7109375" customWidth="1"/>
    <col min="12806" max="12806" width="13.7109375" customWidth="1"/>
    <col min="12808" max="12808" width="11.5703125" customWidth="1"/>
    <col min="12812" max="12812" width="11.42578125" customWidth="1"/>
    <col min="13057" max="13057" width="36.7109375" customWidth="1"/>
    <col min="13058" max="13058" width="10" customWidth="1"/>
    <col min="13060" max="13060" width="15.140625" customWidth="1"/>
    <col min="13061" max="13061" width="16.7109375" customWidth="1"/>
    <col min="13062" max="13062" width="13.7109375" customWidth="1"/>
    <col min="13064" max="13064" width="11.5703125" customWidth="1"/>
    <col min="13068" max="13068" width="11.42578125" customWidth="1"/>
    <col min="13313" max="13313" width="36.7109375" customWidth="1"/>
    <col min="13314" max="13314" width="10" customWidth="1"/>
    <col min="13316" max="13316" width="15.140625" customWidth="1"/>
    <col min="13317" max="13317" width="16.7109375" customWidth="1"/>
    <col min="13318" max="13318" width="13.7109375" customWidth="1"/>
    <col min="13320" max="13320" width="11.5703125" customWidth="1"/>
    <col min="13324" max="13324" width="11.42578125" customWidth="1"/>
    <col min="13569" max="13569" width="36.7109375" customWidth="1"/>
    <col min="13570" max="13570" width="10" customWidth="1"/>
    <col min="13572" max="13572" width="15.140625" customWidth="1"/>
    <col min="13573" max="13573" width="16.7109375" customWidth="1"/>
    <col min="13574" max="13574" width="13.7109375" customWidth="1"/>
    <col min="13576" max="13576" width="11.5703125" customWidth="1"/>
    <col min="13580" max="13580" width="11.42578125" customWidth="1"/>
    <col min="13825" max="13825" width="36.7109375" customWidth="1"/>
    <col min="13826" max="13826" width="10" customWidth="1"/>
    <col min="13828" max="13828" width="15.140625" customWidth="1"/>
    <col min="13829" max="13829" width="16.7109375" customWidth="1"/>
    <col min="13830" max="13830" width="13.7109375" customWidth="1"/>
    <col min="13832" max="13832" width="11.5703125" customWidth="1"/>
    <col min="13836" max="13836" width="11.42578125" customWidth="1"/>
    <col min="14081" max="14081" width="36.7109375" customWidth="1"/>
    <col min="14082" max="14082" width="10" customWidth="1"/>
    <col min="14084" max="14084" width="15.140625" customWidth="1"/>
    <col min="14085" max="14085" width="16.7109375" customWidth="1"/>
    <col min="14086" max="14086" width="13.7109375" customWidth="1"/>
    <col min="14088" max="14088" width="11.5703125" customWidth="1"/>
    <col min="14092" max="14092" width="11.42578125" customWidth="1"/>
    <col min="14337" max="14337" width="36.7109375" customWidth="1"/>
    <col min="14338" max="14338" width="10" customWidth="1"/>
    <col min="14340" max="14340" width="15.140625" customWidth="1"/>
    <col min="14341" max="14341" width="16.7109375" customWidth="1"/>
    <col min="14342" max="14342" width="13.7109375" customWidth="1"/>
    <col min="14344" max="14344" width="11.5703125" customWidth="1"/>
    <col min="14348" max="14348" width="11.42578125" customWidth="1"/>
    <col min="14593" max="14593" width="36.7109375" customWidth="1"/>
    <col min="14594" max="14594" width="10" customWidth="1"/>
    <col min="14596" max="14596" width="15.140625" customWidth="1"/>
    <col min="14597" max="14597" width="16.7109375" customWidth="1"/>
    <col min="14598" max="14598" width="13.7109375" customWidth="1"/>
    <col min="14600" max="14600" width="11.5703125" customWidth="1"/>
    <col min="14604" max="14604" width="11.42578125" customWidth="1"/>
    <col min="14849" max="14849" width="36.7109375" customWidth="1"/>
    <col min="14850" max="14850" width="10" customWidth="1"/>
    <col min="14852" max="14852" width="15.140625" customWidth="1"/>
    <col min="14853" max="14853" width="16.7109375" customWidth="1"/>
    <col min="14854" max="14854" width="13.7109375" customWidth="1"/>
    <col min="14856" max="14856" width="11.5703125" customWidth="1"/>
    <col min="14860" max="14860" width="11.42578125" customWidth="1"/>
    <col min="15105" max="15105" width="36.7109375" customWidth="1"/>
    <col min="15106" max="15106" width="10" customWidth="1"/>
    <col min="15108" max="15108" width="15.140625" customWidth="1"/>
    <col min="15109" max="15109" width="16.7109375" customWidth="1"/>
    <col min="15110" max="15110" width="13.7109375" customWidth="1"/>
    <col min="15112" max="15112" width="11.5703125" customWidth="1"/>
    <col min="15116" max="15116" width="11.42578125" customWidth="1"/>
    <col min="15361" max="15361" width="36.7109375" customWidth="1"/>
    <col min="15362" max="15362" width="10" customWidth="1"/>
    <col min="15364" max="15364" width="15.140625" customWidth="1"/>
    <col min="15365" max="15365" width="16.7109375" customWidth="1"/>
    <col min="15366" max="15366" width="13.7109375" customWidth="1"/>
    <col min="15368" max="15368" width="11.5703125" customWidth="1"/>
    <col min="15372" max="15372" width="11.42578125" customWidth="1"/>
    <col min="15617" max="15617" width="36.7109375" customWidth="1"/>
    <col min="15618" max="15618" width="10" customWidth="1"/>
    <col min="15620" max="15620" width="15.140625" customWidth="1"/>
    <col min="15621" max="15621" width="16.7109375" customWidth="1"/>
    <col min="15622" max="15622" width="13.7109375" customWidth="1"/>
    <col min="15624" max="15624" width="11.5703125" customWidth="1"/>
    <col min="15628" max="15628" width="11.42578125" customWidth="1"/>
    <col min="15873" max="15873" width="36.7109375" customWidth="1"/>
    <col min="15874" max="15874" width="10" customWidth="1"/>
    <col min="15876" max="15876" width="15.140625" customWidth="1"/>
    <col min="15877" max="15877" width="16.7109375" customWidth="1"/>
    <col min="15878" max="15878" width="13.7109375" customWidth="1"/>
    <col min="15880" max="15880" width="11.5703125" customWidth="1"/>
    <col min="15884" max="15884" width="11.42578125" customWidth="1"/>
    <col min="16129" max="16129" width="36.7109375" customWidth="1"/>
    <col min="16130" max="16130" width="10" customWidth="1"/>
    <col min="16132" max="16132" width="15.140625" customWidth="1"/>
    <col min="16133" max="16133" width="16.7109375" customWidth="1"/>
    <col min="16134" max="16134" width="13.7109375" customWidth="1"/>
    <col min="16136" max="16136" width="11.5703125" customWidth="1"/>
    <col min="16140" max="16140" width="11.42578125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995" t="s">
        <v>5771</v>
      </c>
      <c r="C3" s="995"/>
      <c r="D3" s="995"/>
      <c r="E3" s="1492" t="s">
        <v>2966</v>
      </c>
      <c r="F3" s="1492"/>
      <c r="G3" s="1518">
        <v>405010401160103</v>
      </c>
      <c r="H3" s="1518"/>
      <c r="I3" s="1492" t="s">
        <v>5</v>
      </c>
      <c r="J3" s="1492"/>
      <c r="K3" s="80">
        <v>560</v>
      </c>
      <c r="L3" s="1519" t="s">
        <v>436</v>
      </c>
      <c r="M3" s="1519"/>
      <c r="N3" s="80">
        <v>0</v>
      </c>
    </row>
    <row r="4" spans="1:14">
      <c r="A4" s="1521" t="s">
        <v>4176</v>
      </c>
      <c r="B4" s="1521"/>
      <c r="C4" s="1521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</row>
    <row r="5" spans="1:14" ht="26.25" customHeight="1">
      <c r="A5" s="677" t="s">
        <v>2967</v>
      </c>
      <c r="B5" s="995" t="s">
        <v>3081</v>
      </c>
      <c r="C5" s="995"/>
      <c r="D5" s="1492" t="s">
        <v>2969</v>
      </c>
      <c r="E5" s="1492"/>
      <c r="F5" s="1522" t="s">
        <v>3082</v>
      </c>
      <c r="G5" s="1522"/>
      <c r="H5" s="295"/>
      <c r="I5" s="295"/>
      <c r="J5" s="295"/>
      <c r="K5" s="295"/>
      <c r="L5" s="295"/>
      <c r="M5" s="295"/>
      <c r="N5" s="295"/>
    </row>
    <row r="6" spans="1:14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26.25" customHeight="1">
      <c r="A7" s="677" t="s">
        <v>618</v>
      </c>
      <c r="B7" s="995" t="s">
        <v>3083</v>
      </c>
      <c r="C7" s="995"/>
      <c r="D7" s="995"/>
      <c r="E7" s="1505" t="s">
        <v>2971</v>
      </c>
      <c r="F7" s="1505"/>
      <c r="G7" s="1522" t="s">
        <v>5772</v>
      </c>
      <c r="H7" s="1522"/>
      <c r="I7" s="1522"/>
      <c r="J7" s="1522"/>
      <c r="K7" s="295"/>
      <c r="L7" s="295"/>
      <c r="M7" s="295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995" t="s">
        <v>3084</v>
      </c>
      <c r="C9" s="9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</row>
    <row r="10" spans="1:14" ht="26.25" customHeight="1">
      <c r="A10" s="677" t="s">
        <v>2974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995" t="s">
        <v>3085</v>
      </c>
      <c r="C11" s="995"/>
      <c r="D11" s="995" t="s">
        <v>3086</v>
      </c>
      <c r="E11" s="995"/>
      <c r="F11" s="295"/>
      <c r="G11" s="295"/>
      <c r="H11" s="295"/>
      <c r="I11" s="295"/>
      <c r="J11" s="295"/>
      <c r="K11" s="295"/>
      <c r="L11" s="295"/>
      <c r="M11" s="295"/>
      <c r="N11" s="295"/>
    </row>
    <row r="12" spans="1:14" ht="26.25" customHeight="1">
      <c r="A12" s="677" t="s">
        <v>2980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1</v>
      </c>
      <c r="C14" s="677" t="s">
        <v>2982</v>
      </c>
      <c r="D14" s="677"/>
      <c r="E14" s="317"/>
      <c r="F14" s="677" t="s">
        <v>1918</v>
      </c>
      <c r="G14" s="317">
        <v>8</v>
      </c>
      <c r="H14" s="677" t="s">
        <v>1492</v>
      </c>
      <c r="I14" s="317"/>
      <c r="J14" s="677" t="s">
        <v>1493</v>
      </c>
      <c r="K14" s="317">
        <v>3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126</v>
      </c>
      <c r="D16" s="677" t="s">
        <v>205</v>
      </c>
      <c r="E16" s="80">
        <v>0</v>
      </c>
      <c r="F16" s="677" t="s">
        <v>2983</v>
      </c>
      <c r="G16" s="80">
        <v>0</v>
      </c>
      <c r="H16" s="677" t="s">
        <v>245</v>
      </c>
      <c r="I16" s="80">
        <v>126</v>
      </c>
      <c r="J16" s="677" t="s">
        <v>207</v>
      </c>
      <c r="K16" s="80">
        <v>81</v>
      </c>
      <c r="L16" s="1505" t="s">
        <v>2984</v>
      </c>
      <c r="M16" s="1505"/>
      <c r="N16" s="80">
        <v>4</v>
      </c>
    </row>
    <row r="17" spans="1:14" ht="26.25" customHeight="1">
      <c r="A17" s="674" t="s">
        <v>209</v>
      </c>
      <c r="B17" s="677" t="s">
        <v>210</v>
      </c>
      <c r="C17" s="80">
        <v>202</v>
      </c>
      <c r="D17" s="677" t="s">
        <v>211</v>
      </c>
      <c r="E17" s="80">
        <v>0</v>
      </c>
      <c r="F17" s="677" t="s">
        <v>212</v>
      </c>
      <c r="G17" s="80">
        <v>0</v>
      </c>
      <c r="H17" s="677" t="s">
        <v>411</v>
      </c>
      <c r="I17" s="80">
        <v>202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256</v>
      </c>
      <c r="D18" s="677" t="s">
        <v>2986</v>
      </c>
      <c r="E18" s="80">
        <v>0</v>
      </c>
      <c r="F18" s="677" t="s">
        <v>2987</v>
      </c>
      <c r="G18" s="80">
        <v>0</v>
      </c>
      <c r="H18" s="677" t="s">
        <v>2988</v>
      </c>
      <c r="I18" s="80">
        <v>256</v>
      </c>
      <c r="J18" s="295"/>
      <c r="K18" s="295"/>
      <c r="L18" s="295"/>
      <c r="M18" s="295"/>
      <c r="N18" s="295"/>
    </row>
    <row r="19" spans="1:14" s="403" customFormat="1" ht="26.25" customHeight="1" thickBo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8" t="s">
        <v>217</v>
      </c>
      <c r="B20" s="1538" t="s">
        <v>218</v>
      </c>
      <c r="C20" s="1539" t="s">
        <v>219</v>
      </c>
      <c r="D20" s="1538" t="s">
        <v>1363</v>
      </c>
      <c r="E20" s="1538" t="s">
        <v>1713</v>
      </c>
      <c r="F20" s="1540" t="s">
        <v>2989</v>
      </c>
      <c r="G20" s="1540"/>
      <c r="H20" s="1540"/>
      <c r="I20" s="1540"/>
      <c r="J20" s="1540"/>
      <c r="K20" s="1540"/>
      <c r="L20" s="1540"/>
      <c r="M20" s="1540"/>
      <c r="N20" s="1541"/>
    </row>
    <row r="21" spans="1:14" ht="26.25" customHeight="1">
      <c r="A21" s="719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20" t="s">
        <v>231</v>
      </c>
    </row>
    <row r="22" spans="1:14" ht="26.25" customHeight="1">
      <c r="A22" s="721" t="s">
        <v>2990</v>
      </c>
      <c r="B22" s="80">
        <v>8000</v>
      </c>
      <c r="C22" s="317" t="s">
        <v>873</v>
      </c>
      <c r="D22" s="300">
        <v>40</v>
      </c>
      <c r="E22" s="300">
        <v>4.5962699999999996</v>
      </c>
      <c r="F22" s="699">
        <v>0</v>
      </c>
      <c r="G22" s="699">
        <v>0</v>
      </c>
      <c r="H22" s="699">
        <v>1.2729999999999999</v>
      </c>
      <c r="I22" s="317"/>
      <c r="J22" s="317"/>
      <c r="K22" s="317"/>
      <c r="L22" s="317"/>
      <c r="M22" s="699">
        <f>F22+G22+H22</f>
        <v>1.2729999999999999</v>
      </c>
      <c r="N22" s="722">
        <f>M22/E22*100</f>
        <v>27.696371187941526</v>
      </c>
    </row>
    <row r="23" spans="1:14" ht="26.25" customHeight="1">
      <c r="A23" s="721" t="s">
        <v>234</v>
      </c>
      <c r="B23" s="80">
        <v>7000</v>
      </c>
      <c r="C23" s="317" t="s">
        <v>873</v>
      </c>
      <c r="D23" s="30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731">
        <v>0</v>
      </c>
    </row>
    <row r="24" spans="1:14" ht="26.25" customHeight="1">
      <c r="A24" s="721" t="s">
        <v>2991</v>
      </c>
      <c r="B24" s="80">
        <v>43000</v>
      </c>
      <c r="C24" s="317" t="s">
        <v>236</v>
      </c>
      <c r="D24" s="30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731">
        <f t="shared" ref="N24:N29" si="1">M24/E24*100</f>
        <v>0</v>
      </c>
    </row>
    <row r="25" spans="1:14" ht="26.25" customHeight="1">
      <c r="A25" s="721" t="s">
        <v>2992</v>
      </c>
      <c r="B25" s="80">
        <v>37000</v>
      </c>
      <c r="C25" s="317" t="s">
        <v>236</v>
      </c>
      <c r="D25" s="30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731">
        <f t="shared" si="1"/>
        <v>0</v>
      </c>
    </row>
    <row r="26" spans="1:14" ht="26.25" customHeight="1">
      <c r="A26" s="721" t="s">
        <v>2993</v>
      </c>
      <c r="B26" s="80">
        <v>1200</v>
      </c>
      <c r="C26" s="317" t="s">
        <v>236</v>
      </c>
      <c r="D26" s="300">
        <v>6</v>
      </c>
      <c r="E26" s="300">
        <v>2</v>
      </c>
      <c r="F26" s="300">
        <v>0</v>
      </c>
      <c r="G26" s="699">
        <v>0</v>
      </c>
      <c r="H26" s="300">
        <v>2.5659999999999999E-2</v>
      </c>
      <c r="I26" s="80"/>
      <c r="J26" s="80"/>
      <c r="K26" s="80"/>
      <c r="L26" s="80"/>
      <c r="M26" s="699">
        <f t="shared" si="0"/>
        <v>2.5659999999999999E-2</v>
      </c>
      <c r="N26" s="724">
        <f t="shared" si="1"/>
        <v>1.2829999999999999</v>
      </c>
    </row>
    <row r="27" spans="1:14" ht="26.25" customHeight="1">
      <c r="A27" s="721" t="s">
        <v>395</v>
      </c>
      <c r="B27" s="80">
        <v>565</v>
      </c>
      <c r="C27" s="317" t="s">
        <v>873</v>
      </c>
      <c r="D27" s="300">
        <v>2.83</v>
      </c>
      <c r="E27" s="300">
        <v>0.57699999999999996</v>
      </c>
      <c r="F27" s="300">
        <v>0</v>
      </c>
      <c r="G27" s="699">
        <v>0</v>
      </c>
      <c r="H27" s="300">
        <v>0.15</v>
      </c>
      <c r="I27" s="80"/>
      <c r="J27" s="80"/>
      <c r="K27" s="80"/>
      <c r="L27" s="80"/>
      <c r="M27" s="699">
        <f t="shared" si="0"/>
        <v>0.15</v>
      </c>
      <c r="N27" s="723">
        <f t="shared" si="1"/>
        <v>25.996533795493939</v>
      </c>
    </row>
    <row r="28" spans="1:14" ht="26.25" customHeight="1">
      <c r="A28" s="721" t="s">
        <v>1503</v>
      </c>
      <c r="B28" s="80">
        <v>1000</v>
      </c>
      <c r="C28" s="317" t="s">
        <v>873</v>
      </c>
      <c r="D28" s="30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731">
        <v>0</v>
      </c>
    </row>
    <row r="29" spans="1:14" ht="26.25" customHeight="1">
      <c r="A29" s="721" t="s">
        <v>241</v>
      </c>
      <c r="B29" s="80">
        <v>2750</v>
      </c>
      <c r="C29" s="317" t="s">
        <v>2994</v>
      </c>
      <c r="D29" s="300">
        <v>2.31</v>
      </c>
      <c r="E29" s="300">
        <v>0.33</v>
      </c>
      <c r="F29" s="300">
        <v>0</v>
      </c>
      <c r="G29" s="699">
        <v>0</v>
      </c>
      <c r="H29" s="300">
        <v>0.19500000000000001</v>
      </c>
      <c r="I29" s="80"/>
      <c r="J29" s="80"/>
      <c r="K29" s="80"/>
      <c r="L29" s="80"/>
      <c r="M29" s="699">
        <f t="shared" si="0"/>
        <v>0.19500000000000001</v>
      </c>
      <c r="N29" s="724">
        <f t="shared" si="1"/>
        <v>59.090909090909093</v>
      </c>
    </row>
    <row r="30" spans="1:14" ht="26.25" customHeight="1">
      <c r="A30" s="721" t="s">
        <v>670</v>
      </c>
      <c r="B30" s="80">
        <v>10000</v>
      </c>
      <c r="C30" s="317" t="s">
        <v>2995</v>
      </c>
      <c r="D30" s="300">
        <v>0.1</v>
      </c>
      <c r="E30" s="300">
        <v>0</v>
      </c>
      <c r="F30" s="300">
        <v>0</v>
      </c>
      <c r="G30" s="699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731">
        <v>0</v>
      </c>
    </row>
    <row r="31" spans="1:14" ht="26.25" customHeight="1" thickBot="1">
      <c r="A31" s="732" t="s">
        <v>230</v>
      </c>
      <c r="B31" s="726">
        <f>SUM(B22:B30)</f>
        <v>110515</v>
      </c>
      <c r="C31" s="726"/>
      <c r="D31" s="727">
        <f>SUM(D22:D30)</f>
        <v>62.64</v>
      </c>
      <c r="E31" s="727">
        <f>SUM(E22:E30)</f>
        <v>7.8432699999999995</v>
      </c>
      <c r="F31" s="727">
        <f>SUM(F22:F30)</f>
        <v>0</v>
      </c>
      <c r="G31" s="727">
        <f t="shared" ref="G31:M31" si="2">SUM(G22:G30)</f>
        <v>0</v>
      </c>
      <c r="H31" s="727">
        <f t="shared" si="2"/>
        <v>1.6436599999999999</v>
      </c>
      <c r="I31" s="727">
        <f t="shared" si="2"/>
        <v>0</v>
      </c>
      <c r="J31" s="727">
        <f t="shared" si="2"/>
        <v>0</v>
      </c>
      <c r="K31" s="727">
        <f t="shared" si="2"/>
        <v>0</v>
      </c>
      <c r="L31" s="727">
        <f t="shared" si="2"/>
        <v>0</v>
      </c>
      <c r="M31" s="727">
        <f t="shared" si="2"/>
        <v>1.6436599999999999</v>
      </c>
      <c r="N31" s="728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3">
    <mergeCell ref="B9:C9"/>
    <mergeCell ref="B11:C11"/>
    <mergeCell ref="D11:E11"/>
    <mergeCell ref="L16:M16"/>
    <mergeCell ref="B20:B21"/>
    <mergeCell ref="C20:C21"/>
    <mergeCell ref="D20:D21"/>
    <mergeCell ref="E20:E21"/>
    <mergeCell ref="F20:N20"/>
    <mergeCell ref="A4:C4"/>
    <mergeCell ref="B5:C5"/>
    <mergeCell ref="D5:E5"/>
    <mergeCell ref="F5:G5"/>
    <mergeCell ref="B7:D7"/>
    <mergeCell ref="E7:F7"/>
    <mergeCell ref="G7:J7"/>
    <mergeCell ref="A1:N1"/>
    <mergeCell ref="A2:N2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ageMargins left="0.11" right="0.04" top="0.4" bottom="0.4" header="0.31496062992125984" footer="0.31496062992125984"/>
  <pageSetup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5695</v>
      </c>
      <c r="F4" t="s">
        <v>171</v>
      </c>
      <c r="H4" t="s">
        <v>5696</v>
      </c>
      <c r="J4" t="s">
        <v>172</v>
      </c>
      <c r="K4">
        <v>504</v>
      </c>
      <c r="L4" t="s">
        <v>173</v>
      </c>
      <c r="N4">
        <v>80</v>
      </c>
    </row>
    <row r="6" spans="1:14">
      <c r="A6" t="s">
        <v>174</v>
      </c>
      <c r="B6" t="s">
        <v>365</v>
      </c>
      <c r="F6" t="s">
        <v>176</v>
      </c>
      <c r="H6" t="s">
        <v>366</v>
      </c>
    </row>
    <row r="8" spans="1:14">
      <c r="A8" t="s">
        <v>178</v>
      </c>
      <c r="B8" t="s">
        <v>367</v>
      </c>
      <c r="F8" t="s">
        <v>180</v>
      </c>
      <c r="H8" t="s">
        <v>368</v>
      </c>
    </row>
    <row r="11" spans="1:14">
      <c r="A11" t="s">
        <v>182</v>
      </c>
      <c r="B11" t="s">
        <v>369</v>
      </c>
      <c r="E11" t="s">
        <v>370</v>
      </c>
      <c r="H11" t="s">
        <v>371</v>
      </c>
      <c r="K11" t="s">
        <v>372</v>
      </c>
    </row>
    <row r="12" spans="1:14">
      <c r="A12" t="s">
        <v>187</v>
      </c>
      <c r="B12" t="s">
        <v>373</v>
      </c>
      <c r="E12" t="s">
        <v>374</v>
      </c>
      <c r="H12" t="s">
        <v>375</v>
      </c>
      <c r="K12" t="s">
        <v>310</v>
      </c>
    </row>
    <row r="13" spans="1:14">
      <c r="A13" t="s">
        <v>192</v>
      </c>
      <c r="B13" t="s">
        <v>376</v>
      </c>
      <c r="E13" t="s">
        <v>377</v>
      </c>
      <c r="H13" t="s">
        <v>378</v>
      </c>
      <c r="K13" t="s">
        <v>379</v>
      </c>
    </row>
    <row r="14" spans="1:14">
      <c r="A14" t="s">
        <v>197</v>
      </c>
    </row>
    <row r="16" spans="1:14">
      <c r="A16" t="s">
        <v>198</v>
      </c>
      <c r="B16">
        <v>4</v>
      </c>
      <c r="C16" t="s">
        <v>199</v>
      </c>
      <c r="F16">
        <v>4</v>
      </c>
      <c r="G16" t="s">
        <v>200</v>
      </c>
      <c r="H16">
        <v>10</v>
      </c>
      <c r="I16" t="s">
        <v>201</v>
      </c>
      <c r="J16">
        <v>1</v>
      </c>
      <c r="K16" t="s">
        <v>202</v>
      </c>
      <c r="L16">
        <v>8</v>
      </c>
    </row>
    <row r="18" spans="1:14">
      <c r="A18" t="s">
        <v>203</v>
      </c>
      <c r="B18" t="s">
        <v>204</v>
      </c>
      <c r="C18">
        <f>65+7+13+9</f>
        <v>94</v>
      </c>
      <c r="D18" t="s">
        <v>205</v>
      </c>
      <c r="E18">
        <f>20+7</f>
        <v>27</v>
      </c>
      <c r="F18" t="s">
        <v>206</v>
      </c>
      <c r="G18">
        <v>0</v>
      </c>
      <c r="H18" t="s">
        <v>207</v>
      </c>
      <c r="I18">
        <v>6</v>
      </c>
      <c r="J18" t="s">
        <v>208</v>
      </c>
    </row>
    <row r="19" spans="1:14">
      <c r="A19" t="s">
        <v>209</v>
      </c>
      <c r="B19" t="s">
        <v>210</v>
      </c>
      <c r="C19">
        <v>265</v>
      </c>
      <c r="D19" t="s">
        <v>211</v>
      </c>
      <c r="E19">
        <v>85</v>
      </c>
      <c r="F19" t="s">
        <v>212</v>
      </c>
      <c r="G19">
        <v>0</v>
      </c>
    </row>
    <row r="20" spans="1:14">
      <c r="B20" t="s">
        <v>213</v>
      </c>
      <c r="C20">
        <v>243</v>
      </c>
      <c r="D20" t="s">
        <v>214</v>
      </c>
      <c r="E20">
        <v>77</v>
      </c>
      <c r="F20" t="s">
        <v>215</v>
      </c>
      <c r="G20">
        <v>0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40.32</v>
      </c>
      <c r="E26">
        <v>4.32</v>
      </c>
      <c r="H26">
        <v>2.9230100000000001</v>
      </c>
      <c r="I26">
        <v>11.50196</v>
      </c>
      <c r="J26">
        <v>11.426220000000001</v>
      </c>
      <c r="K26">
        <v>3.3396499999999998</v>
      </c>
      <c r="L26">
        <v>3.4525100000000002</v>
      </c>
      <c r="M26">
        <f>+F26+G26+H26+I26+J26+K26+L26</f>
        <v>32.643349999999998</v>
      </c>
    </row>
    <row r="27" spans="1:14">
      <c r="A27" t="s">
        <v>234</v>
      </c>
      <c r="B27">
        <v>7000</v>
      </c>
      <c r="C27" t="s">
        <v>233</v>
      </c>
      <c r="D27">
        <f>+N4*B27/100000</f>
        <v>5.6</v>
      </c>
      <c r="E27">
        <v>5</v>
      </c>
      <c r="I27">
        <v>0.83926000000000001</v>
      </c>
      <c r="J27">
        <v>1.66899</v>
      </c>
      <c r="K27">
        <v>2.0668799999999998</v>
      </c>
      <c r="L27">
        <v>1.8222499999999999</v>
      </c>
      <c r="M27">
        <f>+F27+G27+H27+I27+J27+K27+L27</f>
        <v>6.3973800000000001</v>
      </c>
    </row>
    <row r="28" spans="1:14">
      <c r="A28" t="s">
        <v>235</v>
      </c>
      <c r="B28">
        <v>43000</v>
      </c>
      <c r="C28" t="s">
        <v>236</v>
      </c>
      <c r="D28">
        <f>43000/100000</f>
        <v>0.43</v>
      </c>
      <c r="E28">
        <v>0.43</v>
      </c>
      <c r="K28">
        <v>0.32284000000000002</v>
      </c>
      <c r="L28">
        <v>0.28947000000000001</v>
      </c>
      <c r="M28">
        <f t="shared" ref="M28:M34" si="0">+F28+G28+H28+I28+J28+K28+L28</f>
        <v>0.61231000000000002</v>
      </c>
    </row>
    <row r="29" spans="1:14">
      <c r="A29" t="s">
        <v>237</v>
      </c>
      <c r="B29">
        <v>37000</v>
      </c>
      <c r="C29" t="s">
        <v>236</v>
      </c>
      <c r="D29">
        <v>0.34</v>
      </c>
      <c r="E29">
        <v>0.34</v>
      </c>
      <c r="I29">
        <v>0.12784000000000001</v>
      </c>
      <c r="K29">
        <v>0.13117000000000001</v>
      </c>
      <c r="M29">
        <f t="shared" si="0"/>
        <v>0.25901000000000002</v>
      </c>
    </row>
    <row r="30" spans="1:14">
      <c r="A30" t="s">
        <v>238</v>
      </c>
      <c r="B30">
        <v>1200</v>
      </c>
      <c r="C30" t="s">
        <v>233</v>
      </c>
      <c r="D30">
        <f>+K4*B30/100000</f>
        <v>6.048</v>
      </c>
      <c r="E30">
        <v>6.048</v>
      </c>
      <c r="I30">
        <f>0.327+0.82095</f>
        <v>1.14795</v>
      </c>
      <c r="J30">
        <f>0.52805+3.54731</f>
        <v>4.0753599999999999</v>
      </c>
      <c r="K30">
        <f>0.10635+2.60908</f>
        <v>2.71543</v>
      </c>
      <c r="L30">
        <f>-3.25714</f>
        <v>-3.2571400000000001</v>
      </c>
      <c r="M30">
        <f t="shared" si="0"/>
        <v>4.6815999999999995</v>
      </c>
    </row>
    <row r="31" spans="1:14">
      <c r="A31" t="s">
        <v>239</v>
      </c>
      <c r="B31">
        <v>565</v>
      </c>
      <c r="C31" t="s">
        <v>233</v>
      </c>
      <c r="D31">
        <v>2.83</v>
      </c>
      <c r="E31">
        <v>2.4500000000000002</v>
      </c>
      <c r="J31">
        <v>5.0000000000000001E-3</v>
      </c>
      <c r="K31">
        <v>2.4500000000000002</v>
      </c>
      <c r="L31">
        <v>-5.0000000000000001E-3</v>
      </c>
      <c r="M31">
        <f t="shared" si="0"/>
        <v>2.4500000000000002</v>
      </c>
    </row>
    <row r="32" spans="1:14">
      <c r="A32" t="s">
        <v>240</v>
      </c>
      <c r="B32">
        <v>1000</v>
      </c>
      <c r="C32" t="s">
        <v>233</v>
      </c>
      <c r="D32">
        <f>+K4*B32/100000</f>
        <v>5.04</v>
      </c>
      <c r="E32">
        <v>5.04</v>
      </c>
      <c r="I32">
        <v>4.3209999999999998E-2</v>
      </c>
      <c r="J32">
        <v>0.1867</v>
      </c>
      <c r="K32">
        <v>0.13732</v>
      </c>
      <c r="L32">
        <f>0.0063-0.17143</f>
        <v>-0.16513</v>
      </c>
      <c r="M32">
        <f t="shared" si="0"/>
        <v>0.2021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v>1.3474999999999999</v>
      </c>
      <c r="H33">
        <v>0.23119999999999999</v>
      </c>
      <c r="I33">
        <v>0.34205000000000002</v>
      </c>
      <c r="J33">
        <v>0.40679999999999999</v>
      </c>
      <c r="K33">
        <v>0.29221000000000003</v>
      </c>
      <c r="L33">
        <v>5.5140000000000002E-2</v>
      </c>
      <c r="M33">
        <f t="shared" si="0"/>
        <v>1.3274000000000001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63.018000000000008</v>
      </c>
      <c r="E35">
        <f t="shared" ref="E35:N35" si="1">SUM(E26:E34)</f>
        <v>24.975499999999997</v>
      </c>
      <c r="F35">
        <f t="shared" si="1"/>
        <v>0</v>
      </c>
      <c r="G35">
        <f t="shared" si="1"/>
        <v>0</v>
      </c>
      <c r="H35">
        <f t="shared" si="1"/>
        <v>3.15421</v>
      </c>
      <c r="I35">
        <f t="shared" si="1"/>
        <v>14.002270000000001</v>
      </c>
      <c r="J35">
        <f t="shared" si="1"/>
        <v>17.769069999999999</v>
      </c>
      <c r="K35">
        <f t="shared" si="1"/>
        <v>11.455500000000002</v>
      </c>
      <c r="L35">
        <f t="shared" si="1"/>
        <v>2.1921000000000004</v>
      </c>
      <c r="M35">
        <f t="shared" si="1"/>
        <v>48.573149999999998</v>
      </c>
      <c r="N35">
        <f t="shared" si="1"/>
        <v>0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719</v>
      </c>
      <c r="C2" t="s">
        <v>611</v>
      </c>
      <c r="D2" t="s">
        <v>5726</v>
      </c>
      <c r="F2" t="s">
        <v>612</v>
      </c>
      <c r="G2">
        <v>412</v>
      </c>
      <c r="H2" t="s">
        <v>613</v>
      </c>
      <c r="I2">
        <v>40</v>
      </c>
      <c r="K2" s="808" t="s">
        <v>4176</v>
      </c>
      <c r="L2" s="808"/>
      <c r="M2" s="808"/>
    </row>
    <row r="3" spans="1:15">
      <c r="A3" t="s">
        <v>614</v>
      </c>
      <c r="B3" t="s">
        <v>720</v>
      </c>
      <c r="E3" t="s">
        <v>616</v>
      </c>
      <c r="G3" t="s">
        <v>721</v>
      </c>
    </row>
    <row r="4" spans="1:15">
      <c r="A4" t="s">
        <v>618</v>
      </c>
      <c r="B4" t="s">
        <v>722</v>
      </c>
      <c r="G4" t="s">
        <v>620</v>
      </c>
      <c r="I4" t="s">
        <v>723</v>
      </c>
    </row>
    <row r="5" spans="1:15">
      <c r="A5" t="s">
        <v>622</v>
      </c>
      <c r="B5" t="s">
        <v>724</v>
      </c>
      <c r="E5" t="s">
        <v>725</v>
      </c>
    </row>
    <row r="6" spans="1:15">
      <c r="A6" t="s">
        <v>628</v>
      </c>
      <c r="B6" t="s">
        <v>726</v>
      </c>
      <c r="E6" t="s">
        <v>727</v>
      </c>
    </row>
    <row r="7" spans="1:15">
      <c r="A7" t="s">
        <v>634</v>
      </c>
      <c r="B7" t="s">
        <v>728</v>
      </c>
      <c r="E7" t="s">
        <v>729</v>
      </c>
    </row>
    <row r="8" spans="1:15">
      <c r="A8" t="s">
        <v>639</v>
      </c>
    </row>
    <row r="9" spans="1:15">
      <c r="A9" t="s">
        <v>641</v>
      </c>
      <c r="B9">
        <v>2</v>
      </c>
      <c r="C9" t="s">
        <v>642</v>
      </c>
      <c r="D9">
        <v>2</v>
      </c>
      <c r="E9" t="s">
        <v>643</v>
      </c>
      <c r="F9">
        <v>3</v>
      </c>
      <c r="G9" t="s">
        <v>644</v>
      </c>
      <c r="H9">
        <v>1</v>
      </c>
      <c r="I9" t="s">
        <v>645</v>
      </c>
      <c r="J9">
        <v>4</v>
      </c>
    </row>
    <row r="10" spans="1:15">
      <c r="A10" t="s">
        <v>646</v>
      </c>
      <c r="B10" t="s">
        <v>204</v>
      </c>
      <c r="C10">
        <v>53</v>
      </c>
      <c r="D10" t="s">
        <v>205</v>
      </c>
      <c r="E10">
        <v>15</v>
      </c>
      <c r="F10" t="s">
        <v>206</v>
      </c>
      <c r="G10">
        <v>0</v>
      </c>
      <c r="H10" t="s">
        <v>230</v>
      </c>
      <c r="I10">
        <v>68</v>
      </c>
      <c r="J10" t="s">
        <v>647</v>
      </c>
      <c r="K10">
        <v>6</v>
      </c>
      <c r="L10" t="s">
        <v>648</v>
      </c>
      <c r="M10">
        <v>31</v>
      </c>
    </row>
    <row r="11" spans="1:15">
      <c r="A11" t="s">
        <v>209</v>
      </c>
      <c r="B11" t="s">
        <v>210</v>
      </c>
      <c r="C11">
        <v>127</v>
      </c>
      <c r="D11" t="s">
        <v>649</v>
      </c>
      <c r="E11">
        <v>32</v>
      </c>
      <c r="F11" t="s">
        <v>212</v>
      </c>
      <c r="G11">
        <v>0</v>
      </c>
      <c r="H11" t="s">
        <v>411</v>
      </c>
      <c r="I11">
        <v>159</v>
      </c>
    </row>
    <row r="12" spans="1:15">
      <c r="B12" t="s">
        <v>213</v>
      </c>
      <c r="C12">
        <v>125</v>
      </c>
      <c r="D12" t="s">
        <v>650</v>
      </c>
      <c r="E12">
        <v>33</v>
      </c>
      <c r="F12" t="s">
        <v>215</v>
      </c>
      <c r="G12">
        <v>0</v>
      </c>
      <c r="H12" t="s">
        <v>410</v>
      </c>
      <c r="I12">
        <v>158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32.96</v>
      </c>
      <c r="F16">
        <v>327600</v>
      </c>
      <c r="H16">
        <v>158670</v>
      </c>
      <c r="I16">
        <v>1809976</v>
      </c>
      <c r="J16">
        <v>973107</v>
      </c>
      <c r="K16">
        <v>54910</v>
      </c>
      <c r="L16">
        <v>276001</v>
      </c>
      <c r="N16">
        <f>G16+H16+I16+J16+K16+L16+M16</f>
        <v>3272664</v>
      </c>
    </row>
    <row r="17" spans="1:15">
      <c r="A17" t="s">
        <v>665</v>
      </c>
      <c r="C17">
        <v>7000</v>
      </c>
      <c r="D17" t="s">
        <v>664</v>
      </c>
      <c r="E17">
        <v>2.8</v>
      </c>
      <c r="F17">
        <v>300000</v>
      </c>
      <c r="G17">
        <v>0</v>
      </c>
      <c r="H17">
        <v>0</v>
      </c>
      <c r="I17">
        <v>62169</v>
      </c>
      <c r="J17">
        <v>169570</v>
      </c>
      <c r="K17">
        <v>12380</v>
      </c>
      <c r="L17">
        <v>0</v>
      </c>
      <c r="N17">
        <f t="shared" ref="N17:N23" si="0">G17+H17+I17+J17+K17+L17+M17</f>
        <v>244119</v>
      </c>
    </row>
    <row r="18" spans="1:15">
      <c r="A18" t="s">
        <v>235</v>
      </c>
      <c r="C18">
        <v>86</v>
      </c>
      <c r="D18" t="s">
        <v>664</v>
      </c>
      <c r="E18">
        <v>0.35</v>
      </c>
      <c r="F18">
        <v>43000</v>
      </c>
      <c r="G18">
        <v>0</v>
      </c>
      <c r="H18">
        <v>0</v>
      </c>
      <c r="I18">
        <v>0</v>
      </c>
      <c r="J18">
        <v>10349</v>
      </c>
      <c r="K18">
        <v>0</v>
      </c>
      <c r="L18">
        <v>32717</v>
      </c>
      <c r="N18">
        <f t="shared" si="0"/>
        <v>43066</v>
      </c>
    </row>
    <row r="19" spans="1:15">
      <c r="A19" t="s">
        <v>666</v>
      </c>
      <c r="C19">
        <v>68</v>
      </c>
      <c r="D19" t="s">
        <v>664</v>
      </c>
      <c r="E19">
        <v>0.28000000000000003</v>
      </c>
      <c r="F19">
        <v>34000</v>
      </c>
      <c r="G19">
        <v>0</v>
      </c>
      <c r="H19">
        <v>0</v>
      </c>
      <c r="I19">
        <v>0</v>
      </c>
      <c r="J19">
        <v>12630</v>
      </c>
      <c r="K19">
        <v>21147</v>
      </c>
      <c r="L19">
        <v>0</v>
      </c>
      <c r="N19">
        <f t="shared" si="0"/>
        <v>33777</v>
      </c>
    </row>
    <row r="20" spans="1:15">
      <c r="A20" t="s">
        <v>238</v>
      </c>
      <c r="C20">
        <v>1200</v>
      </c>
      <c r="D20" t="s">
        <v>664</v>
      </c>
      <c r="E20">
        <v>4.9400000000000004</v>
      </c>
      <c r="F20">
        <v>160000</v>
      </c>
      <c r="G20">
        <v>0</v>
      </c>
      <c r="H20">
        <v>0</v>
      </c>
      <c r="I20">
        <v>0</v>
      </c>
      <c r="J20">
        <v>0</v>
      </c>
      <c r="K20">
        <v>51000</v>
      </c>
      <c r="L20">
        <v>277196</v>
      </c>
      <c r="N20">
        <f t="shared" si="0"/>
        <v>328196</v>
      </c>
    </row>
    <row r="21" spans="1:15">
      <c r="A21" t="s">
        <v>667</v>
      </c>
      <c r="C21">
        <v>565</v>
      </c>
      <c r="D21" t="s">
        <v>664</v>
      </c>
      <c r="E21">
        <v>2.2599999999999998</v>
      </c>
      <c r="F21">
        <v>215000</v>
      </c>
      <c r="G21">
        <v>0</v>
      </c>
      <c r="H21">
        <v>0</v>
      </c>
      <c r="I21">
        <v>0</v>
      </c>
      <c r="J21">
        <v>20000</v>
      </c>
      <c r="K21">
        <v>194505</v>
      </c>
      <c r="L21">
        <v>495</v>
      </c>
      <c r="N21">
        <f t="shared" si="0"/>
        <v>215000</v>
      </c>
    </row>
    <row r="22" spans="1:15">
      <c r="A22" t="s">
        <v>668</v>
      </c>
      <c r="C22">
        <v>1000</v>
      </c>
      <c r="D22" t="s">
        <v>664</v>
      </c>
      <c r="E22">
        <v>4.12</v>
      </c>
      <c r="F22">
        <v>412000</v>
      </c>
      <c r="G22">
        <v>0</v>
      </c>
      <c r="H22">
        <v>0</v>
      </c>
      <c r="I22">
        <v>0</v>
      </c>
      <c r="J22">
        <v>0</v>
      </c>
      <c r="N22">
        <f t="shared" si="0"/>
        <v>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G23">
        <v>0</v>
      </c>
      <c r="H23">
        <v>29662</v>
      </c>
      <c r="I23">
        <v>36357</v>
      </c>
      <c r="J23">
        <v>34332</v>
      </c>
      <c r="K23">
        <v>13938</v>
      </c>
      <c r="L23">
        <v>15750</v>
      </c>
      <c r="N23">
        <f t="shared" si="0"/>
        <v>130039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50.12</v>
      </c>
      <c r="F25">
        <f t="shared" ref="F25:O25" si="1">SUM(F16:F24)</f>
        <v>1623600</v>
      </c>
      <c r="G25">
        <f t="shared" si="1"/>
        <v>0</v>
      </c>
      <c r="H25">
        <f t="shared" si="1"/>
        <v>188332</v>
      </c>
      <c r="I25">
        <f t="shared" si="1"/>
        <v>1908502</v>
      </c>
      <c r="J25">
        <f t="shared" si="1"/>
        <v>1219988</v>
      </c>
      <c r="K25">
        <f t="shared" si="1"/>
        <v>347880</v>
      </c>
      <c r="L25">
        <f t="shared" si="1"/>
        <v>602159</v>
      </c>
      <c r="M25">
        <f t="shared" si="1"/>
        <v>0</v>
      </c>
      <c r="N25">
        <f t="shared" si="1"/>
        <v>4266861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300.xml><?xml version="1.0" encoding="utf-8"?>
<worksheet xmlns="http://schemas.openxmlformats.org/spreadsheetml/2006/main" xmlns:r="http://schemas.openxmlformats.org/officeDocument/2006/relationships">
  <dimension ref="A1:N38"/>
  <sheetViews>
    <sheetView workbookViewId="0">
      <selection activeCell="A4" sqref="A4:C4"/>
    </sheetView>
  </sheetViews>
  <sheetFormatPr defaultRowHeight="15"/>
  <cols>
    <col min="1" max="1" width="36.7109375" customWidth="1"/>
    <col min="2" max="2" width="10" customWidth="1"/>
    <col min="4" max="4" width="15.140625" customWidth="1"/>
    <col min="5" max="5" width="14.5703125" customWidth="1"/>
    <col min="6" max="6" width="13.7109375" customWidth="1"/>
    <col min="8" max="8" width="11.5703125" customWidth="1"/>
    <col min="12" max="12" width="12.28515625" customWidth="1"/>
    <col min="257" max="257" width="36.7109375" customWidth="1"/>
    <col min="258" max="258" width="10" customWidth="1"/>
    <col min="260" max="260" width="15.140625" customWidth="1"/>
    <col min="261" max="261" width="14.5703125" customWidth="1"/>
    <col min="262" max="262" width="13.7109375" customWidth="1"/>
    <col min="264" max="264" width="11.5703125" customWidth="1"/>
    <col min="268" max="268" width="12.28515625" customWidth="1"/>
    <col min="513" max="513" width="36.7109375" customWidth="1"/>
    <col min="514" max="514" width="10" customWidth="1"/>
    <col min="516" max="516" width="15.140625" customWidth="1"/>
    <col min="517" max="517" width="14.5703125" customWidth="1"/>
    <col min="518" max="518" width="13.7109375" customWidth="1"/>
    <col min="520" max="520" width="11.5703125" customWidth="1"/>
    <col min="524" max="524" width="12.28515625" customWidth="1"/>
    <col min="769" max="769" width="36.7109375" customWidth="1"/>
    <col min="770" max="770" width="10" customWidth="1"/>
    <col min="772" max="772" width="15.140625" customWidth="1"/>
    <col min="773" max="773" width="14.5703125" customWidth="1"/>
    <col min="774" max="774" width="13.7109375" customWidth="1"/>
    <col min="776" max="776" width="11.5703125" customWidth="1"/>
    <col min="780" max="780" width="12.28515625" customWidth="1"/>
    <col min="1025" max="1025" width="36.7109375" customWidth="1"/>
    <col min="1026" max="1026" width="10" customWidth="1"/>
    <col min="1028" max="1028" width="15.140625" customWidth="1"/>
    <col min="1029" max="1029" width="14.5703125" customWidth="1"/>
    <col min="1030" max="1030" width="13.7109375" customWidth="1"/>
    <col min="1032" max="1032" width="11.5703125" customWidth="1"/>
    <col min="1036" max="1036" width="12.28515625" customWidth="1"/>
    <col min="1281" max="1281" width="36.7109375" customWidth="1"/>
    <col min="1282" max="1282" width="10" customWidth="1"/>
    <col min="1284" max="1284" width="15.140625" customWidth="1"/>
    <col min="1285" max="1285" width="14.5703125" customWidth="1"/>
    <col min="1286" max="1286" width="13.7109375" customWidth="1"/>
    <col min="1288" max="1288" width="11.5703125" customWidth="1"/>
    <col min="1292" max="1292" width="12.28515625" customWidth="1"/>
    <col min="1537" max="1537" width="36.7109375" customWidth="1"/>
    <col min="1538" max="1538" width="10" customWidth="1"/>
    <col min="1540" max="1540" width="15.140625" customWidth="1"/>
    <col min="1541" max="1541" width="14.5703125" customWidth="1"/>
    <col min="1542" max="1542" width="13.7109375" customWidth="1"/>
    <col min="1544" max="1544" width="11.5703125" customWidth="1"/>
    <col min="1548" max="1548" width="12.28515625" customWidth="1"/>
    <col min="1793" max="1793" width="36.7109375" customWidth="1"/>
    <col min="1794" max="1794" width="10" customWidth="1"/>
    <col min="1796" max="1796" width="15.140625" customWidth="1"/>
    <col min="1797" max="1797" width="14.5703125" customWidth="1"/>
    <col min="1798" max="1798" width="13.7109375" customWidth="1"/>
    <col min="1800" max="1800" width="11.5703125" customWidth="1"/>
    <col min="1804" max="1804" width="12.28515625" customWidth="1"/>
    <col min="2049" max="2049" width="36.7109375" customWidth="1"/>
    <col min="2050" max="2050" width="10" customWidth="1"/>
    <col min="2052" max="2052" width="15.140625" customWidth="1"/>
    <col min="2053" max="2053" width="14.5703125" customWidth="1"/>
    <col min="2054" max="2054" width="13.7109375" customWidth="1"/>
    <col min="2056" max="2056" width="11.5703125" customWidth="1"/>
    <col min="2060" max="2060" width="12.28515625" customWidth="1"/>
    <col min="2305" max="2305" width="36.7109375" customWidth="1"/>
    <col min="2306" max="2306" width="10" customWidth="1"/>
    <col min="2308" max="2308" width="15.140625" customWidth="1"/>
    <col min="2309" max="2309" width="14.5703125" customWidth="1"/>
    <col min="2310" max="2310" width="13.7109375" customWidth="1"/>
    <col min="2312" max="2312" width="11.5703125" customWidth="1"/>
    <col min="2316" max="2316" width="12.28515625" customWidth="1"/>
    <col min="2561" max="2561" width="36.7109375" customWidth="1"/>
    <col min="2562" max="2562" width="10" customWidth="1"/>
    <col min="2564" max="2564" width="15.140625" customWidth="1"/>
    <col min="2565" max="2565" width="14.5703125" customWidth="1"/>
    <col min="2566" max="2566" width="13.7109375" customWidth="1"/>
    <col min="2568" max="2568" width="11.5703125" customWidth="1"/>
    <col min="2572" max="2572" width="12.28515625" customWidth="1"/>
    <col min="2817" max="2817" width="36.7109375" customWidth="1"/>
    <col min="2818" max="2818" width="10" customWidth="1"/>
    <col min="2820" max="2820" width="15.140625" customWidth="1"/>
    <col min="2821" max="2821" width="14.5703125" customWidth="1"/>
    <col min="2822" max="2822" width="13.7109375" customWidth="1"/>
    <col min="2824" max="2824" width="11.5703125" customWidth="1"/>
    <col min="2828" max="2828" width="12.28515625" customWidth="1"/>
    <col min="3073" max="3073" width="36.7109375" customWidth="1"/>
    <col min="3074" max="3074" width="10" customWidth="1"/>
    <col min="3076" max="3076" width="15.140625" customWidth="1"/>
    <col min="3077" max="3077" width="14.5703125" customWidth="1"/>
    <col min="3078" max="3078" width="13.7109375" customWidth="1"/>
    <col min="3080" max="3080" width="11.5703125" customWidth="1"/>
    <col min="3084" max="3084" width="12.28515625" customWidth="1"/>
    <col min="3329" max="3329" width="36.7109375" customWidth="1"/>
    <col min="3330" max="3330" width="10" customWidth="1"/>
    <col min="3332" max="3332" width="15.140625" customWidth="1"/>
    <col min="3333" max="3333" width="14.5703125" customWidth="1"/>
    <col min="3334" max="3334" width="13.7109375" customWidth="1"/>
    <col min="3336" max="3336" width="11.5703125" customWidth="1"/>
    <col min="3340" max="3340" width="12.28515625" customWidth="1"/>
    <col min="3585" max="3585" width="36.7109375" customWidth="1"/>
    <col min="3586" max="3586" width="10" customWidth="1"/>
    <col min="3588" max="3588" width="15.140625" customWidth="1"/>
    <col min="3589" max="3589" width="14.5703125" customWidth="1"/>
    <col min="3590" max="3590" width="13.7109375" customWidth="1"/>
    <col min="3592" max="3592" width="11.5703125" customWidth="1"/>
    <col min="3596" max="3596" width="12.28515625" customWidth="1"/>
    <col min="3841" max="3841" width="36.7109375" customWidth="1"/>
    <col min="3842" max="3842" width="10" customWidth="1"/>
    <col min="3844" max="3844" width="15.140625" customWidth="1"/>
    <col min="3845" max="3845" width="14.5703125" customWidth="1"/>
    <col min="3846" max="3846" width="13.7109375" customWidth="1"/>
    <col min="3848" max="3848" width="11.5703125" customWidth="1"/>
    <col min="3852" max="3852" width="12.28515625" customWidth="1"/>
    <col min="4097" max="4097" width="36.7109375" customWidth="1"/>
    <col min="4098" max="4098" width="10" customWidth="1"/>
    <col min="4100" max="4100" width="15.140625" customWidth="1"/>
    <col min="4101" max="4101" width="14.5703125" customWidth="1"/>
    <col min="4102" max="4102" width="13.7109375" customWidth="1"/>
    <col min="4104" max="4104" width="11.5703125" customWidth="1"/>
    <col min="4108" max="4108" width="12.28515625" customWidth="1"/>
    <col min="4353" max="4353" width="36.7109375" customWidth="1"/>
    <col min="4354" max="4354" width="10" customWidth="1"/>
    <col min="4356" max="4356" width="15.140625" customWidth="1"/>
    <col min="4357" max="4357" width="14.5703125" customWidth="1"/>
    <col min="4358" max="4358" width="13.7109375" customWidth="1"/>
    <col min="4360" max="4360" width="11.5703125" customWidth="1"/>
    <col min="4364" max="4364" width="12.28515625" customWidth="1"/>
    <col min="4609" max="4609" width="36.7109375" customWidth="1"/>
    <col min="4610" max="4610" width="10" customWidth="1"/>
    <col min="4612" max="4612" width="15.140625" customWidth="1"/>
    <col min="4613" max="4613" width="14.5703125" customWidth="1"/>
    <col min="4614" max="4614" width="13.7109375" customWidth="1"/>
    <col min="4616" max="4616" width="11.5703125" customWidth="1"/>
    <col min="4620" max="4620" width="12.28515625" customWidth="1"/>
    <col min="4865" max="4865" width="36.7109375" customWidth="1"/>
    <col min="4866" max="4866" width="10" customWidth="1"/>
    <col min="4868" max="4868" width="15.140625" customWidth="1"/>
    <col min="4869" max="4869" width="14.5703125" customWidth="1"/>
    <col min="4870" max="4870" width="13.7109375" customWidth="1"/>
    <col min="4872" max="4872" width="11.5703125" customWidth="1"/>
    <col min="4876" max="4876" width="12.28515625" customWidth="1"/>
    <col min="5121" max="5121" width="36.7109375" customWidth="1"/>
    <col min="5122" max="5122" width="10" customWidth="1"/>
    <col min="5124" max="5124" width="15.140625" customWidth="1"/>
    <col min="5125" max="5125" width="14.5703125" customWidth="1"/>
    <col min="5126" max="5126" width="13.7109375" customWidth="1"/>
    <col min="5128" max="5128" width="11.5703125" customWidth="1"/>
    <col min="5132" max="5132" width="12.28515625" customWidth="1"/>
    <col min="5377" max="5377" width="36.7109375" customWidth="1"/>
    <col min="5378" max="5378" width="10" customWidth="1"/>
    <col min="5380" max="5380" width="15.140625" customWidth="1"/>
    <col min="5381" max="5381" width="14.5703125" customWidth="1"/>
    <col min="5382" max="5382" width="13.7109375" customWidth="1"/>
    <col min="5384" max="5384" width="11.5703125" customWidth="1"/>
    <col min="5388" max="5388" width="12.28515625" customWidth="1"/>
    <col min="5633" max="5633" width="36.7109375" customWidth="1"/>
    <col min="5634" max="5634" width="10" customWidth="1"/>
    <col min="5636" max="5636" width="15.140625" customWidth="1"/>
    <col min="5637" max="5637" width="14.5703125" customWidth="1"/>
    <col min="5638" max="5638" width="13.7109375" customWidth="1"/>
    <col min="5640" max="5640" width="11.5703125" customWidth="1"/>
    <col min="5644" max="5644" width="12.28515625" customWidth="1"/>
    <col min="5889" max="5889" width="36.7109375" customWidth="1"/>
    <col min="5890" max="5890" width="10" customWidth="1"/>
    <col min="5892" max="5892" width="15.140625" customWidth="1"/>
    <col min="5893" max="5893" width="14.5703125" customWidth="1"/>
    <col min="5894" max="5894" width="13.7109375" customWidth="1"/>
    <col min="5896" max="5896" width="11.5703125" customWidth="1"/>
    <col min="5900" max="5900" width="12.28515625" customWidth="1"/>
    <col min="6145" max="6145" width="36.7109375" customWidth="1"/>
    <col min="6146" max="6146" width="10" customWidth="1"/>
    <col min="6148" max="6148" width="15.140625" customWidth="1"/>
    <col min="6149" max="6149" width="14.5703125" customWidth="1"/>
    <col min="6150" max="6150" width="13.7109375" customWidth="1"/>
    <col min="6152" max="6152" width="11.5703125" customWidth="1"/>
    <col min="6156" max="6156" width="12.28515625" customWidth="1"/>
    <col min="6401" max="6401" width="36.7109375" customWidth="1"/>
    <col min="6402" max="6402" width="10" customWidth="1"/>
    <col min="6404" max="6404" width="15.140625" customWidth="1"/>
    <col min="6405" max="6405" width="14.5703125" customWidth="1"/>
    <col min="6406" max="6406" width="13.7109375" customWidth="1"/>
    <col min="6408" max="6408" width="11.5703125" customWidth="1"/>
    <col min="6412" max="6412" width="12.28515625" customWidth="1"/>
    <col min="6657" max="6657" width="36.7109375" customWidth="1"/>
    <col min="6658" max="6658" width="10" customWidth="1"/>
    <col min="6660" max="6660" width="15.140625" customWidth="1"/>
    <col min="6661" max="6661" width="14.5703125" customWidth="1"/>
    <col min="6662" max="6662" width="13.7109375" customWidth="1"/>
    <col min="6664" max="6664" width="11.5703125" customWidth="1"/>
    <col min="6668" max="6668" width="12.28515625" customWidth="1"/>
    <col min="6913" max="6913" width="36.7109375" customWidth="1"/>
    <col min="6914" max="6914" width="10" customWidth="1"/>
    <col min="6916" max="6916" width="15.140625" customWidth="1"/>
    <col min="6917" max="6917" width="14.5703125" customWidth="1"/>
    <col min="6918" max="6918" width="13.7109375" customWidth="1"/>
    <col min="6920" max="6920" width="11.5703125" customWidth="1"/>
    <col min="6924" max="6924" width="12.28515625" customWidth="1"/>
    <col min="7169" max="7169" width="36.7109375" customWidth="1"/>
    <col min="7170" max="7170" width="10" customWidth="1"/>
    <col min="7172" max="7172" width="15.140625" customWidth="1"/>
    <col min="7173" max="7173" width="14.5703125" customWidth="1"/>
    <col min="7174" max="7174" width="13.7109375" customWidth="1"/>
    <col min="7176" max="7176" width="11.5703125" customWidth="1"/>
    <col min="7180" max="7180" width="12.28515625" customWidth="1"/>
    <col min="7425" max="7425" width="36.7109375" customWidth="1"/>
    <col min="7426" max="7426" width="10" customWidth="1"/>
    <col min="7428" max="7428" width="15.140625" customWidth="1"/>
    <col min="7429" max="7429" width="14.5703125" customWidth="1"/>
    <col min="7430" max="7430" width="13.7109375" customWidth="1"/>
    <col min="7432" max="7432" width="11.5703125" customWidth="1"/>
    <col min="7436" max="7436" width="12.28515625" customWidth="1"/>
    <col min="7681" max="7681" width="36.7109375" customWidth="1"/>
    <col min="7682" max="7682" width="10" customWidth="1"/>
    <col min="7684" max="7684" width="15.140625" customWidth="1"/>
    <col min="7685" max="7685" width="14.5703125" customWidth="1"/>
    <col min="7686" max="7686" width="13.7109375" customWidth="1"/>
    <col min="7688" max="7688" width="11.5703125" customWidth="1"/>
    <col min="7692" max="7692" width="12.28515625" customWidth="1"/>
    <col min="7937" max="7937" width="36.7109375" customWidth="1"/>
    <col min="7938" max="7938" width="10" customWidth="1"/>
    <col min="7940" max="7940" width="15.140625" customWidth="1"/>
    <col min="7941" max="7941" width="14.5703125" customWidth="1"/>
    <col min="7942" max="7942" width="13.7109375" customWidth="1"/>
    <col min="7944" max="7944" width="11.5703125" customWidth="1"/>
    <col min="7948" max="7948" width="12.28515625" customWidth="1"/>
    <col min="8193" max="8193" width="36.7109375" customWidth="1"/>
    <col min="8194" max="8194" width="10" customWidth="1"/>
    <col min="8196" max="8196" width="15.140625" customWidth="1"/>
    <col min="8197" max="8197" width="14.5703125" customWidth="1"/>
    <col min="8198" max="8198" width="13.7109375" customWidth="1"/>
    <col min="8200" max="8200" width="11.5703125" customWidth="1"/>
    <col min="8204" max="8204" width="12.28515625" customWidth="1"/>
    <col min="8449" max="8449" width="36.7109375" customWidth="1"/>
    <col min="8450" max="8450" width="10" customWidth="1"/>
    <col min="8452" max="8452" width="15.140625" customWidth="1"/>
    <col min="8453" max="8453" width="14.5703125" customWidth="1"/>
    <col min="8454" max="8454" width="13.7109375" customWidth="1"/>
    <col min="8456" max="8456" width="11.5703125" customWidth="1"/>
    <col min="8460" max="8460" width="12.28515625" customWidth="1"/>
    <col min="8705" max="8705" width="36.7109375" customWidth="1"/>
    <col min="8706" max="8706" width="10" customWidth="1"/>
    <col min="8708" max="8708" width="15.140625" customWidth="1"/>
    <col min="8709" max="8709" width="14.5703125" customWidth="1"/>
    <col min="8710" max="8710" width="13.7109375" customWidth="1"/>
    <col min="8712" max="8712" width="11.5703125" customWidth="1"/>
    <col min="8716" max="8716" width="12.28515625" customWidth="1"/>
    <col min="8961" max="8961" width="36.7109375" customWidth="1"/>
    <col min="8962" max="8962" width="10" customWidth="1"/>
    <col min="8964" max="8964" width="15.140625" customWidth="1"/>
    <col min="8965" max="8965" width="14.5703125" customWidth="1"/>
    <col min="8966" max="8966" width="13.7109375" customWidth="1"/>
    <col min="8968" max="8968" width="11.5703125" customWidth="1"/>
    <col min="8972" max="8972" width="12.28515625" customWidth="1"/>
    <col min="9217" max="9217" width="36.7109375" customWidth="1"/>
    <col min="9218" max="9218" width="10" customWidth="1"/>
    <col min="9220" max="9220" width="15.140625" customWidth="1"/>
    <col min="9221" max="9221" width="14.5703125" customWidth="1"/>
    <col min="9222" max="9222" width="13.7109375" customWidth="1"/>
    <col min="9224" max="9224" width="11.5703125" customWidth="1"/>
    <col min="9228" max="9228" width="12.28515625" customWidth="1"/>
    <col min="9473" max="9473" width="36.7109375" customWidth="1"/>
    <col min="9474" max="9474" width="10" customWidth="1"/>
    <col min="9476" max="9476" width="15.140625" customWidth="1"/>
    <col min="9477" max="9477" width="14.5703125" customWidth="1"/>
    <col min="9478" max="9478" width="13.7109375" customWidth="1"/>
    <col min="9480" max="9480" width="11.5703125" customWidth="1"/>
    <col min="9484" max="9484" width="12.28515625" customWidth="1"/>
    <col min="9729" max="9729" width="36.7109375" customWidth="1"/>
    <col min="9730" max="9730" width="10" customWidth="1"/>
    <col min="9732" max="9732" width="15.140625" customWidth="1"/>
    <col min="9733" max="9733" width="14.5703125" customWidth="1"/>
    <col min="9734" max="9734" width="13.7109375" customWidth="1"/>
    <col min="9736" max="9736" width="11.5703125" customWidth="1"/>
    <col min="9740" max="9740" width="12.28515625" customWidth="1"/>
    <col min="9985" max="9985" width="36.7109375" customWidth="1"/>
    <col min="9986" max="9986" width="10" customWidth="1"/>
    <col min="9988" max="9988" width="15.140625" customWidth="1"/>
    <col min="9989" max="9989" width="14.5703125" customWidth="1"/>
    <col min="9990" max="9990" width="13.7109375" customWidth="1"/>
    <col min="9992" max="9992" width="11.5703125" customWidth="1"/>
    <col min="9996" max="9996" width="12.28515625" customWidth="1"/>
    <col min="10241" max="10241" width="36.7109375" customWidth="1"/>
    <col min="10242" max="10242" width="10" customWidth="1"/>
    <col min="10244" max="10244" width="15.140625" customWidth="1"/>
    <col min="10245" max="10245" width="14.5703125" customWidth="1"/>
    <col min="10246" max="10246" width="13.7109375" customWidth="1"/>
    <col min="10248" max="10248" width="11.5703125" customWidth="1"/>
    <col min="10252" max="10252" width="12.28515625" customWidth="1"/>
    <col min="10497" max="10497" width="36.7109375" customWidth="1"/>
    <col min="10498" max="10498" width="10" customWidth="1"/>
    <col min="10500" max="10500" width="15.140625" customWidth="1"/>
    <col min="10501" max="10501" width="14.5703125" customWidth="1"/>
    <col min="10502" max="10502" width="13.7109375" customWidth="1"/>
    <col min="10504" max="10504" width="11.5703125" customWidth="1"/>
    <col min="10508" max="10508" width="12.28515625" customWidth="1"/>
    <col min="10753" max="10753" width="36.7109375" customWidth="1"/>
    <col min="10754" max="10754" width="10" customWidth="1"/>
    <col min="10756" max="10756" width="15.140625" customWidth="1"/>
    <col min="10757" max="10757" width="14.5703125" customWidth="1"/>
    <col min="10758" max="10758" width="13.7109375" customWidth="1"/>
    <col min="10760" max="10760" width="11.5703125" customWidth="1"/>
    <col min="10764" max="10764" width="12.28515625" customWidth="1"/>
    <col min="11009" max="11009" width="36.7109375" customWidth="1"/>
    <col min="11010" max="11010" width="10" customWidth="1"/>
    <col min="11012" max="11012" width="15.140625" customWidth="1"/>
    <col min="11013" max="11013" width="14.5703125" customWidth="1"/>
    <col min="11014" max="11014" width="13.7109375" customWidth="1"/>
    <col min="11016" max="11016" width="11.5703125" customWidth="1"/>
    <col min="11020" max="11020" width="12.28515625" customWidth="1"/>
    <col min="11265" max="11265" width="36.7109375" customWidth="1"/>
    <col min="11266" max="11266" width="10" customWidth="1"/>
    <col min="11268" max="11268" width="15.140625" customWidth="1"/>
    <col min="11269" max="11269" width="14.5703125" customWidth="1"/>
    <col min="11270" max="11270" width="13.7109375" customWidth="1"/>
    <col min="11272" max="11272" width="11.5703125" customWidth="1"/>
    <col min="11276" max="11276" width="12.28515625" customWidth="1"/>
    <col min="11521" max="11521" width="36.7109375" customWidth="1"/>
    <col min="11522" max="11522" width="10" customWidth="1"/>
    <col min="11524" max="11524" width="15.140625" customWidth="1"/>
    <col min="11525" max="11525" width="14.5703125" customWidth="1"/>
    <col min="11526" max="11526" width="13.7109375" customWidth="1"/>
    <col min="11528" max="11528" width="11.5703125" customWidth="1"/>
    <col min="11532" max="11532" width="12.28515625" customWidth="1"/>
    <col min="11777" max="11777" width="36.7109375" customWidth="1"/>
    <col min="11778" max="11778" width="10" customWidth="1"/>
    <col min="11780" max="11780" width="15.140625" customWidth="1"/>
    <col min="11781" max="11781" width="14.5703125" customWidth="1"/>
    <col min="11782" max="11782" width="13.7109375" customWidth="1"/>
    <col min="11784" max="11784" width="11.5703125" customWidth="1"/>
    <col min="11788" max="11788" width="12.28515625" customWidth="1"/>
    <col min="12033" max="12033" width="36.7109375" customWidth="1"/>
    <col min="12034" max="12034" width="10" customWidth="1"/>
    <col min="12036" max="12036" width="15.140625" customWidth="1"/>
    <col min="12037" max="12037" width="14.5703125" customWidth="1"/>
    <col min="12038" max="12038" width="13.7109375" customWidth="1"/>
    <col min="12040" max="12040" width="11.5703125" customWidth="1"/>
    <col min="12044" max="12044" width="12.28515625" customWidth="1"/>
    <col min="12289" max="12289" width="36.7109375" customWidth="1"/>
    <col min="12290" max="12290" width="10" customWidth="1"/>
    <col min="12292" max="12292" width="15.140625" customWidth="1"/>
    <col min="12293" max="12293" width="14.5703125" customWidth="1"/>
    <col min="12294" max="12294" width="13.7109375" customWidth="1"/>
    <col min="12296" max="12296" width="11.5703125" customWidth="1"/>
    <col min="12300" max="12300" width="12.28515625" customWidth="1"/>
    <col min="12545" max="12545" width="36.7109375" customWidth="1"/>
    <col min="12546" max="12546" width="10" customWidth="1"/>
    <col min="12548" max="12548" width="15.140625" customWidth="1"/>
    <col min="12549" max="12549" width="14.5703125" customWidth="1"/>
    <col min="12550" max="12550" width="13.7109375" customWidth="1"/>
    <col min="12552" max="12552" width="11.5703125" customWidth="1"/>
    <col min="12556" max="12556" width="12.28515625" customWidth="1"/>
    <col min="12801" max="12801" width="36.7109375" customWidth="1"/>
    <col min="12802" max="12802" width="10" customWidth="1"/>
    <col min="12804" max="12804" width="15.140625" customWidth="1"/>
    <col min="12805" max="12805" width="14.5703125" customWidth="1"/>
    <col min="12806" max="12806" width="13.7109375" customWidth="1"/>
    <col min="12808" max="12808" width="11.5703125" customWidth="1"/>
    <col min="12812" max="12812" width="12.28515625" customWidth="1"/>
    <col min="13057" max="13057" width="36.7109375" customWidth="1"/>
    <col min="13058" max="13058" width="10" customWidth="1"/>
    <col min="13060" max="13060" width="15.140625" customWidth="1"/>
    <col min="13061" max="13061" width="14.5703125" customWidth="1"/>
    <col min="13062" max="13062" width="13.7109375" customWidth="1"/>
    <col min="13064" max="13064" width="11.5703125" customWidth="1"/>
    <col min="13068" max="13068" width="12.28515625" customWidth="1"/>
    <col min="13313" max="13313" width="36.7109375" customWidth="1"/>
    <col min="13314" max="13314" width="10" customWidth="1"/>
    <col min="13316" max="13316" width="15.140625" customWidth="1"/>
    <col min="13317" max="13317" width="14.5703125" customWidth="1"/>
    <col min="13318" max="13318" width="13.7109375" customWidth="1"/>
    <col min="13320" max="13320" width="11.5703125" customWidth="1"/>
    <col min="13324" max="13324" width="12.28515625" customWidth="1"/>
    <col min="13569" max="13569" width="36.7109375" customWidth="1"/>
    <col min="13570" max="13570" width="10" customWidth="1"/>
    <col min="13572" max="13572" width="15.140625" customWidth="1"/>
    <col min="13573" max="13573" width="14.5703125" customWidth="1"/>
    <col min="13574" max="13574" width="13.7109375" customWidth="1"/>
    <col min="13576" max="13576" width="11.5703125" customWidth="1"/>
    <col min="13580" max="13580" width="12.28515625" customWidth="1"/>
    <col min="13825" max="13825" width="36.7109375" customWidth="1"/>
    <col min="13826" max="13826" width="10" customWidth="1"/>
    <col min="13828" max="13828" width="15.140625" customWidth="1"/>
    <col min="13829" max="13829" width="14.5703125" customWidth="1"/>
    <col min="13830" max="13830" width="13.7109375" customWidth="1"/>
    <col min="13832" max="13832" width="11.5703125" customWidth="1"/>
    <col min="13836" max="13836" width="12.28515625" customWidth="1"/>
    <col min="14081" max="14081" width="36.7109375" customWidth="1"/>
    <col min="14082" max="14082" width="10" customWidth="1"/>
    <col min="14084" max="14084" width="15.140625" customWidth="1"/>
    <col min="14085" max="14085" width="14.5703125" customWidth="1"/>
    <col min="14086" max="14086" width="13.7109375" customWidth="1"/>
    <col min="14088" max="14088" width="11.5703125" customWidth="1"/>
    <col min="14092" max="14092" width="12.28515625" customWidth="1"/>
    <col min="14337" max="14337" width="36.7109375" customWidth="1"/>
    <col min="14338" max="14338" width="10" customWidth="1"/>
    <col min="14340" max="14340" width="15.140625" customWidth="1"/>
    <col min="14341" max="14341" width="14.5703125" customWidth="1"/>
    <col min="14342" max="14342" width="13.7109375" customWidth="1"/>
    <col min="14344" max="14344" width="11.5703125" customWidth="1"/>
    <col min="14348" max="14348" width="12.28515625" customWidth="1"/>
    <col min="14593" max="14593" width="36.7109375" customWidth="1"/>
    <col min="14594" max="14594" width="10" customWidth="1"/>
    <col min="14596" max="14596" width="15.140625" customWidth="1"/>
    <col min="14597" max="14597" width="14.5703125" customWidth="1"/>
    <col min="14598" max="14598" width="13.7109375" customWidth="1"/>
    <col min="14600" max="14600" width="11.5703125" customWidth="1"/>
    <col min="14604" max="14604" width="12.28515625" customWidth="1"/>
    <col min="14849" max="14849" width="36.7109375" customWidth="1"/>
    <col min="14850" max="14850" width="10" customWidth="1"/>
    <col min="14852" max="14852" width="15.140625" customWidth="1"/>
    <col min="14853" max="14853" width="14.5703125" customWidth="1"/>
    <col min="14854" max="14854" width="13.7109375" customWidth="1"/>
    <col min="14856" max="14856" width="11.5703125" customWidth="1"/>
    <col min="14860" max="14860" width="12.28515625" customWidth="1"/>
    <col min="15105" max="15105" width="36.7109375" customWidth="1"/>
    <col min="15106" max="15106" width="10" customWidth="1"/>
    <col min="15108" max="15108" width="15.140625" customWidth="1"/>
    <col min="15109" max="15109" width="14.5703125" customWidth="1"/>
    <col min="15110" max="15110" width="13.7109375" customWidth="1"/>
    <col min="15112" max="15112" width="11.5703125" customWidth="1"/>
    <col min="15116" max="15116" width="12.28515625" customWidth="1"/>
    <col min="15361" max="15361" width="36.7109375" customWidth="1"/>
    <col min="15362" max="15362" width="10" customWidth="1"/>
    <col min="15364" max="15364" width="15.140625" customWidth="1"/>
    <col min="15365" max="15365" width="14.5703125" customWidth="1"/>
    <col min="15366" max="15366" width="13.7109375" customWidth="1"/>
    <col min="15368" max="15368" width="11.5703125" customWidth="1"/>
    <col min="15372" max="15372" width="12.28515625" customWidth="1"/>
    <col min="15617" max="15617" width="36.7109375" customWidth="1"/>
    <col min="15618" max="15618" width="10" customWidth="1"/>
    <col min="15620" max="15620" width="15.140625" customWidth="1"/>
    <col min="15621" max="15621" width="14.5703125" customWidth="1"/>
    <col min="15622" max="15622" width="13.7109375" customWidth="1"/>
    <col min="15624" max="15624" width="11.5703125" customWidth="1"/>
    <col min="15628" max="15628" width="12.28515625" customWidth="1"/>
    <col min="15873" max="15873" width="36.7109375" customWidth="1"/>
    <col min="15874" max="15874" width="10" customWidth="1"/>
    <col min="15876" max="15876" width="15.140625" customWidth="1"/>
    <col min="15877" max="15877" width="14.5703125" customWidth="1"/>
    <col min="15878" max="15878" width="13.7109375" customWidth="1"/>
    <col min="15880" max="15880" width="11.5703125" customWidth="1"/>
    <col min="15884" max="15884" width="12.28515625" customWidth="1"/>
    <col min="16129" max="16129" width="36.7109375" customWidth="1"/>
    <col min="16130" max="16130" width="10" customWidth="1"/>
    <col min="16132" max="16132" width="15.140625" customWidth="1"/>
    <col min="16133" max="16133" width="14.5703125" customWidth="1"/>
    <col min="16134" max="16134" width="13.7109375" customWidth="1"/>
    <col min="16136" max="16136" width="11.5703125" customWidth="1"/>
    <col min="16140" max="16140" width="12.28515625" customWidth="1"/>
  </cols>
  <sheetData>
    <row r="1" spans="1:14">
      <c r="A1" s="1488" t="s">
        <v>167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</row>
    <row r="2" spans="1:14">
      <c r="A2" s="1488" t="s">
        <v>168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</row>
    <row r="3" spans="1:14" ht="26.25" customHeight="1">
      <c r="A3" s="677" t="s">
        <v>828</v>
      </c>
      <c r="B3" s="995" t="s">
        <v>2882</v>
      </c>
      <c r="C3" s="995"/>
      <c r="D3" s="995"/>
      <c r="E3" s="1492" t="s">
        <v>2966</v>
      </c>
      <c r="F3" s="1492"/>
      <c r="G3" s="1518">
        <v>405010401160104</v>
      </c>
      <c r="H3" s="1518"/>
      <c r="I3" s="1492" t="s">
        <v>5</v>
      </c>
      <c r="J3" s="1492"/>
      <c r="K3" s="80" t="s">
        <v>3087</v>
      </c>
      <c r="L3" s="1519" t="s">
        <v>436</v>
      </c>
      <c r="M3" s="1519"/>
      <c r="N3" s="80">
        <v>0</v>
      </c>
    </row>
    <row r="4" spans="1:14">
      <c r="A4" s="1521" t="s">
        <v>4176</v>
      </c>
      <c r="B4" s="1521"/>
      <c r="C4" s="1521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</row>
    <row r="5" spans="1:14" ht="26.25" customHeight="1">
      <c r="A5" s="677" t="s">
        <v>2967</v>
      </c>
      <c r="B5" s="995" t="s">
        <v>3009</v>
      </c>
      <c r="C5" s="995"/>
      <c r="D5" s="1492" t="s">
        <v>2969</v>
      </c>
      <c r="E5" s="1492"/>
      <c r="F5" s="1527" t="s">
        <v>3073</v>
      </c>
      <c r="G5" s="1528"/>
      <c r="H5" s="295"/>
      <c r="I5" s="295"/>
      <c r="J5" s="295"/>
      <c r="K5" s="295"/>
      <c r="L5" s="295"/>
      <c r="M5" s="295"/>
      <c r="N5" s="295"/>
    </row>
    <row r="6" spans="1:14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26.25" customHeight="1">
      <c r="A7" s="677" t="s">
        <v>618</v>
      </c>
      <c r="B7" s="995" t="s">
        <v>3073</v>
      </c>
      <c r="C7" s="995"/>
      <c r="D7" s="995"/>
      <c r="E7" s="1505" t="s">
        <v>2971</v>
      </c>
      <c r="F7" s="1505"/>
      <c r="G7" s="1527" t="s">
        <v>5773</v>
      </c>
      <c r="H7" s="1528"/>
      <c r="I7" s="295"/>
      <c r="J7" s="295"/>
      <c r="K7" s="295"/>
      <c r="L7" s="295"/>
      <c r="M7" s="295"/>
      <c r="N7" s="295"/>
    </row>
    <row r="8" spans="1:14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26.25" customHeight="1">
      <c r="A9" s="677" t="s">
        <v>428</v>
      </c>
      <c r="B9" s="1545" t="s">
        <v>3088</v>
      </c>
      <c r="C9" s="154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</row>
    <row r="10" spans="1:14" ht="26.25" customHeight="1">
      <c r="A10" s="677" t="s">
        <v>2974</v>
      </c>
      <c r="B10" s="995"/>
      <c r="C10" s="995"/>
      <c r="D10" s="9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</row>
    <row r="11" spans="1:14" ht="26.25" customHeight="1">
      <c r="A11" s="677" t="s">
        <v>2975</v>
      </c>
      <c r="B11" s="995" t="s">
        <v>3031</v>
      </c>
      <c r="C11" s="995"/>
      <c r="D11" s="80" t="s">
        <v>2976</v>
      </c>
      <c r="E11" s="80" t="s">
        <v>3032</v>
      </c>
      <c r="F11" s="1478" t="s">
        <v>3029</v>
      </c>
      <c r="G11" s="995"/>
      <c r="H11" s="80"/>
      <c r="I11" s="80"/>
      <c r="J11" s="295"/>
      <c r="K11" s="295"/>
      <c r="L11" s="295"/>
      <c r="M11" s="295"/>
      <c r="N11" s="295"/>
    </row>
    <row r="12" spans="1:14" ht="26.25" customHeight="1">
      <c r="A12" s="677" t="s">
        <v>2980</v>
      </c>
      <c r="B12" s="995"/>
      <c r="C12" s="995"/>
      <c r="D12" s="9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</row>
    <row r="13" spans="1:14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</row>
    <row r="14" spans="1:14" ht="26.25" customHeight="1">
      <c r="A14" s="677" t="s">
        <v>2981</v>
      </c>
      <c r="B14" s="80">
        <v>1</v>
      </c>
      <c r="C14" s="1474" t="s">
        <v>2982</v>
      </c>
      <c r="D14" s="1473"/>
      <c r="E14" s="317"/>
      <c r="F14" s="677" t="s">
        <v>1918</v>
      </c>
      <c r="G14" s="317">
        <v>4</v>
      </c>
      <c r="H14" s="677" t="s">
        <v>1492</v>
      </c>
      <c r="I14" s="317"/>
      <c r="J14" s="677" t="s">
        <v>1493</v>
      </c>
      <c r="K14" s="317">
        <v>2</v>
      </c>
      <c r="L14" s="295"/>
      <c r="M14" s="295"/>
      <c r="N14" s="295"/>
    </row>
    <row r="15" spans="1:14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</row>
    <row r="16" spans="1:14" ht="26.25" customHeight="1">
      <c r="A16" s="674" t="s">
        <v>646</v>
      </c>
      <c r="B16" s="677" t="s">
        <v>204</v>
      </c>
      <c r="C16" s="80">
        <v>37</v>
      </c>
      <c r="D16" s="677" t="s">
        <v>205</v>
      </c>
      <c r="E16" s="80"/>
      <c r="F16" s="677" t="s">
        <v>2983</v>
      </c>
      <c r="G16" s="80"/>
      <c r="H16" s="677" t="s">
        <v>245</v>
      </c>
      <c r="I16" s="80">
        <v>37</v>
      </c>
      <c r="J16" s="677" t="s">
        <v>207</v>
      </c>
      <c r="K16" s="80">
        <v>3</v>
      </c>
      <c r="L16" s="708" t="s">
        <v>2984</v>
      </c>
      <c r="M16" s="677"/>
      <c r="N16" s="80">
        <v>0</v>
      </c>
    </row>
    <row r="17" spans="1:14" ht="26.25" customHeight="1">
      <c r="A17" s="674" t="s">
        <v>209</v>
      </c>
      <c r="B17" s="677" t="s">
        <v>210</v>
      </c>
      <c r="C17" s="80">
        <v>72</v>
      </c>
      <c r="D17" s="677" t="s">
        <v>211</v>
      </c>
      <c r="E17" s="80"/>
      <c r="F17" s="677" t="s">
        <v>212</v>
      </c>
      <c r="G17" s="80"/>
      <c r="H17" s="677" t="s">
        <v>411</v>
      </c>
      <c r="I17" s="80">
        <v>72</v>
      </c>
      <c r="J17" s="295"/>
      <c r="K17" s="295"/>
      <c r="L17" s="295"/>
      <c r="M17" s="295"/>
      <c r="N17" s="295"/>
    </row>
    <row r="18" spans="1:14" ht="26.25" customHeight="1">
      <c r="A18" s="295"/>
      <c r="B18" s="677" t="s">
        <v>2985</v>
      </c>
      <c r="C18" s="80">
        <v>82</v>
      </c>
      <c r="D18" s="677" t="s">
        <v>2986</v>
      </c>
      <c r="E18" s="80"/>
      <c r="F18" s="677" t="s">
        <v>2987</v>
      </c>
      <c r="G18" s="80"/>
      <c r="H18" s="677" t="s">
        <v>2988</v>
      </c>
      <c r="I18" s="80">
        <v>82</v>
      </c>
      <c r="J18" s="295"/>
      <c r="K18" s="295"/>
      <c r="L18" s="295"/>
      <c r="M18" s="295"/>
      <c r="N18" s="295"/>
    </row>
    <row r="19" spans="1:14" s="403" customFormat="1" ht="26.25" customHeight="1" thickBot="1">
      <c r="A19" s="711" t="s">
        <v>216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</row>
    <row r="20" spans="1:14" ht="26.25" customHeight="1">
      <c r="A20" s="718" t="s">
        <v>217</v>
      </c>
      <c r="B20" s="1538" t="s">
        <v>218</v>
      </c>
      <c r="C20" s="1539" t="s">
        <v>219</v>
      </c>
      <c r="D20" s="1538" t="s">
        <v>1363</v>
      </c>
      <c r="E20" s="1538" t="s">
        <v>1713</v>
      </c>
      <c r="F20" s="1540" t="s">
        <v>2989</v>
      </c>
      <c r="G20" s="1540"/>
      <c r="H20" s="1540"/>
      <c r="I20" s="1540"/>
      <c r="J20" s="1540"/>
      <c r="K20" s="1540"/>
      <c r="L20" s="1540"/>
      <c r="M20" s="1540"/>
      <c r="N20" s="1541"/>
    </row>
    <row r="21" spans="1:14" ht="26.25" customHeight="1">
      <c r="A21" s="719"/>
      <c r="B21" s="1523"/>
      <c r="C21" s="1524"/>
      <c r="D21" s="1523"/>
      <c r="E21" s="1523"/>
      <c r="F21" s="713">
        <v>1</v>
      </c>
      <c r="G21" s="713">
        <v>2</v>
      </c>
      <c r="H21" s="713">
        <v>3</v>
      </c>
      <c r="I21" s="713">
        <v>4</v>
      </c>
      <c r="J21" s="713">
        <v>5</v>
      </c>
      <c r="K21" s="713">
        <v>6</v>
      </c>
      <c r="L21" s="713">
        <v>7</v>
      </c>
      <c r="M21" s="713" t="s">
        <v>230</v>
      </c>
      <c r="N21" s="720" t="s">
        <v>231</v>
      </c>
    </row>
    <row r="22" spans="1:14" ht="26.25" customHeight="1">
      <c r="A22" s="721" t="s">
        <v>2990</v>
      </c>
      <c r="B22" s="80">
        <v>8000</v>
      </c>
      <c r="C22" s="317" t="s">
        <v>873</v>
      </c>
      <c r="D22" s="300">
        <v>40</v>
      </c>
      <c r="E22" s="300">
        <v>5.3656800000000002</v>
      </c>
      <c r="F22" s="699">
        <v>0</v>
      </c>
      <c r="G22" s="699">
        <v>0</v>
      </c>
      <c r="H22" s="699">
        <v>0.112</v>
      </c>
      <c r="I22" s="317"/>
      <c r="J22" s="317"/>
      <c r="K22" s="317"/>
      <c r="L22" s="317"/>
      <c r="M22" s="699">
        <f>F22+G22+H22</f>
        <v>0.112</v>
      </c>
      <c r="N22" s="722">
        <f>M22/E22*100</f>
        <v>2.0873402811945549</v>
      </c>
    </row>
    <row r="23" spans="1:14" ht="26.25" customHeight="1">
      <c r="A23" s="721" t="s">
        <v>234</v>
      </c>
      <c r="B23" s="80">
        <v>7000</v>
      </c>
      <c r="C23" s="317" t="s">
        <v>873</v>
      </c>
      <c r="D23" s="300">
        <v>5.6</v>
      </c>
      <c r="E23" s="300">
        <v>0</v>
      </c>
      <c r="F23" s="300">
        <v>0</v>
      </c>
      <c r="G23" s="699">
        <v>0</v>
      </c>
      <c r="H23" s="300">
        <v>0</v>
      </c>
      <c r="I23" s="80"/>
      <c r="J23" s="80"/>
      <c r="K23" s="80"/>
      <c r="L23" s="80"/>
      <c r="M23" s="699">
        <f t="shared" ref="M23:M30" si="0">F23+G23+H23</f>
        <v>0</v>
      </c>
      <c r="N23" s="731">
        <v>0</v>
      </c>
    </row>
    <row r="24" spans="1:14" ht="26.25" customHeight="1">
      <c r="A24" s="721" t="s">
        <v>2991</v>
      </c>
      <c r="B24" s="80">
        <v>43000</v>
      </c>
      <c r="C24" s="317" t="s">
        <v>236</v>
      </c>
      <c r="D24" s="300">
        <v>0.43</v>
      </c>
      <c r="E24" s="300">
        <v>0.18</v>
      </c>
      <c r="F24" s="300">
        <v>0</v>
      </c>
      <c r="G24" s="699">
        <v>0</v>
      </c>
      <c r="H24" s="300">
        <v>0</v>
      </c>
      <c r="I24" s="80"/>
      <c r="J24" s="80"/>
      <c r="K24" s="80"/>
      <c r="L24" s="80"/>
      <c r="M24" s="699">
        <f t="shared" si="0"/>
        <v>0</v>
      </c>
      <c r="N24" s="731">
        <f t="shared" ref="N24:N29" si="1">M24/E24*100</f>
        <v>0</v>
      </c>
    </row>
    <row r="25" spans="1:14" ht="26.25" customHeight="1">
      <c r="A25" s="721" t="s">
        <v>2992</v>
      </c>
      <c r="B25" s="80">
        <v>37000</v>
      </c>
      <c r="C25" s="317" t="s">
        <v>236</v>
      </c>
      <c r="D25" s="300">
        <v>0.37</v>
      </c>
      <c r="E25" s="300">
        <v>0.16</v>
      </c>
      <c r="F25" s="300">
        <v>0</v>
      </c>
      <c r="G25" s="699">
        <v>0</v>
      </c>
      <c r="H25" s="300">
        <v>0</v>
      </c>
      <c r="I25" s="80"/>
      <c r="J25" s="80"/>
      <c r="K25" s="80"/>
      <c r="L25" s="80"/>
      <c r="M25" s="699">
        <f t="shared" si="0"/>
        <v>0</v>
      </c>
      <c r="N25" s="731">
        <f t="shared" si="1"/>
        <v>0</v>
      </c>
    </row>
    <row r="26" spans="1:14" ht="26.25" customHeight="1">
      <c r="A26" s="721" t="s">
        <v>2993</v>
      </c>
      <c r="B26" s="80">
        <v>1200</v>
      </c>
      <c r="C26" s="317" t="s">
        <v>236</v>
      </c>
      <c r="D26" s="300">
        <v>6</v>
      </c>
      <c r="E26" s="300">
        <v>2</v>
      </c>
      <c r="F26" s="300">
        <v>0</v>
      </c>
      <c r="G26" s="699">
        <v>0</v>
      </c>
      <c r="H26" s="300">
        <v>0.93600000000000005</v>
      </c>
      <c r="I26" s="80"/>
      <c r="J26" s="80"/>
      <c r="K26" s="80"/>
      <c r="L26" s="80"/>
      <c r="M26" s="699">
        <f t="shared" si="0"/>
        <v>0.93600000000000005</v>
      </c>
      <c r="N26" s="731">
        <f t="shared" si="1"/>
        <v>46.800000000000004</v>
      </c>
    </row>
    <row r="27" spans="1:14" ht="26.25" customHeight="1">
      <c r="A27" s="721" t="s">
        <v>395</v>
      </c>
      <c r="B27" s="80">
        <v>565</v>
      </c>
      <c r="C27" s="317" t="s">
        <v>873</v>
      </c>
      <c r="D27" s="300">
        <v>2.83</v>
      </c>
      <c r="E27" s="300">
        <v>0.64800000000000002</v>
      </c>
      <c r="F27" s="300">
        <v>0</v>
      </c>
      <c r="G27" s="699">
        <v>0</v>
      </c>
      <c r="H27" s="300">
        <v>0</v>
      </c>
      <c r="I27" s="80"/>
      <c r="J27" s="80"/>
      <c r="K27" s="80"/>
      <c r="L27" s="80"/>
      <c r="M27" s="699">
        <f t="shared" si="0"/>
        <v>0</v>
      </c>
      <c r="N27" s="724">
        <f t="shared" si="1"/>
        <v>0</v>
      </c>
    </row>
    <row r="28" spans="1:14" ht="26.25" customHeight="1">
      <c r="A28" s="721" t="s">
        <v>1503</v>
      </c>
      <c r="B28" s="80">
        <v>1000</v>
      </c>
      <c r="C28" s="317" t="s">
        <v>873</v>
      </c>
      <c r="D28" s="300">
        <v>5</v>
      </c>
      <c r="E28" s="300">
        <v>0</v>
      </c>
      <c r="F28" s="300">
        <v>0</v>
      </c>
      <c r="G28" s="699">
        <v>0</v>
      </c>
      <c r="H28" s="300">
        <v>0</v>
      </c>
      <c r="I28" s="80"/>
      <c r="J28" s="80"/>
      <c r="K28" s="80"/>
      <c r="L28" s="80"/>
      <c r="M28" s="699">
        <f t="shared" si="0"/>
        <v>0</v>
      </c>
      <c r="N28" s="731">
        <v>0</v>
      </c>
    </row>
    <row r="29" spans="1:14" ht="26.25" customHeight="1">
      <c r="A29" s="721" t="s">
        <v>241</v>
      </c>
      <c r="B29" s="80">
        <v>2750</v>
      </c>
      <c r="C29" s="317" t="s">
        <v>2994</v>
      </c>
      <c r="D29" s="300">
        <v>2.31</v>
      </c>
      <c r="E29" s="300">
        <v>0.33</v>
      </c>
      <c r="F29" s="300">
        <v>0</v>
      </c>
      <c r="G29" s="699">
        <v>0</v>
      </c>
      <c r="H29" s="300">
        <v>0.16500000000000001</v>
      </c>
      <c r="I29" s="80"/>
      <c r="J29" s="80"/>
      <c r="K29" s="80"/>
      <c r="L29" s="80"/>
      <c r="M29" s="699">
        <f t="shared" si="0"/>
        <v>0.16500000000000001</v>
      </c>
      <c r="N29" s="731">
        <f t="shared" si="1"/>
        <v>50</v>
      </c>
    </row>
    <row r="30" spans="1:14" ht="26.25" customHeight="1">
      <c r="A30" s="721" t="s">
        <v>670</v>
      </c>
      <c r="B30" s="80">
        <v>10000</v>
      </c>
      <c r="C30" s="317" t="s">
        <v>2995</v>
      </c>
      <c r="D30" s="300">
        <v>0.1</v>
      </c>
      <c r="E30" s="300">
        <v>0</v>
      </c>
      <c r="F30" s="300">
        <v>0</v>
      </c>
      <c r="G30" s="699">
        <v>0</v>
      </c>
      <c r="H30" s="300">
        <v>0</v>
      </c>
      <c r="I30" s="80"/>
      <c r="J30" s="80"/>
      <c r="K30" s="80"/>
      <c r="L30" s="80"/>
      <c r="M30" s="699">
        <f t="shared" si="0"/>
        <v>0</v>
      </c>
      <c r="N30" s="731">
        <v>0</v>
      </c>
    </row>
    <row r="31" spans="1:14" ht="26.25" customHeight="1" thickBot="1">
      <c r="A31" s="732" t="s">
        <v>230</v>
      </c>
      <c r="B31" s="726">
        <f>SUM(B22:B30)</f>
        <v>110515</v>
      </c>
      <c r="C31" s="726"/>
      <c r="D31" s="727">
        <f>SUM(D22:D30)</f>
        <v>62.64</v>
      </c>
      <c r="E31" s="727">
        <f>SUM(E22:E30)</f>
        <v>8.6836800000000007</v>
      </c>
      <c r="F31" s="727">
        <f>SUM(F22:F30)</f>
        <v>0</v>
      </c>
      <c r="G31" s="727">
        <f t="shared" ref="G31:M31" si="2">SUM(G22:G30)</f>
        <v>0</v>
      </c>
      <c r="H31" s="727">
        <f t="shared" si="2"/>
        <v>1.2130000000000001</v>
      </c>
      <c r="I31" s="727">
        <f t="shared" si="2"/>
        <v>0</v>
      </c>
      <c r="J31" s="727">
        <f t="shared" si="2"/>
        <v>0</v>
      </c>
      <c r="K31" s="727">
        <f t="shared" si="2"/>
        <v>0</v>
      </c>
      <c r="L31" s="727">
        <f t="shared" si="2"/>
        <v>0</v>
      </c>
      <c r="M31" s="727">
        <f t="shared" si="2"/>
        <v>1.2130000000000001</v>
      </c>
      <c r="N31" s="728"/>
    </row>
    <row r="32" spans="1:14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</row>
    <row r="33" spans="1:14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</row>
    <row r="34" spans="1:14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</row>
    <row r="35" spans="1:14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</row>
    <row r="36" spans="1:14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</row>
    <row r="37" spans="1:14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</row>
    <row r="38" spans="1:14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</row>
  </sheetData>
  <mergeCells count="25">
    <mergeCell ref="A4:C4"/>
    <mergeCell ref="B20:B21"/>
    <mergeCell ref="C20:C21"/>
    <mergeCell ref="D20:D21"/>
    <mergeCell ref="E20:E21"/>
    <mergeCell ref="F20:N20"/>
    <mergeCell ref="C14:D14"/>
    <mergeCell ref="B5:C5"/>
    <mergeCell ref="D5:E5"/>
    <mergeCell ref="F5:G5"/>
    <mergeCell ref="B7:D7"/>
    <mergeCell ref="E7:F7"/>
    <mergeCell ref="G7:H7"/>
    <mergeCell ref="B9:C9"/>
    <mergeCell ref="B10:D10"/>
    <mergeCell ref="B11:C11"/>
    <mergeCell ref="F11:G11"/>
    <mergeCell ref="B12:D12"/>
    <mergeCell ref="A1:N1"/>
    <mergeCell ref="A2:N2"/>
    <mergeCell ref="B3:D3"/>
    <mergeCell ref="E3:F3"/>
    <mergeCell ref="G3:H3"/>
    <mergeCell ref="I3:J3"/>
    <mergeCell ref="L3:M3"/>
  </mergeCells>
  <hyperlinks>
    <hyperlink ref="A4" location="'Fact Sheet of VDC'!A1" display="&lt;&lt;Back"/>
  </hyperlinks>
  <pageMargins left="0.15" right="0.1" top="0.45" bottom="0.44" header="0.31496062992125984" footer="0.31496062992125984"/>
  <pageSetup scale="75" orientation="landscape" r:id="rId1"/>
</worksheet>
</file>

<file path=xl/worksheets/sheet301.xml><?xml version="1.0" encoding="utf-8"?>
<worksheet xmlns="http://schemas.openxmlformats.org/spreadsheetml/2006/main" xmlns:r="http://schemas.openxmlformats.org/officeDocument/2006/relationships">
  <dimension ref="A1:Q36"/>
  <sheetViews>
    <sheetView workbookViewId="0">
      <selection activeCell="A3" sqref="A3"/>
    </sheetView>
  </sheetViews>
  <sheetFormatPr defaultRowHeight="12"/>
  <cols>
    <col min="1" max="1" width="37.5703125" style="733" customWidth="1"/>
    <col min="2" max="2" width="9" style="733" customWidth="1"/>
    <col min="3" max="3" width="8.140625" style="733" customWidth="1"/>
    <col min="4" max="4" width="12.28515625" style="733" customWidth="1"/>
    <col min="5" max="5" width="6.7109375" style="733" customWidth="1"/>
    <col min="6" max="6" width="12.85546875" style="733" customWidth="1"/>
    <col min="7" max="7" width="10.5703125" style="733" customWidth="1"/>
    <col min="8" max="8" width="8" style="733" customWidth="1"/>
    <col min="9" max="9" width="8.42578125" style="733" customWidth="1"/>
    <col min="10" max="10" width="12.140625" style="733" customWidth="1"/>
    <col min="11" max="12" width="8.140625" style="733" customWidth="1"/>
    <col min="13" max="13" width="11.85546875" style="733" customWidth="1"/>
    <col min="14" max="14" width="7.5703125" style="733" customWidth="1"/>
    <col min="15" max="15" width="7.28515625" style="733" customWidth="1"/>
    <col min="16" max="256" width="9.140625" style="733"/>
    <col min="257" max="257" width="37.5703125" style="733" customWidth="1"/>
    <col min="258" max="258" width="9" style="733" customWidth="1"/>
    <col min="259" max="259" width="8.140625" style="733" customWidth="1"/>
    <col min="260" max="260" width="12.28515625" style="733" customWidth="1"/>
    <col min="261" max="261" width="6.7109375" style="733" customWidth="1"/>
    <col min="262" max="262" width="12.85546875" style="733" customWidth="1"/>
    <col min="263" max="263" width="10.5703125" style="733" customWidth="1"/>
    <col min="264" max="264" width="8" style="733" customWidth="1"/>
    <col min="265" max="265" width="8.42578125" style="733" customWidth="1"/>
    <col min="266" max="266" width="12.140625" style="733" customWidth="1"/>
    <col min="267" max="268" width="8.140625" style="733" customWidth="1"/>
    <col min="269" max="269" width="11.85546875" style="733" customWidth="1"/>
    <col min="270" max="270" width="7.5703125" style="733" customWidth="1"/>
    <col min="271" max="271" width="7.28515625" style="733" customWidth="1"/>
    <col min="272" max="512" width="9.140625" style="733"/>
    <col min="513" max="513" width="37.5703125" style="733" customWidth="1"/>
    <col min="514" max="514" width="9" style="733" customWidth="1"/>
    <col min="515" max="515" width="8.140625" style="733" customWidth="1"/>
    <col min="516" max="516" width="12.28515625" style="733" customWidth="1"/>
    <col min="517" max="517" width="6.7109375" style="733" customWidth="1"/>
    <col min="518" max="518" width="12.85546875" style="733" customWidth="1"/>
    <col min="519" max="519" width="10.5703125" style="733" customWidth="1"/>
    <col min="520" max="520" width="8" style="733" customWidth="1"/>
    <col min="521" max="521" width="8.42578125" style="733" customWidth="1"/>
    <col min="522" max="522" width="12.140625" style="733" customWidth="1"/>
    <col min="523" max="524" width="8.140625" style="733" customWidth="1"/>
    <col min="525" max="525" width="11.85546875" style="733" customWidth="1"/>
    <col min="526" max="526" width="7.5703125" style="733" customWidth="1"/>
    <col min="527" max="527" width="7.28515625" style="733" customWidth="1"/>
    <col min="528" max="768" width="9.140625" style="733"/>
    <col min="769" max="769" width="37.5703125" style="733" customWidth="1"/>
    <col min="770" max="770" width="9" style="733" customWidth="1"/>
    <col min="771" max="771" width="8.140625" style="733" customWidth="1"/>
    <col min="772" max="772" width="12.28515625" style="733" customWidth="1"/>
    <col min="773" max="773" width="6.7109375" style="733" customWidth="1"/>
    <col min="774" max="774" width="12.85546875" style="733" customWidth="1"/>
    <col min="775" max="775" width="10.5703125" style="733" customWidth="1"/>
    <col min="776" max="776" width="8" style="733" customWidth="1"/>
    <col min="777" max="777" width="8.42578125" style="733" customWidth="1"/>
    <col min="778" max="778" width="12.140625" style="733" customWidth="1"/>
    <col min="779" max="780" width="8.140625" style="733" customWidth="1"/>
    <col min="781" max="781" width="11.85546875" style="733" customWidth="1"/>
    <col min="782" max="782" width="7.5703125" style="733" customWidth="1"/>
    <col min="783" max="783" width="7.28515625" style="733" customWidth="1"/>
    <col min="784" max="1024" width="9.140625" style="733"/>
    <col min="1025" max="1025" width="37.5703125" style="733" customWidth="1"/>
    <col min="1026" max="1026" width="9" style="733" customWidth="1"/>
    <col min="1027" max="1027" width="8.140625" style="733" customWidth="1"/>
    <col min="1028" max="1028" width="12.28515625" style="733" customWidth="1"/>
    <col min="1029" max="1029" width="6.7109375" style="733" customWidth="1"/>
    <col min="1030" max="1030" width="12.85546875" style="733" customWidth="1"/>
    <col min="1031" max="1031" width="10.5703125" style="733" customWidth="1"/>
    <col min="1032" max="1032" width="8" style="733" customWidth="1"/>
    <col min="1033" max="1033" width="8.42578125" style="733" customWidth="1"/>
    <col min="1034" max="1034" width="12.140625" style="733" customWidth="1"/>
    <col min="1035" max="1036" width="8.140625" style="733" customWidth="1"/>
    <col min="1037" max="1037" width="11.85546875" style="733" customWidth="1"/>
    <col min="1038" max="1038" width="7.5703125" style="733" customWidth="1"/>
    <col min="1039" max="1039" width="7.28515625" style="733" customWidth="1"/>
    <col min="1040" max="1280" width="9.140625" style="733"/>
    <col min="1281" max="1281" width="37.5703125" style="733" customWidth="1"/>
    <col min="1282" max="1282" width="9" style="733" customWidth="1"/>
    <col min="1283" max="1283" width="8.140625" style="733" customWidth="1"/>
    <col min="1284" max="1284" width="12.28515625" style="733" customWidth="1"/>
    <col min="1285" max="1285" width="6.7109375" style="733" customWidth="1"/>
    <col min="1286" max="1286" width="12.85546875" style="733" customWidth="1"/>
    <col min="1287" max="1287" width="10.5703125" style="733" customWidth="1"/>
    <col min="1288" max="1288" width="8" style="733" customWidth="1"/>
    <col min="1289" max="1289" width="8.42578125" style="733" customWidth="1"/>
    <col min="1290" max="1290" width="12.140625" style="733" customWidth="1"/>
    <col min="1291" max="1292" width="8.140625" style="733" customWidth="1"/>
    <col min="1293" max="1293" width="11.85546875" style="733" customWidth="1"/>
    <col min="1294" max="1294" width="7.5703125" style="733" customWidth="1"/>
    <col min="1295" max="1295" width="7.28515625" style="733" customWidth="1"/>
    <col min="1296" max="1536" width="9.140625" style="733"/>
    <col min="1537" max="1537" width="37.5703125" style="733" customWidth="1"/>
    <col min="1538" max="1538" width="9" style="733" customWidth="1"/>
    <col min="1539" max="1539" width="8.140625" style="733" customWidth="1"/>
    <col min="1540" max="1540" width="12.28515625" style="733" customWidth="1"/>
    <col min="1541" max="1541" width="6.7109375" style="733" customWidth="1"/>
    <col min="1542" max="1542" width="12.85546875" style="733" customWidth="1"/>
    <col min="1543" max="1543" width="10.5703125" style="733" customWidth="1"/>
    <col min="1544" max="1544" width="8" style="733" customWidth="1"/>
    <col min="1545" max="1545" width="8.42578125" style="733" customWidth="1"/>
    <col min="1546" max="1546" width="12.140625" style="733" customWidth="1"/>
    <col min="1547" max="1548" width="8.140625" style="733" customWidth="1"/>
    <col min="1549" max="1549" width="11.85546875" style="733" customWidth="1"/>
    <col min="1550" max="1550" width="7.5703125" style="733" customWidth="1"/>
    <col min="1551" max="1551" width="7.28515625" style="733" customWidth="1"/>
    <col min="1552" max="1792" width="9.140625" style="733"/>
    <col min="1793" max="1793" width="37.5703125" style="733" customWidth="1"/>
    <col min="1794" max="1794" width="9" style="733" customWidth="1"/>
    <col min="1795" max="1795" width="8.140625" style="733" customWidth="1"/>
    <col min="1796" max="1796" width="12.28515625" style="733" customWidth="1"/>
    <col min="1797" max="1797" width="6.7109375" style="733" customWidth="1"/>
    <col min="1798" max="1798" width="12.85546875" style="733" customWidth="1"/>
    <col min="1799" max="1799" width="10.5703125" style="733" customWidth="1"/>
    <col min="1800" max="1800" width="8" style="733" customWidth="1"/>
    <col min="1801" max="1801" width="8.42578125" style="733" customWidth="1"/>
    <col min="1802" max="1802" width="12.140625" style="733" customWidth="1"/>
    <col min="1803" max="1804" width="8.140625" style="733" customWidth="1"/>
    <col min="1805" max="1805" width="11.85546875" style="733" customWidth="1"/>
    <col min="1806" max="1806" width="7.5703125" style="733" customWidth="1"/>
    <col min="1807" max="1807" width="7.28515625" style="733" customWidth="1"/>
    <col min="1808" max="2048" width="9.140625" style="733"/>
    <col min="2049" max="2049" width="37.5703125" style="733" customWidth="1"/>
    <col min="2050" max="2050" width="9" style="733" customWidth="1"/>
    <col min="2051" max="2051" width="8.140625" style="733" customWidth="1"/>
    <col min="2052" max="2052" width="12.28515625" style="733" customWidth="1"/>
    <col min="2053" max="2053" width="6.7109375" style="733" customWidth="1"/>
    <col min="2054" max="2054" width="12.85546875" style="733" customWidth="1"/>
    <col min="2055" max="2055" width="10.5703125" style="733" customWidth="1"/>
    <col min="2056" max="2056" width="8" style="733" customWidth="1"/>
    <col min="2057" max="2057" width="8.42578125" style="733" customWidth="1"/>
    <col min="2058" max="2058" width="12.140625" style="733" customWidth="1"/>
    <col min="2059" max="2060" width="8.140625" style="733" customWidth="1"/>
    <col min="2061" max="2061" width="11.85546875" style="733" customWidth="1"/>
    <col min="2062" max="2062" width="7.5703125" style="733" customWidth="1"/>
    <col min="2063" max="2063" width="7.28515625" style="733" customWidth="1"/>
    <col min="2064" max="2304" width="9.140625" style="733"/>
    <col min="2305" max="2305" width="37.5703125" style="733" customWidth="1"/>
    <col min="2306" max="2306" width="9" style="733" customWidth="1"/>
    <col min="2307" max="2307" width="8.140625" style="733" customWidth="1"/>
    <col min="2308" max="2308" width="12.28515625" style="733" customWidth="1"/>
    <col min="2309" max="2309" width="6.7109375" style="733" customWidth="1"/>
    <col min="2310" max="2310" width="12.85546875" style="733" customWidth="1"/>
    <col min="2311" max="2311" width="10.5703125" style="733" customWidth="1"/>
    <col min="2312" max="2312" width="8" style="733" customWidth="1"/>
    <col min="2313" max="2313" width="8.42578125" style="733" customWidth="1"/>
    <col min="2314" max="2314" width="12.140625" style="733" customWidth="1"/>
    <col min="2315" max="2316" width="8.140625" style="733" customWidth="1"/>
    <col min="2317" max="2317" width="11.85546875" style="733" customWidth="1"/>
    <col min="2318" max="2318" width="7.5703125" style="733" customWidth="1"/>
    <col min="2319" max="2319" width="7.28515625" style="733" customWidth="1"/>
    <col min="2320" max="2560" width="9.140625" style="733"/>
    <col min="2561" max="2561" width="37.5703125" style="733" customWidth="1"/>
    <col min="2562" max="2562" width="9" style="733" customWidth="1"/>
    <col min="2563" max="2563" width="8.140625" style="733" customWidth="1"/>
    <col min="2564" max="2564" width="12.28515625" style="733" customWidth="1"/>
    <col min="2565" max="2565" width="6.7109375" style="733" customWidth="1"/>
    <col min="2566" max="2566" width="12.85546875" style="733" customWidth="1"/>
    <col min="2567" max="2567" width="10.5703125" style="733" customWidth="1"/>
    <col min="2568" max="2568" width="8" style="733" customWidth="1"/>
    <col min="2569" max="2569" width="8.42578125" style="733" customWidth="1"/>
    <col min="2570" max="2570" width="12.140625" style="733" customWidth="1"/>
    <col min="2571" max="2572" width="8.140625" style="733" customWidth="1"/>
    <col min="2573" max="2573" width="11.85546875" style="733" customWidth="1"/>
    <col min="2574" max="2574" width="7.5703125" style="733" customWidth="1"/>
    <col min="2575" max="2575" width="7.28515625" style="733" customWidth="1"/>
    <col min="2576" max="2816" width="9.140625" style="733"/>
    <col min="2817" max="2817" width="37.5703125" style="733" customWidth="1"/>
    <col min="2818" max="2818" width="9" style="733" customWidth="1"/>
    <col min="2819" max="2819" width="8.140625" style="733" customWidth="1"/>
    <col min="2820" max="2820" width="12.28515625" style="733" customWidth="1"/>
    <col min="2821" max="2821" width="6.7109375" style="733" customWidth="1"/>
    <col min="2822" max="2822" width="12.85546875" style="733" customWidth="1"/>
    <col min="2823" max="2823" width="10.5703125" style="733" customWidth="1"/>
    <col min="2824" max="2824" width="8" style="733" customWidth="1"/>
    <col min="2825" max="2825" width="8.42578125" style="733" customWidth="1"/>
    <col min="2826" max="2826" width="12.140625" style="733" customWidth="1"/>
    <col min="2827" max="2828" width="8.140625" style="733" customWidth="1"/>
    <col min="2829" max="2829" width="11.85546875" style="733" customWidth="1"/>
    <col min="2830" max="2830" width="7.5703125" style="733" customWidth="1"/>
    <col min="2831" max="2831" width="7.28515625" style="733" customWidth="1"/>
    <col min="2832" max="3072" width="9.140625" style="733"/>
    <col min="3073" max="3073" width="37.5703125" style="733" customWidth="1"/>
    <col min="3074" max="3074" width="9" style="733" customWidth="1"/>
    <col min="3075" max="3075" width="8.140625" style="733" customWidth="1"/>
    <col min="3076" max="3076" width="12.28515625" style="733" customWidth="1"/>
    <col min="3077" max="3077" width="6.7109375" style="733" customWidth="1"/>
    <col min="3078" max="3078" width="12.85546875" style="733" customWidth="1"/>
    <col min="3079" max="3079" width="10.5703125" style="733" customWidth="1"/>
    <col min="3080" max="3080" width="8" style="733" customWidth="1"/>
    <col min="3081" max="3081" width="8.42578125" style="733" customWidth="1"/>
    <col min="3082" max="3082" width="12.140625" style="733" customWidth="1"/>
    <col min="3083" max="3084" width="8.140625" style="733" customWidth="1"/>
    <col min="3085" max="3085" width="11.85546875" style="733" customWidth="1"/>
    <col min="3086" max="3086" width="7.5703125" style="733" customWidth="1"/>
    <col min="3087" max="3087" width="7.28515625" style="733" customWidth="1"/>
    <col min="3088" max="3328" width="9.140625" style="733"/>
    <col min="3329" max="3329" width="37.5703125" style="733" customWidth="1"/>
    <col min="3330" max="3330" width="9" style="733" customWidth="1"/>
    <col min="3331" max="3331" width="8.140625" style="733" customWidth="1"/>
    <col min="3332" max="3332" width="12.28515625" style="733" customWidth="1"/>
    <col min="3333" max="3333" width="6.7109375" style="733" customWidth="1"/>
    <col min="3334" max="3334" width="12.85546875" style="733" customWidth="1"/>
    <col min="3335" max="3335" width="10.5703125" style="733" customWidth="1"/>
    <col min="3336" max="3336" width="8" style="733" customWidth="1"/>
    <col min="3337" max="3337" width="8.42578125" style="733" customWidth="1"/>
    <col min="3338" max="3338" width="12.140625" style="733" customWidth="1"/>
    <col min="3339" max="3340" width="8.140625" style="733" customWidth="1"/>
    <col min="3341" max="3341" width="11.85546875" style="733" customWidth="1"/>
    <col min="3342" max="3342" width="7.5703125" style="733" customWidth="1"/>
    <col min="3343" max="3343" width="7.28515625" style="733" customWidth="1"/>
    <col min="3344" max="3584" width="9.140625" style="733"/>
    <col min="3585" max="3585" width="37.5703125" style="733" customWidth="1"/>
    <col min="3586" max="3586" width="9" style="733" customWidth="1"/>
    <col min="3587" max="3587" width="8.140625" style="733" customWidth="1"/>
    <col min="3588" max="3588" width="12.28515625" style="733" customWidth="1"/>
    <col min="3589" max="3589" width="6.7109375" style="733" customWidth="1"/>
    <col min="3590" max="3590" width="12.85546875" style="733" customWidth="1"/>
    <col min="3591" max="3591" width="10.5703125" style="733" customWidth="1"/>
    <col min="3592" max="3592" width="8" style="733" customWidth="1"/>
    <col min="3593" max="3593" width="8.42578125" style="733" customWidth="1"/>
    <col min="3594" max="3594" width="12.140625" style="733" customWidth="1"/>
    <col min="3595" max="3596" width="8.140625" style="733" customWidth="1"/>
    <col min="3597" max="3597" width="11.85546875" style="733" customWidth="1"/>
    <col min="3598" max="3598" width="7.5703125" style="733" customWidth="1"/>
    <col min="3599" max="3599" width="7.28515625" style="733" customWidth="1"/>
    <col min="3600" max="3840" width="9.140625" style="733"/>
    <col min="3841" max="3841" width="37.5703125" style="733" customWidth="1"/>
    <col min="3842" max="3842" width="9" style="733" customWidth="1"/>
    <col min="3843" max="3843" width="8.140625" style="733" customWidth="1"/>
    <col min="3844" max="3844" width="12.28515625" style="733" customWidth="1"/>
    <col min="3845" max="3845" width="6.7109375" style="733" customWidth="1"/>
    <col min="3846" max="3846" width="12.85546875" style="733" customWidth="1"/>
    <col min="3847" max="3847" width="10.5703125" style="733" customWidth="1"/>
    <col min="3848" max="3848" width="8" style="733" customWidth="1"/>
    <col min="3849" max="3849" width="8.42578125" style="733" customWidth="1"/>
    <col min="3850" max="3850" width="12.140625" style="733" customWidth="1"/>
    <col min="3851" max="3852" width="8.140625" style="733" customWidth="1"/>
    <col min="3853" max="3853" width="11.85546875" style="733" customWidth="1"/>
    <col min="3854" max="3854" width="7.5703125" style="733" customWidth="1"/>
    <col min="3855" max="3855" width="7.28515625" style="733" customWidth="1"/>
    <col min="3856" max="4096" width="9.140625" style="733"/>
    <col min="4097" max="4097" width="37.5703125" style="733" customWidth="1"/>
    <col min="4098" max="4098" width="9" style="733" customWidth="1"/>
    <col min="4099" max="4099" width="8.140625" style="733" customWidth="1"/>
    <col min="4100" max="4100" width="12.28515625" style="733" customWidth="1"/>
    <col min="4101" max="4101" width="6.7109375" style="733" customWidth="1"/>
    <col min="4102" max="4102" width="12.85546875" style="733" customWidth="1"/>
    <col min="4103" max="4103" width="10.5703125" style="733" customWidth="1"/>
    <col min="4104" max="4104" width="8" style="733" customWidth="1"/>
    <col min="4105" max="4105" width="8.42578125" style="733" customWidth="1"/>
    <col min="4106" max="4106" width="12.140625" style="733" customWidth="1"/>
    <col min="4107" max="4108" width="8.140625" style="733" customWidth="1"/>
    <col min="4109" max="4109" width="11.85546875" style="733" customWidth="1"/>
    <col min="4110" max="4110" width="7.5703125" style="733" customWidth="1"/>
    <col min="4111" max="4111" width="7.28515625" style="733" customWidth="1"/>
    <col min="4112" max="4352" width="9.140625" style="733"/>
    <col min="4353" max="4353" width="37.5703125" style="733" customWidth="1"/>
    <col min="4354" max="4354" width="9" style="733" customWidth="1"/>
    <col min="4355" max="4355" width="8.140625" style="733" customWidth="1"/>
    <col min="4356" max="4356" width="12.28515625" style="733" customWidth="1"/>
    <col min="4357" max="4357" width="6.7109375" style="733" customWidth="1"/>
    <col min="4358" max="4358" width="12.85546875" style="733" customWidth="1"/>
    <col min="4359" max="4359" width="10.5703125" style="733" customWidth="1"/>
    <col min="4360" max="4360" width="8" style="733" customWidth="1"/>
    <col min="4361" max="4361" width="8.42578125" style="733" customWidth="1"/>
    <col min="4362" max="4362" width="12.140625" style="733" customWidth="1"/>
    <col min="4363" max="4364" width="8.140625" style="733" customWidth="1"/>
    <col min="4365" max="4365" width="11.85546875" style="733" customWidth="1"/>
    <col min="4366" max="4366" width="7.5703125" style="733" customWidth="1"/>
    <col min="4367" max="4367" width="7.28515625" style="733" customWidth="1"/>
    <col min="4368" max="4608" width="9.140625" style="733"/>
    <col min="4609" max="4609" width="37.5703125" style="733" customWidth="1"/>
    <col min="4610" max="4610" width="9" style="733" customWidth="1"/>
    <col min="4611" max="4611" width="8.140625" style="733" customWidth="1"/>
    <col min="4612" max="4612" width="12.28515625" style="733" customWidth="1"/>
    <col min="4613" max="4613" width="6.7109375" style="733" customWidth="1"/>
    <col min="4614" max="4614" width="12.85546875" style="733" customWidth="1"/>
    <col min="4615" max="4615" width="10.5703125" style="733" customWidth="1"/>
    <col min="4616" max="4616" width="8" style="733" customWidth="1"/>
    <col min="4617" max="4617" width="8.42578125" style="733" customWidth="1"/>
    <col min="4618" max="4618" width="12.140625" style="733" customWidth="1"/>
    <col min="4619" max="4620" width="8.140625" style="733" customWidth="1"/>
    <col min="4621" max="4621" width="11.85546875" style="733" customWidth="1"/>
    <col min="4622" max="4622" width="7.5703125" style="733" customWidth="1"/>
    <col min="4623" max="4623" width="7.28515625" style="733" customWidth="1"/>
    <col min="4624" max="4864" width="9.140625" style="733"/>
    <col min="4865" max="4865" width="37.5703125" style="733" customWidth="1"/>
    <col min="4866" max="4866" width="9" style="733" customWidth="1"/>
    <col min="4867" max="4867" width="8.140625" style="733" customWidth="1"/>
    <col min="4868" max="4868" width="12.28515625" style="733" customWidth="1"/>
    <col min="4869" max="4869" width="6.7109375" style="733" customWidth="1"/>
    <col min="4870" max="4870" width="12.85546875" style="733" customWidth="1"/>
    <col min="4871" max="4871" width="10.5703125" style="733" customWidth="1"/>
    <col min="4872" max="4872" width="8" style="733" customWidth="1"/>
    <col min="4873" max="4873" width="8.42578125" style="733" customWidth="1"/>
    <col min="4874" max="4874" width="12.140625" style="733" customWidth="1"/>
    <col min="4875" max="4876" width="8.140625" style="733" customWidth="1"/>
    <col min="4877" max="4877" width="11.85546875" style="733" customWidth="1"/>
    <col min="4878" max="4878" width="7.5703125" style="733" customWidth="1"/>
    <col min="4879" max="4879" width="7.28515625" style="733" customWidth="1"/>
    <col min="4880" max="5120" width="9.140625" style="733"/>
    <col min="5121" max="5121" width="37.5703125" style="733" customWidth="1"/>
    <col min="5122" max="5122" width="9" style="733" customWidth="1"/>
    <col min="5123" max="5123" width="8.140625" style="733" customWidth="1"/>
    <col min="5124" max="5124" width="12.28515625" style="733" customWidth="1"/>
    <col min="5125" max="5125" width="6.7109375" style="733" customWidth="1"/>
    <col min="5126" max="5126" width="12.85546875" style="733" customWidth="1"/>
    <col min="5127" max="5127" width="10.5703125" style="733" customWidth="1"/>
    <col min="5128" max="5128" width="8" style="733" customWidth="1"/>
    <col min="5129" max="5129" width="8.42578125" style="733" customWidth="1"/>
    <col min="5130" max="5130" width="12.140625" style="733" customWidth="1"/>
    <col min="5131" max="5132" width="8.140625" style="733" customWidth="1"/>
    <col min="5133" max="5133" width="11.85546875" style="733" customWidth="1"/>
    <col min="5134" max="5134" width="7.5703125" style="733" customWidth="1"/>
    <col min="5135" max="5135" width="7.28515625" style="733" customWidth="1"/>
    <col min="5136" max="5376" width="9.140625" style="733"/>
    <col min="5377" max="5377" width="37.5703125" style="733" customWidth="1"/>
    <col min="5378" max="5378" width="9" style="733" customWidth="1"/>
    <col min="5379" max="5379" width="8.140625" style="733" customWidth="1"/>
    <col min="5380" max="5380" width="12.28515625" style="733" customWidth="1"/>
    <col min="5381" max="5381" width="6.7109375" style="733" customWidth="1"/>
    <col min="5382" max="5382" width="12.85546875" style="733" customWidth="1"/>
    <col min="5383" max="5383" width="10.5703125" style="733" customWidth="1"/>
    <col min="5384" max="5384" width="8" style="733" customWidth="1"/>
    <col min="5385" max="5385" width="8.42578125" style="733" customWidth="1"/>
    <col min="5386" max="5386" width="12.140625" style="733" customWidth="1"/>
    <col min="5387" max="5388" width="8.140625" style="733" customWidth="1"/>
    <col min="5389" max="5389" width="11.85546875" style="733" customWidth="1"/>
    <col min="5390" max="5390" width="7.5703125" style="733" customWidth="1"/>
    <col min="5391" max="5391" width="7.28515625" style="733" customWidth="1"/>
    <col min="5392" max="5632" width="9.140625" style="733"/>
    <col min="5633" max="5633" width="37.5703125" style="733" customWidth="1"/>
    <col min="5634" max="5634" width="9" style="733" customWidth="1"/>
    <col min="5635" max="5635" width="8.140625" style="733" customWidth="1"/>
    <col min="5636" max="5636" width="12.28515625" style="733" customWidth="1"/>
    <col min="5637" max="5637" width="6.7109375" style="733" customWidth="1"/>
    <col min="5638" max="5638" width="12.85546875" style="733" customWidth="1"/>
    <col min="5639" max="5639" width="10.5703125" style="733" customWidth="1"/>
    <col min="5640" max="5640" width="8" style="733" customWidth="1"/>
    <col min="5641" max="5641" width="8.42578125" style="733" customWidth="1"/>
    <col min="5642" max="5642" width="12.140625" style="733" customWidth="1"/>
    <col min="5643" max="5644" width="8.140625" style="733" customWidth="1"/>
    <col min="5645" max="5645" width="11.85546875" style="733" customWidth="1"/>
    <col min="5646" max="5646" width="7.5703125" style="733" customWidth="1"/>
    <col min="5647" max="5647" width="7.28515625" style="733" customWidth="1"/>
    <col min="5648" max="5888" width="9.140625" style="733"/>
    <col min="5889" max="5889" width="37.5703125" style="733" customWidth="1"/>
    <col min="5890" max="5890" width="9" style="733" customWidth="1"/>
    <col min="5891" max="5891" width="8.140625" style="733" customWidth="1"/>
    <col min="5892" max="5892" width="12.28515625" style="733" customWidth="1"/>
    <col min="5893" max="5893" width="6.7109375" style="733" customWidth="1"/>
    <col min="5894" max="5894" width="12.85546875" style="733" customWidth="1"/>
    <col min="5895" max="5895" width="10.5703125" style="733" customWidth="1"/>
    <col min="5896" max="5896" width="8" style="733" customWidth="1"/>
    <col min="5897" max="5897" width="8.42578125" style="733" customWidth="1"/>
    <col min="5898" max="5898" width="12.140625" style="733" customWidth="1"/>
    <col min="5899" max="5900" width="8.140625" style="733" customWidth="1"/>
    <col min="5901" max="5901" width="11.85546875" style="733" customWidth="1"/>
    <col min="5902" max="5902" width="7.5703125" style="733" customWidth="1"/>
    <col min="5903" max="5903" width="7.28515625" style="733" customWidth="1"/>
    <col min="5904" max="6144" width="9.140625" style="733"/>
    <col min="6145" max="6145" width="37.5703125" style="733" customWidth="1"/>
    <col min="6146" max="6146" width="9" style="733" customWidth="1"/>
    <col min="6147" max="6147" width="8.140625" style="733" customWidth="1"/>
    <col min="6148" max="6148" width="12.28515625" style="733" customWidth="1"/>
    <col min="6149" max="6149" width="6.7109375" style="733" customWidth="1"/>
    <col min="6150" max="6150" width="12.85546875" style="733" customWidth="1"/>
    <col min="6151" max="6151" width="10.5703125" style="733" customWidth="1"/>
    <col min="6152" max="6152" width="8" style="733" customWidth="1"/>
    <col min="6153" max="6153" width="8.42578125" style="733" customWidth="1"/>
    <col min="6154" max="6154" width="12.140625" style="733" customWidth="1"/>
    <col min="6155" max="6156" width="8.140625" style="733" customWidth="1"/>
    <col min="6157" max="6157" width="11.85546875" style="733" customWidth="1"/>
    <col min="6158" max="6158" width="7.5703125" style="733" customWidth="1"/>
    <col min="6159" max="6159" width="7.28515625" style="733" customWidth="1"/>
    <col min="6160" max="6400" width="9.140625" style="733"/>
    <col min="6401" max="6401" width="37.5703125" style="733" customWidth="1"/>
    <col min="6402" max="6402" width="9" style="733" customWidth="1"/>
    <col min="6403" max="6403" width="8.140625" style="733" customWidth="1"/>
    <col min="6404" max="6404" width="12.28515625" style="733" customWidth="1"/>
    <col min="6405" max="6405" width="6.7109375" style="733" customWidth="1"/>
    <col min="6406" max="6406" width="12.85546875" style="733" customWidth="1"/>
    <col min="6407" max="6407" width="10.5703125" style="733" customWidth="1"/>
    <col min="6408" max="6408" width="8" style="733" customWidth="1"/>
    <col min="6409" max="6409" width="8.42578125" style="733" customWidth="1"/>
    <col min="6410" max="6410" width="12.140625" style="733" customWidth="1"/>
    <col min="6411" max="6412" width="8.140625" style="733" customWidth="1"/>
    <col min="6413" max="6413" width="11.85546875" style="733" customWidth="1"/>
    <col min="6414" max="6414" width="7.5703125" style="733" customWidth="1"/>
    <col min="6415" max="6415" width="7.28515625" style="733" customWidth="1"/>
    <col min="6416" max="6656" width="9.140625" style="733"/>
    <col min="6657" max="6657" width="37.5703125" style="733" customWidth="1"/>
    <col min="6658" max="6658" width="9" style="733" customWidth="1"/>
    <col min="6659" max="6659" width="8.140625" style="733" customWidth="1"/>
    <col min="6660" max="6660" width="12.28515625" style="733" customWidth="1"/>
    <col min="6661" max="6661" width="6.7109375" style="733" customWidth="1"/>
    <col min="6662" max="6662" width="12.85546875" style="733" customWidth="1"/>
    <col min="6663" max="6663" width="10.5703125" style="733" customWidth="1"/>
    <col min="6664" max="6664" width="8" style="733" customWidth="1"/>
    <col min="6665" max="6665" width="8.42578125" style="733" customWidth="1"/>
    <col min="6666" max="6666" width="12.140625" style="733" customWidth="1"/>
    <col min="6667" max="6668" width="8.140625" style="733" customWidth="1"/>
    <col min="6669" max="6669" width="11.85546875" style="733" customWidth="1"/>
    <col min="6670" max="6670" width="7.5703125" style="733" customWidth="1"/>
    <col min="6671" max="6671" width="7.28515625" style="733" customWidth="1"/>
    <col min="6672" max="6912" width="9.140625" style="733"/>
    <col min="6913" max="6913" width="37.5703125" style="733" customWidth="1"/>
    <col min="6914" max="6914" width="9" style="733" customWidth="1"/>
    <col min="6915" max="6915" width="8.140625" style="733" customWidth="1"/>
    <col min="6916" max="6916" width="12.28515625" style="733" customWidth="1"/>
    <col min="6917" max="6917" width="6.7109375" style="733" customWidth="1"/>
    <col min="6918" max="6918" width="12.85546875" style="733" customWidth="1"/>
    <col min="6919" max="6919" width="10.5703125" style="733" customWidth="1"/>
    <col min="6920" max="6920" width="8" style="733" customWidth="1"/>
    <col min="6921" max="6921" width="8.42578125" style="733" customWidth="1"/>
    <col min="6922" max="6922" width="12.140625" style="733" customWidth="1"/>
    <col min="6923" max="6924" width="8.140625" style="733" customWidth="1"/>
    <col min="6925" max="6925" width="11.85546875" style="733" customWidth="1"/>
    <col min="6926" max="6926" width="7.5703125" style="733" customWidth="1"/>
    <col min="6927" max="6927" width="7.28515625" style="733" customWidth="1"/>
    <col min="6928" max="7168" width="9.140625" style="733"/>
    <col min="7169" max="7169" width="37.5703125" style="733" customWidth="1"/>
    <col min="7170" max="7170" width="9" style="733" customWidth="1"/>
    <col min="7171" max="7171" width="8.140625" style="733" customWidth="1"/>
    <col min="7172" max="7172" width="12.28515625" style="733" customWidth="1"/>
    <col min="7173" max="7173" width="6.7109375" style="733" customWidth="1"/>
    <col min="7174" max="7174" width="12.85546875" style="733" customWidth="1"/>
    <col min="7175" max="7175" width="10.5703125" style="733" customWidth="1"/>
    <col min="7176" max="7176" width="8" style="733" customWidth="1"/>
    <col min="7177" max="7177" width="8.42578125" style="733" customWidth="1"/>
    <col min="7178" max="7178" width="12.140625" style="733" customWidth="1"/>
    <col min="7179" max="7180" width="8.140625" style="733" customWidth="1"/>
    <col min="7181" max="7181" width="11.85546875" style="733" customWidth="1"/>
    <col min="7182" max="7182" width="7.5703125" style="733" customWidth="1"/>
    <col min="7183" max="7183" width="7.28515625" style="733" customWidth="1"/>
    <col min="7184" max="7424" width="9.140625" style="733"/>
    <col min="7425" max="7425" width="37.5703125" style="733" customWidth="1"/>
    <col min="7426" max="7426" width="9" style="733" customWidth="1"/>
    <col min="7427" max="7427" width="8.140625" style="733" customWidth="1"/>
    <col min="7428" max="7428" width="12.28515625" style="733" customWidth="1"/>
    <col min="7429" max="7429" width="6.7109375" style="733" customWidth="1"/>
    <col min="7430" max="7430" width="12.85546875" style="733" customWidth="1"/>
    <col min="7431" max="7431" width="10.5703125" style="733" customWidth="1"/>
    <col min="7432" max="7432" width="8" style="733" customWidth="1"/>
    <col min="7433" max="7433" width="8.42578125" style="733" customWidth="1"/>
    <col min="7434" max="7434" width="12.140625" style="733" customWidth="1"/>
    <col min="7435" max="7436" width="8.140625" style="733" customWidth="1"/>
    <col min="7437" max="7437" width="11.85546875" style="733" customWidth="1"/>
    <col min="7438" max="7438" width="7.5703125" style="733" customWidth="1"/>
    <col min="7439" max="7439" width="7.28515625" style="733" customWidth="1"/>
    <col min="7440" max="7680" width="9.140625" style="733"/>
    <col min="7681" max="7681" width="37.5703125" style="733" customWidth="1"/>
    <col min="7682" max="7682" width="9" style="733" customWidth="1"/>
    <col min="7683" max="7683" width="8.140625" style="733" customWidth="1"/>
    <col min="7684" max="7684" width="12.28515625" style="733" customWidth="1"/>
    <col min="7685" max="7685" width="6.7109375" style="733" customWidth="1"/>
    <col min="7686" max="7686" width="12.85546875" style="733" customWidth="1"/>
    <col min="7687" max="7687" width="10.5703125" style="733" customWidth="1"/>
    <col min="7688" max="7688" width="8" style="733" customWidth="1"/>
    <col min="7689" max="7689" width="8.42578125" style="733" customWidth="1"/>
    <col min="7690" max="7690" width="12.140625" style="733" customWidth="1"/>
    <col min="7691" max="7692" width="8.140625" style="733" customWidth="1"/>
    <col min="7693" max="7693" width="11.85546875" style="733" customWidth="1"/>
    <col min="7694" max="7694" width="7.5703125" style="733" customWidth="1"/>
    <col min="7695" max="7695" width="7.28515625" style="733" customWidth="1"/>
    <col min="7696" max="7936" width="9.140625" style="733"/>
    <col min="7937" max="7937" width="37.5703125" style="733" customWidth="1"/>
    <col min="7938" max="7938" width="9" style="733" customWidth="1"/>
    <col min="7939" max="7939" width="8.140625" style="733" customWidth="1"/>
    <col min="7940" max="7940" width="12.28515625" style="733" customWidth="1"/>
    <col min="7941" max="7941" width="6.7109375" style="733" customWidth="1"/>
    <col min="7942" max="7942" width="12.85546875" style="733" customWidth="1"/>
    <col min="7943" max="7943" width="10.5703125" style="733" customWidth="1"/>
    <col min="7944" max="7944" width="8" style="733" customWidth="1"/>
    <col min="7945" max="7945" width="8.42578125" style="733" customWidth="1"/>
    <col min="7946" max="7946" width="12.140625" style="733" customWidth="1"/>
    <col min="7947" max="7948" width="8.140625" style="733" customWidth="1"/>
    <col min="7949" max="7949" width="11.85546875" style="733" customWidth="1"/>
    <col min="7950" max="7950" width="7.5703125" style="733" customWidth="1"/>
    <col min="7951" max="7951" width="7.28515625" style="733" customWidth="1"/>
    <col min="7952" max="8192" width="9.140625" style="733"/>
    <col min="8193" max="8193" width="37.5703125" style="733" customWidth="1"/>
    <col min="8194" max="8194" width="9" style="733" customWidth="1"/>
    <col min="8195" max="8195" width="8.140625" style="733" customWidth="1"/>
    <col min="8196" max="8196" width="12.28515625" style="733" customWidth="1"/>
    <col min="8197" max="8197" width="6.7109375" style="733" customWidth="1"/>
    <col min="8198" max="8198" width="12.85546875" style="733" customWidth="1"/>
    <col min="8199" max="8199" width="10.5703125" style="733" customWidth="1"/>
    <col min="8200" max="8200" width="8" style="733" customWidth="1"/>
    <col min="8201" max="8201" width="8.42578125" style="733" customWidth="1"/>
    <col min="8202" max="8202" width="12.140625" style="733" customWidth="1"/>
    <col min="8203" max="8204" width="8.140625" style="733" customWidth="1"/>
    <col min="8205" max="8205" width="11.85546875" style="733" customWidth="1"/>
    <col min="8206" max="8206" width="7.5703125" style="733" customWidth="1"/>
    <col min="8207" max="8207" width="7.28515625" style="733" customWidth="1"/>
    <col min="8208" max="8448" width="9.140625" style="733"/>
    <col min="8449" max="8449" width="37.5703125" style="733" customWidth="1"/>
    <col min="8450" max="8450" width="9" style="733" customWidth="1"/>
    <col min="8451" max="8451" width="8.140625" style="733" customWidth="1"/>
    <col min="8452" max="8452" width="12.28515625" style="733" customWidth="1"/>
    <col min="8453" max="8453" width="6.7109375" style="733" customWidth="1"/>
    <col min="8454" max="8454" width="12.85546875" style="733" customWidth="1"/>
    <col min="8455" max="8455" width="10.5703125" style="733" customWidth="1"/>
    <col min="8456" max="8456" width="8" style="733" customWidth="1"/>
    <col min="8457" max="8457" width="8.42578125" style="733" customWidth="1"/>
    <col min="8458" max="8458" width="12.140625" style="733" customWidth="1"/>
    <col min="8459" max="8460" width="8.140625" style="733" customWidth="1"/>
    <col min="8461" max="8461" width="11.85546875" style="733" customWidth="1"/>
    <col min="8462" max="8462" width="7.5703125" style="733" customWidth="1"/>
    <col min="8463" max="8463" width="7.28515625" style="733" customWidth="1"/>
    <col min="8464" max="8704" width="9.140625" style="733"/>
    <col min="8705" max="8705" width="37.5703125" style="733" customWidth="1"/>
    <col min="8706" max="8706" width="9" style="733" customWidth="1"/>
    <col min="8707" max="8707" width="8.140625" style="733" customWidth="1"/>
    <col min="8708" max="8708" width="12.28515625" style="733" customWidth="1"/>
    <col min="8709" max="8709" width="6.7109375" style="733" customWidth="1"/>
    <col min="8710" max="8710" width="12.85546875" style="733" customWidth="1"/>
    <col min="8711" max="8711" width="10.5703125" style="733" customWidth="1"/>
    <col min="8712" max="8712" width="8" style="733" customWidth="1"/>
    <col min="8713" max="8713" width="8.42578125" style="733" customWidth="1"/>
    <col min="8714" max="8714" width="12.140625" style="733" customWidth="1"/>
    <col min="8715" max="8716" width="8.140625" style="733" customWidth="1"/>
    <col min="8717" max="8717" width="11.85546875" style="733" customWidth="1"/>
    <col min="8718" max="8718" width="7.5703125" style="733" customWidth="1"/>
    <col min="8719" max="8719" width="7.28515625" style="733" customWidth="1"/>
    <col min="8720" max="8960" width="9.140625" style="733"/>
    <col min="8961" max="8961" width="37.5703125" style="733" customWidth="1"/>
    <col min="8962" max="8962" width="9" style="733" customWidth="1"/>
    <col min="8963" max="8963" width="8.140625" style="733" customWidth="1"/>
    <col min="8964" max="8964" width="12.28515625" style="733" customWidth="1"/>
    <col min="8965" max="8965" width="6.7109375" style="733" customWidth="1"/>
    <col min="8966" max="8966" width="12.85546875" style="733" customWidth="1"/>
    <col min="8967" max="8967" width="10.5703125" style="733" customWidth="1"/>
    <col min="8968" max="8968" width="8" style="733" customWidth="1"/>
    <col min="8969" max="8969" width="8.42578125" style="733" customWidth="1"/>
    <col min="8970" max="8970" width="12.140625" style="733" customWidth="1"/>
    <col min="8971" max="8972" width="8.140625" style="733" customWidth="1"/>
    <col min="8973" max="8973" width="11.85546875" style="733" customWidth="1"/>
    <col min="8974" max="8974" width="7.5703125" style="733" customWidth="1"/>
    <col min="8975" max="8975" width="7.28515625" style="733" customWidth="1"/>
    <col min="8976" max="9216" width="9.140625" style="733"/>
    <col min="9217" max="9217" width="37.5703125" style="733" customWidth="1"/>
    <col min="9218" max="9218" width="9" style="733" customWidth="1"/>
    <col min="9219" max="9219" width="8.140625" style="733" customWidth="1"/>
    <col min="9220" max="9220" width="12.28515625" style="733" customWidth="1"/>
    <col min="9221" max="9221" width="6.7109375" style="733" customWidth="1"/>
    <col min="9222" max="9222" width="12.85546875" style="733" customWidth="1"/>
    <col min="9223" max="9223" width="10.5703125" style="733" customWidth="1"/>
    <col min="9224" max="9224" width="8" style="733" customWidth="1"/>
    <col min="9225" max="9225" width="8.42578125" style="733" customWidth="1"/>
    <col min="9226" max="9226" width="12.140625" style="733" customWidth="1"/>
    <col min="9227" max="9228" width="8.140625" style="733" customWidth="1"/>
    <col min="9229" max="9229" width="11.85546875" style="733" customWidth="1"/>
    <col min="9230" max="9230" width="7.5703125" style="733" customWidth="1"/>
    <col min="9231" max="9231" width="7.28515625" style="733" customWidth="1"/>
    <col min="9232" max="9472" width="9.140625" style="733"/>
    <col min="9473" max="9473" width="37.5703125" style="733" customWidth="1"/>
    <col min="9474" max="9474" width="9" style="733" customWidth="1"/>
    <col min="9475" max="9475" width="8.140625" style="733" customWidth="1"/>
    <col min="9476" max="9476" width="12.28515625" style="733" customWidth="1"/>
    <col min="9477" max="9477" width="6.7109375" style="733" customWidth="1"/>
    <col min="9478" max="9478" width="12.85546875" style="733" customWidth="1"/>
    <col min="9479" max="9479" width="10.5703125" style="733" customWidth="1"/>
    <col min="9480" max="9480" width="8" style="733" customWidth="1"/>
    <col min="9481" max="9481" width="8.42578125" style="733" customWidth="1"/>
    <col min="9482" max="9482" width="12.140625" style="733" customWidth="1"/>
    <col min="9483" max="9484" width="8.140625" style="733" customWidth="1"/>
    <col min="9485" max="9485" width="11.85546875" style="733" customWidth="1"/>
    <col min="9486" max="9486" width="7.5703125" style="733" customWidth="1"/>
    <col min="9487" max="9487" width="7.28515625" style="733" customWidth="1"/>
    <col min="9488" max="9728" width="9.140625" style="733"/>
    <col min="9729" max="9729" width="37.5703125" style="733" customWidth="1"/>
    <col min="9730" max="9730" width="9" style="733" customWidth="1"/>
    <col min="9731" max="9731" width="8.140625" style="733" customWidth="1"/>
    <col min="9732" max="9732" width="12.28515625" style="733" customWidth="1"/>
    <col min="9733" max="9733" width="6.7109375" style="733" customWidth="1"/>
    <col min="9734" max="9734" width="12.85546875" style="733" customWidth="1"/>
    <col min="9735" max="9735" width="10.5703125" style="733" customWidth="1"/>
    <col min="9736" max="9736" width="8" style="733" customWidth="1"/>
    <col min="9737" max="9737" width="8.42578125" style="733" customWidth="1"/>
    <col min="9738" max="9738" width="12.140625" style="733" customWidth="1"/>
    <col min="9739" max="9740" width="8.140625" style="733" customWidth="1"/>
    <col min="9741" max="9741" width="11.85546875" style="733" customWidth="1"/>
    <col min="9742" max="9742" width="7.5703125" style="733" customWidth="1"/>
    <col min="9743" max="9743" width="7.28515625" style="733" customWidth="1"/>
    <col min="9744" max="9984" width="9.140625" style="733"/>
    <col min="9985" max="9985" width="37.5703125" style="733" customWidth="1"/>
    <col min="9986" max="9986" width="9" style="733" customWidth="1"/>
    <col min="9987" max="9987" width="8.140625" style="733" customWidth="1"/>
    <col min="9988" max="9988" width="12.28515625" style="733" customWidth="1"/>
    <col min="9989" max="9989" width="6.7109375" style="733" customWidth="1"/>
    <col min="9990" max="9990" width="12.85546875" style="733" customWidth="1"/>
    <col min="9991" max="9991" width="10.5703125" style="733" customWidth="1"/>
    <col min="9992" max="9992" width="8" style="733" customWidth="1"/>
    <col min="9993" max="9993" width="8.42578125" style="733" customWidth="1"/>
    <col min="9994" max="9994" width="12.140625" style="733" customWidth="1"/>
    <col min="9995" max="9996" width="8.140625" style="733" customWidth="1"/>
    <col min="9997" max="9997" width="11.85546875" style="733" customWidth="1"/>
    <col min="9998" max="9998" width="7.5703125" style="733" customWidth="1"/>
    <col min="9999" max="9999" width="7.28515625" style="733" customWidth="1"/>
    <col min="10000" max="10240" width="9.140625" style="733"/>
    <col min="10241" max="10241" width="37.5703125" style="733" customWidth="1"/>
    <col min="10242" max="10242" width="9" style="733" customWidth="1"/>
    <col min="10243" max="10243" width="8.140625" style="733" customWidth="1"/>
    <col min="10244" max="10244" width="12.28515625" style="733" customWidth="1"/>
    <col min="10245" max="10245" width="6.7109375" style="733" customWidth="1"/>
    <col min="10246" max="10246" width="12.85546875" style="733" customWidth="1"/>
    <col min="10247" max="10247" width="10.5703125" style="733" customWidth="1"/>
    <col min="10248" max="10248" width="8" style="733" customWidth="1"/>
    <col min="10249" max="10249" width="8.42578125" style="733" customWidth="1"/>
    <col min="10250" max="10250" width="12.140625" style="733" customWidth="1"/>
    <col min="10251" max="10252" width="8.140625" style="733" customWidth="1"/>
    <col min="10253" max="10253" width="11.85546875" style="733" customWidth="1"/>
    <col min="10254" max="10254" width="7.5703125" style="733" customWidth="1"/>
    <col min="10255" max="10255" width="7.28515625" style="733" customWidth="1"/>
    <col min="10256" max="10496" width="9.140625" style="733"/>
    <col min="10497" max="10497" width="37.5703125" style="733" customWidth="1"/>
    <col min="10498" max="10498" width="9" style="733" customWidth="1"/>
    <col min="10499" max="10499" width="8.140625" style="733" customWidth="1"/>
    <col min="10500" max="10500" width="12.28515625" style="733" customWidth="1"/>
    <col min="10501" max="10501" width="6.7109375" style="733" customWidth="1"/>
    <col min="10502" max="10502" width="12.85546875" style="733" customWidth="1"/>
    <col min="10503" max="10503" width="10.5703125" style="733" customWidth="1"/>
    <col min="10504" max="10504" width="8" style="733" customWidth="1"/>
    <col min="10505" max="10505" width="8.42578125" style="733" customWidth="1"/>
    <col min="10506" max="10506" width="12.140625" style="733" customWidth="1"/>
    <col min="10507" max="10508" width="8.140625" style="733" customWidth="1"/>
    <col min="10509" max="10509" width="11.85546875" style="733" customWidth="1"/>
    <col min="10510" max="10510" width="7.5703125" style="733" customWidth="1"/>
    <col min="10511" max="10511" width="7.28515625" style="733" customWidth="1"/>
    <col min="10512" max="10752" width="9.140625" style="733"/>
    <col min="10753" max="10753" width="37.5703125" style="733" customWidth="1"/>
    <col min="10754" max="10754" width="9" style="733" customWidth="1"/>
    <col min="10755" max="10755" width="8.140625" style="733" customWidth="1"/>
    <col min="10756" max="10756" width="12.28515625" style="733" customWidth="1"/>
    <col min="10757" max="10757" width="6.7109375" style="733" customWidth="1"/>
    <col min="10758" max="10758" width="12.85546875" style="733" customWidth="1"/>
    <col min="10759" max="10759" width="10.5703125" style="733" customWidth="1"/>
    <col min="10760" max="10760" width="8" style="733" customWidth="1"/>
    <col min="10761" max="10761" width="8.42578125" style="733" customWidth="1"/>
    <col min="10762" max="10762" width="12.140625" style="733" customWidth="1"/>
    <col min="10763" max="10764" width="8.140625" style="733" customWidth="1"/>
    <col min="10765" max="10765" width="11.85546875" style="733" customWidth="1"/>
    <col min="10766" max="10766" width="7.5703125" style="733" customWidth="1"/>
    <col min="10767" max="10767" width="7.28515625" style="733" customWidth="1"/>
    <col min="10768" max="11008" width="9.140625" style="733"/>
    <col min="11009" max="11009" width="37.5703125" style="733" customWidth="1"/>
    <col min="11010" max="11010" width="9" style="733" customWidth="1"/>
    <col min="11011" max="11011" width="8.140625" style="733" customWidth="1"/>
    <col min="11012" max="11012" width="12.28515625" style="733" customWidth="1"/>
    <col min="11013" max="11013" width="6.7109375" style="733" customWidth="1"/>
    <col min="11014" max="11014" width="12.85546875" style="733" customWidth="1"/>
    <col min="11015" max="11015" width="10.5703125" style="733" customWidth="1"/>
    <col min="11016" max="11016" width="8" style="733" customWidth="1"/>
    <col min="11017" max="11017" width="8.42578125" style="733" customWidth="1"/>
    <col min="11018" max="11018" width="12.140625" style="733" customWidth="1"/>
    <col min="11019" max="11020" width="8.140625" style="733" customWidth="1"/>
    <col min="11021" max="11021" width="11.85546875" style="733" customWidth="1"/>
    <col min="11022" max="11022" width="7.5703125" style="733" customWidth="1"/>
    <col min="11023" max="11023" width="7.28515625" style="733" customWidth="1"/>
    <col min="11024" max="11264" width="9.140625" style="733"/>
    <col min="11265" max="11265" width="37.5703125" style="733" customWidth="1"/>
    <col min="11266" max="11266" width="9" style="733" customWidth="1"/>
    <col min="11267" max="11267" width="8.140625" style="733" customWidth="1"/>
    <col min="11268" max="11268" width="12.28515625" style="733" customWidth="1"/>
    <col min="11269" max="11269" width="6.7109375" style="733" customWidth="1"/>
    <col min="11270" max="11270" width="12.85546875" style="733" customWidth="1"/>
    <col min="11271" max="11271" width="10.5703125" style="733" customWidth="1"/>
    <col min="11272" max="11272" width="8" style="733" customWidth="1"/>
    <col min="11273" max="11273" width="8.42578125" style="733" customWidth="1"/>
    <col min="11274" max="11274" width="12.140625" style="733" customWidth="1"/>
    <col min="11275" max="11276" width="8.140625" style="733" customWidth="1"/>
    <col min="11277" max="11277" width="11.85546875" style="733" customWidth="1"/>
    <col min="11278" max="11278" width="7.5703125" style="733" customWidth="1"/>
    <col min="11279" max="11279" width="7.28515625" style="733" customWidth="1"/>
    <col min="11280" max="11520" width="9.140625" style="733"/>
    <col min="11521" max="11521" width="37.5703125" style="733" customWidth="1"/>
    <col min="11522" max="11522" width="9" style="733" customWidth="1"/>
    <col min="11523" max="11523" width="8.140625" style="733" customWidth="1"/>
    <col min="11524" max="11524" width="12.28515625" style="733" customWidth="1"/>
    <col min="11525" max="11525" width="6.7109375" style="733" customWidth="1"/>
    <col min="11526" max="11526" width="12.85546875" style="733" customWidth="1"/>
    <col min="11527" max="11527" width="10.5703125" style="733" customWidth="1"/>
    <col min="11528" max="11528" width="8" style="733" customWidth="1"/>
    <col min="11529" max="11529" width="8.42578125" style="733" customWidth="1"/>
    <col min="11530" max="11530" width="12.140625" style="733" customWidth="1"/>
    <col min="11531" max="11532" width="8.140625" style="733" customWidth="1"/>
    <col min="11533" max="11533" width="11.85546875" style="733" customWidth="1"/>
    <col min="11534" max="11534" width="7.5703125" style="733" customWidth="1"/>
    <col min="11535" max="11535" width="7.28515625" style="733" customWidth="1"/>
    <col min="11536" max="11776" width="9.140625" style="733"/>
    <col min="11777" max="11777" width="37.5703125" style="733" customWidth="1"/>
    <col min="11778" max="11778" width="9" style="733" customWidth="1"/>
    <col min="11779" max="11779" width="8.140625" style="733" customWidth="1"/>
    <col min="11780" max="11780" width="12.28515625" style="733" customWidth="1"/>
    <col min="11781" max="11781" width="6.7109375" style="733" customWidth="1"/>
    <col min="11782" max="11782" width="12.85546875" style="733" customWidth="1"/>
    <col min="11783" max="11783" width="10.5703125" style="733" customWidth="1"/>
    <col min="11784" max="11784" width="8" style="733" customWidth="1"/>
    <col min="11785" max="11785" width="8.42578125" style="733" customWidth="1"/>
    <col min="11786" max="11786" width="12.140625" style="733" customWidth="1"/>
    <col min="11787" max="11788" width="8.140625" style="733" customWidth="1"/>
    <col min="11789" max="11789" width="11.85546875" style="733" customWidth="1"/>
    <col min="11790" max="11790" width="7.5703125" style="733" customWidth="1"/>
    <col min="11791" max="11791" width="7.28515625" style="733" customWidth="1"/>
    <col min="11792" max="12032" width="9.140625" style="733"/>
    <col min="12033" max="12033" width="37.5703125" style="733" customWidth="1"/>
    <col min="12034" max="12034" width="9" style="733" customWidth="1"/>
    <col min="12035" max="12035" width="8.140625" style="733" customWidth="1"/>
    <col min="12036" max="12036" width="12.28515625" style="733" customWidth="1"/>
    <col min="12037" max="12037" width="6.7109375" style="733" customWidth="1"/>
    <col min="12038" max="12038" width="12.85546875" style="733" customWidth="1"/>
    <col min="12039" max="12039" width="10.5703125" style="733" customWidth="1"/>
    <col min="12040" max="12040" width="8" style="733" customWidth="1"/>
    <col min="12041" max="12041" width="8.42578125" style="733" customWidth="1"/>
    <col min="12042" max="12042" width="12.140625" style="733" customWidth="1"/>
    <col min="12043" max="12044" width="8.140625" style="733" customWidth="1"/>
    <col min="12045" max="12045" width="11.85546875" style="733" customWidth="1"/>
    <col min="12046" max="12046" width="7.5703125" style="733" customWidth="1"/>
    <col min="12047" max="12047" width="7.28515625" style="733" customWidth="1"/>
    <col min="12048" max="12288" width="9.140625" style="733"/>
    <col min="12289" max="12289" width="37.5703125" style="733" customWidth="1"/>
    <col min="12290" max="12290" width="9" style="733" customWidth="1"/>
    <col min="12291" max="12291" width="8.140625" style="733" customWidth="1"/>
    <col min="12292" max="12292" width="12.28515625" style="733" customWidth="1"/>
    <col min="12293" max="12293" width="6.7109375" style="733" customWidth="1"/>
    <col min="12294" max="12294" width="12.85546875" style="733" customWidth="1"/>
    <col min="12295" max="12295" width="10.5703125" style="733" customWidth="1"/>
    <col min="12296" max="12296" width="8" style="733" customWidth="1"/>
    <col min="12297" max="12297" width="8.42578125" style="733" customWidth="1"/>
    <col min="12298" max="12298" width="12.140625" style="733" customWidth="1"/>
    <col min="12299" max="12300" width="8.140625" style="733" customWidth="1"/>
    <col min="12301" max="12301" width="11.85546875" style="733" customWidth="1"/>
    <col min="12302" max="12302" width="7.5703125" style="733" customWidth="1"/>
    <col min="12303" max="12303" width="7.28515625" style="733" customWidth="1"/>
    <col min="12304" max="12544" width="9.140625" style="733"/>
    <col min="12545" max="12545" width="37.5703125" style="733" customWidth="1"/>
    <col min="12546" max="12546" width="9" style="733" customWidth="1"/>
    <col min="12547" max="12547" width="8.140625" style="733" customWidth="1"/>
    <col min="12548" max="12548" width="12.28515625" style="733" customWidth="1"/>
    <col min="12549" max="12549" width="6.7109375" style="733" customWidth="1"/>
    <col min="12550" max="12550" width="12.85546875" style="733" customWidth="1"/>
    <col min="12551" max="12551" width="10.5703125" style="733" customWidth="1"/>
    <col min="12552" max="12552" width="8" style="733" customWidth="1"/>
    <col min="12553" max="12553" width="8.42578125" style="733" customWidth="1"/>
    <col min="12554" max="12554" width="12.140625" style="733" customWidth="1"/>
    <col min="12555" max="12556" width="8.140625" style="733" customWidth="1"/>
    <col min="12557" max="12557" width="11.85546875" style="733" customWidth="1"/>
    <col min="12558" max="12558" width="7.5703125" style="733" customWidth="1"/>
    <col min="12559" max="12559" width="7.28515625" style="733" customWidth="1"/>
    <col min="12560" max="12800" width="9.140625" style="733"/>
    <col min="12801" max="12801" width="37.5703125" style="733" customWidth="1"/>
    <col min="12802" max="12802" width="9" style="733" customWidth="1"/>
    <col min="12803" max="12803" width="8.140625" style="733" customWidth="1"/>
    <col min="12804" max="12804" width="12.28515625" style="733" customWidth="1"/>
    <col min="12805" max="12805" width="6.7109375" style="733" customWidth="1"/>
    <col min="12806" max="12806" width="12.85546875" style="733" customWidth="1"/>
    <col min="12807" max="12807" width="10.5703125" style="733" customWidth="1"/>
    <col min="12808" max="12808" width="8" style="733" customWidth="1"/>
    <col min="12809" max="12809" width="8.42578125" style="733" customWidth="1"/>
    <col min="12810" max="12810" width="12.140625" style="733" customWidth="1"/>
    <col min="12811" max="12812" width="8.140625" style="733" customWidth="1"/>
    <col min="12813" max="12813" width="11.85546875" style="733" customWidth="1"/>
    <col min="12814" max="12814" width="7.5703125" style="733" customWidth="1"/>
    <col min="12815" max="12815" width="7.28515625" style="733" customWidth="1"/>
    <col min="12816" max="13056" width="9.140625" style="733"/>
    <col min="13057" max="13057" width="37.5703125" style="733" customWidth="1"/>
    <col min="13058" max="13058" width="9" style="733" customWidth="1"/>
    <col min="13059" max="13059" width="8.140625" style="733" customWidth="1"/>
    <col min="13060" max="13060" width="12.28515625" style="733" customWidth="1"/>
    <col min="13061" max="13061" width="6.7109375" style="733" customWidth="1"/>
    <col min="13062" max="13062" width="12.85546875" style="733" customWidth="1"/>
    <col min="13063" max="13063" width="10.5703125" style="733" customWidth="1"/>
    <col min="13064" max="13064" width="8" style="733" customWidth="1"/>
    <col min="13065" max="13065" width="8.42578125" style="733" customWidth="1"/>
    <col min="13066" max="13066" width="12.140625" style="733" customWidth="1"/>
    <col min="13067" max="13068" width="8.140625" style="733" customWidth="1"/>
    <col min="13069" max="13069" width="11.85546875" style="733" customWidth="1"/>
    <col min="13070" max="13070" width="7.5703125" style="733" customWidth="1"/>
    <col min="13071" max="13071" width="7.28515625" style="733" customWidth="1"/>
    <col min="13072" max="13312" width="9.140625" style="733"/>
    <col min="13313" max="13313" width="37.5703125" style="733" customWidth="1"/>
    <col min="13314" max="13314" width="9" style="733" customWidth="1"/>
    <col min="13315" max="13315" width="8.140625" style="733" customWidth="1"/>
    <col min="13316" max="13316" width="12.28515625" style="733" customWidth="1"/>
    <col min="13317" max="13317" width="6.7109375" style="733" customWidth="1"/>
    <col min="13318" max="13318" width="12.85546875" style="733" customWidth="1"/>
    <col min="13319" max="13319" width="10.5703125" style="733" customWidth="1"/>
    <col min="13320" max="13320" width="8" style="733" customWidth="1"/>
    <col min="13321" max="13321" width="8.42578125" style="733" customWidth="1"/>
    <col min="13322" max="13322" width="12.140625" style="733" customWidth="1"/>
    <col min="13323" max="13324" width="8.140625" style="733" customWidth="1"/>
    <col min="13325" max="13325" width="11.85546875" style="733" customWidth="1"/>
    <col min="13326" max="13326" width="7.5703125" style="733" customWidth="1"/>
    <col min="13327" max="13327" width="7.28515625" style="733" customWidth="1"/>
    <col min="13328" max="13568" width="9.140625" style="733"/>
    <col min="13569" max="13569" width="37.5703125" style="733" customWidth="1"/>
    <col min="13570" max="13570" width="9" style="733" customWidth="1"/>
    <col min="13571" max="13571" width="8.140625" style="733" customWidth="1"/>
    <col min="13572" max="13572" width="12.28515625" style="733" customWidth="1"/>
    <col min="13573" max="13573" width="6.7109375" style="733" customWidth="1"/>
    <col min="13574" max="13574" width="12.85546875" style="733" customWidth="1"/>
    <col min="13575" max="13575" width="10.5703125" style="733" customWidth="1"/>
    <col min="13576" max="13576" width="8" style="733" customWidth="1"/>
    <col min="13577" max="13577" width="8.42578125" style="733" customWidth="1"/>
    <col min="13578" max="13578" width="12.140625" style="733" customWidth="1"/>
    <col min="13579" max="13580" width="8.140625" style="733" customWidth="1"/>
    <col min="13581" max="13581" width="11.85546875" style="733" customWidth="1"/>
    <col min="13582" max="13582" width="7.5703125" style="733" customWidth="1"/>
    <col min="13583" max="13583" width="7.28515625" style="733" customWidth="1"/>
    <col min="13584" max="13824" width="9.140625" style="733"/>
    <col min="13825" max="13825" width="37.5703125" style="733" customWidth="1"/>
    <col min="13826" max="13826" width="9" style="733" customWidth="1"/>
    <col min="13827" max="13827" width="8.140625" style="733" customWidth="1"/>
    <col min="13828" max="13828" width="12.28515625" style="733" customWidth="1"/>
    <col min="13829" max="13829" width="6.7109375" style="733" customWidth="1"/>
    <col min="13830" max="13830" width="12.85546875" style="733" customWidth="1"/>
    <col min="13831" max="13831" width="10.5703125" style="733" customWidth="1"/>
    <col min="13832" max="13832" width="8" style="733" customWidth="1"/>
    <col min="13833" max="13833" width="8.42578125" style="733" customWidth="1"/>
    <col min="13834" max="13834" width="12.140625" style="733" customWidth="1"/>
    <col min="13835" max="13836" width="8.140625" style="733" customWidth="1"/>
    <col min="13837" max="13837" width="11.85546875" style="733" customWidth="1"/>
    <col min="13838" max="13838" width="7.5703125" style="733" customWidth="1"/>
    <col min="13839" max="13839" width="7.28515625" style="733" customWidth="1"/>
    <col min="13840" max="14080" width="9.140625" style="733"/>
    <col min="14081" max="14081" width="37.5703125" style="733" customWidth="1"/>
    <col min="14082" max="14082" width="9" style="733" customWidth="1"/>
    <col min="14083" max="14083" width="8.140625" style="733" customWidth="1"/>
    <col min="14084" max="14084" width="12.28515625" style="733" customWidth="1"/>
    <col min="14085" max="14085" width="6.7109375" style="733" customWidth="1"/>
    <col min="14086" max="14086" width="12.85546875" style="733" customWidth="1"/>
    <col min="14087" max="14087" width="10.5703125" style="733" customWidth="1"/>
    <col min="14088" max="14088" width="8" style="733" customWidth="1"/>
    <col min="14089" max="14089" width="8.42578125" style="733" customWidth="1"/>
    <col min="14090" max="14090" width="12.140625" style="733" customWidth="1"/>
    <col min="14091" max="14092" width="8.140625" style="733" customWidth="1"/>
    <col min="14093" max="14093" width="11.85546875" style="733" customWidth="1"/>
    <col min="14094" max="14094" width="7.5703125" style="733" customWidth="1"/>
    <col min="14095" max="14095" width="7.28515625" style="733" customWidth="1"/>
    <col min="14096" max="14336" width="9.140625" style="733"/>
    <col min="14337" max="14337" width="37.5703125" style="733" customWidth="1"/>
    <col min="14338" max="14338" width="9" style="733" customWidth="1"/>
    <col min="14339" max="14339" width="8.140625" style="733" customWidth="1"/>
    <col min="14340" max="14340" width="12.28515625" style="733" customWidth="1"/>
    <col min="14341" max="14341" width="6.7109375" style="733" customWidth="1"/>
    <col min="14342" max="14342" width="12.85546875" style="733" customWidth="1"/>
    <col min="14343" max="14343" width="10.5703125" style="733" customWidth="1"/>
    <col min="14344" max="14344" width="8" style="733" customWidth="1"/>
    <col min="14345" max="14345" width="8.42578125" style="733" customWidth="1"/>
    <col min="14346" max="14346" width="12.140625" style="733" customWidth="1"/>
    <col min="14347" max="14348" width="8.140625" style="733" customWidth="1"/>
    <col min="14349" max="14349" width="11.85546875" style="733" customWidth="1"/>
    <col min="14350" max="14350" width="7.5703125" style="733" customWidth="1"/>
    <col min="14351" max="14351" width="7.28515625" style="733" customWidth="1"/>
    <col min="14352" max="14592" width="9.140625" style="733"/>
    <col min="14593" max="14593" width="37.5703125" style="733" customWidth="1"/>
    <col min="14594" max="14594" width="9" style="733" customWidth="1"/>
    <col min="14595" max="14595" width="8.140625" style="733" customWidth="1"/>
    <col min="14596" max="14596" width="12.28515625" style="733" customWidth="1"/>
    <col min="14597" max="14597" width="6.7109375" style="733" customWidth="1"/>
    <col min="14598" max="14598" width="12.85546875" style="733" customWidth="1"/>
    <col min="14599" max="14599" width="10.5703125" style="733" customWidth="1"/>
    <col min="14600" max="14600" width="8" style="733" customWidth="1"/>
    <col min="14601" max="14601" width="8.42578125" style="733" customWidth="1"/>
    <col min="14602" max="14602" width="12.140625" style="733" customWidth="1"/>
    <col min="14603" max="14604" width="8.140625" style="733" customWidth="1"/>
    <col min="14605" max="14605" width="11.85546875" style="733" customWidth="1"/>
    <col min="14606" max="14606" width="7.5703125" style="733" customWidth="1"/>
    <col min="14607" max="14607" width="7.28515625" style="733" customWidth="1"/>
    <col min="14608" max="14848" width="9.140625" style="733"/>
    <col min="14849" max="14849" width="37.5703125" style="733" customWidth="1"/>
    <col min="14850" max="14850" width="9" style="733" customWidth="1"/>
    <col min="14851" max="14851" width="8.140625" style="733" customWidth="1"/>
    <col min="14852" max="14852" width="12.28515625" style="733" customWidth="1"/>
    <col min="14853" max="14853" width="6.7109375" style="733" customWidth="1"/>
    <col min="14854" max="14854" width="12.85546875" style="733" customWidth="1"/>
    <col min="14855" max="14855" width="10.5703125" style="733" customWidth="1"/>
    <col min="14856" max="14856" width="8" style="733" customWidth="1"/>
    <col min="14857" max="14857" width="8.42578125" style="733" customWidth="1"/>
    <col min="14858" max="14858" width="12.140625" style="733" customWidth="1"/>
    <col min="14859" max="14860" width="8.140625" style="733" customWidth="1"/>
    <col min="14861" max="14861" width="11.85546875" style="733" customWidth="1"/>
    <col min="14862" max="14862" width="7.5703125" style="733" customWidth="1"/>
    <col min="14863" max="14863" width="7.28515625" style="733" customWidth="1"/>
    <col min="14864" max="15104" width="9.140625" style="733"/>
    <col min="15105" max="15105" width="37.5703125" style="733" customWidth="1"/>
    <col min="15106" max="15106" width="9" style="733" customWidth="1"/>
    <col min="15107" max="15107" width="8.140625" style="733" customWidth="1"/>
    <col min="15108" max="15108" width="12.28515625" style="733" customWidth="1"/>
    <col min="15109" max="15109" width="6.7109375" style="733" customWidth="1"/>
    <col min="15110" max="15110" width="12.85546875" style="733" customWidth="1"/>
    <col min="15111" max="15111" width="10.5703125" style="733" customWidth="1"/>
    <col min="15112" max="15112" width="8" style="733" customWidth="1"/>
    <col min="15113" max="15113" width="8.42578125" style="733" customWidth="1"/>
    <col min="15114" max="15114" width="12.140625" style="733" customWidth="1"/>
    <col min="15115" max="15116" width="8.140625" style="733" customWidth="1"/>
    <col min="15117" max="15117" width="11.85546875" style="733" customWidth="1"/>
    <col min="15118" max="15118" width="7.5703125" style="733" customWidth="1"/>
    <col min="15119" max="15119" width="7.28515625" style="733" customWidth="1"/>
    <col min="15120" max="15360" width="9.140625" style="733"/>
    <col min="15361" max="15361" width="37.5703125" style="733" customWidth="1"/>
    <col min="15362" max="15362" width="9" style="733" customWidth="1"/>
    <col min="15363" max="15363" width="8.140625" style="733" customWidth="1"/>
    <col min="15364" max="15364" width="12.28515625" style="733" customWidth="1"/>
    <col min="15365" max="15365" width="6.7109375" style="733" customWidth="1"/>
    <col min="15366" max="15366" width="12.85546875" style="733" customWidth="1"/>
    <col min="15367" max="15367" width="10.5703125" style="733" customWidth="1"/>
    <col min="15368" max="15368" width="8" style="733" customWidth="1"/>
    <col min="15369" max="15369" width="8.42578125" style="733" customWidth="1"/>
    <col min="15370" max="15370" width="12.140625" style="733" customWidth="1"/>
    <col min="15371" max="15372" width="8.140625" style="733" customWidth="1"/>
    <col min="15373" max="15373" width="11.85546875" style="733" customWidth="1"/>
    <col min="15374" max="15374" width="7.5703125" style="733" customWidth="1"/>
    <col min="15375" max="15375" width="7.28515625" style="733" customWidth="1"/>
    <col min="15376" max="15616" width="9.140625" style="733"/>
    <col min="15617" max="15617" width="37.5703125" style="733" customWidth="1"/>
    <col min="15618" max="15618" width="9" style="733" customWidth="1"/>
    <col min="15619" max="15619" width="8.140625" style="733" customWidth="1"/>
    <col min="15620" max="15620" width="12.28515625" style="733" customWidth="1"/>
    <col min="15621" max="15621" width="6.7109375" style="733" customWidth="1"/>
    <col min="15622" max="15622" width="12.85546875" style="733" customWidth="1"/>
    <col min="15623" max="15623" width="10.5703125" style="733" customWidth="1"/>
    <col min="15624" max="15624" width="8" style="733" customWidth="1"/>
    <col min="15625" max="15625" width="8.42578125" style="733" customWidth="1"/>
    <col min="15626" max="15626" width="12.140625" style="733" customWidth="1"/>
    <col min="15627" max="15628" width="8.140625" style="733" customWidth="1"/>
    <col min="15629" max="15629" width="11.85546875" style="733" customWidth="1"/>
    <col min="15630" max="15630" width="7.5703125" style="733" customWidth="1"/>
    <col min="15631" max="15631" width="7.28515625" style="733" customWidth="1"/>
    <col min="15632" max="15872" width="9.140625" style="733"/>
    <col min="15873" max="15873" width="37.5703125" style="733" customWidth="1"/>
    <col min="15874" max="15874" width="9" style="733" customWidth="1"/>
    <col min="15875" max="15875" width="8.140625" style="733" customWidth="1"/>
    <col min="15876" max="15876" width="12.28515625" style="733" customWidth="1"/>
    <col min="15877" max="15877" width="6.7109375" style="733" customWidth="1"/>
    <col min="15878" max="15878" width="12.85546875" style="733" customWidth="1"/>
    <col min="15879" max="15879" width="10.5703125" style="733" customWidth="1"/>
    <col min="15880" max="15880" width="8" style="733" customWidth="1"/>
    <col min="15881" max="15881" width="8.42578125" style="733" customWidth="1"/>
    <col min="15882" max="15882" width="12.140625" style="733" customWidth="1"/>
    <col min="15883" max="15884" width="8.140625" style="733" customWidth="1"/>
    <col min="15885" max="15885" width="11.85546875" style="733" customWidth="1"/>
    <col min="15886" max="15886" width="7.5703125" style="733" customWidth="1"/>
    <col min="15887" max="15887" width="7.28515625" style="733" customWidth="1"/>
    <col min="15888" max="16128" width="9.140625" style="733"/>
    <col min="16129" max="16129" width="37.5703125" style="733" customWidth="1"/>
    <col min="16130" max="16130" width="9" style="733" customWidth="1"/>
    <col min="16131" max="16131" width="8.140625" style="733" customWidth="1"/>
    <col min="16132" max="16132" width="12.28515625" style="733" customWidth="1"/>
    <col min="16133" max="16133" width="6.7109375" style="733" customWidth="1"/>
    <col min="16134" max="16134" width="12.85546875" style="733" customWidth="1"/>
    <col min="16135" max="16135" width="10.5703125" style="733" customWidth="1"/>
    <col min="16136" max="16136" width="8" style="733" customWidth="1"/>
    <col min="16137" max="16137" width="8.42578125" style="733" customWidth="1"/>
    <col min="16138" max="16138" width="12.140625" style="733" customWidth="1"/>
    <col min="16139" max="16140" width="8.140625" style="733" customWidth="1"/>
    <col min="16141" max="16141" width="11.85546875" style="733" customWidth="1"/>
    <col min="16142" max="16142" width="7.5703125" style="733" customWidth="1"/>
    <col min="16143" max="16143" width="7.28515625" style="733" customWidth="1"/>
    <col min="16144" max="16384" width="9.140625" style="733"/>
  </cols>
  <sheetData>
    <row r="1" spans="1:17">
      <c r="A1" s="1546" t="s">
        <v>4177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</row>
    <row r="2" spans="1:17">
      <c r="A2" s="734"/>
      <c r="B2" s="734"/>
      <c r="C2" s="734"/>
      <c r="D2" s="734"/>
      <c r="E2" s="1546" t="s">
        <v>4178</v>
      </c>
      <c r="F2" s="1546"/>
      <c r="G2" s="1546"/>
      <c r="H2" s="734"/>
      <c r="I2" s="734"/>
      <c r="J2" s="734"/>
      <c r="K2" s="734"/>
      <c r="L2" s="734"/>
      <c r="M2" s="734"/>
      <c r="N2" s="734"/>
    </row>
    <row r="3" spans="1:17" ht="25.5" customHeight="1">
      <c r="A3" s="735" t="s">
        <v>4176</v>
      </c>
      <c r="B3" s="734"/>
      <c r="C3" s="734"/>
      <c r="D3" s="734"/>
      <c r="E3" s="736"/>
      <c r="F3" s="736"/>
      <c r="G3" s="736"/>
      <c r="H3" s="734"/>
      <c r="I3" s="734"/>
      <c r="J3" s="734"/>
      <c r="K3" s="734"/>
      <c r="L3" s="734"/>
      <c r="M3" s="734"/>
      <c r="N3" s="734"/>
    </row>
    <row r="4" spans="1:17" ht="26.25" customHeight="1">
      <c r="A4" s="737" t="s">
        <v>169</v>
      </c>
      <c r="B4" s="1547" t="s">
        <v>4179</v>
      </c>
      <c r="C4" s="1547"/>
      <c r="D4" s="1547"/>
      <c r="E4" s="1548" t="s">
        <v>4180</v>
      </c>
      <c r="F4" s="1548"/>
      <c r="G4" s="1549" t="s">
        <v>4181</v>
      </c>
      <c r="H4" s="1549"/>
      <c r="I4" s="1548" t="s">
        <v>172</v>
      </c>
      <c r="J4" s="1548"/>
      <c r="K4" s="738" t="s">
        <v>4182</v>
      </c>
      <c r="L4" s="1548" t="s">
        <v>4183</v>
      </c>
      <c r="M4" s="1548"/>
      <c r="N4" s="739" t="s">
        <v>4184</v>
      </c>
    </row>
    <row r="5" spans="1:17" ht="26.25" customHeight="1">
      <c r="A5" s="740" t="s">
        <v>174</v>
      </c>
      <c r="B5" s="1551" t="s">
        <v>4185</v>
      </c>
      <c r="C5" s="1552"/>
      <c r="D5" s="1552"/>
      <c r="E5" s="1553"/>
      <c r="F5" s="1554" t="s">
        <v>176</v>
      </c>
      <c r="G5" s="1555"/>
      <c r="H5" s="1556"/>
      <c r="I5" s="1547" t="s">
        <v>4186</v>
      </c>
      <c r="J5" s="1547"/>
      <c r="K5" s="1547"/>
      <c r="L5" s="1547"/>
      <c r="M5" s="1547"/>
      <c r="N5" s="1547"/>
    </row>
    <row r="6" spans="1:17" ht="26.25" customHeight="1">
      <c r="A6" s="741" t="s">
        <v>178</v>
      </c>
      <c r="B6" s="1547" t="s">
        <v>4187</v>
      </c>
      <c r="C6" s="1547"/>
      <c r="D6" s="1547"/>
      <c r="E6" s="1547"/>
      <c r="F6" s="1557" t="s">
        <v>5774</v>
      </c>
      <c r="G6" s="1557"/>
      <c r="H6" s="1557"/>
      <c r="I6" s="1557"/>
      <c r="J6" s="1557"/>
      <c r="K6" s="1558" t="s">
        <v>5775</v>
      </c>
      <c r="L6" s="1558"/>
      <c r="M6" s="1558"/>
      <c r="N6" s="1558"/>
    </row>
    <row r="7" spans="1:17" s="734" customFormat="1">
      <c r="B7" s="736"/>
      <c r="C7" s="736"/>
      <c r="D7" s="736"/>
      <c r="E7" s="736"/>
      <c r="F7" s="742"/>
      <c r="G7" s="742"/>
      <c r="H7" s="742"/>
      <c r="I7" s="742"/>
      <c r="J7" s="742"/>
      <c r="K7" s="742"/>
      <c r="L7" s="742"/>
      <c r="M7" s="742"/>
      <c r="N7" s="742"/>
    </row>
    <row r="8" spans="1:17" ht="26.25" customHeight="1">
      <c r="A8" s="743" t="s">
        <v>4189</v>
      </c>
      <c r="B8" s="1547" t="s">
        <v>4190</v>
      </c>
      <c r="C8" s="1547"/>
      <c r="D8" s="1547"/>
      <c r="E8" s="1547" t="s">
        <v>4191</v>
      </c>
      <c r="F8" s="1547"/>
      <c r="G8" s="1559"/>
      <c r="H8" s="1559" t="s">
        <v>4192</v>
      </c>
      <c r="I8" s="1559"/>
      <c r="J8" s="1547"/>
      <c r="K8" s="1560"/>
      <c r="L8" s="1560"/>
      <c r="M8" s="1560"/>
      <c r="N8" s="1560"/>
    </row>
    <row r="9" spans="1:17" ht="26.25" customHeight="1">
      <c r="A9" s="744" t="s">
        <v>187</v>
      </c>
      <c r="B9" s="1559" t="s">
        <v>4193</v>
      </c>
      <c r="C9" s="1559"/>
      <c r="D9" s="1559"/>
      <c r="E9" s="1559" t="s">
        <v>4194</v>
      </c>
      <c r="F9" s="1561"/>
      <c r="G9" s="1547"/>
      <c r="H9" s="1547"/>
      <c r="I9" s="1547"/>
      <c r="J9" s="1560"/>
      <c r="K9" s="1560"/>
      <c r="L9" s="1560"/>
      <c r="M9" s="1560"/>
      <c r="N9" s="1560"/>
    </row>
    <row r="10" spans="1:17" ht="26.25" customHeight="1">
      <c r="A10" s="745" t="s">
        <v>192</v>
      </c>
      <c r="B10" s="1558" t="s">
        <v>5776</v>
      </c>
      <c r="C10" s="1558"/>
      <c r="D10" s="1558" t="s">
        <v>5777</v>
      </c>
      <c r="E10" s="1558"/>
      <c r="F10" s="1547" t="s">
        <v>5778</v>
      </c>
      <c r="G10" s="1550"/>
      <c r="H10" s="1550" t="s">
        <v>5779</v>
      </c>
      <c r="I10" s="1550"/>
      <c r="J10" s="1547" t="s">
        <v>5780</v>
      </c>
      <c r="K10" s="1547"/>
      <c r="L10" s="746"/>
      <c r="M10" s="746"/>
      <c r="N10" s="746"/>
    </row>
    <row r="11" spans="1:17" ht="26.25" customHeight="1">
      <c r="A11" s="743" t="s">
        <v>197</v>
      </c>
      <c r="B11" s="1568" t="s">
        <v>4195</v>
      </c>
      <c r="C11" s="1568"/>
      <c r="D11" s="1568"/>
      <c r="E11" s="1568" t="s">
        <v>4187</v>
      </c>
      <c r="F11" s="1569"/>
      <c r="G11" s="1547"/>
      <c r="H11" s="1547"/>
      <c r="I11" s="1547"/>
      <c r="J11" s="1560"/>
      <c r="K11" s="1560"/>
      <c r="L11" s="1560"/>
      <c r="M11" s="1560"/>
      <c r="N11" s="1560"/>
    </row>
    <row r="12" spans="1:17">
      <c r="A12" s="347"/>
      <c r="B12" s="736"/>
      <c r="C12" s="736"/>
      <c r="D12" s="736"/>
      <c r="E12" s="736"/>
      <c r="F12" s="736"/>
      <c r="G12" s="736"/>
      <c r="H12" s="736"/>
      <c r="I12" s="736"/>
      <c r="J12" s="736"/>
      <c r="K12" s="736"/>
      <c r="L12" s="736"/>
      <c r="M12" s="736"/>
      <c r="N12" s="736"/>
    </row>
    <row r="13" spans="1:17" ht="26.25" customHeight="1">
      <c r="A13" s="743" t="s">
        <v>198</v>
      </c>
      <c r="B13" s="747">
        <v>3</v>
      </c>
      <c r="C13" s="1562" t="s">
        <v>199</v>
      </c>
      <c r="D13" s="1562"/>
      <c r="E13" s="1562"/>
      <c r="F13" s="748">
        <v>2</v>
      </c>
      <c r="G13" s="744" t="s">
        <v>200</v>
      </c>
      <c r="H13" s="748">
        <v>7</v>
      </c>
      <c r="I13" s="749" t="s">
        <v>4196</v>
      </c>
      <c r="J13" s="748">
        <v>2</v>
      </c>
      <c r="K13" s="749" t="s">
        <v>202</v>
      </c>
      <c r="L13" s="747">
        <v>3</v>
      </c>
      <c r="M13" s="734"/>
      <c r="N13" s="734"/>
      <c r="Q13" s="1563"/>
    </row>
    <row r="14" spans="1:17">
      <c r="A14" s="347"/>
      <c r="B14" s="734"/>
      <c r="C14" s="750"/>
      <c r="D14" s="750"/>
      <c r="E14" s="750"/>
      <c r="F14" s="751"/>
      <c r="G14" s="751"/>
      <c r="H14" s="751"/>
      <c r="I14" s="751"/>
      <c r="J14" s="751"/>
      <c r="K14" s="751"/>
      <c r="L14" s="734"/>
      <c r="M14" s="734"/>
      <c r="N14" s="734"/>
      <c r="Q14" s="1563"/>
    </row>
    <row r="15" spans="1:17" ht="26.25" customHeight="1">
      <c r="A15" s="752" t="s">
        <v>203</v>
      </c>
      <c r="B15" s="753" t="s">
        <v>4197</v>
      </c>
      <c r="C15" s="747">
        <v>91</v>
      </c>
      <c r="D15" s="753" t="s">
        <v>4198</v>
      </c>
      <c r="E15" s="754">
        <v>0</v>
      </c>
      <c r="F15" s="755" t="s">
        <v>4199</v>
      </c>
      <c r="G15" s="754">
        <v>2</v>
      </c>
      <c r="H15" s="753" t="s">
        <v>4200</v>
      </c>
      <c r="I15" s="754">
        <v>93</v>
      </c>
      <c r="J15" s="755" t="s">
        <v>414</v>
      </c>
      <c r="K15" s="747">
        <v>3</v>
      </c>
      <c r="L15" s="1564" t="s">
        <v>4201</v>
      </c>
      <c r="M15" s="1564"/>
      <c r="N15" s="756">
        <v>2</v>
      </c>
      <c r="O15" s="734"/>
    </row>
    <row r="16" spans="1:17" ht="26.25" customHeight="1">
      <c r="A16" s="752" t="s">
        <v>1029</v>
      </c>
      <c r="B16" s="741" t="s">
        <v>4202</v>
      </c>
      <c r="C16" s="747">
        <v>216</v>
      </c>
      <c r="D16" s="741" t="s">
        <v>4203</v>
      </c>
      <c r="E16" s="747">
        <v>0</v>
      </c>
      <c r="F16" s="741" t="s">
        <v>4204</v>
      </c>
      <c r="G16" s="747">
        <v>4</v>
      </c>
      <c r="H16" s="757" t="s">
        <v>5781</v>
      </c>
      <c r="I16" s="747">
        <v>220</v>
      </c>
      <c r="K16" s="734"/>
      <c r="L16" s="734"/>
      <c r="M16" s="734"/>
      <c r="N16" s="734"/>
    </row>
    <row r="17" spans="1:14" ht="26.25" customHeight="1">
      <c r="A17" s="734"/>
      <c r="B17" s="741" t="s">
        <v>4205</v>
      </c>
      <c r="C17" s="747">
        <v>173</v>
      </c>
      <c r="D17" s="741" t="s">
        <v>214</v>
      </c>
      <c r="E17" s="747">
        <v>0</v>
      </c>
      <c r="F17" s="741" t="s">
        <v>1494</v>
      </c>
      <c r="G17" s="747">
        <v>6</v>
      </c>
      <c r="H17" s="757" t="s">
        <v>5782</v>
      </c>
      <c r="I17" s="747">
        <v>179</v>
      </c>
      <c r="K17" s="734"/>
      <c r="L17" s="734"/>
      <c r="M17" s="734"/>
      <c r="N17" s="734"/>
    </row>
    <row r="18" spans="1:14" ht="26.25" customHeight="1">
      <c r="A18" s="758" t="s">
        <v>216</v>
      </c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</row>
    <row r="19" spans="1:14" ht="26.25" customHeight="1">
      <c r="A19" s="1565" t="s">
        <v>4206</v>
      </c>
      <c r="B19" s="1566" t="s">
        <v>408</v>
      </c>
      <c r="C19" s="1566" t="s">
        <v>219</v>
      </c>
      <c r="D19" s="1566" t="s">
        <v>4207</v>
      </c>
      <c r="E19" s="1566" t="s">
        <v>1713</v>
      </c>
      <c r="F19" s="1567" t="s">
        <v>4208</v>
      </c>
      <c r="G19" s="1567"/>
      <c r="H19" s="1567"/>
      <c r="I19" s="1567"/>
      <c r="J19" s="1567"/>
      <c r="K19" s="1567"/>
      <c r="L19" s="1567"/>
      <c r="M19" s="1567"/>
      <c r="N19" s="1567"/>
    </row>
    <row r="20" spans="1:14" ht="26.25" customHeight="1">
      <c r="A20" s="1565"/>
      <c r="B20" s="1566"/>
      <c r="C20" s="1566"/>
      <c r="D20" s="1566"/>
      <c r="E20" s="1566"/>
      <c r="F20" s="759">
        <v>1</v>
      </c>
      <c r="G20" s="759">
        <v>2</v>
      </c>
      <c r="H20" s="759">
        <v>3</v>
      </c>
      <c r="I20" s="759">
        <v>4</v>
      </c>
      <c r="J20" s="759">
        <v>5</v>
      </c>
      <c r="K20" s="759">
        <v>6</v>
      </c>
      <c r="L20" s="759">
        <v>7</v>
      </c>
      <c r="M20" s="759" t="s">
        <v>230</v>
      </c>
      <c r="N20" s="760" t="s">
        <v>231</v>
      </c>
    </row>
    <row r="21" spans="1:14" ht="26.25" customHeight="1">
      <c r="A21" s="744" t="s">
        <v>232</v>
      </c>
      <c r="B21" s="761">
        <v>8000</v>
      </c>
      <c r="C21" s="761" t="s">
        <v>4209</v>
      </c>
      <c r="D21" s="762">
        <f>B21*456/100000</f>
        <v>36.479999999999997</v>
      </c>
      <c r="E21" s="763">
        <v>2.6869000000000001</v>
      </c>
      <c r="F21" s="764">
        <v>0</v>
      </c>
      <c r="G21" s="764">
        <v>0</v>
      </c>
      <c r="H21" s="764">
        <v>0.49636999999999998</v>
      </c>
      <c r="I21" s="765"/>
      <c r="J21" s="765"/>
      <c r="K21" s="765"/>
      <c r="L21" s="765"/>
      <c r="M21" s="764">
        <f>L21+K21+J21+I21+H21+G21+F21</f>
        <v>0.49636999999999998</v>
      </c>
      <c r="N21" s="766">
        <f>M21/E21*100</f>
        <v>18.473705757564478</v>
      </c>
    </row>
    <row r="22" spans="1:14" ht="26.25" customHeight="1">
      <c r="A22" s="743" t="s">
        <v>4210</v>
      </c>
      <c r="B22" s="739">
        <v>7000</v>
      </c>
      <c r="C22" s="761" t="s">
        <v>4209</v>
      </c>
      <c r="D22" s="762">
        <f>B22*456/100000</f>
        <v>31.92</v>
      </c>
      <c r="E22" s="767">
        <v>0</v>
      </c>
      <c r="F22" s="764">
        <v>0</v>
      </c>
      <c r="G22" s="764">
        <v>0</v>
      </c>
      <c r="H22" s="768">
        <v>0</v>
      </c>
      <c r="I22" s="769"/>
      <c r="J22" s="769"/>
      <c r="K22" s="769"/>
      <c r="L22" s="769"/>
      <c r="M22" s="764">
        <f t="shared" ref="M22:M28" si="0">L22+K22+J22+I22+H22+G22+F22</f>
        <v>0</v>
      </c>
      <c r="N22" s="766">
        <v>0</v>
      </c>
    </row>
    <row r="23" spans="1:14" ht="26.25" customHeight="1">
      <c r="A23" s="743" t="s">
        <v>4211</v>
      </c>
      <c r="B23" s="747">
        <v>43000</v>
      </c>
      <c r="C23" s="747" t="s">
        <v>236</v>
      </c>
      <c r="D23" s="770">
        <v>0.43</v>
      </c>
      <c r="E23" s="769">
        <v>0.18</v>
      </c>
      <c r="F23" s="764">
        <v>0</v>
      </c>
      <c r="G23" s="764">
        <v>0</v>
      </c>
      <c r="H23" s="768">
        <v>0</v>
      </c>
      <c r="I23" s="769"/>
      <c r="J23" s="769"/>
      <c r="K23" s="769"/>
      <c r="L23" s="769"/>
      <c r="M23" s="764">
        <f t="shared" si="0"/>
        <v>0</v>
      </c>
      <c r="N23" s="766">
        <f t="shared" ref="N23:N28" si="1">M23/E23*100</f>
        <v>0</v>
      </c>
    </row>
    <row r="24" spans="1:14" ht="26.25" customHeight="1">
      <c r="A24" s="743" t="s">
        <v>4212</v>
      </c>
      <c r="B24" s="747">
        <v>37000</v>
      </c>
      <c r="C24" s="747" t="s">
        <v>236</v>
      </c>
      <c r="D24" s="770">
        <v>0.37</v>
      </c>
      <c r="E24" s="769">
        <v>0.16</v>
      </c>
      <c r="F24" s="764">
        <v>0</v>
      </c>
      <c r="G24" s="764">
        <v>0</v>
      </c>
      <c r="H24" s="768">
        <v>0</v>
      </c>
      <c r="I24" s="769"/>
      <c r="J24" s="769"/>
      <c r="K24" s="769"/>
      <c r="L24" s="769"/>
      <c r="M24" s="764">
        <f t="shared" si="0"/>
        <v>0</v>
      </c>
      <c r="N24" s="766">
        <f t="shared" si="1"/>
        <v>0</v>
      </c>
    </row>
    <row r="25" spans="1:14" ht="26.25" customHeight="1">
      <c r="A25" s="743" t="s">
        <v>4213</v>
      </c>
      <c r="B25" s="747">
        <v>1200</v>
      </c>
      <c r="C25" s="747" t="s">
        <v>4209</v>
      </c>
      <c r="D25" s="770">
        <f>B25*456/100000</f>
        <v>5.4720000000000004</v>
      </c>
      <c r="E25" s="769">
        <v>2</v>
      </c>
      <c r="F25" s="764">
        <v>0</v>
      </c>
      <c r="G25" s="764">
        <v>0</v>
      </c>
      <c r="H25" s="768">
        <v>1.5147299999999999</v>
      </c>
      <c r="I25" s="769"/>
      <c r="J25" s="769"/>
      <c r="K25" s="769"/>
      <c r="L25" s="769"/>
      <c r="M25" s="764">
        <f t="shared" si="0"/>
        <v>1.5147299999999999</v>
      </c>
      <c r="N25" s="766">
        <f t="shared" si="1"/>
        <v>75.736499999999992</v>
      </c>
    </row>
    <row r="26" spans="1:14" ht="26.25" customHeight="1">
      <c r="A26" s="741" t="s">
        <v>4214</v>
      </c>
      <c r="B26" s="747">
        <v>565</v>
      </c>
      <c r="C26" s="747" t="s">
        <v>4209</v>
      </c>
      <c r="D26" s="770">
        <f>B26*456/100000</f>
        <v>2.5764</v>
      </c>
      <c r="E26" s="769">
        <v>0.45600000000000002</v>
      </c>
      <c r="F26" s="764">
        <v>0</v>
      </c>
      <c r="G26" s="764">
        <v>0</v>
      </c>
      <c r="H26" s="768">
        <v>0.3</v>
      </c>
      <c r="I26" s="769"/>
      <c r="J26" s="769"/>
      <c r="K26" s="769"/>
      <c r="L26" s="769"/>
      <c r="M26" s="764">
        <f t="shared" si="0"/>
        <v>0.3</v>
      </c>
      <c r="N26" s="766">
        <f t="shared" si="1"/>
        <v>65.78947368421052</v>
      </c>
    </row>
    <row r="27" spans="1:14" ht="26.25" customHeight="1">
      <c r="A27" s="743" t="s">
        <v>240</v>
      </c>
      <c r="B27" s="747">
        <v>1000</v>
      </c>
      <c r="C27" s="747" t="s">
        <v>4209</v>
      </c>
      <c r="D27" s="770">
        <f>B27*456/100000</f>
        <v>4.5599999999999996</v>
      </c>
      <c r="E27" s="769">
        <v>0</v>
      </c>
      <c r="F27" s="764">
        <v>0</v>
      </c>
      <c r="G27" s="764">
        <v>0</v>
      </c>
      <c r="H27" s="768">
        <v>0</v>
      </c>
      <c r="I27" s="769"/>
      <c r="J27" s="769"/>
      <c r="K27" s="769"/>
      <c r="L27" s="769"/>
      <c r="M27" s="764">
        <f t="shared" si="0"/>
        <v>0</v>
      </c>
      <c r="N27" s="766">
        <v>0</v>
      </c>
    </row>
    <row r="28" spans="1:14" ht="26.25" customHeight="1">
      <c r="A28" s="743" t="s">
        <v>4215</v>
      </c>
      <c r="B28" s="747">
        <v>2750</v>
      </c>
      <c r="C28" s="747" t="s">
        <v>242</v>
      </c>
      <c r="D28" s="770">
        <v>2.31</v>
      </c>
      <c r="E28" s="769">
        <v>0.33</v>
      </c>
      <c r="F28" s="764">
        <v>0</v>
      </c>
      <c r="G28" s="764">
        <v>0</v>
      </c>
      <c r="H28" s="768">
        <v>0.33</v>
      </c>
      <c r="I28" s="769"/>
      <c r="J28" s="769"/>
      <c r="K28" s="769"/>
      <c r="L28" s="769"/>
      <c r="M28" s="764">
        <f t="shared" si="0"/>
        <v>0.33</v>
      </c>
      <c r="N28" s="766">
        <f t="shared" si="1"/>
        <v>100</v>
      </c>
    </row>
    <row r="29" spans="1:14" ht="26.25" customHeight="1">
      <c r="A29" s="741" t="s">
        <v>4216</v>
      </c>
      <c r="B29" s="747">
        <v>10000</v>
      </c>
      <c r="C29" s="747" t="s">
        <v>244</v>
      </c>
      <c r="D29" s="770">
        <v>0.1</v>
      </c>
      <c r="E29" s="769">
        <v>0</v>
      </c>
      <c r="F29" s="764">
        <v>0</v>
      </c>
      <c r="G29" s="764">
        <v>0</v>
      </c>
      <c r="H29" s="768">
        <v>0</v>
      </c>
      <c r="I29" s="769"/>
      <c r="J29" s="769"/>
      <c r="K29" s="769"/>
      <c r="L29" s="769"/>
      <c r="M29" s="764">
        <f>L29+K29+J29+I29+H29+G29+F29</f>
        <v>0</v>
      </c>
      <c r="N29" s="766">
        <v>0</v>
      </c>
    </row>
    <row r="30" spans="1:14" ht="26.25" customHeight="1">
      <c r="A30" s="741" t="s">
        <v>245</v>
      </c>
      <c r="B30" s="747">
        <f>SUM(B21:B29)</f>
        <v>110515</v>
      </c>
      <c r="C30" s="747"/>
      <c r="D30" s="771">
        <f>SUM(D21:D29)</f>
        <v>84.218400000000017</v>
      </c>
      <c r="E30" s="769">
        <f>SUM(E21:E29)</f>
        <v>5.8129000000000008</v>
      </c>
      <c r="F30" s="768">
        <f>SUM(F21:F29)</f>
        <v>0</v>
      </c>
      <c r="G30" s="768">
        <f t="shared" ref="G30:M30" si="2">SUM(G21:G29)</f>
        <v>0</v>
      </c>
      <c r="H30" s="768">
        <f t="shared" si="2"/>
        <v>2.6410999999999998</v>
      </c>
      <c r="I30" s="768">
        <f t="shared" si="2"/>
        <v>0</v>
      </c>
      <c r="J30" s="768">
        <f t="shared" si="2"/>
        <v>0</v>
      </c>
      <c r="K30" s="768">
        <f t="shared" si="2"/>
        <v>0</v>
      </c>
      <c r="L30" s="768">
        <f t="shared" si="2"/>
        <v>0</v>
      </c>
      <c r="M30" s="768">
        <f t="shared" si="2"/>
        <v>2.6410999999999998</v>
      </c>
      <c r="N30" s="772"/>
    </row>
    <row r="31" spans="1:14">
      <c r="A31" s="734"/>
      <c r="B31" s="734"/>
      <c r="C31" s="734"/>
      <c r="D31" s="734"/>
      <c r="E31" s="734"/>
      <c r="F31" s="734"/>
      <c r="G31" s="734"/>
      <c r="H31" s="734"/>
      <c r="I31" s="734"/>
      <c r="J31" s="734"/>
      <c r="K31" s="734"/>
      <c r="L31" s="734"/>
      <c r="M31" s="734"/>
      <c r="N31" s="734"/>
    </row>
    <row r="32" spans="1:14">
      <c r="A32" s="734"/>
      <c r="B32" s="734"/>
      <c r="C32" s="734"/>
      <c r="D32" s="734"/>
      <c r="E32" s="734"/>
      <c r="F32" s="734"/>
      <c r="G32" s="734"/>
      <c r="H32" s="734"/>
      <c r="I32" s="734"/>
      <c r="J32" s="734"/>
      <c r="K32" s="734"/>
      <c r="L32" s="734"/>
      <c r="M32" s="734"/>
      <c r="N32" s="734"/>
    </row>
    <row r="33" spans="1:14">
      <c r="A33" s="734"/>
      <c r="B33" s="734"/>
      <c r="C33" s="734"/>
      <c r="D33" s="734"/>
      <c r="E33" s="734"/>
      <c r="F33" s="734"/>
      <c r="G33" s="734"/>
      <c r="H33" s="734"/>
      <c r="I33" s="734"/>
      <c r="J33" s="734"/>
      <c r="K33" s="734"/>
      <c r="L33" s="734"/>
      <c r="M33" s="734"/>
      <c r="N33" s="734"/>
    </row>
    <row r="34" spans="1:14">
      <c r="A34" s="734"/>
      <c r="B34" s="734"/>
      <c r="C34" s="734"/>
      <c r="D34" s="734"/>
      <c r="E34" s="734"/>
      <c r="F34" s="734"/>
      <c r="G34" s="734"/>
      <c r="H34" s="734"/>
      <c r="I34" s="734"/>
      <c r="J34" s="734"/>
      <c r="K34" s="734"/>
      <c r="L34" s="734"/>
      <c r="M34" s="734"/>
      <c r="N34" s="734"/>
    </row>
    <row r="35" spans="1:14">
      <c r="A35" s="734"/>
      <c r="B35" s="734"/>
      <c r="C35" s="734"/>
      <c r="D35" s="734"/>
      <c r="E35" s="734"/>
      <c r="F35" s="734"/>
      <c r="G35" s="734"/>
      <c r="H35" s="734"/>
      <c r="I35" s="734"/>
      <c r="J35" s="734"/>
      <c r="K35" s="734"/>
      <c r="L35" s="734"/>
      <c r="M35" s="734"/>
      <c r="N35" s="734"/>
    </row>
    <row r="36" spans="1:14">
      <c r="A36" s="734"/>
      <c r="B36" s="734"/>
      <c r="C36" s="734"/>
      <c r="D36" s="734"/>
      <c r="E36" s="734"/>
      <c r="F36" s="734"/>
      <c r="G36" s="734"/>
      <c r="H36" s="734"/>
      <c r="I36" s="734"/>
      <c r="J36" s="734"/>
      <c r="K36" s="734"/>
      <c r="L36" s="734"/>
      <c r="M36" s="734"/>
      <c r="N36" s="734"/>
    </row>
  </sheetData>
  <mergeCells count="39">
    <mergeCell ref="J10:K10"/>
    <mergeCell ref="C13:E13"/>
    <mergeCell ref="Q13:Q14"/>
    <mergeCell ref="L15:M15"/>
    <mergeCell ref="A19:A20"/>
    <mergeCell ref="B19:B20"/>
    <mergeCell ref="C19:C20"/>
    <mergeCell ref="D19:D20"/>
    <mergeCell ref="E19:E20"/>
    <mergeCell ref="F19:N19"/>
    <mergeCell ref="B11:D11"/>
    <mergeCell ref="E11:G11"/>
    <mergeCell ref="H11:J11"/>
    <mergeCell ref="K11:N11"/>
    <mergeCell ref="B10:C10"/>
    <mergeCell ref="D10:E10"/>
    <mergeCell ref="F10:G10"/>
    <mergeCell ref="H10:I10"/>
    <mergeCell ref="B5:E5"/>
    <mergeCell ref="F5:H5"/>
    <mergeCell ref="I5:N5"/>
    <mergeCell ref="B6:E6"/>
    <mergeCell ref="F6:J6"/>
    <mergeCell ref="K6:N6"/>
    <mergeCell ref="B8:D8"/>
    <mergeCell ref="E8:G8"/>
    <mergeCell ref="H8:J8"/>
    <mergeCell ref="K8:N8"/>
    <mergeCell ref="B9:D9"/>
    <mergeCell ref="E9:G9"/>
    <mergeCell ref="H9:J9"/>
    <mergeCell ref="K9:N9"/>
    <mergeCell ref="A1:N1"/>
    <mergeCell ref="E2:G2"/>
    <mergeCell ref="B4:D4"/>
    <mergeCell ref="E4:F4"/>
    <mergeCell ref="G4:H4"/>
    <mergeCell ref="I4:J4"/>
    <mergeCell ref="L4:M4"/>
  </mergeCells>
  <hyperlinks>
    <hyperlink ref="A3" location="'Fact Sheet of VDC'!A1" display="&lt;&lt;Back"/>
  </hyperlinks>
  <pageMargins left="0.15748031496062992" right="0.15748031496062992" top="0.39370078740157483" bottom="0.35433070866141736" header="0.31496062992125984" footer="0.31496062992125984"/>
  <pageSetup scale="75" orientation="landscape" r:id="rId1"/>
</worksheet>
</file>

<file path=xl/worksheets/sheet302.xml><?xml version="1.0" encoding="utf-8"?>
<worksheet xmlns="http://schemas.openxmlformats.org/spreadsheetml/2006/main" xmlns:r="http://schemas.openxmlformats.org/officeDocument/2006/relationships">
  <dimension ref="A1:Q31"/>
  <sheetViews>
    <sheetView workbookViewId="0">
      <selection activeCell="A3" sqref="A3"/>
    </sheetView>
  </sheetViews>
  <sheetFormatPr defaultRowHeight="12"/>
  <cols>
    <col min="1" max="1" width="33.85546875" style="734" customWidth="1"/>
    <col min="2" max="2" width="9" style="734" customWidth="1"/>
    <col min="3" max="3" width="8.140625" style="734" customWidth="1"/>
    <col min="4" max="4" width="8.7109375" style="734" customWidth="1"/>
    <col min="5" max="5" width="6.7109375" style="734" customWidth="1"/>
    <col min="6" max="6" width="9.5703125" style="734" customWidth="1"/>
    <col min="7" max="7" width="10.5703125" style="734" customWidth="1"/>
    <col min="8" max="8" width="8" style="734" customWidth="1"/>
    <col min="9" max="9" width="8.42578125" style="734" customWidth="1"/>
    <col min="10" max="10" width="6" style="734" customWidth="1"/>
    <col min="11" max="12" width="8.140625" style="734" customWidth="1"/>
    <col min="13" max="13" width="9" style="734" customWidth="1"/>
    <col min="14" max="14" width="7.5703125" style="734" customWidth="1"/>
    <col min="15" max="15" width="7.28515625" style="734" customWidth="1"/>
    <col min="16" max="256" width="9.140625" style="734"/>
    <col min="257" max="257" width="33.85546875" style="734" customWidth="1"/>
    <col min="258" max="258" width="9" style="734" customWidth="1"/>
    <col min="259" max="259" width="8.140625" style="734" customWidth="1"/>
    <col min="260" max="260" width="8.7109375" style="734" customWidth="1"/>
    <col min="261" max="261" width="6.7109375" style="734" customWidth="1"/>
    <col min="262" max="262" width="9.5703125" style="734" customWidth="1"/>
    <col min="263" max="263" width="10.5703125" style="734" customWidth="1"/>
    <col min="264" max="264" width="8" style="734" customWidth="1"/>
    <col min="265" max="265" width="8.42578125" style="734" customWidth="1"/>
    <col min="266" max="266" width="6" style="734" customWidth="1"/>
    <col min="267" max="268" width="8.140625" style="734" customWidth="1"/>
    <col min="269" max="269" width="9" style="734" customWidth="1"/>
    <col min="270" max="270" width="7.5703125" style="734" customWidth="1"/>
    <col min="271" max="271" width="7.28515625" style="734" customWidth="1"/>
    <col min="272" max="512" width="9.140625" style="734"/>
    <col min="513" max="513" width="33.85546875" style="734" customWidth="1"/>
    <col min="514" max="514" width="9" style="734" customWidth="1"/>
    <col min="515" max="515" width="8.140625" style="734" customWidth="1"/>
    <col min="516" max="516" width="8.7109375" style="734" customWidth="1"/>
    <col min="517" max="517" width="6.7109375" style="734" customWidth="1"/>
    <col min="518" max="518" width="9.5703125" style="734" customWidth="1"/>
    <col min="519" max="519" width="10.5703125" style="734" customWidth="1"/>
    <col min="520" max="520" width="8" style="734" customWidth="1"/>
    <col min="521" max="521" width="8.42578125" style="734" customWidth="1"/>
    <col min="522" max="522" width="6" style="734" customWidth="1"/>
    <col min="523" max="524" width="8.140625" style="734" customWidth="1"/>
    <col min="525" max="525" width="9" style="734" customWidth="1"/>
    <col min="526" max="526" width="7.5703125" style="734" customWidth="1"/>
    <col min="527" max="527" width="7.28515625" style="734" customWidth="1"/>
    <col min="528" max="768" width="9.140625" style="734"/>
    <col min="769" max="769" width="33.85546875" style="734" customWidth="1"/>
    <col min="770" max="770" width="9" style="734" customWidth="1"/>
    <col min="771" max="771" width="8.140625" style="734" customWidth="1"/>
    <col min="772" max="772" width="8.7109375" style="734" customWidth="1"/>
    <col min="773" max="773" width="6.7109375" style="734" customWidth="1"/>
    <col min="774" max="774" width="9.5703125" style="734" customWidth="1"/>
    <col min="775" max="775" width="10.5703125" style="734" customWidth="1"/>
    <col min="776" max="776" width="8" style="734" customWidth="1"/>
    <col min="777" max="777" width="8.42578125" style="734" customWidth="1"/>
    <col min="778" max="778" width="6" style="734" customWidth="1"/>
    <col min="779" max="780" width="8.140625" style="734" customWidth="1"/>
    <col min="781" max="781" width="9" style="734" customWidth="1"/>
    <col min="782" max="782" width="7.5703125" style="734" customWidth="1"/>
    <col min="783" max="783" width="7.28515625" style="734" customWidth="1"/>
    <col min="784" max="1024" width="9.140625" style="734"/>
    <col min="1025" max="1025" width="33.85546875" style="734" customWidth="1"/>
    <col min="1026" max="1026" width="9" style="734" customWidth="1"/>
    <col min="1027" max="1027" width="8.140625" style="734" customWidth="1"/>
    <col min="1028" max="1028" width="8.7109375" style="734" customWidth="1"/>
    <col min="1029" max="1029" width="6.7109375" style="734" customWidth="1"/>
    <col min="1030" max="1030" width="9.5703125" style="734" customWidth="1"/>
    <col min="1031" max="1031" width="10.5703125" style="734" customWidth="1"/>
    <col min="1032" max="1032" width="8" style="734" customWidth="1"/>
    <col min="1033" max="1033" width="8.42578125" style="734" customWidth="1"/>
    <col min="1034" max="1034" width="6" style="734" customWidth="1"/>
    <col min="1035" max="1036" width="8.140625" style="734" customWidth="1"/>
    <col min="1037" max="1037" width="9" style="734" customWidth="1"/>
    <col min="1038" max="1038" width="7.5703125" style="734" customWidth="1"/>
    <col min="1039" max="1039" width="7.28515625" style="734" customWidth="1"/>
    <col min="1040" max="1280" width="9.140625" style="734"/>
    <col min="1281" max="1281" width="33.85546875" style="734" customWidth="1"/>
    <col min="1282" max="1282" width="9" style="734" customWidth="1"/>
    <col min="1283" max="1283" width="8.140625" style="734" customWidth="1"/>
    <col min="1284" max="1284" width="8.7109375" style="734" customWidth="1"/>
    <col min="1285" max="1285" width="6.7109375" style="734" customWidth="1"/>
    <col min="1286" max="1286" width="9.5703125" style="734" customWidth="1"/>
    <col min="1287" max="1287" width="10.5703125" style="734" customWidth="1"/>
    <col min="1288" max="1288" width="8" style="734" customWidth="1"/>
    <col min="1289" max="1289" width="8.42578125" style="734" customWidth="1"/>
    <col min="1290" max="1290" width="6" style="734" customWidth="1"/>
    <col min="1291" max="1292" width="8.140625" style="734" customWidth="1"/>
    <col min="1293" max="1293" width="9" style="734" customWidth="1"/>
    <col min="1294" max="1294" width="7.5703125" style="734" customWidth="1"/>
    <col min="1295" max="1295" width="7.28515625" style="734" customWidth="1"/>
    <col min="1296" max="1536" width="9.140625" style="734"/>
    <col min="1537" max="1537" width="33.85546875" style="734" customWidth="1"/>
    <col min="1538" max="1538" width="9" style="734" customWidth="1"/>
    <col min="1539" max="1539" width="8.140625" style="734" customWidth="1"/>
    <col min="1540" max="1540" width="8.7109375" style="734" customWidth="1"/>
    <col min="1541" max="1541" width="6.7109375" style="734" customWidth="1"/>
    <col min="1542" max="1542" width="9.5703125" style="734" customWidth="1"/>
    <col min="1543" max="1543" width="10.5703125" style="734" customWidth="1"/>
    <col min="1544" max="1544" width="8" style="734" customWidth="1"/>
    <col min="1545" max="1545" width="8.42578125" style="734" customWidth="1"/>
    <col min="1546" max="1546" width="6" style="734" customWidth="1"/>
    <col min="1547" max="1548" width="8.140625" style="734" customWidth="1"/>
    <col min="1549" max="1549" width="9" style="734" customWidth="1"/>
    <col min="1550" max="1550" width="7.5703125" style="734" customWidth="1"/>
    <col min="1551" max="1551" width="7.28515625" style="734" customWidth="1"/>
    <col min="1552" max="1792" width="9.140625" style="734"/>
    <col min="1793" max="1793" width="33.85546875" style="734" customWidth="1"/>
    <col min="1794" max="1794" width="9" style="734" customWidth="1"/>
    <col min="1795" max="1795" width="8.140625" style="734" customWidth="1"/>
    <col min="1796" max="1796" width="8.7109375" style="734" customWidth="1"/>
    <col min="1797" max="1797" width="6.7109375" style="734" customWidth="1"/>
    <col min="1798" max="1798" width="9.5703125" style="734" customWidth="1"/>
    <col min="1799" max="1799" width="10.5703125" style="734" customWidth="1"/>
    <col min="1800" max="1800" width="8" style="734" customWidth="1"/>
    <col min="1801" max="1801" width="8.42578125" style="734" customWidth="1"/>
    <col min="1802" max="1802" width="6" style="734" customWidth="1"/>
    <col min="1803" max="1804" width="8.140625" style="734" customWidth="1"/>
    <col min="1805" max="1805" width="9" style="734" customWidth="1"/>
    <col min="1806" max="1806" width="7.5703125" style="734" customWidth="1"/>
    <col min="1807" max="1807" width="7.28515625" style="734" customWidth="1"/>
    <col min="1808" max="2048" width="9.140625" style="734"/>
    <col min="2049" max="2049" width="33.85546875" style="734" customWidth="1"/>
    <col min="2050" max="2050" width="9" style="734" customWidth="1"/>
    <col min="2051" max="2051" width="8.140625" style="734" customWidth="1"/>
    <col min="2052" max="2052" width="8.7109375" style="734" customWidth="1"/>
    <col min="2053" max="2053" width="6.7109375" style="734" customWidth="1"/>
    <col min="2054" max="2054" width="9.5703125" style="734" customWidth="1"/>
    <col min="2055" max="2055" width="10.5703125" style="734" customWidth="1"/>
    <col min="2056" max="2056" width="8" style="734" customWidth="1"/>
    <col min="2057" max="2057" width="8.42578125" style="734" customWidth="1"/>
    <col min="2058" max="2058" width="6" style="734" customWidth="1"/>
    <col min="2059" max="2060" width="8.140625" style="734" customWidth="1"/>
    <col min="2061" max="2061" width="9" style="734" customWidth="1"/>
    <col min="2062" max="2062" width="7.5703125" style="734" customWidth="1"/>
    <col min="2063" max="2063" width="7.28515625" style="734" customWidth="1"/>
    <col min="2064" max="2304" width="9.140625" style="734"/>
    <col min="2305" max="2305" width="33.85546875" style="734" customWidth="1"/>
    <col min="2306" max="2306" width="9" style="734" customWidth="1"/>
    <col min="2307" max="2307" width="8.140625" style="734" customWidth="1"/>
    <col min="2308" max="2308" width="8.7109375" style="734" customWidth="1"/>
    <col min="2309" max="2309" width="6.7109375" style="734" customWidth="1"/>
    <col min="2310" max="2310" width="9.5703125" style="734" customWidth="1"/>
    <col min="2311" max="2311" width="10.5703125" style="734" customWidth="1"/>
    <col min="2312" max="2312" width="8" style="734" customWidth="1"/>
    <col min="2313" max="2313" width="8.42578125" style="734" customWidth="1"/>
    <col min="2314" max="2314" width="6" style="734" customWidth="1"/>
    <col min="2315" max="2316" width="8.140625" style="734" customWidth="1"/>
    <col min="2317" max="2317" width="9" style="734" customWidth="1"/>
    <col min="2318" max="2318" width="7.5703125" style="734" customWidth="1"/>
    <col min="2319" max="2319" width="7.28515625" style="734" customWidth="1"/>
    <col min="2320" max="2560" width="9.140625" style="734"/>
    <col min="2561" max="2561" width="33.85546875" style="734" customWidth="1"/>
    <col min="2562" max="2562" width="9" style="734" customWidth="1"/>
    <col min="2563" max="2563" width="8.140625" style="734" customWidth="1"/>
    <col min="2564" max="2564" width="8.7109375" style="734" customWidth="1"/>
    <col min="2565" max="2565" width="6.7109375" style="734" customWidth="1"/>
    <col min="2566" max="2566" width="9.5703125" style="734" customWidth="1"/>
    <col min="2567" max="2567" width="10.5703125" style="734" customWidth="1"/>
    <col min="2568" max="2568" width="8" style="734" customWidth="1"/>
    <col min="2569" max="2569" width="8.42578125" style="734" customWidth="1"/>
    <col min="2570" max="2570" width="6" style="734" customWidth="1"/>
    <col min="2571" max="2572" width="8.140625" style="734" customWidth="1"/>
    <col min="2573" max="2573" width="9" style="734" customWidth="1"/>
    <col min="2574" max="2574" width="7.5703125" style="734" customWidth="1"/>
    <col min="2575" max="2575" width="7.28515625" style="734" customWidth="1"/>
    <col min="2576" max="2816" width="9.140625" style="734"/>
    <col min="2817" max="2817" width="33.85546875" style="734" customWidth="1"/>
    <col min="2818" max="2818" width="9" style="734" customWidth="1"/>
    <col min="2819" max="2819" width="8.140625" style="734" customWidth="1"/>
    <col min="2820" max="2820" width="8.7109375" style="734" customWidth="1"/>
    <col min="2821" max="2821" width="6.7109375" style="734" customWidth="1"/>
    <col min="2822" max="2822" width="9.5703125" style="734" customWidth="1"/>
    <col min="2823" max="2823" width="10.5703125" style="734" customWidth="1"/>
    <col min="2824" max="2824" width="8" style="734" customWidth="1"/>
    <col min="2825" max="2825" width="8.42578125" style="734" customWidth="1"/>
    <col min="2826" max="2826" width="6" style="734" customWidth="1"/>
    <col min="2827" max="2828" width="8.140625" style="734" customWidth="1"/>
    <col min="2829" max="2829" width="9" style="734" customWidth="1"/>
    <col min="2830" max="2830" width="7.5703125" style="734" customWidth="1"/>
    <col min="2831" max="2831" width="7.28515625" style="734" customWidth="1"/>
    <col min="2832" max="3072" width="9.140625" style="734"/>
    <col min="3073" max="3073" width="33.85546875" style="734" customWidth="1"/>
    <col min="3074" max="3074" width="9" style="734" customWidth="1"/>
    <col min="3075" max="3075" width="8.140625" style="734" customWidth="1"/>
    <col min="3076" max="3076" width="8.7109375" style="734" customWidth="1"/>
    <col min="3077" max="3077" width="6.7109375" style="734" customWidth="1"/>
    <col min="3078" max="3078" width="9.5703125" style="734" customWidth="1"/>
    <col min="3079" max="3079" width="10.5703125" style="734" customWidth="1"/>
    <col min="3080" max="3080" width="8" style="734" customWidth="1"/>
    <col min="3081" max="3081" width="8.42578125" style="734" customWidth="1"/>
    <col min="3082" max="3082" width="6" style="734" customWidth="1"/>
    <col min="3083" max="3084" width="8.140625" style="734" customWidth="1"/>
    <col min="3085" max="3085" width="9" style="734" customWidth="1"/>
    <col min="3086" max="3086" width="7.5703125" style="734" customWidth="1"/>
    <col min="3087" max="3087" width="7.28515625" style="734" customWidth="1"/>
    <col min="3088" max="3328" width="9.140625" style="734"/>
    <col min="3329" max="3329" width="33.85546875" style="734" customWidth="1"/>
    <col min="3330" max="3330" width="9" style="734" customWidth="1"/>
    <col min="3331" max="3331" width="8.140625" style="734" customWidth="1"/>
    <col min="3332" max="3332" width="8.7109375" style="734" customWidth="1"/>
    <col min="3333" max="3333" width="6.7109375" style="734" customWidth="1"/>
    <col min="3334" max="3334" width="9.5703125" style="734" customWidth="1"/>
    <col min="3335" max="3335" width="10.5703125" style="734" customWidth="1"/>
    <col min="3336" max="3336" width="8" style="734" customWidth="1"/>
    <col min="3337" max="3337" width="8.42578125" style="734" customWidth="1"/>
    <col min="3338" max="3338" width="6" style="734" customWidth="1"/>
    <col min="3339" max="3340" width="8.140625" style="734" customWidth="1"/>
    <col min="3341" max="3341" width="9" style="734" customWidth="1"/>
    <col min="3342" max="3342" width="7.5703125" style="734" customWidth="1"/>
    <col min="3343" max="3343" width="7.28515625" style="734" customWidth="1"/>
    <col min="3344" max="3584" width="9.140625" style="734"/>
    <col min="3585" max="3585" width="33.85546875" style="734" customWidth="1"/>
    <col min="3586" max="3586" width="9" style="734" customWidth="1"/>
    <col min="3587" max="3587" width="8.140625" style="734" customWidth="1"/>
    <col min="3588" max="3588" width="8.7109375" style="734" customWidth="1"/>
    <col min="3589" max="3589" width="6.7109375" style="734" customWidth="1"/>
    <col min="3590" max="3590" width="9.5703125" style="734" customWidth="1"/>
    <col min="3591" max="3591" width="10.5703125" style="734" customWidth="1"/>
    <col min="3592" max="3592" width="8" style="734" customWidth="1"/>
    <col min="3593" max="3593" width="8.42578125" style="734" customWidth="1"/>
    <col min="3594" max="3594" width="6" style="734" customWidth="1"/>
    <col min="3595" max="3596" width="8.140625" style="734" customWidth="1"/>
    <col min="3597" max="3597" width="9" style="734" customWidth="1"/>
    <col min="3598" max="3598" width="7.5703125" style="734" customWidth="1"/>
    <col min="3599" max="3599" width="7.28515625" style="734" customWidth="1"/>
    <col min="3600" max="3840" width="9.140625" style="734"/>
    <col min="3841" max="3841" width="33.85546875" style="734" customWidth="1"/>
    <col min="3842" max="3842" width="9" style="734" customWidth="1"/>
    <col min="3843" max="3843" width="8.140625" style="734" customWidth="1"/>
    <col min="3844" max="3844" width="8.7109375" style="734" customWidth="1"/>
    <col min="3845" max="3845" width="6.7109375" style="734" customWidth="1"/>
    <col min="3846" max="3846" width="9.5703125" style="734" customWidth="1"/>
    <col min="3847" max="3847" width="10.5703125" style="734" customWidth="1"/>
    <col min="3848" max="3848" width="8" style="734" customWidth="1"/>
    <col min="3849" max="3849" width="8.42578125" style="734" customWidth="1"/>
    <col min="3850" max="3850" width="6" style="734" customWidth="1"/>
    <col min="3851" max="3852" width="8.140625" style="734" customWidth="1"/>
    <col min="3853" max="3853" width="9" style="734" customWidth="1"/>
    <col min="3854" max="3854" width="7.5703125" style="734" customWidth="1"/>
    <col min="3855" max="3855" width="7.28515625" style="734" customWidth="1"/>
    <col min="3856" max="4096" width="9.140625" style="734"/>
    <col min="4097" max="4097" width="33.85546875" style="734" customWidth="1"/>
    <col min="4098" max="4098" width="9" style="734" customWidth="1"/>
    <col min="4099" max="4099" width="8.140625" style="734" customWidth="1"/>
    <col min="4100" max="4100" width="8.7109375" style="734" customWidth="1"/>
    <col min="4101" max="4101" width="6.7109375" style="734" customWidth="1"/>
    <col min="4102" max="4102" width="9.5703125" style="734" customWidth="1"/>
    <col min="4103" max="4103" width="10.5703125" style="734" customWidth="1"/>
    <col min="4104" max="4104" width="8" style="734" customWidth="1"/>
    <col min="4105" max="4105" width="8.42578125" style="734" customWidth="1"/>
    <col min="4106" max="4106" width="6" style="734" customWidth="1"/>
    <col min="4107" max="4108" width="8.140625" style="734" customWidth="1"/>
    <col min="4109" max="4109" width="9" style="734" customWidth="1"/>
    <col min="4110" max="4110" width="7.5703125" style="734" customWidth="1"/>
    <col min="4111" max="4111" width="7.28515625" style="734" customWidth="1"/>
    <col min="4112" max="4352" width="9.140625" style="734"/>
    <col min="4353" max="4353" width="33.85546875" style="734" customWidth="1"/>
    <col min="4354" max="4354" width="9" style="734" customWidth="1"/>
    <col min="4355" max="4355" width="8.140625" style="734" customWidth="1"/>
    <col min="4356" max="4356" width="8.7109375" style="734" customWidth="1"/>
    <col min="4357" max="4357" width="6.7109375" style="734" customWidth="1"/>
    <col min="4358" max="4358" width="9.5703125" style="734" customWidth="1"/>
    <col min="4359" max="4359" width="10.5703125" style="734" customWidth="1"/>
    <col min="4360" max="4360" width="8" style="734" customWidth="1"/>
    <col min="4361" max="4361" width="8.42578125" style="734" customWidth="1"/>
    <col min="4362" max="4362" width="6" style="734" customWidth="1"/>
    <col min="4363" max="4364" width="8.140625" style="734" customWidth="1"/>
    <col min="4365" max="4365" width="9" style="734" customWidth="1"/>
    <col min="4366" max="4366" width="7.5703125" style="734" customWidth="1"/>
    <col min="4367" max="4367" width="7.28515625" style="734" customWidth="1"/>
    <col min="4368" max="4608" width="9.140625" style="734"/>
    <col min="4609" max="4609" width="33.85546875" style="734" customWidth="1"/>
    <col min="4610" max="4610" width="9" style="734" customWidth="1"/>
    <col min="4611" max="4611" width="8.140625" style="734" customWidth="1"/>
    <col min="4612" max="4612" width="8.7109375" style="734" customWidth="1"/>
    <col min="4613" max="4613" width="6.7109375" style="734" customWidth="1"/>
    <col min="4614" max="4614" width="9.5703125" style="734" customWidth="1"/>
    <col min="4615" max="4615" width="10.5703125" style="734" customWidth="1"/>
    <col min="4616" max="4616" width="8" style="734" customWidth="1"/>
    <col min="4617" max="4617" width="8.42578125" style="734" customWidth="1"/>
    <col min="4618" max="4618" width="6" style="734" customWidth="1"/>
    <col min="4619" max="4620" width="8.140625" style="734" customWidth="1"/>
    <col min="4621" max="4621" width="9" style="734" customWidth="1"/>
    <col min="4622" max="4622" width="7.5703125" style="734" customWidth="1"/>
    <col min="4623" max="4623" width="7.28515625" style="734" customWidth="1"/>
    <col min="4624" max="4864" width="9.140625" style="734"/>
    <col min="4865" max="4865" width="33.85546875" style="734" customWidth="1"/>
    <col min="4866" max="4866" width="9" style="734" customWidth="1"/>
    <col min="4867" max="4867" width="8.140625" style="734" customWidth="1"/>
    <col min="4868" max="4868" width="8.7109375" style="734" customWidth="1"/>
    <col min="4869" max="4869" width="6.7109375" style="734" customWidth="1"/>
    <col min="4870" max="4870" width="9.5703125" style="734" customWidth="1"/>
    <col min="4871" max="4871" width="10.5703125" style="734" customWidth="1"/>
    <col min="4872" max="4872" width="8" style="734" customWidth="1"/>
    <col min="4873" max="4873" width="8.42578125" style="734" customWidth="1"/>
    <col min="4874" max="4874" width="6" style="734" customWidth="1"/>
    <col min="4875" max="4876" width="8.140625" style="734" customWidth="1"/>
    <col min="4877" max="4877" width="9" style="734" customWidth="1"/>
    <col min="4878" max="4878" width="7.5703125" style="734" customWidth="1"/>
    <col min="4879" max="4879" width="7.28515625" style="734" customWidth="1"/>
    <col min="4880" max="5120" width="9.140625" style="734"/>
    <col min="5121" max="5121" width="33.85546875" style="734" customWidth="1"/>
    <col min="5122" max="5122" width="9" style="734" customWidth="1"/>
    <col min="5123" max="5123" width="8.140625" style="734" customWidth="1"/>
    <col min="5124" max="5124" width="8.7109375" style="734" customWidth="1"/>
    <col min="5125" max="5125" width="6.7109375" style="734" customWidth="1"/>
    <col min="5126" max="5126" width="9.5703125" style="734" customWidth="1"/>
    <col min="5127" max="5127" width="10.5703125" style="734" customWidth="1"/>
    <col min="5128" max="5128" width="8" style="734" customWidth="1"/>
    <col min="5129" max="5129" width="8.42578125" style="734" customWidth="1"/>
    <col min="5130" max="5130" width="6" style="734" customWidth="1"/>
    <col min="5131" max="5132" width="8.140625" style="734" customWidth="1"/>
    <col min="5133" max="5133" width="9" style="734" customWidth="1"/>
    <col min="5134" max="5134" width="7.5703125" style="734" customWidth="1"/>
    <col min="5135" max="5135" width="7.28515625" style="734" customWidth="1"/>
    <col min="5136" max="5376" width="9.140625" style="734"/>
    <col min="5377" max="5377" width="33.85546875" style="734" customWidth="1"/>
    <col min="5378" max="5378" width="9" style="734" customWidth="1"/>
    <col min="5379" max="5379" width="8.140625" style="734" customWidth="1"/>
    <col min="5380" max="5380" width="8.7109375" style="734" customWidth="1"/>
    <col min="5381" max="5381" width="6.7109375" style="734" customWidth="1"/>
    <col min="5382" max="5382" width="9.5703125" style="734" customWidth="1"/>
    <col min="5383" max="5383" width="10.5703125" style="734" customWidth="1"/>
    <col min="5384" max="5384" width="8" style="734" customWidth="1"/>
    <col min="5385" max="5385" width="8.42578125" style="734" customWidth="1"/>
    <col min="5386" max="5386" width="6" style="734" customWidth="1"/>
    <col min="5387" max="5388" width="8.140625" style="734" customWidth="1"/>
    <col min="5389" max="5389" width="9" style="734" customWidth="1"/>
    <col min="5390" max="5390" width="7.5703125" style="734" customWidth="1"/>
    <col min="5391" max="5391" width="7.28515625" style="734" customWidth="1"/>
    <col min="5392" max="5632" width="9.140625" style="734"/>
    <col min="5633" max="5633" width="33.85546875" style="734" customWidth="1"/>
    <col min="5634" max="5634" width="9" style="734" customWidth="1"/>
    <col min="5635" max="5635" width="8.140625" style="734" customWidth="1"/>
    <col min="5636" max="5636" width="8.7109375" style="734" customWidth="1"/>
    <col min="5637" max="5637" width="6.7109375" style="734" customWidth="1"/>
    <col min="5638" max="5638" width="9.5703125" style="734" customWidth="1"/>
    <col min="5639" max="5639" width="10.5703125" style="734" customWidth="1"/>
    <col min="5640" max="5640" width="8" style="734" customWidth="1"/>
    <col min="5641" max="5641" width="8.42578125" style="734" customWidth="1"/>
    <col min="5642" max="5642" width="6" style="734" customWidth="1"/>
    <col min="5643" max="5644" width="8.140625" style="734" customWidth="1"/>
    <col min="5645" max="5645" width="9" style="734" customWidth="1"/>
    <col min="5646" max="5646" width="7.5703125" style="734" customWidth="1"/>
    <col min="5647" max="5647" width="7.28515625" style="734" customWidth="1"/>
    <col min="5648" max="5888" width="9.140625" style="734"/>
    <col min="5889" max="5889" width="33.85546875" style="734" customWidth="1"/>
    <col min="5890" max="5890" width="9" style="734" customWidth="1"/>
    <col min="5891" max="5891" width="8.140625" style="734" customWidth="1"/>
    <col min="5892" max="5892" width="8.7109375" style="734" customWidth="1"/>
    <col min="5893" max="5893" width="6.7109375" style="734" customWidth="1"/>
    <col min="5894" max="5894" width="9.5703125" style="734" customWidth="1"/>
    <col min="5895" max="5895" width="10.5703125" style="734" customWidth="1"/>
    <col min="5896" max="5896" width="8" style="734" customWidth="1"/>
    <col min="5897" max="5897" width="8.42578125" style="734" customWidth="1"/>
    <col min="5898" max="5898" width="6" style="734" customWidth="1"/>
    <col min="5899" max="5900" width="8.140625" style="734" customWidth="1"/>
    <col min="5901" max="5901" width="9" style="734" customWidth="1"/>
    <col min="5902" max="5902" width="7.5703125" style="734" customWidth="1"/>
    <col min="5903" max="5903" width="7.28515625" style="734" customWidth="1"/>
    <col min="5904" max="6144" width="9.140625" style="734"/>
    <col min="6145" max="6145" width="33.85546875" style="734" customWidth="1"/>
    <col min="6146" max="6146" width="9" style="734" customWidth="1"/>
    <col min="6147" max="6147" width="8.140625" style="734" customWidth="1"/>
    <col min="6148" max="6148" width="8.7109375" style="734" customWidth="1"/>
    <col min="6149" max="6149" width="6.7109375" style="734" customWidth="1"/>
    <col min="6150" max="6150" width="9.5703125" style="734" customWidth="1"/>
    <col min="6151" max="6151" width="10.5703125" style="734" customWidth="1"/>
    <col min="6152" max="6152" width="8" style="734" customWidth="1"/>
    <col min="6153" max="6153" width="8.42578125" style="734" customWidth="1"/>
    <col min="6154" max="6154" width="6" style="734" customWidth="1"/>
    <col min="6155" max="6156" width="8.140625" style="734" customWidth="1"/>
    <col min="6157" max="6157" width="9" style="734" customWidth="1"/>
    <col min="6158" max="6158" width="7.5703125" style="734" customWidth="1"/>
    <col min="6159" max="6159" width="7.28515625" style="734" customWidth="1"/>
    <col min="6160" max="6400" width="9.140625" style="734"/>
    <col min="6401" max="6401" width="33.85546875" style="734" customWidth="1"/>
    <col min="6402" max="6402" width="9" style="734" customWidth="1"/>
    <col min="6403" max="6403" width="8.140625" style="734" customWidth="1"/>
    <col min="6404" max="6404" width="8.7109375" style="734" customWidth="1"/>
    <col min="6405" max="6405" width="6.7109375" style="734" customWidth="1"/>
    <col min="6406" max="6406" width="9.5703125" style="734" customWidth="1"/>
    <col min="6407" max="6407" width="10.5703125" style="734" customWidth="1"/>
    <col min="6408" max="6408" width="8" style="734" customWidth="1"/>
    <col min="6409" max="6409" width="8.42578125" style="734" customWidth="1"/>
    <col min="6410" max="6410" width="6" style="734" customWidth="1"/>
    <col min="6411" max="6412" width="8.140625" style="734" customWidth="1"/>
    <col min="6413" max="6413" width="9" style="734" customWidth="1"/>
    <col min="6414" max="6414" width="7.5703125" style="734" customWidth="1"/>
    <col min="6415" max="6415" width="7.28515625" style="734" customWidth="1"/>
    <col min="6416" max="6656" width="9.140625" style="734"/>
    <col min="6657" max="6657" width="33.85546875" style="734" customWidth="1"/>
    <col min="6658" max="6658" width="9" style="734" customWidth="1"/>
    <col min="6659" max="6659" width="8.140625" style="734" customWidth="1"/>
    <col min="6660" max="6660" width="8.7109375" style="734" customWidth="1"/>
    <col min="6661" max="6661" width="6.7109375" style="734" customWidth="1"/>
    <col min="6662" max="6662" width="9.5703125" style="734" customWidth="1"/>
    <col min="6663" max="6663" width="10.5703125" style="734" customWidth="1"/>
    <col min="6664" max="6664" width="8" style="734" customWidth="1"/>
    <col min="6665" max="6665" width="8.42578125" style="734" customWidth="1"/>
    <col min="6666" max="6666" width="6" style="734" customWidth="1"/>
    <col min="6667" max="6668" width="8.140625" style="734" customWidth="1"/>
    <col min="6669" max="6669" width="9" style="734" customWidth="1"/>
    <col min="6670" max="6670" width="7.5703125" style="734" customWidth="1"/>
    <col min="6671" max="6671" width="7.28515625" style="734" customWidth="1"/>
    <col min="6672" max="6912" width="9.140625" style="734"/>
    <col min="6913" max="6913" width="33.85546875" style="734" customWidth="1"/>
    <col min="6914" max="6914" width="9" style="734" customWidth="1"/>
    <col min="6915" max="6915" width="8.140625" style="734" customWidth="1"/>
    <col min="6916" max="6916" width="8.7109375" style="734" customWidth="1"/>
    <col min="6917" max="6917" width="6.7109375" style="734" customWidth="1"/>
    <col min="6918" max="6918" width="9.5703125" style="734" customWidth="1"/>
    <col min="6919" max="6919" width="10.5703125" style="734" customWidth="1"/>
    <col min="6920" max="6920" width="8" style="734" customWidth="1"/>
    <col min="6921" max="6921" width="8.42578125" style="734" customWidth="1"/>
    <col min="6922" max="6922" width="6" style="734" customWidth="1"/>
    <col min="6923" max="6924" width="8.140625" style="734" customWidth="1"/>
    <col min="6925" max="6925" width="9" style="734" customWidth="1"/>
    <col min="6926" max="6926" width="7.5703125" style="734" customWidth="1"/>
    <col min="6927" max="6927" width="7.28515625" style="734" customWidth="1"/>
    <col min="6928" max="7168" width="9.140625" style="734"/>
    <col min="7169" max="7169" width="33.85546875" style="734" customWidth="1"/>
    <col min="7170" max="7170" width="9" style="734" customWidth="1"/>
    <col min="7171" max="7171" width="8.140625" style="734" customWidth="1"/>
    <col min="7172" max="7172" width="8.7109375" style="734" customWidth="1"/>
    <col min="7173" max="7173" width="6.7109375" style="734" customWidth="1"/>
    <col min="7174" max="7174" width="9.5703125" style="734" customWidth="1"/>
    <col min="7175" max="7175" width="10.5703125" style="734" customWidth="1"/>
    <col min="7176" max="7176" width="8" style="734" customWidth="1"/>
    <col min="7177" max="7177" width="8.42578125" style="734" customWidth="1"/>
    <col min="7178" max="7178" width="6" style="734" customWidth="1"/>
    <col min="7179" max="7180" width="8.140625" style="734" customWidth="1"/>
    <col min="7181" max="7181" width="9" style="734" customWidth="1"/>
    <col min="7182" max="7182" width="7.5703125" style="734" customWidth="1"/>
    <col min="7183" max="7183" width="7.28515625" style="734" customWidth="1"/>
    <col min="7184" max="7424" width="9.140625" style="734"/>
    <col min="7425" max="7425" width="33.85546875" style="734" customWidth="1"/>
    <col min="7426" max="7426" width="9" style="734" customWidth="1"/>
    <col min="7427" max="7427" width="8.140625" style="734" customWidth="1"/>
    <col min="7428" max="7428" width="8.7109375" style="734" customWidth="1"/>
    <col min="7429" max="7429" width="6.7109375" style="734" customWidth="1"/>
    <col min="7430" max="7430" width="9.5703125" style="734" customWidth="1"/>
    <col min="7431" max="7431" width="10.5703125" style="734" customWidth="1"/>
    <col min="7432" max="7432" width="8" style="734" customWidth="1"/>
    <col min="7433" max="7433" width="8.42578125" style="734" customWidth="1"/>
    <col min="7434" max="7434" width="6" style="734" customWidth="1"/>
    <col min="7435" max="7436" width="8.140625" style="734" customWidth="1"/>
    <col min="7437" max="7437" width="9" style="734" customWidth="1"/>
    <col min="7438" max="7438" width="7.5703125" style="734" customWidth="1"/>
    <col min="7439" max="7439" width="7.28515625" style="734" customWidth="1"/>
    <col min="7440" max="7680" width="9.140625" style="734"/>
    <col min="7681" max="7681" width="33.85546875" style="734" customWidth="1"/>
    <col min="7682" max="7682" width="9" style="734" customWidth="1"/>
    <col min="7683" max="7683" width="8.140625" style="734" customWidth="1"/>
    <col min="7684" max="7684" width="8.7109375" style="734" customWidth="1"/>
    <col min="7685" max="7685" width="6.7109375" style="734" customWidth="1"/>
    <col min="7686" max="7686" width="9.5703125" style="734" customWidth="1"/>
    <col min="7687" max="7687" width="10.5703125" style="734" customWidth="1"/>
    <col min="7688" max="7688" width="8" style="734" customWidth="1"/>
    <col min="7689" max="7689" width="8.42578125" style="734" customWidth="1"/>
    <col min="7690" max="7690" width="6" style="734" customWidth="1"/>
    <col min="7691" max="7692" width="8.140625" style="734" customWidth="1"/>
    <col min="7693" max="7693" width="9" style="734" customWidth="1"/>
    <col min="7694" max="7694" width="7.5703125" style="734" customWidth="1"/>
    <col min="7695" max="7695" width="7.28515625" style="734" customWidth="1"/>
    <col min="7696" max="7936" width="9.140625" style="734"/>
    <col min="7937" max="7937" width="33.85546875" style="734" customWidth="1"/>
    <col min="7938" max="7938" width="9" style="734" customWidth="1"/>
    <col min="7939" max="7939" width="8.140625" style="734" customWidth="1"/>
    <col min="7940" max="7940" width="8.7109375" style="734" customWidth="1"/>
    <col min="7941" max="7941" width="6.7109375" style="734" customWidth="1"/>
    <col min="7942" max="7942" width="9.5703125" style="734" customWidth="1"/>
    <col min="7943" max="7943" width="10.5703125" style="734" customWidth="1"/>
    <col min="7944" max="7944" width="8" style="734" customWidth="1"/>
    <col min="7945" max="7945" width="8.42578125" style="734" customWidth="1"/>
    <col min="7946" max="7946" width="6" style="734" customWidth="1"/>
    <col min="7947" max="7948" width="8.140625" style="734" customWidth="1"/>
    <col min="7949" max="7949" width="9" style="734" customWidth="1"/>
    <col min="7950" max="7950" width="7.5703125" style="734" customWidth="1"/>
    <col min="7951" max="7951" width="7.28515625" style="734" customWidth="1"/>
    <col min="7952" max="8192" width="9.140625" style="734"/>
    <col min="8193" max="8193" width="33.85546875" style="734" customWidth="1"/>
    <col min="8194" max="8194" width="9" style="734" customWidth="1"/>
    <col min="8195" max="8195" width="8.140625" style="734" customWidth="1"/>
    <col min="8196" max="8196" width="8.7109375" style="734" customWidth="1"/>
    <col min="8197" max="8197" width="6.7109375" style="734" customWidth="1"/>
    <col min="8198" max="8198" width="9.5703125" style="734" customWidth="1"/>
    <col min="8199" max="8199" width="10.5703125" style="734" customWidth="1"/>
    <col min="8200" max="8200" width="8" style="734" customWidth="1"/>
    <col min="8201" max="8201" width="8.42578125" style="734" customWidth="1"/>
    <col min="8202" max="8202" width="6" style="734" customWidth="1"/>
    <col min="8203" max="8204" width="8.140625" style="734" customWidth="1"/>
    <col min="8205" max="8205" width="9" style="734" customWidth="1"/>
    <col min="8206" max="8206" width="7.5703125" style="734" customWidth="1"/>
    <col min="8207" max="8207" width="7.28515625" style="734" customWidth="1"/>
    <col min="8208" max="8448" width="9.140625" style="734"/>
    <col min="8449" max="8449" width="33.85546875" style="734" customWidth="1"/>
    <col min="8450" max="8450" width="9" style="734" customWidth="1"/>
    <col min="8451" max="8451" width="8.140625" style="734" customWidth="1"/>
    <col min="8452" max="8452" width="8.7109375" style="734" customWidth="1"/>
    <col min="8453" max="8453" width="6.7109375" style="734" customWidth="1"/>
    <col min="8454" max="8454" width="9.5703125" style="734" customWidth="1"/>
    <col min="8455" max="8455" width="10.5703125" style="734" customWidth="1"/>
    <col min="8456" max="8456" width="8" style="734" customWidth="1"/>
    <col min="8457" max="8457" width="8.42578125" style="734" customWidth="1"/>
    <col min="8458" max="8458" width="6" style="734" customWidth="1"/>
    <col min="8459" max="8460" width="8.140625" style="734" customWidth="1"/>
    <col min="8461" max="8461" width="9" style="734" customWidth="1"/>
    <col min="8462" max="8462" width="7.5703125" style="734" customWidth="1"/>
    <col min="8463" max="8463" width="7.28515625" style="734" customWidth="1"/>
    <col min="8464" max="8704" width="9.140625" style="734"/>
    <col min="8705" max="8705" width="33.85546875" style="734" customWidth="1"/>
    <col min="8706" max="8706" width="9" style="734" customWidth="1"/>
    <col min="8707" max="8707" width="8.140625" style="734" customWidth="1"/>
    <col min="8708" max="8708" width="8.7109375" style="734" customWidth="1"/>
    <col min="8709" max="8709" width="6.7109375" style="734" customWidth="1"/>
    <col min="8710" max="8710" width="9.5703125" style="734" customWidth="1"/>
    <col min="8711" max="8711" width="10.5703125" style="734" customWidth="1"/>
    <col min="8712" max="8712" width="8" style="734" customWidth="1"/>
    <col min="8713" max="8713" width="8.42578125" style="734" customWidth="1"/>
    <col min="8714" max="8714" width="6" style="734" customWidth="1"/>
    <col min="8715" max="8716" width="8.140625" style="734" customWidth="1"/>
    <col min="8717" max="8717" width="9" style="734" customWidth="1"/>
    <col min="8718" max="8718" width="7.5703125" style="734" customWidth="1"/>
    <col min="8719" max="8719" width="7.28515625" style="734" customWidth="1"/>
    <col min="8720" max="8960" width="9.140625" style="734"/>
    <col min="8961" max="8961" width="33.85546875" style="734" customWidth="1"/>
    <col min="8962" max="8962" width="9" style="734" customWidth="1"/>
    <col min="8963" max="8963" width="8.140625" style="734" customWidth="1"/>
    <col min="8964" max="8964" width="8.7109375" style="734" customWidth="1"/>
    <col min="8965" max="8965" width="6.7109375" style="734" customWidth="1"/>
    <col min="8966" max="8966" width="9.5703125" style="734" customWidth="1"/>
    <col min="8967" max="8967" width="10.5703125" style="734" customWidth="1"/>
    <col min="8968" max="8968" width="8" style="734" customWidth="1"/>
    <col min="8969" max="8969" width="8.42578125" style="734" customWidth="1"/>
    <col min="8970" max="8970" width="6" style="734" customWidth="1"/>
    <col min="8971" max="8972" width="8.140625" style="734" customWidth="1"/>
    <col min="8973" max="8973" width="9" style="734" customWidth="1"/>
    <col min="8974" max="8974" width="7.5703125" style="734" customWidth="1"/>
    <col min="8975" max="8975" width="7.28515625" style="734" customWidth="1"/>
    <col min="8976" max="9216" width="9.140625" style="734"/>
    <col min="9217" max="9217" width="33.85546875" style="734" customWidth="1"/>
    <col min="9218" max="9218" width="9" style="734" customWidth="1"/>
    <col min="9219" max="9219" width="8.140625" style="734" customWidth="1"/>
    <col min="9220" max="9220" width="8.7109375" style="734" customWidth="1"/>
    <col min="9221" max="9221" width="6.7109375" style="734" customWidth="1"/>
    <col min="9222" max="9222" width="9.5703125" style="734" customWidth="1"/>
    <col min="9223" max="9223" width="10.5703125" style="734" customWidth="1"/>
    <col min="9224" max="9224" width="8" style="734" customWidth="1"/>
    <col min="9225" max="9225" width="8.42578125" style="734" customWidth="1"/>
    <col min="9226" max="9226" width="6" style="734" customWidth="1"/>
    <col min="9227" max="9228" width="8.140625" style="734" customWidth="1"/>
    <col min="9229" max="9229" width="9" style="734" customWidth="1"/>
    <col min="9230" max="9230" width="7.5703125" style="734" customWidth="1"/>
    <col min="9231" max="9231" width="7.28515625" style="734" customWidth="1"/>
    <col min="9232" max="9472" width="9.140625" style="734"/>
    <col min="9473" max="9473" width="33.85546875" style="734" customWidth="1"/>
    <col min="9474" max="9474" width="9" style="734" customWidth="1"/>
    <col min="9475" max="9475" width="8.140625" style="734" customWidth="1"/>
    <col min="9476" max="9476" width="8.7109375" style="734" customWidth="1"/>
    <col min="9477" max="9477" width="6.7109375" style="734" customWidth="1"/>
    <col min="9478" max="9478" width="9.5703125" style="734" customWidth="1"/>
    <col min="9479" max="9479" width="10.5703125" style="734" customWidth="1"/>
    <col min="9480" max="9480" width="8" style="734" customWidth="1"/>
    <col min="9481" max="9481" width="8.42578125" style="734" customWidth="1"/>
    <col min="9482" max="9482" width="6" style="734" customWidth="1"/>
    <col min="9483" max="9484" width="8.140625" style="734" customWidth="1"/>
    <col min="9485" max="9485" width="9" style="734" customWidth="1"/>
    <col min="9486" max="9486" width="7.5703125" style="734" customWidth="1"/>
    <col min="9487" max="9487" width="7.28515625" style="734" customWidth="1"/>
    <col min="9488" max="9728" width="9.140625" style="734"/>
    <col min="9729" max="9729" width="33.85546875" style="734" customWidth="1"/>
    <col min="9730" max="9730" width="9" style="734" customWidth="1"/>
    <col min="9731" max="9731" width="8.140625" style="734" customWidth="1"/>
    <col min="9732" max="9732" width="8.7109375" style="734" customWidth="1"/>
    <col min="9733" max="9733" width="6.7109375" style="734" customWidth="1"/>
    <col min="9734" max="9734" width="9.5703125" style="734" customWidth="1"/>
    <col min="9735" max="9735" width="10.5703125" style="734" customWidth="1"/>
    <col min="9736" max="9736" width="8" style="734" customWidth="1"/>
    <col min="9737" max="9737" width="8.42578125" style="734" customWidth="1"/>
    <col min="9738" max="9738" width="6" style="734" customWidth="1"/>
    <col min="9739" max="9740" width="8.140625" style="734" customWidth="1"/>
    <col min="9741" max="9741" width="9" style="734" customWidth="1"/>
    <col min="9742" max="9742" width="7.5703125" style="734" customWidth="1"/>
    <col min="9743" max="9743" width="7.28515625" style="734" customWidth="1"/>
    <col min="9744" max="9984" width="9.140625" style="734"/>
    <col min="9985" max="9985" width="33.85546875" style="734" customWidth="1"/>
    <col min="9986" max="9986" width="9" style="734" customWidth="1"/>
    <col min="9987" max="9987" width="8.140625" style="734" customWidth="1"/>
    <col min="9988" max="9988" width="8.7109375" style="734" customWidth="1"/>
    <col min="9989" max="9989" width="6.7109375" style="734" customWidth="1"/>
    <col min="9990" max="9990" width="9.5703125" style="734" customWidth="1"/>
    <col min="9991" max="9991" width="10.5703125" style="734" customWidth="1"/>
    <col min="9992" max="9992" width="8" style="734" customWidth="1"/>
    <col min="9993" max="9993" width="8.42578125" style="734" customWidth="1"/>
    <col min="9994" max="9994" width="6" style="734" customWidth="1"/>
    <col min="9995" max="9996" width="8.140625" style="734" customWidth="1"/>
    <col min="9997" max="9997" width="9" style="734" customWidth="1"/>
    <col min="9998" max="9998" width="7.5703125" style="734" customWidth="1"/>
    <col min="9999" max="9999" width="7.28515625" style="734" customWidth="1"/>
    <col min="10000" max="10240" width="9.140625" style="734"/>
    <col min="10241" max="10241" width="33.85546875" style="734" customWidth="1"/>
    <col min="10242" max="10242" width="9" style="734" customWidth="1"/>
    <col min="10243" max="10243" width="8.140625" style="734" customWidth="1"/>
    <col min="10244" max="10244" width="8.7109375" style="734" customWidth="1"/>
    <col min="10245" max="10245" width="6.7109375" style="734" customWidth="1"/>
    <col min="10246" max="10246" width="9.5703125" style="734" customWidth="1"/>
    <col min="10247" max="10247" width="10.5703125" style="734" customWidth="1"/>
    <col min="10248" max="10248" width="8" style="734" customWidth="1"/>
    <col min="10249" max="10249" width="8.42578125" style="734" customWidth="1"/>
    <col min="10250" max="10250" width="6" style="734" customWidth="1"/>
    <col min="10251" max="10252" width="8.140625" style="734" customWidth="1"/>
    <col min="10253" max="10253" width="9" style="734" customWidth="1"/>
    <col min="10254" max="10254" width="7.5703125" style="734" customWidth="1"/>
    <col min="10255" max="10255" width="7.28515625" style="734" customWidth="1"/>
    <col min="10256" max="10496" width="9.140625" style="734"/>
    <col min="10497" max="10497" width="33.85546875" style="734" customWidth="1"/>
    <col min="10498" max="10498" width="9" style="734" customWidth="1"/>
    <col min="10499" max="10499" width="8.140625" style="734" customWidth="1"/>
    <col min="10500" max="10500" width="8.7109375" style="734" customWidth="1"/>
    <col min="10501" max="10501" width="6.7109375" style="734" customWidth="1"/>
    <col min="10502" max="10502" width="9.5703125" style="734" customWidth="1"/>
    <col min="10503" max="10503" width="10.5703125" style="734" customWidth="1"/>
    <col min="10504" max="10504" width="8" style="734" customWidth="1"/>
    <col min="10505" max="10505" width="8.42578125" style="734" customWidth="1"/>
    <col min="10506" max="10506" width="6" style="734" customWidth="1"/>
    <col min="10507" max="10508" width="8.140625" style="734" customWidth="1"/>
    <col min="10509" max="10509" width="9" style="734" customWidth="1"/>
    <col min="10510" max="10510" width="7.5703125" style="734" customWidth="1"/>
    <col min="10511" max="10511" width="7.28515625" style="734" customWidth="1"/>
    <col min="10512" max="10752" width="9.140625" style="734"/>
    <col min="10753" max="10753" width="33.85546875" style="734" customWidth="1"/>
    <col min="10754" max="10754" width="9" style="734" customWidth="1"/>
    <col min="10755" max="10755" width="8.140625" style="734" customWidth="1"/>
    <col min="10756" max="10756" width="8.7109375" style="734" customWidth="1"/>
    <col min="10757" max="10757" width="6.7109375" style="734" customWidth="1"/>
    <col min="10758" max="10758" width="9.5703125" style="734" customWidth="1"/>
    <col min="10759" max="10759" width="10.5703125" style="734" customWidth="1"/>
    <col min="10760" max="10760" width="8" style="734" customWidth="1"/>
    <col min="10761" max="10761" width="8.42578125" style="734" customWidth="1"/>
    <col min="10762" max="10762" width="6" style="734" customWidth="1"/>
    <col min="10763" max="10764" width="8.140625" style="734" customWidth="1"/>
    <col min="10765" max="10765" width="9" style="734" customWidth="1"/>
    <col min="10766" max="10766" width="7.5703125" style="734" customWidth="1"/>
    <col min="10767" max="10767" width="7.28515625" style="734" customWidth="1"/>
    <col min="10768" max="11008" width="9.140625" style="734"/>
    <col min="11009" max="11009" width="33.85546875" style="734" customWidth="1"/>
    <col min="11010" max="11010" width="9" style="734" customWidth="1"/>
    <col min="11011" max="11011" width="8.140625" style="734" customWidth="1"/>
    <col min="11012" max="11012" width="8.7109375" style="734" customWidth="1"/>
    <col min="11013" max="11013" width="6.7109375" style="734" customWidth="1"/>
    <col min="11014" max="11014" width="9.5703125" style="734" customWidth="1"/>
    <col min="11015" max="11015" width="10.5703125" style="734" customWidth="1"/>
    <col min="11016" max="11016" width="8" style="734" customWidth="1"/>
    <col min="11017" max="11017" width="8.42578125" style="734" customWidth="1"/>
    <col min="11018" max="11018" width="6" style="734" customWidth="1"/>
    <col min="11019" max="11020" width="8.140625" style="734" customWidth="1"/>
    <col min="11021" max="11021" width="9" style="734" customWidth="1"/>
    <col min="11022" max="11022" width="7.5703125" style="734" customWidth="1"/>
    <col min="11023" max="11023" width="7.28515625" style="734" customWidth="1"/>
    <col min="11024" max="11264" width="9.140625" style="734"/>
    <col min="11265" max="11265" width="33.85546875" style="734" customWidth="1"/>
    <col min="11266" max="11266" width="9" style="734" customWidth="1"/>
    <col min="11267" max="11267" width="8.140625" style="734" customWidth="1"/>
    <col min="11268" max="11268" width="8.7109375" style="734" customWidth="1"/>
    <col min="11269" max="11269" width="6.7109375" style="734" customWidth="1"/>
    <col min="11270" max="11270" width="9.5703125" style="734" customWidth="1"/>
    <col min="11271" max="11271" width="10.5703125" style="734" customWidth="1"/>
    <col min="11272" max="11272" width="8" style="734" customWidth="1"/>
    <col min="11273" max="11273" width="8.42578125" style="734" customWidth="1"/>
    <col min="11274" max="11274" width="6" style="734" customWidth="1"/>
    <col min="11275" max="11276" width="8.140625" style="734" customWidth="1"/>
    <col min="11277" max="11277" width="9" style="734" customWidth="1"/>
    <col min="11278" max="11278" width="7.5703125" style="734" customWidth="1"/>
    <col min="11279" max="11279" width="7.28515625" style="734" customWidth="1"/>
    <col min="11280" max="11520" width="9.140625" style="734"/>
    <col min="11521" max="11521" width="33.85546875" style="734" customWidth="1"/>
    <col min="11522" max="11522" width="9" style="734" customWidth="1"/>
    <col min="11523" max="11523" width="8.140625" style="734" customWidth="1"/>
    <col min="11524" max="11524" width="8.7109375" style="734" customWidth="1"/>
    <col min="11525" max="11525" width="6.7109375" style="734" customWidth="1"/>
    <col min="11526" max="11526" width="9.5703125" style="734" customWidth="1"/>
    <col min="11527" max="11527" width="10.5703125" style="734" customWidth="1"/>
    <col min="11528" max="11528" width="8" style="734" customWidth="1"/>
    <col min="11529" max="11529" width="8.42578125" style="734" customWidth="1"/>
    <col min="11530" max="11530" width="6" style="734" customWidth="1"/>
    <col min="11531" max="11532" width="8.140625" style="734" customWidth="1"/>
    <col min="11533" max="11533" width="9" style="734" customWidth="1"/>
    <col min="11534" max="11534" width="7.5703125" style="734" customWidth="1"/>
    <col min="11535" max="11535" width="7.28515625" style="734" customWidth="1"/>
    <col min="11536" max="11776" width="9.140625" style="734"/>
    <col min="11777" max="11777" width="33.85546875" style="734" customWidth="1"/>
    <col min="11778" max="11778" width="9" style="734" customWidth="1"/>
    <col min="11779" max="11779" width="8.140625" style="734" customWidth="1"/>
    <col min="11780" max="11780" width="8.7109375" style="734" customWidth="1"/>
    <col min="11781" max="11781" width="6.7109375" style="734" customWidth="1"/>
    <col min="11782" max="11782" width="9.5703125" style="734" customWidth="1"/>
    <col min="11783" max="11783" width="10.5703125" style="734" customWidth="1"/>
    <col min="11784" max="11784" width="8" style="734" customWidth="1"/>
    <col min="11785" max="11785" width="8.42578125" style="734" customWidth="1"/>
    <col min="11786" max="11786" width="6" style="734" customWidth="1"/>
    <col min="11787" max="11788" width="8.140625" style="734" customWidth="1"/>
    <col min="11789" max="11789" width="9" style="734" customWidth="1"/>
    <col min="11790" max="11790" width="7.5703125" style="734" customWidth="1"/>
    <col min="11791" max="11791" width="7.28515625" style="734" customWidth="1"/>
    <col min="11792" max="12032" width="9.140625" style="734"/>
    <col min="12033" max="12033" width="33.85546875" style="734" customWidth="1"/>
    <col min="12034" max="12034" width="9" style="734" customWidth="1"/>
    <col min="12035" max="12035" width="8.140625" style="734" customWidth="1"/>
    <col min="12036" max="12036" width="8.7109375" style="734" customWidth="1"/>
    <col min="12037" max="12037" width="6.7109375" style="734" customWidth="1"/>
    <col min="12038" max="12038" width="9.5703125" style="734" customWidth="1"/>
    <col min="12039" max="12039" width="10.5703125" style="734" customWidth="1"/>
    <col min="12040" max="12040" width="8" style="734" customWidth="1"/>
    <col min="12041" max="12041" width="8.42578125" style="734" customWidth="1"/>
    <col min="12042" max="12042" width="6" style="734" customWidth="1"/>
    <col min="12043" max="12044" width="8.140625" style="734" customWidth="1"/>
    <col min="12045" max="12045" width="9" style="734" customWidth="1"/>
    <col min="12046" max="12046" width="7.5703125" style="734" customWidth="1"/>
    <col min="12047" max="12047" width="7.28515625" style="734" customWidth="1"/>
    <col min="12048" max="12288" width="9.140625" style="734"/>
    <col min="12289" max="12289" width="33.85546875" style="734" customWidth="1"/>
    <col min="12290" max="12290" width="9" style="734" customWidth="1"/>
    <col min="12291" max="12291" width="8.140625" style="734" customWidth="1"/>
    <col min="12292" max="12292" width="8.7109375" style="734" customWidth="1"/>
    <col min="12293" max="12293" width="6.7109375" style="734" customWidth="1"/>
    <col min="12294" max="12294" width="9.5703125" style="734" customWidth="1"/>
    <col min="12295" max="12295" width="10.5703125" style="734" customWidth="1"/>
    <col min="12296" max="12296" width="8" style="734" customWidth="1"/>
    <col min="12297" max="12297" width="8.42578125" style="734" customWidth="1"/>
    <col min="12298" max="12298" width="6" style="734" customWidth="1"/>
    <col min="12299" max="12300" width="8.140625" style="734" customWidth="1"/>
    <col min="12301" max="12301" width="9" style="734" customWidth="1"/>
    <col min="12302" max="12302" width="7.5703125" style="734" customWidth="1"/>
    <col min="12303" max="12303" width="7.28515625" style="734" customWidth="1"/>
    <col min="12304" max="12544" width="9.140625" style="734"/>
    <col min="12545" max="12545" width="33.85546875" style="734" customWidth="1"/>
    <col min="12546" max="12546" width="9" style="734" customWidth="1"/>
    <col min="12547" max="12547" width="8.140625" style="734" customWidth="1"/>
    <col min="12548" max="12548" width="8.7109375" style="734" customWidth="1"/>
    <col min="12549" max="12549" width="6.7109375" style="734" customWidth="1"/>
    <col min="12550" max="12550" width="9.5703125" style="734" customWidth="1"/>
    <col min="12551" max="12551" width="10.5703125" style="734" customWidth="1"/>
    <col min="12552" max="12552" width="8" style="734" customWidth="1"/>
    <col min="12553" max="12553" width="8.42578125" style="734" customWidth="1"/>
    <col min="12554" max="12554" width="6" style="734" customWidth="1"/>
    <col min="12555" max="12556" width="8.140625" style="734" customWidth="1"/>
    <col min="12557" max="12557" width="9" style="734" customWidth="1"/>
    <col min="12558" max="12558" width="7.5703125" style="734" customWidth="1"/>
    <col min="12559" max="12559" width="7.28515625" style="734" customWidth="1"/>
    <col min="12560" max="12800" width="9.140625" style="734"/>
    <col min="12801" max="12801" width="33.85546875" style="734" customWidth="1"/>
    <col min="12802" max="12802" width="9" style="734" customWidth="1"/>
    <col min="12803" max="12803" width="8.140625" style="734" customWidth="1"/>
    <col min="12804" max="12804" width="8.7109375" style="734" customWidth="1"/>
    <col min="12805" max="12805" width="6.7109375" style="734" customWidth="1"/>
    <col min="12806" max="12806" width="9.5703125" style="734" customWidth="1"/>
    <col min="12807" max="12807" width="10.5703125" style="734" customWidth="1"/>
    <col min="12808" max="12808" width="8" style="734" customWidth="1"/>
    <col min="12809" max="12809" width="8.42578125" style="734" customWidth="1"/>
    <col min="12810" max="12810" width="6" style="734" customWidth="1"/>
    <col min="12811" max="12812" width="8.140625" style="734" customWidth="1"/>
    <col min="12813" max="12813" width="9" style="734" customWidth="1"/>
    <col min="12814" max="12814" width="7.5703125" style="734" customWidth="1"/>
    <col min="12815" max="12815" width="7.28515625" style="734" customWidth="1"/>
    <col min="12816" max="13056" width="9.140625" style="734"/>
    <col min="13057" max="13057" width="33.85546875" style="734" customWidth="1"/>
    <col min="13058" max="13058" width="9" style="734" customWidth="1"/>
    <col min="13059" max="13059" width="8.140625" style="734" customWidth="1"/>
    <col min="13060" max="13060" width="8.7109375" style="734" customWidth="1"/>
    <col min="13061" max="13061" width="6.7109375" style="734" customWidth="1"/>
    <col min="13062" max="13062" width="9.5703125" style="734" customWidth="1"/>
    <col min="13063" max="13063" width="10.5703125" style="734" customWidth="1"/>
    <col min="13064" max="13064" width="8" style="734" customWidth="1"/>
    <col min="13065" max="13065" width="8.42578125" style="734" customWidth="1"/>
    <col min="13066" max="13066" width="6" style="734" customWidth="1"/>
    <col min="13067" max="13068" width="8.140625" style="734" customWidth="1"/>
    <col min="13069" max="13069" width="9" style="734" customWidth="1"/>
    <col min="13070" max="13070" width="7.5703125" style="734" customWidth="1"/>
    <col min="13071" max="13071" width="7.28515625" style="734" customWidth="1"/>
    <col min="13072" max="13312" width="9.140625" style="734"/>
    <col min="13313" max="13313" width="33.85546875" style="734" customWidth="1"/>
    <col min="13314" max="13314" width="9" style="734" customWidth="1"/>
    <col min="13315" max="13315" width="8.140625" style="734" customWidth="1"/>
    <col min="13316" max="13316" width="8.7109375" style="734" customWidth="1"/>
    <col min="13317" max="13317" width="6.7109375" style="734" customWidth="1"/>
    <col min="13318" max="13318" width="9.5703125" style="734" customWidth="1"/>
    <col min="13319" max="13319" width="10.5703125" style="734" customWidth="1"/>
    <col min="13320" max="13320" width="8" style="734" customWidth="1"/>
    <col min="13321" max="13321" width="8.42578125" style="734" customWidth="1"/>
    <col min="13322" max="13322" width="6" style="734" customWidth="1"/>
    <col min="13323" max="13324" width="8.140625" style="734" customWidth="1"/>
    <col min="13325" max="13325" width="9" style="734" customWidth="1"/>
    <col min="13326" max="13326" width="7.5703125" style="734" customWidth="1"/>
    <col min="13327" max="13327" width="7.28515625" style="734" customWidth="1"/>
    <col min="13328" max="13568" width="9.140625" style="734"/>
    <col min="13569" max="13569" width="33.85546875" style="734" customWidth="1"/>
    <col min="13570" max="13570" width="9" style="734" customWidth="1"/>
    <col min="13571" max="13571" width="8.140625" style="734" customWidth="1"/>
    <col min="13572" max="13572" width="8.7109375" style="734" customWidth="1"/>
    <col min="13573" max="13573" width="6.7109375" style="734" customWidth="1"/>
    <col min="13574" max="13574" width="9.5703125" style="734" customWidth="1"/>
    <col min="13575" max="13575" width="10.5703125" style="734" customWidth="1"/>
    <col min="13576" max="13576" width="8" style="734" customWidth="1"/>
    <col min="13577" max="13577" width="8.42578125" style="734" customWidth="1"/>
    <col min="13578" max="13578" width="6" style="734" customWidth="1"/>
    <col min="13579" max="13580" width="8.140625" style="734" customWidth="1"/>
    <col min="13581" max="13581" width="9" style="734" customWidth="1"/>
    <col min="13582" max="13582" width="7.5703125" style="734" customWidth="1"/>
    <col min="13583" max="13583" width="7.28515625" style="734" customWidth="1"/>
    <col min="13584" max="13824" width="9.140625" style="734"/>
    <col min="13825" max="13825" width="33.85546875" style="734" customWidth="1"/>
    <col min="13826" max="13826" width="9" style="734" customWidth="1"/>
    <col min="13827" max="13827" width="8.140625" style="734" customWidth="1"/>
    <col min="13828" max="13828" width="8.7109375" style="734" customWidth="1"/>
    <col min="13829" max="13829" width="6.7109375" style="734" customWidth="1"/>
    <col min="13830" max="13830" width="9.5703125" style="734" customWidth="1"/>
    <col min="13831" max="13831" width="10.5703125" style="734" customWidth="1"/>
    <col min="13832" max="13832" width="8" style="734" customWidth="1"/>
    <col min="13833" max="13833" width="8.42578125" style="734" customWidth="1"/>
    <col min="13834" max="13834" width="6" style="734" customWidth="1"/>
    <col min="13835" max="13836" width="8.140625" style="734" customWidth="1"/>
    <col min="13837" max="13837" width="9" style="734" customWidth="1"/>
    <col min="13838" max="13838" width="7.5703125" style="734" customWidth="1"/>
    <col min="13839" max="13839" width="7.28515625" style="734" customWidth="1"/>
    <col min="13840" max="14080" width="9.140625" style="734"/>
    <col min="14081" max="14081" width="33.85546875" style="734" customWidth="1"/>
    <col min="14082" max="14082" width="9" style="734" customWidth="1"/>
    <col min="14083" max="14083" width="8.140625" style="734" customWidth="1"/>
    <col min="14084" max="14084" width="8.7109375" style="734" customWidth="1"/>
    <col min="14085" max="14085" width="6.7109375" style="734" customWidth="1"/>
    <col min="14086" max="14086" width="9.5703125" style="734" customWidth="1"/>
    <col min="14087" max="14087" width="10.5703125" style="734" customWidth="1"/>
    <col min="14088" max="14088" width="8" style="734" customWidth="1"/>
    <col min="14089" max="14089" width="8.42578125" style="734" customWidth="1"/>
    <col min="14090" max="14090" width="6" style="734" customWidth="1"/>
    <col min="14091" max="14092" width="8.140625" style="734" customWidth="1"/>
    <col min="14093" max="14093" width="9" style="734" customWidth="1"/>
    <col min="14094" max="14094" width="7.5703125" style="734" customWidth="1"/>
    <col min="14095" max="14095" width="7.28515625" style="734" customWidth="1"/>
    <col min="14096" max="14336" width="9.140625" style="734"/>
    <col min="14337" max="14337" width="33.85546875" style="734" customWidth="1"/>
    <col min="14338" max="14338" width="9" style="734" customWidth="1"/>
    <col min="14339" max="14339" width="8.140625" style="734" customWidth="1"/>
    <col min="14340" max="14340" width="8.7109375" style="734" customWidth="1"/>
    <col min="14341" max="14341" width="6.7109375" style="734" customWidth="1"/>
    <col min="14342" max="14342" width="9.5703125" style="734" customWidth="1"/>
    <col min="14343" max="14343" width="10.5703125" style="734" customWidth="1"/>
    <col min="14344" max="14344" width="8" style="734" customWidth="1"/>
    <col min="14345" max="14345" width="8.42578125" style="734" customWidth="1"/>
    <col min="14346" max="14346" width="6" style="734" customWidth="1"/>
    <col min="14347" max="14348" width="8.140625" style="734" customWidth="1"/>
    <col min="14349" max="14349" width="9" style="734" customWidth="1"/>
    <col min="14350" max="14350" width="7.5703125" style="734" customWidth="1"/>
    <col min="14351" max="14351" width="7.28515625" style="734" customWidth="1"/>
    <col min="14352" max="14592" width="9.140625" style="734"/>
    <col min="14593" max="14593" width="33.85546875" style="734" customWidth="1"/>
    <col min="14594" max="14594" width="9" style="734" customWidth="1"/>
    <col min="14595" max="14595" width="8.140625" style="734" customWidth="1"/>
    <col min="14596" max="14596" width="8.7109375" style="734" customWidth="1"/>
    <col min="14597" max="14597" width="6.7109375" style="734" customWidth="1"/>
    <col min="14598" max="14598" width="9.5703125" style="734" customWidth="1"/>
    <col min="14599" max="14599" width="10.5703125" style="734" customWidth="1"/>
    <col min="14600" max="14600" width="8" style="734" customWidth="1"/>
    <col min="14601" max="14601" width="8.42578125" style="734" customWidth="1"/>
    <col min="14602" max="14602" width="6" style="734" customWidth="1"/>
    <col min="14603" max="14604" width="8.140625" style="734" customWidth="1"/>
    <col min="14605" max="14605" width="9" style="734" customWidth="1"/>
    <col min="14606" max="14606" width="7.5703125" style="734" customWidth="1"/>
    <col min="14607" max="14607" width="7.28515625" style="734" customWidth="1"/>
    <col min="14608" max="14848" width="9.140625" style="734"/>
    <col min="14849" max="14849" width="33.85546875" style="734" customWidth="1"/>
    <col min="14850" max="14850" width="9" style="734" customWidth="1"/>
    <col min="14851" max="14851" width="8.140625" style="734" customWidth="1"/>
    <col min="14852" max="14852" width="8.7109375" style="734" customWidth="1"/>
    <col min="14853" max="14853" width="6.7109375" style="734" customWidth="1"/>
    <col min="14854" max="14854" width="9.5703125" style="734" customWidth="1"/>
    <col min="14855" max="14855" width="10.5703125" style="734" customWidth="1"/>
    <col min="14856" max="14856" width="8" style="734" customWidth="1"/>
    <col min="14857" max="14857" width="8.42578125" style="734" customWidth="1"/>
    <col min="14858" max="14858" width="6" style="734" customWidth="1"/>
    <col min="14859" max="14860" width="8.140625" style="734" customWidth="1"/>
    <col min="14861" max="14861" width="9" style="734" customWidth="1"/>
    <col min="14862" max="14862" width="7.5703125" style="734" customWidth="1"/>
    <col min="14863" max="14863" width="7.28515625" style="734" customWidth="1"/>
    <col min="14864" max="15104" width="9.140625" style="734"/>
    <col min="15105" max="15105" width="33.85546875" style="734" customWidth="1"/>
    <col min="15106" max="15106" width="9" style="734" customWidth="1"/>
    <col min="15107" max="15107" width="8.140625" style="734" customWidth="1"/>
    <col min="15108" max="15108" width="8.7109375" style="734" customWidth="1"/>
    <col min="15109" max="15109" width="6.7109375" style="734" customWidth="1"/>
    <col min="15110" max="15110" width="9.5703125" style="734" customWidth="1"/>
    <col min="15111" max="15111" width="10.5703125" style="734" customWidth="1"/>
    <col min="15112" max="15112" width="8" style="734" customWidth="1"/>
    <col min="15113" max="15113" width="8.42578125" style="734" customWidth="1"/>
    <col min="15114" max="15114" width="6" style="734" customWidth="1"/>
    <col min="15115" max="15116" width="8.140625" style="734" customWidth="1"/>
    <col min="15117" max="15117" width="9" style="734" customWidth="1"/>
    <col min="15118" max="15118" width="7.5703125" style="734" customWidth="1"/>
    <col min="15119" max="15119" width="7.28515625" style="734" customWidth="1"/>
    <col min="15120" max="15360" width="9.140625" style="734"/>
    <col min="15361" max="15361" width="33.85546875" style="734" customWidth="1"/>
    <col min="15362" max="15362" width="9" style="734" customWidth="1"/>
    <col min="15363" max="15363" width="8.140625" style="734" customWidth="1"/>
    <col min="15364" max="15364" width="8.7109375" style="734" customWidth="1"/>
    <col min="15365" max="15365" width="6.7109375" style="734" customWidth="1"/>
    <col min="15366" max="15366" width="9.5703125" style="734" customWidth="1"/>
    <col min="15367" max="15367" width="10.5703125" style="734" customWidth="1"/>
    <col min="15368" max="15368" width="8" style="734" customWidth="1"/>
    <col min="15369" max="15369" width="8.42578125" style="734" customWidth="1"/>
    <col min="15370" max="15370" width="6" style="734" customWidth="1"/>
    <col min="15371" max="15372" width="8.140625" style="734" customWidth="1"/>
    <col min="15373" max="15373" width="9" style="734" customWidth="1"/>
    <col min="15374" max="15374" width="7.5703125" style="734" customWidth="1"/>
    <col min="15375" max="15375" width="7.28515625" style="734" customWidth="1"/>
    <col min="15376" max="15616" width="9.140625" style="734"/>
    <col min="15617" max="15617" width="33.85546875" style="734" customWidth="1"/>
    <col min="15618" max="15618" width="9" style="734" customWidth="1"/>
    <col min="15619" max="15619" width="8.140625" style="734" customWidth="1"/>
    <col min="15620" max="15620" width="8.7109375" style="734" customWidth="1"/>
    <col min="15621" max="15621" width="6.7109375" style="734" customWidth="1"/>
    <col min="15622" max="15622" width="9.5703125" style="734" customWidth="1"/>
    <col min="15623" max="15623" width="10.5703125" style="734" customWidth="1"/>
    <col min="15624" max="15624" width="8" style="734" customWidth="1"/>
    <col min="15625" max="15625" width="8.42578125" style="734" customWidth="1"/>
    <col min="15626" max="15626" width="6" style="734" customWidth="1"/>
    <col min="15627" max="15628" width="8.140625" style="734" customWidth="1"/>
    <col min="15629" max="15629" width="9" style="734" customWidth="1"/>
    <col min="15630" max="15630" width="7.5703125" style="734" customWidth="1"/>
    <col min="15631" max="15631" width="7.28515625" style="734" customWidth="1"/>
    <col min="15632" max="15872" width="9.140625" style="734"/>
    <col min="15873" max="15873" width="33.85546875" style="734" customWidth="1"/>
    <col min="15874" max="15874" width="9" style="734" customWidth="1"/>
    <col min="15875" max="15875" width="8.140625" style="734" customWidth="1"/>
    <col min="15876" max="15876" width="8.7109375" style="734" customWidth="1"/>
    <col min="15877" max="15877" width="6.7109375" style="734" customWidth="1"/>
    <col min="15878" max="15878" width="9.5703125" style="734" customWidth="1"/>
    <col min="15879" max="15879" width="10.5703125" style="734" customWidth="1"/>
    <col min="15880" max="15880" width="8" style="734" customWidth="1"/>
    <col min="15881" max="15881" width="8.42578125" style="734" customWidth="1"/>
    <col min="15882" max="15882" width="6" style="734" customWidth="1"/>
    <col min="15883" max="15884" width="8.140625" style="734" customWidth="1"/>
    <col min="15885" max="15885" width="9" style="734" customWidth="1"/>
    <col min="15886" max="15886" width="7.5703125" style="734" customWidth="1"/>
    <col min="15887" max="15887" width="7.28515625" style="734" customWidth="1"/>
    <col min="15888" max="16128" width="9.140625" style="734"/>
    <col min="16129" max="16129" width="33.85546875" style="734" customWidth="1"/>
    <col min="16130" max="16130" width="9" style="734" customWidth="1"/>
    <col min="16131" max="16131" width="8.140625" style="734" customWidth="1"/>
    <col min="16132" max="16132" width="8.7109375" style="734" customWidth="1"/>
    <col min="16133" max="16133" width="6.7109375" style="734" customWidth="1"/>
    <col min="16134" max="16134" width="9.5703125" style="734" customWidth="1"/>
    <col min="16135" max="16135" width="10.5703125" style="734" customWidth="1"/>
    <col min="16136" max="16136" width="8" style="734" customWidth="1"/>
    <col min="16137" max="16137" width="8.42578125" style="734" customWidth="1"/>
    <col min="16138" max="16138" width="6" style="734" customWidth="1"/>
    <col min="16139" max="16140" width="8.140625" style="734" customWidth="1"/>
    <col min="16141" max="16141" width="9" style="734" customWidth="1"/>
    <col min="16142" max="16142" width="7.5703125" style="734" customWidth="1"/>
    <col min="16143" max="16143" width="7.28515625" style="734" customWidth="1"/>
    <col min="16144" max="16384" width="9.140625" style="734"/>
  </cols>
  <sheetData>
    <row r="1" spans="1:15">
      <c r="A1" s="1546" t="s">
        <v>4177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</row>
    <row r="2" spans="1:15">
      <c r="E2" s="1546" t="s">
        <v>4178</v>
      </c>
      <c r="F2" s="1546"/>
      <c r="G2" s="1546"/>
    </row>
    <row r="3" spans="1:15" ht="22.5" customHeight="1">
      <c r="A3" s="735" t="s">
        <v>4176</v>
      </c>
      <c r="E3" s="736"/>
      <c r="F3" s="736"/>
      <c r="G3" s="736"/>
    </row>
    <row r="4" spans="1:15" ht="26.25" customHeight="1">
      <c r="A4" s="737" t="s">
        <v>169</v>
      </c>
      <c r="B4" s="1547" t="s">
        <v>4217</v>
      </c>
      <c r="C4" s="1547"/>
      <c r="D4" s="1547"/>
      <c r="E4" s="1548" t="s">
        <v>4180</v>
      </c>
      <c r="F4" s="1548"/>
      <c r="G4" s="1570" t="s">
        <v>4218</v>
      </c>
      <c r="H4" s="1570"/>
      <c r="I4" s="1548" t="s">
        <v>172</v>
      </c>
      <c r="J4" s="1548"/>
      <c r="K4" s="738" t="s">
        <v>4219</v>
      </c>
      <c r="L4" s="1548" t="s">
        <v>4183</v>
      </c>
      <c r="M4" s="1548"/>
      <c r="N4" s="739" t="s">
        <v>4184</v>
      </c>
    </row>
    <row r="5" spans="1:15">
      <c r="A5" s="773"/>
      <c r="C5" s="736"/>
      <c r="D5" s="736"/>
      <c r="E5" s="736"/>
      <c r="F5" s="774"/>
      <c r="G5" s="774"/>
      <c r="I5" s="347"/>
      <c r="K5" s="775"/>
      <c r="L5" s="775"/>
      <c r="M5" s="347"/>
    </row>
    <row r="6" spans="1:15" ht="26.25" customHeight="1">
      <c r="A6" s="740" t="s">
        <v>174</v>
      </c>
      <c r="B6" s="1551" t="s">
        <v>4220</v>
      </c>
      <c r="C6" s="1552"/>
      <c r="D6" s="1552"/>
      <c r="E6" s="1553"/>
      <c r="F6" s="1554" t="s">
        <v>176</v>
      </c>
      <c r="G6" s="1555"/>
      <c r="H6" s="1556"/>
      <c r="I6" s="1547" t="s">
        <v>4221</v>
      </c>
      <c r="J6" s="1547"/>
      <c r="K6" s="1547"/>
      <c r="L6" s="1547"/>
      <c r="M6" s="1547"/>
    </row>
    <row r="7" spans="1:15">
      <c r="B7" s="736"/>
      <c r="C7" s="736"/>
      <c r="D7" s="736"/>
      <c r="E7" s="736"/>
      <c r="I7" s="736"/>
      <c r="J7" s="736"/>
      <c r="K7" s="736"/>
      <c r="L7" s="736"/>
      <c r="M7" s="736"/>
    </row>
    <row r="8" spans="1:15" ht="26.25" customHeight="1">
      <c r="A8" s="741" t="s">
        <v>178</v>
      </c>
      <c r="B8" s="1547" t="s">
        <v>4222</v>
      </c>
      <c r="C8" s="1547"/>
      <c r="D8" s="1547"/>
      <c r="E8" s="1571" t="s">
        <v>4188</v>
      </c>
      <c r="F8" s="1572"/>
      <c r="G8" s="1573"/>
      <c r="H8" s="1573"/>
      <c r="I8" s="1573"/>
      <c r="J8" s="1572"/>
      <c r="K8" s="1558" t="s">
        <v>4223</v>
      </c>
      <c r="L8" s="1558"/>
      <c r="M8" s="1558"/>
      <c r="N8" s="1558"/>
    </row>
    <row r="9" spans="1:15" ht="26.25" customHeight="1">
      <c r="A9" s="743" t="s">
        <v>4189</v>
      </c>
      <c r="B9" s="1547" t="s">
        <v>4224</v>
      </c>
      <c r="C9" s="1547"/>
      <c r="D9" s="1547"/>
      <c r="E9" s="1547" t="s">
        <v>2802</v>
      </c>
      <c r="F9" s="1551"/>
      <c r="G9" s="1547"/>
      <c r="H9" s="1547" t="s">
        <v>4225</v>
      </c>
      <c r="I9" s="1547"/>
      <c r="J9" s="1553"/>
      <c r="K9" s="1560"/>
      <c r="L9" s="1560"/>
      <c r="M9" s="1560"/>
      <c r="N9" s="1560"/>
    </row>
    <row r="10" spans="1:15" ht="26.25" customHeight="1">
      <c r="A10" s="744" t="s">
        <v>187</v>
      </c>
      <c r="B10" s="1559" t="s">
        <v>4226</v>
      </c>
      <c r="C10" s="1559"/>
      <c r="D10" s="1559"/>
      <c r="E10" s="1559" t="s">
        <v>4227</v>
      </c>
      <c r="F10" s="1559"/>
      <c r="G10" s="1550"/>
      <c r="H10" s="1560"/>
      <c r="I10" s="1560"/>
      <c r="J10" s="1560"/>
      <c r="K10" s="1560"/>
      <c r="L10" s="1560"/>
      <c r="M10" s="1560"/>
      <c r="N10" s="1560"/>
    </row>
    <row r="11" spans="1:15" ht="26.25" customHeight="1">
      <c r="A11" s="745" t="s">
        <v>192</v>
      </c>
      <c r="B11" s="1547" t="s">
        <v>5783</v>
      </c>
      <c r="C11" s="1547"/>
      <c r="D11" s="1547" t="s">
        <v>5784</v>
      </c>
      <c r="E11" s="1547"/>
      <c r="F11" s="1551" t="s">
        <v>5785</v>
      </c>
      <c r="G11" s="1547"/>
      <c r="H11" s="1547" t="s">
        <v>5786</v>
      </c>
      <c r="I11" s="1547"/>
      <c r="J11" s="1553" t="s">
        <v>4228</v>
      </c>
      <c r="K11" s="1547"/>
      <c r="L11" s="746"/>
      <c r="M11" s="746"/>
      <c r="N11" s="746"/>
    </row>
    <row r="12" spans="1:15" ht="26.25" customHeight="1">
      <c r="A12" s="743" t="s">
        <v>197</v>
      </c>
      <c r="B12" s="1568" t="s">
        <v>4229</v>
      </c>
      <c r="C12" s="1568"/>
      <c r="D12" s="1568"/>
      <c r="E12" s="1568" t="s">
        <v>4230</v>
      </c>
      <c r="F12" s="1568"/>
      <c r="G12" s="1568"/>
      <c r="H12" s="1560"/>
      <c r="I12" s="1560"/>
      <c r="J12" s="1560"/>
      <c r="K12" s="1560"/>
      <c r="L12" s="1560"/>
      <c r="M12" s="1560"/>
      <c r="N12" s="1560"/>
    </row>
    <row r="13" spans="1:15">
      <c r="A13" s="347"/>
      <c r="B13" s="736"/>
      <c r="C13" s="736"/>
      <c r="D13" s="736"/>
      <c r="E13" s="736"/>
      <c r="F13" s="736"/>
      <c r="G13" s="736"/>
      <c r="H13" s="736"/>
      <c r="I13" s="736"/>
      <c r="J13" s="736"/>
      <c r="K13" s="736"/>
      <c r="L13" s="736"/>
      <c r="M13" s="736"/>
      <c r="N13" s="736"/>
    </row>
    <row r="14" spans="1:15" ht="26.25" customHeight="1">
      <c r="A14" s="743" t="s">
        <v>198</v>
      </c>
      <c r="B14" s="747">
        <v>3</v>
      </c>
      <c r="C14" s="1562" t="s">
        <v>199</v>
      </c>
      <c r="D14" s="1562"/>
      <c r="E14" s="1562"/>
      <c r="F14" s="748">
        <v>2</v>
      </c>
      <c r="G14" s="744" t="s">
        <v>200</v>
      </c>
      <c r="H14" s="748">
        <v>11</v>
      </c>
      <c r="I14" s="749" t="s">
        <v>4196</v>
      </c>
      <c r="J14" s="748">
        <v>2</v>
      </c>
      <c r="K14" s="749" t="s">
        <v>202</v>
      </c>
      <c r="L14" s="747">
        <v>5</v>
      </c>
    </row>
    <row r="15" spans="1:15">
      <c r="A15" s="347"/>
      <c r="C15" s="750"/>
      <c r="D15" s="750"/>
      <c r="E15" s="750"/>
      <c r="F15" s="751"/>
      <c r="G15" s="751"/>
      <c r="H15" s="751"/>
      <c r="I15" s="751"/>
      <c r="J15" s="751"/>
      <c r="K15" s="751"/>
    </row>
    <row r="16" spans="1:15" ht="26.25" customHeight="1">
      <c r="A16" s="752" t="s">
        <v>203</v>
      </c>
      <c r="B16" s="753" t="s">
        <v>4197</v>
      </c>
      <c r="C16" s="747">
        <v>139</v>
      </c>
      <c r="D16" s="753" t="s">
        <v>4198</v>
      </c>
      <c r="E16" s="754">
        <v>4</v>
      </c>
      <c r="F16" s="755" t="s">
        <v>4199</v>
      </c>
      <c r="G16" s="754">
        <v>10</v>
      </c>
      <c r="H16" s="753" t="s">
        <v>4200</v>
      </c>
      <c r="I16" s="754">
        <v>153</v>
      </c>
      <c r="J16" s="755" t="s">
        <v>414</v>
      </c>
      <c r="K16" s="747">
        <v>44</v>
      </c>
      <c r="L16" s="1575" t="s">
        <v>4201</v>
      </c>
      <c r="M16" s="1575"/>
      <c r="N16" s="1575"/>
      <c r="O16" s="747">
        <v>8</v>
      </c>
    </row>
    <row r="17" spans="1:17" ht="26.25" customHeight="1">
      <c r="A17" s="752" t="s">
        <v>1029</v>
      </c>
      <c r="B17" s="741" t="s">
        <v>4202</v>
      </c>
      <c r="C17" s="747">
        <v>265</v>
      </c>
      <c r="D17" s="741" t="s">
        <v>4203</v>
      </c>
      <c r="E17" s="747">
        <v>6</v>
      </c>
      <c r="F17" s="741" t="s">
        <v>4204</v>
      </c>
      <c r="G17" s="747">
        <v>21</v>
      </c>
      <c r="H17" s="757" t="s">
        <v>5781</v>
      </c>
      <c r="I17" s="747">
        <v>292</v>
      </c>
    </row>
    <row r="18" spans="1:17" ht="26.25" customHeight="1">
      <c r="B18" s="741" t="s">
        <v>4205</v>
      </c>
      <c r="C18" s="747">
        <v>272</v>
      </c>
      <c r="D18" s="741" t="s">
        <v>214</v>
      </c>
      <c r="E18" s="747">
        <v>7</v>
      </c>
      <c r="F18" s="741" t="s">
        <v>1494</v>
      </c>
      <c r="G18" s="747">
        <v>15</v>
      </c>
      <c r="H18" s="757" t="s">
        <v>5782</v>
      </c>
      <c r="I18" s="747">
        <v>294</v>
      </c>
    </row>
    <row r="19" spans="1:17" ht="26.25" customHeight="1">
      <c r="A19" s="758" t="s">
        <v>216</v>
      </c>
    </row>
    <row r="20" spans="1:17" ht="26.25" customHeight="1">
      <c r="A20" s="1565" t="s">
        <v>4206</v>
      </c>
      <c r="B20" s="1566" t="s">
        <v>408</v>
      </c>
      <c r="C20" s="1566" t="s">
        <v>219</v>
      </c>
      <c r="D20" s="1566" t="s">
        <v>4207</v>
      </c>
      <c r="E20" s="1566" t="s">
        <v>1713</v>
      </c>
      <c r="F20" s="1567" t="s">
        <v>4208</v>
      </c>
      <c r="G20" s="1567"/>
      <c r="H20" s="1567"/>
      <c r="I20" s="1567"/>
      <c r="J20" s="1567"/>
      <c r="K20" s="1567"/>
      <c r="L20" s="1567"/>
      <c r="M20" s="1567"/>
      <c r="N20" s="1567"/>
    </row>
    <row r="21" spans="1:17" ht="26.25" customHeight="1">
      <c r="A21" s="1565"/>
      <c r="B21" s="1566"/>
      <c r="C21" s="1566"/>
      <c r="D21" s="1566"/>
      <c r="E21" s="1566"/>
      <c r="F21" s="759">
        <v>1</v>
      </c>
      <c r="G21" s="759">
        <v>2</v>
      </c>
      <c r="H21" s="759">
        <v>3</v>
      </c>
      <c r="I21" s="759">
        <v>4</v>
      </c>
      <c r="J21" s="759">
        <v>5</v>
      </c>
      <c r="K21" s="759">
        <v>6</v>
      </c>
      <c r="L21" s="759">
        <v>7</v>
      </c>
      <c r="M21" s="759" t="s">
        <v>230</v>
      </c>
      <c r="N21" s="760" t="s">
        <v>231</v>
      </c>
    </row>
    <row r="22" spans="1:17" ht="26.25" customHeight="1">
      <c r="A22" s="744" t="s">
        <v>232</v>
      </c>
      <c r="B22" s="761">
        <v>8000</v>
      </c>
      <c r="C22" s="761" t="s">
        <v>4209</v>
      </c>
      <c r="D22" s="762">
        <f>B22*444/100000</f>
        <v>35.520000000000003</v>
      </c>
      <c r="E22" s="763">
        <v>2.5819999999999999</v>
      </c>
      <c r="F22" s="764">
        <v>0</v>
      </c>
      <c r="G22" s="764">
        <v>0</v>
      </c>
      <c r="H22" s="764">
        <v>0.64290000000000003</v>
      </c>
      <c r="I22" s="764"/>
      <c r="J22" s="764"/>
      <c r="K22" s="764"/>
      <c r="L22" s="764"/>
      <c r="M22" s="764">
        <f>L22+K22+I22+J22+H22+G22+F22</f>
        <v>0.64290000000000003</v>
      </c>
      <c r="N22" s="766">
        <f>M22/E22*100</f>
        <v>24.899302865995352</v>
      </c>
    </row>
    <row r="23" spans="1:17" ht="26.25" customHeight="1">
      <c r="A23" s="743" t="s">
        <v>4210</v>
      </c>
      <c r="B23" s="739">
        <v>7000</v>
      </c>
      <c r="C23" s="761" t="s">
        <v>4209</v>
      </c>
      <c r="D23" s="762">
        <f>B23*444/100000</f>
        <v>31.08</v>
      </c>
      <c r="E23" s="767">
        <v>0</v>
      </c>
      <c r="F23" s="764">
        <v>0</v>
      </c>
      <c r="G23" s="764">
        <v>0</v>
      </c>
      <c r="H23" s="771">
        <v>0</v>
      </c>
      <c r="I23" s="771"/>
      <c r="J23" s="771"/>
      <c r="K23" s="771"/>
      <c r="L23" s="771"/>
      <c r="M23" s="764">
        <f t="shared" ref="M23:M29" si="0">L23+K23+I23+J23+H23+G23+F23</f>
        <v>0</v>
      </c>
      <c r="N23" s="766">
        <v>0</v>
      </c>
    </row>
    <row r="24" spans="1:17" ht="26.25" customHeight="1">
      <c r="A24" s="743" t="s">
        <v>4211</v>
      </c>
      <c r="B24" s="747">
        <v>43000</v>
      </c>
      <c r="C24" s="747" t="s">
        <v>236</v>
      </c>
      <c r="D24" s="770">
        <v>0.43</v>
      </c>
      <c r="E24" s="769">
        <v>0.18</v>
      </c>
      <c r="F24" s="764">
        <v>0</v>
      </c>
      <c r="G24" s="764">
        <v>0</v>
      </c>
      <c r="H24" s="771">
        <v>0</v>
      </c>
      <c r="I24" s="771"/>
      <c r="J24" s="771"/>
      <c r="K24" s="771"/>
      <c r="L24" s="771"/>
      <c r="M24" s="764">
        <f t="shared" si="0"/>
        <v>0</v>
      </c>
      <c r="N24" s="766">
        <f t="shared" ref="N24:N29" si="1">M24/E24*100</f>
        <v>0</v>
      </c>
      <c r="Q24" s="1574"/>
    </row>
    <row r="25" spans="1:17" ht="26.25" customHeight="1">
      <c r="A25" s="743" t="s">
        <v>4212</v>
      </c>
      <c r="B25" s="747">
        <v>37000</v>
      </c>
      <c r="C25" s="747" t="s">
        <v>236</v>
      </c>
      <c r="D25" s="770">
        <v>0.37</v>
      </c>
      <c r="E25" s="769">
        <v>0.16</v>
      </c>
      <c r="F25" s="764">
        <v>0</v>
      </c>
      <c r="G25" s="764">
        <v>0</v>
      </c>
      <c r="H25" s="771">
        <v>0</v>
      </c>
      <c r="I25" s="771"/>
      <c r="J25" s="771"/>
      <c r="K25" s="771"/>
      <c r="L25" s="771"/>
      <c r="M25" s="764">
        <f t="shared" si="0"/>
        <v>0</v>
      </c>
      <c r="N25" s="766">
        <f t="shared" si="1"/>
        <v>0</v>
      </c>
      <c r="Q25" s="1574"/>
    </row>
    <row r="26" spans="1:17" ht="26.25" customHeight="1">
      <c r="A26" s="743" t="s">
        <v>4213</v>
      </c>
      <c r="B26" s="747">
        <v>1200</v>
      </c>
      <c r="C26" s="747" t="s">
        <v>4209</v>
      </c>
      <c r="D26" s="770">
        <f>B26*444/100000</f>
        <v>5.3280000000000003</v>
      </c>
      <c r="E26" s="769">
        <v>2</v>
      </c>
      <c r="F26" s="764">
        <v>0</v>
      </c>
      <c r="G26" s="764">
        <v>0</v>
      </c>
      <c r="H26" s="771">
        <v>1.5147299999999999</v>
      </c>
      <c r="I26" s="771"/>
      <c r="J26" s="771"/>
      <c r="K26" s="771"/>
      <c r="L26" s="771"/>
      <c r="M26" s="764">
        <f t="shared" si="0"/>
        <v>1.5147299999999999</v>
      </c>
      <c r="N26" s="766">
        <f t="shared" si="1"/>
        <v>75.736499999999992</v>
      </c>
    </row>
    <row r="27" spans="1:17" ht="26.25" customHeight="1">
      <c r="A27" s="741" t="s">
        <v>4214</v>
      </c>
      <c r="B27" s="747">
        <v>565</v>
      </c>
      <c r="C27" s="747" t="s">
        <v>4209</v>
      </c>
      <c r="D27" s="770">
        <f>B27*444/100000</f>
        <v>2.5085999999999999</v>
      </c>
      <c r="E27" s="769">
        <v>0.44400000000000001</v>
      </c>
      <c r="F27" s="764">
        <v>0</v>
      </c>
      <c r="G27" s="764">
        <v>0</v>
      </c>
      <c r="H27" s="771">
        <v>0.35</v>
      </c>
      <c r="I27" s="771"/>
      <c r="J27" s="771"/>
      <c r="K27" s="771"/>
      <c r="L27" s="771"/>
      <c r="M27" s="764">
        <f t="shared" si="0"/>
        <v>0.35</v>
      </c>
      <c r="N27" s="766">
        <f t="shared" si="1"/>
        <v>78.828828828828819</v>
      </c>
    </row>
    <row r="28" spans="1:17" ht="26.25" customHeight="1">
      <c r="A28" s="743" t="s">
        <v>240</v>
      </c>
      <c r="B28" s="747">
        <v>1000</v>
      </c>
      <c r="C28" s="747" t="s">
        <v>4209</v>
      </c>
      <c r="D28" s="770">
        <f>B28*444/100000</f>
        <v>4.4400000000000004</v>
      </c>
      <c r="E28" s="769">
        <v>0</v>
      </c>
      <c r="F28" s="764">
        <v>0</v>
      </c>
      <c r="G28" s="764">
        <v>0</v>
      </c>
      <c r="H28" s="771">
        <v>0</v>
      </c>
      <c r="I28" s="771"/>
      <c r="J28" s="771"/>
      <c r="K28" s="771"/>
      <c r="L28" s="771"/>
      <c r="M28" s="764">
        <f t="shared" si="0"/>
        <v>0</v>
      </c>
      <c r="N28" s="766">
        <v>0</v>
      </c>
    </row>
    <row r="29" spans="1:17" ht="26.25" customHeight="1">
      <c r="A29" s="743" t="s">
        <v>4215</v>
      </c>
      <c r="B29" s="747">
        <v>2750</v>
      </c>
      <c r="C29" s="747" t="s">
        <v>242</v>
      </c>
      <c r="D29" s="770">
        <v>2.31</v>
      </c>
      <c r="E29" s="769">
        <v>0.33</v>
      </c>
      <c r="F29" s="764">
        <v>0</v>
      </c>
      <c r="G29" s="764">
        <v>0</v>
      </c>
      <c r="H29" s="771">
        <v>0.33</v>
      </c>
      <c r="I29" s="771"/>
      <c r="J29" s="771"/>
      <c r="K29" s="771"/>
      <c r="L29" s="771"/>
      <c r="M29" s="764">
        <f t="shared" si="0"/>
        <v>0.33</v>
      </c>
      <c r="N29" s="766">
        <f t="shared" si="1"/>
        <v>100</v>
      </c>
    </row>
    <row r="30" spans="1:17" ht="26.25" customHeight="1">
      <c r="A30" s="741" t="s">
        <v>4216</v>
      </c>
      <c r="B30" s="747">
        <v>10000</v>
      </c>
      <c r="C30" s="747" t="s">
        <v>244</v>
      </c>
      <c r="D30" s="770">
        <v>0.1</v>
      </c>
      <c r="E30" s="769">
        <v>0</v>
      </c>
      <c r="F30" s="764">
        <v>0</v>
      </c>
      <c r="G30" s="764">
        <v>0</v>
      </c>
      <c r="H30" s="771">
        <v>0</v>
      </c>
      <c r="I30" s="771"/>
      <c r="J30" s="771"/>
      <c r="K30" s="771"/>
      <c r="L30" s="771"/>
      <c r="M30" s="764">
        <f>L30+K30+I30+J30+H30+G30+F30</f>
        <v>0</v>
      </c>
      <c r="N30" s="766">
        <v>0</v>
      </c>
    </row>
    <row r="31" spans="1:17" ht="26.25" customHeight="1">
      <c r="A31" s="741" t="s">
        <v>245</v>
      </c>
      <c r="B31" s="747">
        <f>SUM(B22:B30)</f>
        <v>110515</v>
      </c>
      <c r="C31" s="747"/>
      <c r="D31" s="771">
        <f>SUM(D22:D30)</f>
        <v>82.086600000000004</v>
      </c>
      <c r="E31" s="769">
        <f>SUM(E22:E30)</f>
        <v>5.6960000000000006</v>
      </c>
      <c r="F31" s="771">
        <f>SUM(F22:F30)</f>
        <v>0</v>
      </c>
      <c r="G31" s="771">
        <f t="shared" ref="G31:M31" si="2">SUM(G22:G30)</f>
        <v>0</v>
      </c>
      <c r="H31" s="771">
        <f t="shared" si="2"/>
        <v>2.8376300000000003</v>
      </c>
      <c r="I31" s="771">
        <f t="shared" si="2"/>
        <v>0</v>
      </c>
      <c r="J31" s="771">
        <f t="shared" si="2"/>
        <v>0</v>
      </c>
      <c r="K31" s="771">
        <f t="shared" si="2"/>
        <v>0</v>
      </c>
      <c r="L31" s="771">
        <f t="shared" si="2"/>
        <v>0</v>
      </c>
      <c r="M31" s="771">
        <f t="shared" si="2"/>
        <v>2.8376300000000003</v>
      </c>
      <c r="N31" s="766"/>
    </row>
  </sheetData>
  <mergeCells count="39">
    <mergeCell ref="J11:K11"/>
    <mergeCell ref="Q24:Q25"/>
    <mergeCell ref="C14:E14"/>
    <mergeCell ref="L16:N16"/>
    <mergeCell ref="A20:A21"/>
    <mergeCell ref="B20:B21"/>
    <mergeCell ref="C20:C21"/>
    <mergeCell ref="D20:D21"/>
    <mergeCell ref="E20:E21"/>
    <mergeCell ref="F20:N20"/>
    <mergeCell ref="B12:D12"/>
    <mergeCell ref="E12:G12"/>
    <mergeCell ref="H12:J12"/>
    <mergeCell ref="K12:N12"/>
    <mergeCell ref="B11:C11"/>
    <mergeCell ref="D11:E11"/>
    <mergeCell ref="F11:G11"/>
    <mergeCell ref="H11:I11"/>
    <mergeCell ref="B6:E6"/>
    <mergeCell ref="F6:H6"/>
    <mergeCell ref="I6:M6"/>
    <mergeCell ref="B8:D8"/>
    <mergeCell ref="E8:J8"/>
    <mergeCell ref="K8:N8"/>
    <mergeCell ref="B9:D9"/>
    <mergeCell ref="E9:G9"/>
    <mergeCell ref="H9:J9"/>
    <mergeCell ref="K9:N9"/>
    <mergeCell ref="B10:D10"/>
    <mergeCell ref="E10:G10"/>
    <mergeCell ref="H10:J10"/>
    <mergeCell ref="K10:N10"/>
    <mergeCell ref="A1:N1"/>
    <mergeCell ref="E2:G2"/>
    <mergeCell ref="B4:D4"/>
    <mergeCell ref="E4:F4"/>
    <mergeCell ref="G4:H4"/>
    <mergeCell ref="I4:J4"/>
    <mergeCell ref="L4:M4"/>
  </mergeCells>
  <hyperlinks>
    <hyperlink ref="A3" location="'Fact Sheet of VDC'!A1" display="&lt;&lt;Back"/>
  </hyperlinks>
  <pageMargins left="0.98425196850393704" right="0.15748031496062992" top="0.39370078740157483" bottom="0.35433070866141736" header="0.31496062992125984" footer="0.31496062992125984"/>
  <pageSetup scale="75" orientation="landscape" r:id="rId1"/>
</worksheet>
</file>

<file path=xl/worksheets/sheet303.xml><?xml version="1.0" encoding="utf-8"?>
<worksheet xmlns="http://schemas.openxmlformats.org/spreadsheetml/2006/main" xmlns:r="http://schemas.openxmlformats.org/officeDocument/2006/relationships">
  <dimension ref="A1:Q31"/>
  <sheetViews>
    <sheetView workbookViewId="0">
      <selection activeCell="A3" sqref="A3"/>
    </sheetView>
  </sheetViews>
  <sheetFormatPr defaultRowHeight="12"/>
  <cols>
    <col min="1" max="1" width="41.85546875" style="734" customWidth="1"/>
    <col min="2" max="2" width="9" style="734" customWidth="1"/>
    <col min="3" max="3" width="8.140625" style="734" customWidth="1"/>
    <col min="4" max="4" width="8.7109375" style="734" customWidth="1"/>
    <col min="5" max="5" width="6.7109375" style="734" customWidth="1"/>
    <col min="6" max="6" width="9.5703125" style="734" customWidth="1"/>
    <col min="7" max="7" width="10.5703125" style="734" customWidth="1"/>
    <col min="8" max="8" width="8" style="734" customWidth="1"/>
    <col min="9" max="9" width="8.7109375" style="734" customWidth="1"/>
    <col min="10" max="10" width="9.28515625" style="734" customWidth="1"/>
    <col min="11" max="12" width="8.140625" style="734" customWidth="1"/>
    <col min="13" max="13" width="9" style="734" customWidth="1"/>
    <col min="14" max="14" width="7.5703125" style="734" customWidth="1"/>
    <col min="15" max="15" width="7.28515625" style="734" customWidth="1"/>
    <col min="16" max="256" width="9.140625" style="734"/>
    <col min="257" max="257" width="41.85546875" style="734" customWidth="1"/>
    <col min="258" max="258" width="9" style="734" customWidth="1"/>
    <col min="259" max="259" width="8.140625" style="734" customWidth="1"/>
    <col min="260" max="260" width="8.7109375" style="734" customWidth="1"/>
    <col min="261" max="261" width="6.7109375" style="734" customWidth="1"/>
    <col min="262" max="262" width="9.5703125" style="734" customWidth="1"/>
    <col min="263" max="263" width="10.5703125" style="734" customWidth="1"/>
    <col min="264" max="264" width="8" style="734" customWidth="1"/>
    <col min="265" max="265" width="8.7109375" style="734" customWidth="1"/>
    <col min="266" max="266" width="9.28515625" style="734" customWidth="1"/>
    <col min="267" max="268" width="8.140625" style="734" customWidth="1"/>
    <col min="269" max="269" width="9" style="734" customWidth="1"/>
    <col min="270" max="270" width="7.5703125" style="734" customWidth="1"/>
    <col min="271" max="271" width="7.28515625" style="734" customWidth="1"/>
    <col min="272" max="512" width="9.140625" style="734"/>
    <col min="513" max="513" width="41.85546875" style="734" customWidth="1"/>
    <col min="514" max="514" width="9" style="734" customWidth="1"/>
    <col min="515" max="515" width="8.140625" style="734" customWidth="1"/>
    <col min="516" max="516" width="8.7109375" style="734" customWidth="1"/>
    <col min="517" max="517" width="6.7109375" style="734" customWidth="1"/>
    <col min="518" max="518" width="9.5703125" style="734" customWidth="1"/>
    <col min="519" max="519" width="10.5703125" style="734" customWidth="1"/>
    <col min="520" max="520" width="8" style="734" customWidth="1"/>
    <col min="521" max="521" width="8.7109375" style="734" customWidth="1"/>
    <col min="522" max="522" width="9.28515625" style="734" customWidth="1"/>
    <col min="523" max="524" width="8.140625" style="734" customWidth="1"/>
    <col min="525" max="525" width="9" style="734" customWidth="1"/>
    <col min="526" max="526" width="7.5703125" style="734" customWidth="1"/>
    <col min="527" max="527" width="7.28515625" style="734" customWidth="1"/>
    <col min="528" max="768" width="9.140625" style="734"/>
    <col min="769" max="769" width="41.85546875" style="734" customWidth="1"/>
    <col min="770" max="770" width="9" style="734" customWidth="1"/>
    <col min="771" max="771" width="8.140625" style="734" customWidth="1"/>
    <col min="772" max="772" width="8.7109375" style="734" customWidth="1"/>
    <col min="773" max="773" width="6.7109375" style="734" customWidth="1"/>
    <col min="774" max="774" width="9.5703125" style="734" customWidth="1"/>
    <col min="775" max="775" width="10.5703125" style="734" customWidth="1"/>
    <col min="776" max="776" width="8" style="734" customWidth="1"/>
    <col min="777" max="777" width="8.7109375" style="734" customWidth="1"/>
    <col min="778" max="778" width="9.28515625" style="734" customWidth="1"/>
    <col min="779" max="780" width="8.140625" style="734" customWidth="1"/>
    <col min="781" max="781" width="9" style="734" customWidth="1"/>
    <col min="782" max="782" width="7.5703125" style="734" customWidth="1"/>
    <col min="783" max="783" width="7.28515625" style="734" customWidth="1"/>
    <col min="784" max="1024" width="9.140625" style="734"/>
    <col min="1025" max="1025" width="41.85546875" style="734" customWidth="1"/>
    <col min="1026" max="1026" width="9" style="734" customWidth="1"/>
    <col min="1027" max="1027" width="8.140625" style="734" customWidth="1"/>
    <col min="1028" max="1028" width="8.7109375" style="734" customWidth="1"/>
    <col min="1029" max="1029" width="6.7109375" style="734" customWidth="1"/>
    <col min="1030" max="1030" width="9.5703125" style="734" customWidth="1"/>
    <col min="1031" max="1031" width="10.5703125" style="734" customWidth="1"/>
    <col min="1032" max="1032" width="8" style="734" customWidth="1"/>
    <col min="1033" max="1033" width="8.7109375" style="734" customWidth="1"/>
    <col min="1034" max="1034" width="9.28515625" style="734" customWidth="1"/>
    <col min="1035" max="1036" width="8.140625" style="734" customWidth="1"/>
    <col min="1037" max="1037" width="9" style="734" customWidth="1"/>
    <col min="1038" max="1038" width="7.5703125" style="734" customWidth="1"/>
    <col min="1039" max="1039" width="7.28515625" style="734" customWidth="1"/>
    <col min="1040" max="1280" width="9.140625" style="734"/>
    <col min="1281" max="1281" width="41.85546875" style="734" customWidth="1"/>
    <col min="1282" max="1282" width="9" style="734" customWidth="1"/>
    <col min="1283" max="1283" width="8.140625" style="734" customWidth="1"/>
    <col min="1284" max="1284" width="8.7109375" style="734" customWidth="1"/>
    <col min="1285" max="1285" width="6.7109375" style="734" customWidth="1"/>
    <col min="1286" max="1286" width="9.5703125" style="734" customWidth="1"/>
    <col min="1287" max="1287" width="10.5703125" style="734" customWidth="1"/>
    <col min="1288" max="1288" width="8" style="734" customWidth="1"/>
    <col min="1289" max="1289" width="8.7109375" style="734" customWidth="1"/>
    <col min="1290" max="1290" width="9.28515625" style="734" customWidth="1"/>
    <col min="1291" max="1292" width="8.140625" style="734" customWidth="1"/>
    <col min="1293" max="1293" width="9" style="734" customWidth="1"/>
    <col min="1294" max="1294" width="7.5703125" style="734" customWidth="1"/>
    <col min="1295" max="1295" width="7.28515625" style="734" customWidth="1"/>
    <col min="1296" max="1536" width="9.140625" style="734"/>
    <col min="1537" max="1537" width="41.85546875" style="734" customWidth="1"/>
    <col min="1538" max="1538" width="9" style="734" customWidth="1"/>
    <col min="1539" max="1539" width="8.140625" style="734" customWidth="1"/>
    <col min="1540" max="1540" width="8.7109375" style="734" customWidth="1"/>
    <col min="1541" max="1541" width="6.7109375" style="734" customWidth="1"/>
    <col min="1542" max="1542" width="9.5703125" style="734" customWidth="1"/>
    <col min="1543" max="1543" width="10.5703125" style="734" customWidth="1"/>
    <col min="1544" max="1544" width="8" style="734" customWidth="1"/>
    <col min="1545" max="1545" width="8.7109375" style="734" customWidth="1"/>
    <col min="1546" max="1546" width="9.28515625" style="734" customWidth="1"/>
    <col min="1547" max="1548" width="8.140625" style="734" customWidth="1"/>
    <col min="1549" max="1549" width="9" style="734" customWidth="1"/>
    <col min="1550" max="1550" width="7.5703125" style="734" customWidth="1"/>
    <col min="1551" max="1551" width="7.28515625" style="734" customWidth="1"/>
    <col min="1552" max="1792" width="9.140625" style="734"/>
    <col min="1793" max="1793" width="41.85546875" style="734" customWidth="1"/>
    <col min="1794" max="1794" width="9" style="734" customWidth="1"/>
    <col min="1795" max="1795" width="8.140625" style="734" customWidth="1"/>
    <col min="1796" max="1796" width="8.7109375" style="734" customWidth="1"/>
    <col min="1797" max="1797" width="6.7109375" style="734" customWidth="1"/>
    <col min="1798" max="1798" width="9.5703125" style="734" customWidth="1"/>
    <col min="1799" max="1799" width="10.5703125" style="734" customWidth="1"/>
    <col min="1800" max="1800" width="8" style="734" customWidth="1"/>
    <col min="1801" max="1801" width="8.7109375" style="734" customWidth="1"/>
    <col min="1802" max="1802" width="9.28515625" style="734" customWidth="1"/>
    <col min="1803" max="1804" width="8.140625" style="734" customWidth="1"/>
    <col min="1805" max="1805" width="9" style="734" customWidth="1"/>
    <col min="1806" max="1806" width="7.5703125" style="734" customWidth="1"/>
    <col min="1807" max="1807" width="7.28515625" style="734" customWidth="1"/>
    <col min="1808" max="2048" width="9.140625" style="734"/>
    <col min="2049" max="2049" width="41.85546875" style="734" customWidth="1"/>
    <col min="2050" max="2050" width="9" style="734" customWidth="1"/>
    <col min="2051" max="2051" width="8.140625" style="734" customWidth="1"/>
    <col min="2052" max="2052" width="8.7109375" style="734" customWidth="1"/>
    <col min="2053" max="2053" width="6.7109375" style="734" customWidth="1"/>
    <col min="2054" max="2054" width="9.5703125" style="734" customWidth="1"/>
    <col min="2055" max="2055" width="10.5703125" style="734" customWidth="1"/>
    <col min="2056" max="2056" width="8" style="734" customWidth="1"/>
    <col min="2057" max="2057" width="8.7109375" style="734" customWidth="1"/>
    <col min="2058" max="2058" width="9.28515625" style="734" customWidth="1"/>
    <col min="2059" max="2060" width="8.140625" style="734" customWidth="1"/>
    <col min="2061" max="2061" width="9" style="734" customWidth="1"/>
    <col min="2062" max="2062" width="7.5703125" style="734" customWidth="1"/>
    <col min="2063" max="2063" width="7.28515625" style="734" customWidth="1"/>
    <col min="2064" max="2304" width="9.140625" style="734"/>
    <col min="2305" max="2305" width="41.85546875" style="734" customWidth="1"/>
    <col min="2306" max="2306" width="9" style="734" customWidth="1"/>
    <col min="2307" max="2307" width="8.140625" style="734" customWidth="1"/>
    <col min="2308" max="2308" width="8.7109375" style="734" customWidth="1"/>
    <col min="2309" max="2309" width="6.7109375" style="734" customWidth="1"/>
    <col min="2310" max="2310" width="9.5703125" style="734" customWidth="1"/>
    <col min="2311" max="2311" width="10.5703125" style="734" customWidth="1"/>
    <col min="2312" max="2312" width="8" style="734" customWidth="1"/>
    <col min="2313" max="2313" width="8.7109375" style="734" customWidth="1"/>
    <col min="2314" max="2314" width="9.28515625" style="734" customWidth="1"/>
    <col min="2315" max="2316" width="8.140625" style="734" customWidth="1"/>
    <col min="2317" max="2317" width="9" style="734" customWidth="1"/>
    <col min="2318" max="2318" width="7.5703125" style="734" customWidth="1"/>
    <col min="2319" max="2319" width="7.28515625" style="734" customWidth="1"/>
    <col min="2320" max="2560" width="9.140625" style="734"/>
    <col min="2561" max="2561" width="41.85546875" style="734" customWidth="1"/>
    <col min="2562" max="2562" width="9" style="734" customWidth="1"/>
    <col min="2563" max="2563" width="8.140625" style="734" customWidth="1"/>
    <col min="2564" max="2564" width="8.7109375" style="734" customWidth="1"/>
    <col min="2565" max="2565" width="6.7109375" style="734" customWidth="1"/>
    <col min="2566" max="2566" width="9.5703125" style="734" customWidth="1"/>
    <col min="2567" max="2567" width="10.5703125" style="734" customWidth="1"/>
    <col min="2568" max="2568" width="8" style="734" customWidth="1"/>
    <col min="2569" max="2569" width="8.7109375" style="734" customWidth="1"/>
    <col min="2570" max="2570" width="9.28515625" style="734" customWidth="1"/>
    <col min="2571" max="2572" width="8.140625" style="734" customWidth="1"/>
    <col min="2573" max="2573" width="9" style="734" customWidth="1"/>
    <col min="2574" max="2574" width="7.5703125" style="734" customWidth="1"/>
    <col min="2575" max="2575" width="7.28515625" style="734" customWidth="1"/>
    <col min="2576" max="2816" width="9.140625" style="734"/>
    <col min="2817" max="2817" width="41.85546875" style="734" customWidth="1"/>
    <col min="2818" max="2818" width="9" style="734" customWidth="1"/>
    <col min="2819" max="2819" width="8.140625" style="734" customWidth="1"/>
    <col min="2820" max="2820" width="8.7109375" style="734" customWidth="1"/>
    <col min="2821" max="2821" width="6.7109375" style="734" customWidth="1"/>
    <col min="2822" max="2822" width="9.5703125" style="734" customWidth="1"/>
    <col min="2823" max="2823" width="10.5703125" style="734" customWidth="1"/>
    <col min="2824" max="2824" width="8" style="734" customWidth="1"/>
    <col min="2825" max="2825" width="8.7109375" style="734" customWidth="1"/>
    <col min="2826" max="2826" width="9.28515625" style="734" customWidth="1"/>
    <col min="2827" max="2828" width="8.140625" style="734" customWidth="1"/>
    <col min="2829" max="2829" width="9" style="734" customWidth="1"/>
    <col min="2830" max="2830" width="7.5703125" style="734" customWidth="1"/>
    <col min="2831" max="2831" width="7.28515625" style="734" customWidth="1"/>
    <col min="2832" max="3072" width="9.140625" style="734"/>
    <col min="3073" max="3073" width="41.85546875" style="734" customWidth="1"/>
    <col min="3074" max="3074" width="9" style="734" customWidth="1"/>
    <col min="3075" max="3075" width="8.140625" style="734" customWidth="1"/>
    <col min="3076" max="3076" width="8.7109375" style="734" customWidth="1"/>
    <col min="3077" max="3077" width="6.7109375" style="734" customWidth="1"/>
    <col min="3078" max="3078" width="9.5703125" style="734" customWidth="1"/>
    <col min="3079" max="3079" width="10.5703125" style="734" customWidth="1"/>
    <col min="3080" max="3080" width="8" style="734" customWidth="1"/>
    <col min="3081" max="3081" width="8.7109375" style="734" customWidth="1"/>
    <col min="3082" max="3082" width="9.28515625" style="734" customWidth="1"/>
    <col min="3083" max="3084" width="8.140625" style="734" customWidth="1"/>
    <col min="3085" max="3085" width="9" style="734" customWidth="1"/>
    <col min="3086" max="3086" width="7.5703125" style="734" customWidth="1"/>
    <col min="3087" max="3087" width="7.28515625" style="734" customWidth="1"/>
    <col min="3088" max="3328" width="9.140625" style="734"/>
    <col min="3329" max="3329" width="41.85546875" style="734" customWidth="1"/>
    <col min="3330" max="3330" width="9" style="734" customWidth="1"/>
    <col min="3331" max="3331" width="8.140625" style="734" customWidth="1"/>
    <col min="3332" max="3332" width="8.7109375" style="734" customWidth="1"/>
    <col min="3333" max="3333" width="6.7109375" style="734" customWidth="1"/>
    <col min="3334" max="3334" width="9.5703125" style="734" customWidth="1"/>
    <col min="3335" max="3335" width="10.5703125" style="734" customWidth="1"/>
    <col min="3336" max="3336" width="8" style="734" customWidth="1"/>
    <col min="3337" max="3337" width="8.7109375" style="734" customWidth="1"/>
    <col min="3338" max="3338" width="9.28515625" style="734" customWidth="1"/>
    <col min="3339" max="3340" width="8.140625" style="734" customWidth="1"/>
    <col min="3341" max="3341" width="9" style="734" customWidth="1"/>
    <col min="3342" max="3342" width="7.5703125" style="734" customWidth="1"/>
    <col min="3343" max="3343" width="7.28515625" style="734" customWidth="1"/>
    <col min="3344" max="3584" width="9.140625" style="734"/>
    <col min="3585" max="3585" width="41.85546875" style="734" customWidth="1"/>
    <col min="3586" max="3586" width="9" style="734" customWidth="1"/>
    <col min="3587" max="3587" width="8.140625" style="734" customWidth="1"/>
    <col min="3588" max="3588" width="8.7109375" style="734" customWidth="1"/>
    <col min="3589" max="3589" width="6.7109375" style="734" customWidth="1"/>
    <col min="3590" max="3590" width="9.5703125" style="734" customWidth="1"/>
    <col min="3591" max="3591" width="10.5703125" style="734" customWidth="1"/>
    <col min="3592" max="3592" width="8" style="734" customWidth="1"/>
    <col min="3593" max="3593" width="8.7109375" style="734" customWidth="1"/>
    <col min="3594" max="3594" width="9.28515625" style="734" customWidth="1"/>
    <col min="3595" max="3596" width="8.140625" style="734" customWidth="1"/>
    <col min="3597" max="3597" width="9" style="734" customWidth="1"/>
    <col min="3598" max="3598" width="7.5703125" style="734" customWidth="1"/>
    <col min="3599" max="3599" width="7.28515625" style="734" customWidth="1"/>
    <col min="3600" max="3840" width="9.140625" style="734"/>
    <col min="3841" max="3841" width="41.85546875" style="734" customWidth="1"/>
    <col min="3842" max="3842" width="9" style="734" customWidth="1"/>
    <col min="3843" max="3843" width="8.140625" style="734" customWidth="1"/>
    <col min="3844" max="3844" width="8.7109375" style="734" customWidth="1"/>
    <col min="3845" max="3845" width="6.7109375" style="734" customWidth="1"/>
    <col min="3846" max="3846" width="9.5703125" style="734" customWidth="1"/>
    <col min="3847" max="3847" width="10.5703125" style="734" customWidth="1"/>
    <col min="3848" max="3848" width="8" style="734" customWidth="1"/>
    <col min="3849" max="3849" width="8.7109375" style="734" customWidth="1"/>
    <col min="3850" max="3850" width="9.28515625" style="734" customWidth="1"/>
    <col min="3851" max="3852" width="8.140625" style="734" customWidth="1"/>
    <col min="3853" max="3853" width="9" style="734" customWidth="1"/>
    <col min="3854" max="3854" width="7.5703125" style="734" customWidth="1"/>
    <col min="3855" max="3855" width="7.28515625" style="734" customWidth="1"/>
    <col min="3856" max="4096" width="9.140625" style="734"/>
    <col min="4097" max="4097" width="41.85546875" style="734" customWidth="1"/>
    <col min="4098" max="4098" width="9" style="734" customWidth="1"/>
    <col min="4099" max="4099" width="8.140625" style="734" customWidth="1"/>
    <col min="4100" max="4100" width="8.7109375" style="734" customWidth="1"/>
    <col min="4101" max="4101" width="6.7109375" style="734" customWidth="1"/>
    <col min="4102" max="4102" width="9.5703125" style="734" customWidth="1"/>
    <col min="4103" max="4103" width="10.5703125" style="734" customWidth="1"/>
    <col min="4104" max="4104" width="8" style="734" customWidth="1"/>
    <col min="4105" max="4105" width="8.7109375" style="734" customWidth="1"/>
    <col min="4106" max="4106" width="9.28515625" style="734" customWidth="1"/>
    <col min="4107" max="4108" width="8.140625" style="734" customWidth="1"/>
    <col min="4109" max="4109" width="9" style="734" customWidth="1"/>
    <col min="4110" max="4110" width="7.5703125" style="734" customWidth="1"/>
    <col min="4111" max="4111" width="7.28515625" style="734" customWidth="1"/>
    <col min="4112" max="4352" width="9.140625" style="734"/>
    <col min="4353" max="4353" width="41.85546875" style="734" customWidth="1"/>
    <col min="4354" max="4354" width="9" style="734" customWidth="1"/>
    <col min="4355" max="4355" width="8.140625" style="734" customWidth="1"/>
    <col min="4356" max="4356" width="8.7109375" style="734" customWidth="1"/>
    <col min="4357" max="4357" width="6.7109375" style="734" customWidth="1"/>
    <col min="4358" max="4358" width="9.5703125" style="734" customWidth="1"/>
    <col min="4359" max="4359" width="10.5703125" style="734" customWidth="1"/>
    <col min="4360" max="4360" width="8" style="734" customWidth="1"/>
    <col min="4361" max="4361" width="8.7109375" style="734" customWidth="1"/>
    <col min="4362" max="4362" width="9.28515625" style="734" customWidth="1"/>
    <col min="4363" max="4364" width="8.140625" style="734" customWidth="1"/>
    <col min="4365" max="4365" width="9" style="734" customWidth="1"/>
    <col min="4366" max="4366" width="7.5703125" style="734" customWidth="1"/>
    <col min="4367" max="4367" width="7.28515625" style="734" customWidth="1"/>
    <col min="4368" max="4608" width="9.140625" style="734"/>
    <col min="4609" max="4609" width="41.85546875" style="734" customWidth="1"/>
    <col min="4610" max="4610" width="9" style="734" customWidth="1"/>
    <col min="4611" max="4611" width="8.140625" style="734" customWidth="1"/>
    <col min="4612" max="4612" width="8.7109375" style="734" customWidth="1"/>
    <col min="4613" max="4613" width="6.7109375" style="734" customWidth="1"/>
    <col min="4614" max="4614" width="9.5703125" style="734" customWidth="1"/>
    <col min="4615" max="4615" width="10.5703125" style="734" customWidth="1"/>
    <col min="4616" max="4616" width="8" style="734" customWidth="1"/>
    <col min="4617" max="4617" width="8.7109375" style="734" customWidth="1"/>
    <col min="4618" max="4618" width="9.28515625" style="734" customWidth="1"/>
    <col min="4619" max="4620" width="8.140625" style="734" customWidth="1"/>
    <col min="4621" max="4621" width="9" style="734" customWidth="1"/>
    <col min="4622" max="4622" width="7.5703125" style="734" customWidth="1"/>
    <col min="4623" max="4623" width="7.28515625" style="734" customWidth="1"/>
    <col min="4624" max="4864" width="9.140625" style="734"/>
    <col min="4865" max="4865" width="41.85546875" style="734" customWidth="1"/>
    <col min="4866" max="4866" width="9" style="734" customWidth="1"/>
    <col min="4867" max="4867" width="8.140625" style="734" customWidth="1"/>
    <col min="4868" max="4868" width="8.7109375" style="734" customWidth="1"/>
    <col min="4869" max="4869" width="6.7109375" style="734" customWidth="1"/>
    <col min="4870" max="4870" width="9.5703125" style="734" customWidth="1"/>
    <col min="4871" max="4871" width="10.5703125" style="734" customWidth="1"/>
    <col min="4872" max="4872" width="8" style="734" customWidth="1"/>
    <col min="4873" max="4873" width="8.7109375" style="734" customWidth="1"/>
    <col min="4874" max="4874" width="9.28515625" style="734" customWidth="1"/>
    <col min="4875" max="4876" width="8.140625" style="734" customWidth="1"/>
    <col min="4877" max="4877" width="9" style="734" customWidth="1"/>
    <col min="4878" max="4878" width="7.5703125" style="734" customWidth="1"/>
    <col min="4879" max="4879" width="7.28515625" style="734" customWidth="1"/>
    <col min="4880" max="5120" width="9.140625" style="734"/>
    <col min="5121" max="5121" width="41.85546875" style="734" customWidth="1"/>
    <col min="5122" max="5122" width="9" style="734" customWidth="1"/>
    <col min="5123" max="5123" width="8.140625" style="734" customWidth="1"/>
    <col min="5124" max="5124" width="8.7109375" style="734" customWidth="1"/>
    <col min="5125" max="5125" width="6.7109375" style="734" customWidth="1"/>
    <col min="5126" max="5126" width="9.5703125" style="734" customWidth="1"/>
    <col min="5127" max="5127" width="10.5703125" style="734" customWidth="1"/>
    <col min="5128" max="5128" width="8" style="734" customWidth="1"/>
    <col min="5129" max="5129" width="8.7109375" style="734" customWidth="1"/>
    <col min="5130" max="5130" width="9.28515625" style="734" customWidth="1"/>
    <col min="5131" max="5132" width="8.140625" style="734" customWidth="1"/>
    <col min="5133" max="5133" width="9" style="734" customWidth="1"/>
    <col min="5134" max="5134" width="7.5703125" style="734" customWidth="1"/>
    <col min="5135" max="5135" width="7.28515625" style="734" customWidth="1"/>
    <col min="5136" max="5376" width="9.140625" style="734"/>
    <col min="5377" max="5377" width="41.85546875" style="734" customWidth="1"/>
    <col min="5378" max="5378" width="9" style="734" customWidth="1"/>
    <col min="5379" max="5379" width="8.140625" style="734" customWidth="1"/>
    <col min="5380" max="5380" width="8.7109375" style="734" customWidth="1"/>
    <col min="5381" max="5381" width="6.7109375" style="734" customWidth="1"/>
    <col min="5382" max="5382" width="9.5703125" style="734" customWidth="1"/>
    <col min="5383" max="5383" width="10.5703125" style="734" customWidth="1"/>
    <col min="5384" max="5384" width="8" style="734" customWidth="1"/>
    <col min="5385" max="5385" width="8.7109375" style="734" customWidth="1"/>
    <col min="5386" max="5386" width="9.28515625" style="734" customWidth="1"/>
    <col min="5387" max="5388" width="8.140625" style="734" customWidth="1"/>
    <col min="5389" max="5389" width="9" style="734" customWidth="1"/>
    <col min="5390" max="5390" width="7.5703125" style="734" customWidth="1"/>
    <col min="5391" max="5391" width="7.28515625" style="734" customWidth="1"/>
    <col min="5392" max="5632" width="9.140625" style="734"/>
    <col min="5633" max="5633" width="41.85546875" style="734" customWidth="1"/>
    <col min="5634" max="5634" width="9" style="734" customWidth="1"/>
    <col min="5635" max="5635" width="8.140625" style="734" customWidth="1"/>
    <col min="5636" max="5636" width="8.7109375" style="734" customWidth="1"/>
    <col min="5637" max="5637" width="6.7109375" style="734" customWidth="1"/>
    <col min="5638" max="5638" width="9.5703125" style="734" customWidth="1"/>
    <col min="5639" max="5639" width="10.5703125" style="734" customWidth="1"/>
    <col min="5640" max="5640" width="8" style="734" customWidth="1"/>
    <col min="5641" max="5641" width="8.7109375" style="734" customWidth="1"/>
    <col min="5642" max="5642" width="9.28515625" style="734" customWidth="1"/>
    <col min="5643" max="5644" width="8.140625" style="734" customWidth="1"/>
    <col min="5645" max="5645" width="9" style="734" customWidth="1"/>
    <col min="5646" max="5646" width="7.5703125" style="734" customWidth="1"/>
    <col min="5647" max="5647" width="7.28515625" style="734" customWidth="1"/>
    <col min="5648" max="5888" width="9.140625" style="734"/>
    <col min="5889" max="5889" width="41.85546875" style="734" customWidth="1"/>
    <col min="5890" max="5890" width="9" style="734" customWidth="1"/>
    <col min="5891" max="5891" width="8.140625" style="734" customWidth="1"/>
    <col min="5892" max="5892" width="8.7109375" style="734" customWidth="1"/>
    <col min="5893" max="5893" width="6.7109375" style="734" customWidth="1"/>
    <col min="5894" max="5894" width="9.5703125" style="734" customWidth="1"/>
    <col min="5895" max="5895" width="10.5703125" style="734" customWidth="1"/>
    <col min="5896" max="5896" width="8" style="734" customWidth="1"/>
    <col min="5897" max="5897" width="8.7109375" style="734" customWidth="1"/>
    <col min="5898" max="5898" width="9.28515625" style="734" customWidth="1"/>
    <col min="5899" max="5900" width="8.140625" style="734" customWidth="1"/>
    <col min="5901" max="5901" width="9" style="734" customWidth="1"/>
    <col min="5902" max="5902" width="7.5703125" style="734" customWidth="1"/>
    <col min="5903" max="5903" width="7.28515625" style="734" customWidth="1"/>
    <col min="5904" max="6144" width="9.140625" style="734"/>
    <col min="6145" max="6145" width="41.85546875" style="734" customWidth="1"/>
    <col min="6146" max="6146" width="9" style="734" customWidth="1"/>
    <col min="6147" max="6147" width="8.140625" style="734" customWidth="1"/>
    <col min="6148" max="6148" width="8.7109375" style="734" customWidth="1"/>
    <col min="6149" max="6149" width="6.7109375" style="734" customWidth="1"/>
    <col min="6150" max="6150" width="9.5703125" style="734" customWidth="1"/>
    <col min="6151" max="6151" width="10.5703125" style="734" customWidth="1"/>
    <col min="6152" max="6152" width="8" style="734" customWidth="1"/>
    <col min="6153" max="6153" width="8.7109375" style="734" customWidth="1"/>
    <col min="6154" max="6154" width="9.28515625" style="734" customWidth="1"/>
    <col min="6155" max="6156" width="8.140625" style="734" customWidth="1"/>
    <col min="6157" max="6157" width="9" style="734" customWidth="1"/>
    <col min="6158" max="6158" width="7.5703125" style="734" customWidth="1"/>
    <col min="6159" max="6159" width="7.28515625" style="734" customWidth="1"/>
    <col min="6160" max="6400" width="9.140625" style="734"/>
    <col min="6401" max="6401" width="41.85546875" style="734" customWidth="1"/>
    <col min="6402" max="6402" width="9" style="734" customWidth="1"/>
    <col min="6403" max="6403" width="8.140625" style="734" customWidth="1"/>
    <col min="6404" max="6404" width="8.7109375" style="734" customWidth="1"/>
    <col min="6405" max="6405" width="6.7109375" style="734" customWidth="1"/>
    <col min="6406" max="6406" width="9.5703125" style="734" customWidth="1"/>
    <col min="6407" max="6407" width="10.5703125" style="734" customWidth="1"/>
    <col min="6408" max="6408" width="8" style="734" customWidth="1"/>
    <col min="6409" max="6409" width="8.7109375" style="734" customWidth="1"/>
    <col min="6410" max="6410" width="9.28515625" style="734" customWidth="1"/>
    <col min="6411" max="6412" width="8.140625" style="734" customWidth="1"/>
    <col min="6413" max="6413" width="9" style="734" customWidth="1"/>
    <col min="6414" max="6414" width="7.5703125" style="734" customWidth="1"/>
    <col min="6415" max="6415" width="7.28515625" style="734" customWidth="1"/>
    <col min="6416" max="6656" width="9.140625" style="734"/>
    <col min="6657" max="6657" width="41.85546875" style="734" customWidth="1"/>
    <col min="6658" max="6658" width="9" style="734" customWidth="1"/>
    <col min="6659" max="6659" width="8.140625" style="734" customWidth="1"/>
    <col min="6660" max="6660" width="8.7109375" style="734" customWidth="1"/>
    <col min="6661" max="6661" width="6.7109375" style="734" customWidth="1"/>
    <col min="6662" max="6662" width="9.5703125" style="734" customWidth="1"/>
    <col min="6663" max="6663" width="10.5703125" style="734" customWidth="1"/>
    <col min="6664" max="6664" width="8" style="734" customWidth="1"/>
    <col min="6665" max="6665" width="8.7109375" style="734" customWidth="1"/>
    <col min="6666" max="6666" width="9.28515625" style="734" customWidth="1"/>
    <col min="6667" max="6668" width="8.140625" style="734" customWidth="1"/>
    <col min="6669" max="6669" width="9" style="734" customWidth="1"/>
    <col min="6670" max="6670" width="7.5703125" style="734" customWidth="1"/>
    <col min="6671" max="6671" width="7.28515625" style="734" customWidth="1"/>
    <col min="6672" max="6912" width="9.140625" style="734"/>
    <col min="6913" max="6913" width="41.85546875" style="734" customWidth="1"/>
    <col min="6914" max="6914" width="9" style="734" customWidth="1"/>
    <col min="6915" max="6915" width="8.140625" style="734" customWidth="1"/>
    <col min="6916" max="6916" width="8.7109375" style="734" customWidth="1"/>
    <col min="6917" max="6917" width="6.7109375" style="734" customWidth="1"/>
    <col min="6918" max="6918" width="9.5703125" style="734" customWidth="1"/>
    <col min="6919" max="6919" width="10.5703125" style="734" customWidth="1"/>
    <col min="6920" max="6920" width="8" style="734" customWidth="1"/>
    <col min="6921" max="6921" width="8.7109375" style="734" customWidth="1"/>
    <col min="6922" max="6922" width="9.28515625" style="734" customWidth="1"/>
    <col min="6923" max="6924" width="8.140625" style="734" customWidth="1"/>
    <col min="6925" max="6925" width="9" style="734" customWidth="1"/>
    <col min="6926" max="6926" width="7.5703125" style="734" customWidth="1"/>
    <col min="6927" max="6927" width="7.28515625" style="734" customWidth="1"/>
    <col min="6928" max="7168" width="9.140625" style="734"/>
    <col min="7169" max="7169" width="41.85546875" style="734" customWidth="1"/>
    <col min="7170" max="7170" width="9" style="734" customWidth="1"/>
    <col min="7171" max="7171" width="8.140625" style="734" customWidth="1"/>
    <col min="7172" max="7172" width="8.7109375" style="734" customWidth="1"/>
    <col min="7173" max="7173" width="6.7109375" style="734" customWidth="1"/>
    <col min="7174" max="7174" width="9.5703125" style="734" customWidth="1"/>
    <col min="7175" max="7175" width="10.5703125" style="734" customWidth="1"/>
    <col min="7176" max="7176" width="8" style="734" customWidth="1"/>
    <col min="7177" max="7177" width="8.7109375" style="734" customWidth="1"/>
    <col min="7178" max="7178" width="9.28515625" style="734" customWidth="1"/>
    <col min="7179" max="7180" width="8.140625" style="734" customWidth="1"/>
    <col min="7181" max="7181" width="9" style="734" customWidth="1"/>
    <col min="7182" max="7182" width="7.5703125" style="734" customWidth="1"/>
    <col min="7183" max="7183" width="7.28515625" style="734" customWidth="1"/>
    <col min="7184" max="7424" width="9.140625" style="734"/>
    <col min="7425" max="7425" width="41.85546875" style="734" customWidth="1"/>
    <col min="7426" max="7426" width="9" style="734" customWidth="1"/>
    <col min="7427" max="7427" width="8.140625" style="734" customWidth="1"/>
    <col min="7428" max="7428" width="8.7109375" style="734" customWidth="1"/>
    <col min="7429" max="7429" width="6.7109375" style="734" customWidth="1"/>
    <col min="7430" max="7430" width="9.5703125" style="734" customWidth="1"/>
    <col min="7431" max="7431" width="10.5703125" style="734" customWidth="1"/>
    <col min="7432" max="7432" width="8" style="734" customWidth="1"/>
    <col min="7433" max="7433" width="8.7109375" style="734" customWidth="1"/>
    <col min="7434" max="7434" width="9.28515625" style="734" customWidth="1"/>
    <col min="7435" max="7436" width="8.140625" style="734" customWidth="1"/>
    <col min="7437" max="7437" width="9" style="734" customWidth="1"/>
    <col min="7438" max="7438" width="7.5703125" style="734" customWidth="1"/>
    <col min="7439" max="7439" width="7.28515625" style="734" customWidth="1"/>
    <col min="7440" max="7680" width="9.140625" style="734"/>
    <col min="7681" max="7681" width="41.85546875" style="734" customWidth="1"/>
    <col min="7682" max="7682" width="9" style="734" customWidth="1"/>
    <col min="7683" max="7683" width="8.140625" style="734" customWidth="1"/>
    <col min="7684" max="7684" width="8.7109375" style="734" customWidth="1"/>
    <col min="7685" max="7685" width="6.7109375" style="734" customWidth="1"/>
    <col min="7686" max="7686" width="9.5703125" style="734" customWidth="1"/>
    <col min="7687" max="7687" width="10.5703125" style="734" customWidth="1"/>
    <col min="7688" max="7688" width="8" style="734" customWidth="1"/>
    <col min="7689" max="7689" width="8.7109375" style="734" customWidth="1"/>
    <col min="7690" max="7690" width="9.28515625" style="734" customWidth="1"/>
    <col min="7691" max="7692" width="8.140625" style="734" customWidth="1"/>
    <col min="7693" max="7693" width="9" style="734" customWidth="1"/>
    <col min="7694" max="7694" width="7.5703125" style="734" customWidth="1"/>
    <col min="7695" max="7695" width="7.28515625" style="734" customWidth="1"/>
    <col min="7696" max="7936" width="9.140625" style="734"/>
    <col min="7937" max="7937" width="41.85546875" style="734" customWidth="1"/>
    <col min="7938" max="7938" width="9" style="734" customWidth="1"/>
    <col min="7939" max="7939" width="8.140625" style="734" customWidth="1"/>
    <col min="7940" max="7940" width="8.7109375" style="734" customWidth="1"/>
    <col min="7941" max="7941" width="6.7109375" style="734" customWidth="1"/>
    <col min="7942" max="7942" width="9.5703125" style="734" customWidth="1"/>
    <col min="7943" max="7943" width="10.5703125" style="734" customWidth="1"/>
    <col min="7944" max="7944" width="8" style="734" customWidth="1"/>
    <col min="7945" max="7945" width="8.7109375" style="734" customWidth="1"/>
    <col min="7946" max="7946" width="9.28515625" style="734" customWidth="1"/>
    <col min="7947" max="7948" width="8.140625" style="734" customWidth="1"/>
    <col min="7949" max="7949" width="9" style="734" customWidth="1"/>
    <col min="7950" max="7950" width="7.5703125" style="734" customWidth="1"/>
    <col min="7951" max="7951" width="7.28515625" style="734" customWidth="1"/>
    <col min="7952" max="8192" width="9.140625" style="734"/>
    <col min="8193" max="8193" width="41.85546875" style="734" customWidth="1"/>
    <col min="8194" max="8194" width="9" style="734" customWidth="1"/>
    <col min="8195" max="8195" width="8.140625" style="734" customWidth="1"/>
    <col min="8196" max="8196" width="8.7109375" style="734" customWidth="1"/>
    <col min="8197" max="8197" width="6.7109375" style="734" customWidth="1"/>
    <col min="8198" max="8198" width="9.5703125" style="734" customWidth="1"/>
    <col min="8199" max="8199" width="10.5703125" style="734" customWidth="1"/>
    <col min="8200" max="8200" width="8" style="734" customWidth="1"/>
    <col min="8201" max="8201" width="8.7109375" style="734" customWidth="1"/>
    <col min="8202" max="8202" width="9.28515625" style="734" customWidth="1"/>
    <col min="8203" max="8204" width="8.140625" style="734" customWidth="1"/>
    <col min="8205" max="8205" width="9" style="734" customWidth="1"/>
    <col min="8206" max="8206" width="7.5703125" style="734" customWidth="1"/>
    <col min="8207" max="8207" width="7.28515625" style="734" customWidth="1"/>
    <col min="8208" max="8448" width="9.140625" style="734"/>
    <col min="8449" max="8449" width="41.85546875" style="734" customWidth="1"/>
    <col min="8450" max="8450" width="9" style="734" customWidth="1"/>
    <col min="8451" max="8451" width="8.140625" style="734" customWidth="1"/>
    <col min="8452" max="8452" width="8.7109375" style="734" customWidth="1"/>
    <col min="8453" max="8453" width="6.7109375" style="734" customWidth="1"/>
    <col min="8454" max="8454" width="9.5703125" style="734" customWidth="1"/>
    <col min="8455" max="8455" width="10.5703125" style="734" customWidth="1"/>
    <col min="8456" max="8456" width="8" style="734" customWidth="1"/>
    <col min="8457" max="8457" width="8.7109375" style="734" customWidth="1"/>
    <col min="8458" max="8458" width="9.28515625" style="734" customWidth="1"/>
    <col min="8459" max="8460" width="8.140625" style="734" customWidth="1"/>
    <col min="8461" max="8461" width="9" style="734" customWidth="1"/>
    <col min="8462" max="8462" width="7.5703125" style="734" customWidth="1"/>
    <col min="8463" max="8463" width="7.28515625" style="734" customWidth="1"/>
    <col min="8464" max="8704" width="9.140625" style="734"/>
    <col min="8705" max="8705" width="41.85546875" style="734" customWidth="1"/>
    <col min="8706" max="8706" width="9" style="734" customWidth="1"/>
    <col min="8707" max="8707" width="8.140625" style="734" customWidth="1"/>
    <col min="8708" max="8708" width="8.7109375" style="734" customWidth="1"/>
    <col min="8709" max="8709" width="6.7109375" style="734" customWidth="1"/>
    <col min="8710" max="8710" width="9.5703125" style="734" customWidth="1"/>
    <col min="8711" max="8711" width="10.5703125" style="734" customWidth="1"/>
    <col min="8712" max="8712" width="8" style="734" customWidth="1"/>
    <col min="8713" max="8713" width="8.7109375" style="734" customWidth="1"/>
    <col min="8714" max="8714" width="9.28515625" style="734" customWidth="1"/>
    <col min="8715" max="8716" width="8.140625" style="734" customWidth="1"/>
    <col min="8717" max="8717" width="9" style="734" customWidth="1"/>
    <col min="8718" max="8718" width="7.5703125" style="734" customWidth="1"/>
    <col min="8719" max="8719" width="7.28515625" style="734" customWidth="1"/>
    <col min="8720" max="8960" width="9.140625" style="734"/>
    <col min="8961" max="8961" width="41.85546875" style="734" customWidth="1"/>
    <col min="8962" max="8962" width="9" style="734" customWidth="1"/>
    <col min="8963" max="8963" width="8.140625" style="734" customWidth="1"/>
    <col min="8964" max="8964" width="8.7109375" style="734" customWidth="1"/>
    <col min="8965" max="8965" width="6.7109375" style="734" customWidth="1"/>
    <col min="8966" max="8966" width="9.5703125" style="734" customWidth="1"/>
    <col min="8967" max="8967" width="10.5703125" style="734" customWidth="1"/>
    <col min="8968" max="8968" width="8" style="734" customWidth="1"/>
    <col min="8969" max="8969" width="8.7109375" style="734" customWidth="1"/>
    <col min="8970" max="8970" width="9.28515625" style="734" customWidth="1"/>
    <col min="8971" max="8972" width="8.140625" style="734" customWidth="1"/>
    <col min="8973" max="8973" width="9" style="734" customWidth="1"/>
    <col min="8974" max="8974" width="7.5703125" style="734" customWidth="1"/>
    <col min="8975" max="8975" width="7.28515625" style="734" customWidth="1"/>
    <col min="8976" max="9216" width="9.140625" style="734"/>
    <col min="9217" max="9217" width="41.85546875" style="734" customWidth="1"/>
    <col min="9218" max="9218" width="9" style="734" customWidth="1"/>
    <col min="9219" max="9219" width="8.140625" style="734" customWidth="1"/>
    <col min="9220" max="9220" width="8.7109375" style="734" customWidth="1"/>
    <col min="9221" max="9221" width="6.7109375" style="734" customWidth="1"/>
    <col min="9222" max="9222" width="9.5703125" style="734" customWidth="1"/>
    <col min="9223" max="9223" width="10.5703125" style="734" customWidth="1"/>
    <col min="9224" max="9224" width="8" style="734" customWidth="1"/>
    <col min="9225" max="9225" width="8.7109375" style="734" customWidth="1"/>
    <col min="9226" max="9226" width="9.28515625" style="734" customWidth="1"/>
    <col min="9227" max="9228" width="8.140625" style="734" customWidth="1"/>
    <col min="9229" max="9229" width="9" style="734" customWidth="1"/>
    <col min="9230" max="9230" width="7.5703125" style="734" customWidth="1"/>
    <col min="9231" max="9231" width="7.28515625" style="734" customWidth="1"/>
    <col min="9232" max="9472" width="9.140625" style="734"/>
    <col min="9473" max="9473" width="41.85546875" style="734" customWidth="1"/>
    <col min="9474" max="9474" width="9" style="734" customWidth="1"/>
    <col min="9475" max="9475" width="8.140625" style="734" customWidth="1"/>
    <col min="9476" max="9476" width="8.7109375" style="734" customWidth="1"/>
    <col min="9477" max="9477" width="6.7109375" style="734" customWidth="1"/>
    <col min="9478" max="9478" width="9.5703125" style="734" customWidth="1"/>
    <col min="9479" max="9479" width="10.5703125" style="734" customWidth="1"/>
    <col min="9480" max="9480" width="8" style="734" customWidth="1"/>
    <col min="9481" max="9481" width="8.7109375" style="734" customWidth="1"/>
    <col min="9482" max="9482" width="9.28515625" style="734" customWidth="1"/>
    <col min="9483" max="9484" width="8.140625" style="734" customWidth="1"/>
    <col min="9485" max="9485" width="9" style="734" customWidth="1"/>
    <col min="9486" max="9486" width="7.5703125" style="734" customWidth="1"/>
    <col min="9487" max="9487" width="7.28515625" style="734" customWidth="1"/>
    <col min="9488" max="9728" width="9.140625" style="734"/>
    <col min="9729" max="9729" width="41.85546875" style="734" customWidth="1"/>
    <col min="9730" max="9730" width="9" style="734" customWidth="1"/>
    <col min="9731" max="9731" width="8.140625" style="734" customWidth="1"/>
    <col min="9732" max="9732" width="8.7109375" style="734" customWidth="1"/>
    <col min="9733" max="9733" width="6.7109375" style="734" customWidth="1"/>
    <col min="9734" max="9734" width="9.5703125" style="734" customWidth="1"/>
    <col min="9735" max="9735" width="10.5703125" style="734" customWidth="1"/>
    <col min="9736" max="9736" width="8" style="734" customWidth="1"/>
    <col min="9737" max="9737" width="8.7109375" style="734" customWidth="1"/>
    <col min="9738" max="9738" width="9.28515625" style="734" customWidth="1"/>
    <col min="9739" max="9740" width="8.140625" style="734" customWidth="1"/>
    <col min="9741" max="9741" width="9" style="734" customWidth="1"/>
    <col min="9742" max="9742" width="7.5703125" style="734" customWidth="1"/>
    <col min="9743" max="9743" width="7.28515625" style="734" customWidth="1"/>
    <col min="9744" max="9984" width="9.140625" style="734"/>
    <col min="9985" max="9985" width="41.85546875" style="734" customWidth="1"/>
    <col min="9986" max="9986" width="9" style="734" customWidth="1"/>
    <col min="9987" max="9987" width="8.140625" style="734" customWidth="1"/>
    <col min="9988" max="9988" width="8.7109375" style="734" customWidth="1"/>
    <col min="9989" max="9989" width="6.7109375" style="734" customWidth="1"/>
    <col min="9990" max="9990" width="9.5703125" style="734" customWidth="1"/>
    <col min="9991" max="9991" width="10.5703125" style="734" customWidth="1"/>
    <col min="9992" max="9992" width="8" style="734" customWidth="1"/>
    <col min="9993" max="9993" width="8.7109375" style="734" customWidth="1"/>
    <col min="9994" max="9994" width="9.28515625" style="734" customWidth="1"/>
    <col min="9995" max="9996" width="8.140625" style="734" customWidth="1"/>
    <col min="9997" max="9997" width="9" style="734" customWidth="1"/>
    <col min="9998" max="9998" width="7.5703125" style="734" customWidth="1"/>
    <col min="9999" max="9999" width="7.28515625" style="734" customWidth="1"/>
    <col min="10000" max="10240" width="9.140625" style="734"/>
    <col min="10241" max="10241" width="41.85546875" style="734" customWidth="1"/>
    <col min="10242" max="10242" width="9" style="734" customWidth="1"/>
    <col min="10243" max="10243" width="8.140625" style="734" customWidth="1"/>
    <col min="10244" max="10244" width="8.7109375" style="734" customWidth="1"/>
    <col min="10245" max="10245" width="6.7109375" style="734" customWidth="1"/>
    <col min="10246" max="10246" width="9.5703125" style="734" customWidth="1"/>
    <col min="10247" max="10247" width="10.5703125" style="734" customWidth="1"/>
    <col min="10248" max="10248" width="8" style="734" customWidth="1"/>
    <col min="10249" max="10249" width="8.7109375" style="734" customWidth="1"/>
    <col min="10250" max="10250" width="9.28515625" style="734" customWidth="1"/>
    <col min="10251" max="10252" width="8.140625" style="734" customWidth="1"/>
    <col min="10253" max="10253" width="9" style="734" customWidth="1"/>
    <col min="10254" max="10254" width="7.5703125" style="734" customWidth="1"/>
    <col min="10255" max="10255" width="7.28515625" style="734" customWidth="1"/>
    <col min="10256" max="10496" width="9.140625" style="734"/>
    <col min="10497" max="10497" width="41.85546875" style="734" customWidth="1"/>
    <col min="10498" max="10498" width="9" style="734" customWidth="1"/>
    <col min="10499" max="10499" width="8.140625" style="734" customWidth="1"/>
    <col min="10500" max="10500" width="8.7109375" style="734" customWidth="1"/>
    <col min="10501" max="10501" width="6.7109375" style="734" customWidth="1"/>
    <col min="10502" max="10502" width="9.5703125" style="734" customWidth="1"/>
    <col min="10503" max="10503" width="10.5703125" style="734" customWidth="1"/>
    <col min="10504" max="10504" width="8" style="734" customWidth="1"/>
    <col min="10505" max="10505" width="8.7109375" style="734" customWidth="1"/>
    <col min="10506" max="10506" width="9.28515625" style="734" customWidth="1"/>
    <col min="10507" max="10508" width="8.140625" style="734" customWidth="1"/>
    <col min="10509" max="10509" width="9" style="734" customWidth="1"/>
    <col min="10510" max="10510" width="7.5703125" style="734" customWidth="1"/>
    <col min="10511" max="10511" width="7.28515625" style="734" customWidth="1"/>
    <col min="10512" max="10752" width="9.140625" style="734"/>
    <col min="10753" max="10753" width="41.85546875" style="734" customWidth="1"/>
    <col min="10754" max="10754" width="9" style="734" customWidth="1"/>
    <col min="10755" max="10755" width="8.140625" style="734" customWidth="1"/>
    <col min="10756" max="10756" width="8.7109375" style="734" customWidth="1"/>
    <col min="10757" max="10757" width="6.7109375" style="734" customWidth="1"/>
    <col min="10758" max="10758" width="9.5703125" style="734" customWidth="1"/>
    <col min="10759" max="10759" width="10.5703125" style="734" customWidth="1"/>
    <col min="10760" max="10760" width="8" style="734" customWidth="1"/>
    <col min="10761" max="10761" width="8.7109375" style="734" customWidth="1"/>
    <col min="10762" max="10762" width="9.28515625" style="734" customWidth="1"/>
    <col min="10763" max="10764" width="8.140625" style="734" customWidth="1"/>
    <col min="10765" max="10765" width="9" style="734" customWidth="1"/>
    <col min="10766" max="10766" width="7.5703125" style="734" customWidth="1"/>
    <col min="10767" max="10767" width="7.28515625" style="734" customWidth="1"/>
    <col min="10768" max="11008" width="9.140625" style="734"/>
    <col min="11009" max="11009" width="41.85546875" style="734" customWidth="1"/>
    <col min="11010" max="11010" width="9" style="734" customWidth="1"/>
    <col min="11011" max="11011" width="8.140625" style="734" customWidth="1"/>
    <col min="11012" max="11012" width="8.7109375" style="734" customWidth="1"/>
    <col min="11013" max="11013" width="6.7109375" style="734" customWidth="1"/>
    <col min="11014" max="11014" width="9.5703125" style="734" customWidth="1"/>
    <col min="11015" max="11015" width="10.5703125" style="734" customWidth="1"/>
    <col min="11016" max="11016" width="8" style="734" customWidth="1"/>
    <col min="11017" max="11017" width="8.7109375" style="734" customWidth="1"/>
    <col min="11018" max="11018" width="9.28515625" style="734" customWidth="1"/>
    <col min="11019" max="11020" width="8.140625" style="734" customWidth="1"/>
    <col min="11021" max="11021" width="9" style="734" customWidth="1"/>
    <col min="11022" max="11022" width="7.5703125" style="734" customWidth="1"/>
    <col min="11023" max="11023" width="7.28515625" style="734" customWidth="1"/>
    <col min="11024" max="11264" width="9.140625" style="734"/>
    <col min="11265" max="11265" width="41.85546875" style="734" customWidth="1"/>
    <col min="11266" max="11266" width="9" style="734" customWidth="1"/>
    <col min="11267" max="11267" width="8.140625" style="734" customWidth="1"/>
    <col min="11268" max="11268" width="8.7109375" style="734" customWidth="1"/>
    <col min="11269" max="11269" width="6.7109375" style="734" customWidth="1"/>
    <col min="11270" max="11270" width="9.5703125" style="734" customWidth="1"/>
    <col min="11271" max="11271" width="10.5703125" style="734" customWidth="1"/>
    <col min="11272" max="11272" width="8" style="734" customWidth="1"/>
    <col min="11273" max="11273" width="8.7109375" style="734" customWidth="1"/>
    <col min="11274" max="11274" width="9.28515625" style="734" customWidth="1"/>
    <col min="11275" max="11276" width="8.140625" style="734" customWidth="1"/>
    <col min="11277" max="11277" width="9" style="734" customWidth="1"/>
    <col min="11278" max="11278" width="7.5703125" style="734" customWidth="1"/>
    <col min="11279" max="11279" width="7.28515625" style="734" customWidth="1"/>
    <col min="11280" max="11520" width="9.140625" style="734"/>
    <col min="11521" max="11521" width="41.85546875" style="734" customWidth="1"/>
    <col min="11522" max="11522" width="9" style="734" customWidth="1"/>
    <col min="11523" max="11523" width="8.140625" style="734" customWidth="1"/>
    <col min="11524" max="11524" width="8.7109375" style="734" customWidth="1"/>
    <col min="11525" max="11525" width="6.7109375" style="734" customWidth="1"/>
    <col min="11526" max="11526" width="9.5703125" style="734" customWidth="1"/>
    <col min="11527" max="11527" width="10.5703125" style="734" customWidth="1"/>
    <col min="11528" max="11528" width="8" style="734" customWidth="1"/>
    <col min="11529" max="11529" width="8.7109375" style="734" customWidth="1"/>
    <col min="11530" max="11530" width="9.28515625" style="734" customWidth="1"/>
    <col min="11531" max="11532" width="8.140625" style="734" customWidth="1"/>
    <col min="11533" max="11533" width="9" style="734" customWidth="1"/>
    <col min="11534" max="11534" width="7.5703125" style="734" customWidth="1"/>
    <col min="11535" max="11535" width="7.28515625" style="734" customWidth="1"/>
    <col min="11536" max="11776" width="9.140625" style="734"/>
    <col min="11777" max="11777" width="41.85546875" style="734" customWidth="1"/>
    <col min="11778" max="11778" width="9" style="734" customWidth="1"/>
    <col min="11779" max="11779" width="8.140625" style="734" customWidth="1"/>
    <col min="11780" max="11780" width="8.7109375" style="734" customWidth="1"/>
    <col min="11781" max="11781" width="6.7109375" style="734" customWidth="1"/>
    <col min="11782" max="11782" width="9.5703125" style="734" customWidth="1"/>
    <col min="11783" max="11783" width="10.5703125" style="734" customWidth="1"/>
    <col min="11784" max="11784" width="8" style="734" customWidth="1"/>
    <col min="11785" max="11785" width="8.7109375" style="734" customWidth="1"/>
    <col min="11786" max="11786" width="9.28515625" style="734" customWidth="1"/>
    <col min="11787" max="11788" width="8.140625" style="734" customWidth="1"/>
    <col min="11789" max="11789" width="9" style="734" customWidth="1"/>
    <col min="11790" max="11790" width="7.5703125" style="734" customWidth="1"/>
    <col min="11791" max="11791" width="7.28515625" style="734" customWidth="1"/>
    <col min="11792" max="12032" width="9.140625" style="734"/>
    <col min="12033" max="12033" width="41.85546875" style="734" customWidth="1"/>
    <col min="12034" max="12034" width="9" style="734" customWidth="1"/>
    <col min="12035" max="12035" width="8.140625" style="734" customWidth="1"/>
    <col min="12036" max="12036" width="8.7109375" style="734" customWidth="1"/>
    <col min="12037" max="12037" width="6.7109375" style="734" customWidth="1"/>
    <col min="12038" max="12038" width="9.5703125" style="734" customWidth="1"/>
    <col min="12039" max="12039" width="10.5703125" style="734" customWidth="1"/>
    <col min="12040" max="12040" width="8" style="734" customWidth="1"/>
    <col min="12041" max="12041" width="8.7109375" style="734" customWidth="1"/>
    <col min="12042" max="12042" width="9.28515625" style="734" customWidth="1"/>
    <col min="12043" max="12044" width="8.140625" style="734" customWidth="1"/>
    <col min="12045" max="12045" width="9" style="734" customWidth="1"/>
    <col min="12046" max="12046" width="7.5703125" style="734" customWidth="1"/>
    <col min="12047" max="12047" width="7.28515625" style="734" customWidth="1"/>
    <col min="12048" max="12288" width="9.140625" style="734"/>
    <col min="12289" max="12289" width="41.85546875" style="734" customWidth="1"/>
    <col min="12290" max="12290" width="9" style="734" customWidth="1"/>
    <col min="12291" max="12291" width="8.140625" style="734" customWidth="1"/>
    <col min="12292" max="12292" width="8.7109375" style="734" customWidth="1"/>
    <col min="12293" max="12293" width="6.7109375" style="734" customWidth="1"/>
    <col min="12294" max="12294" width="9.5703125" style="734" customWidth="1"/>
    <col min="12295" max="12295" width="10.5703125" style="734" customWidth="1"/>
    <col min="12296" max="12296" width="8" style="734" customWidth="1"/>
    <col min="12297" max="12297" width="8.7109375" style="734" customWidth="1"/>
    <col min="12298" max="12298" width="9.28515625" style="734" customWidth="1"/>
    <col min="12299" max="12300" width="8.140625" style="734" customWidth="1"/>
    <col min="12301" max="12301" width="9" style="734" customWidth="1"/>
    <col min="12302" max="12302" width="7.5703125" style="734" customWidth="1"/>
    <col min="12303" max="12303" width="7.28515625" style="734" customWidth="1"/>
    <col min="12304" max="12544" width="9.140625" style="734"/>
    <col min="12545" max="12545" width="41.85546875" style="734" customWidth="1"/>
    <col min="12546" max="12546" width="9" style="734" customWidth="1"/>
    <col min="12547" max="12547" width="8.140625" style="734" customWidth="1"/>
    <col min="12548" max="12548" width="8.7109375" style="734" customWidth="1"/>
    <col min="12549" max="12549" width="6.7109375" style="734" customWidth="1"/>
    <col min="12550" max="12550" width="9.5703125" style="734" customWidth="1"/>
    <col min="12551" max="12551" width="10.5703125" style="734" customWidth="1"/>
    <col min="12552" max="12552" width="8" style="734" customWidth="1"/>
    <col min="12553" max="12553" width="8.7109375" style="734" customWidth="1"/>
    <col min="12554" max="12554" width="9.28515625" style="734" customWidth="1"/>
    <col min="12555" max="12556" width="8.140625" style="734" customWidth="1"/>
    <col min="12557" max="12557" width="9" style="734" customWidth="1"/>
    <col min="12558" max="12558" width="7.5703125" style="734" customWidth="1"/>
    <col min="12559" max="12559" width="7.28515625" style="734" customWidth="1"/>
    <col min="12560" max="12800" width="9.140625" style="734"/>
    <col min="12801" max="12801" width="41.85546875" style="734" customWidth="1"/>
    <col min="12802" max="12802" width="9" style="734" customWidth="1"/>
    <col min="12803" max="12803" width="8.140625" style="734" customWidth="1"/>
    <col min="12804" max="12804" width="8.7109375" style="734" customWidth="1"/>
    <col min="12805" max="12805" width="6.7109375" style="734" customWidth="1"/>
    <col min="12806" max="12806" width="9.5703125" style="734" customWidth="1"/>
    <col min="12807" max="12807" width="10.5703125" style="734" customWidth="1"/>
    <col min="12808" max="12808" width="8" style="734" customWidth="1"/>
    <col min="12809" max="12809" width="8.7109375" style="734" customWidth="1"/>
    <col min="12810" max="12810" width="9.28515625" style="734" customWidth="1"/>
    <col min="12811" max="12812" width="8.140625" style="734" customWidth="1"/>
    <col min="12813" max="12813" width="9" style="734" customWidth="1"/>
    <col min="12814" max="12814" width="7.5703125" style="734" customWidth="1"/>
    <col min="12815" max="12815" width="7.28515625" style="734" customWidth="1"/>
    <col min="12816" max="13056" width="9.140625" style="734"/>
    <col min="13057" max="13057" width="41.85546875" style="734" customWidth="1"/>
    <col min="13058" max="13058" width="9" style="734" customWidth="1"/>
    <col min="13059" max="13059" width="8.140625" style="734" customWidth="1"/>
    <col min="13060" max="13060" width="8.7109375" style="734" customWidth="1"/>
    <col min="13061" max="13061" width="6.7109375" style="734" customWidth="1"/>
    <col min="13062" max="13062" width="9.5703125" style="734" customWidth="1"/>
    <col min="13063" max="13063" width="10.5703125" style="734" customWidth="1"/>
    <col min="13064" max="13064" width="8" style="734" customWidth="1"/>
    <col min="13065" max="13065" width="8.7109375" style="734" customWidth="1"/>
    <col min="13066" max="13066" width="9.28515625" style="734" customWidth="1"/>
    <col min="13067" max="13068" width="8.140625" style="734" customWidth="1"/>
    <col min="13069" max="13069" width="9" style="734" customWidth="1"/>
    <col min="13070" max="13070" width="7.5703125" style="734" customWidth="1"/>
    <col min="13071" max="13071" width="7.28515625" style="734" customWidth="1"/>
    <col min="13072" max="13312" width="9.140625" style="734"/>
    <col min="13313" max="13313" width="41.85546875" style="734" customWidth="1"/>
    <col min="13314" max="13314" width="9" style="734" customWidth="1"/>
    <col min="13315" max="13315" width="8.140625" style="734" customWidth="1"/>
    <col min="13316" max="13316" width="8.7109375" style="734" customWidth="1"/>
    <col min="13317" max="13317" width="6.7109375" style="734" customWidth="1"/>
    <col min="13318" max="13318" width="9.5703125" style="734" customWidth="1"/>
    <col min="13319" max="13319" width="10.5703125" style="734" customWidth="1"/>
    <col min="13320" max="13320" width="8" style="734" customWidth="1"/>
    <col min="13321" max="13321" width="8.7109375" style="734" customWidth="1"/>
    <col min="13322" max="13322" width="9.28515625" style="734" customWidth="1"/>
    <col min="13323" max="13324" width="8.140625" style="734" customWidth="1"/>
    <col min="13325" max="13325" width="9" style="734" customWidth="1"/>
    <col min="13326" max="13326" width="7.5703125" style="734" customWidth="1"/>
    <col min="13327" max="13327" width="7.28515625" style="734" customWidth="1"/>
    <col min="13328" max="13568" width="9.140625" style="734"/>
    <col min="13569" max="13569" width="41.85546875" style="734" customWidth="1"/>
    <col min="13570" max="13570" width="9" style="734" customWidth="1"/>
    <col min="13571" max="13571" width="8.140625" style="734" customWidth="1"/>
    <col min="13572" max="13572" width="8.7109375" style="734" customWidth="1"/>
    <col min="13573" max="13573" width="6.7109375" style="734" customWidth="1"/>
    <col min="13574" max="13574" width="9.5703125" style="734" customWidth="1"/>
    <col min="13575" max="13575" width="10.5703125" style="734" customWidth="1"/>
    <col min="13576" max="13576" width="8" style="734" customWidth="1"/>
    <col min="13577" max="13577" width="8.7109375" style="734" customWidth="1"/>
    <col min="13578" max="13578" width="9.28515625" style="734" customWidth="1"/>
    <col min="13579" max="13580" width="8.140625" style="734" customWidth="1"/>
    <col min="13581" max="13581" width="9" style="734" customWidth="1"/>
    <col min="13582" max="13582" width="7.5703125" style="734" customWidth="1"/>
    <col min="13583" max="13583" width="7.28515625" style="734" customWidth="1"/>
    <col min="13584" max="13824" width="9.140625" style="734"/>
    <col min="13825" max="13825" width="41.85546875" style="734" customWidth="1"/>
    <col min="13826" max="13826" width="9" style="734" customWidth="1"/>
    <col min="13827" max="13827" width="8.140625" style="734" customWidth="1"/>
    <col min="13828" max="13828" width="8.7109375" style="734" customWidth="1"/>
    <col min="13829" max="13829" width="6.7109375" style="734" customWidth="1"/>
    <col min="13830" max="13830" width="9.5703125" style="734" customWidth="1"/>
    <col min="13831" max="13831" width="10.5703125" style="734" customWidth="1"/>
    <col min="13832" max="13832" width="8" style="734" customWidth="1"/>
    <col min="13833" max="13833" width="8.7109375" style="734" customWidth="1"/>
    <col min="13834" max="13834" width="9.28515625" style="734" customWidth="1"/>
    <col min="13835" max="13836" width="8.140625" style="734" customWidth="1"/>
    <col min="13837" max="13837" width="9" style="734" customWidth="1"/>
    <col min="13838" max="13838" width="7.5703125" style="734" customWidth="1"/>
    <col min="13839" max="13839" width="7.28515625" style="734" customWidth="1"/>
    <col min="13840" max="14080" width="9.140625" style="734"/>
    <col min="14081" max="14081" width="41.85546875" style="734" customWidth="1"/>
    <col min="14082" max="14082" width="9" style="734" customWidth="1"/>
    <col min="14083" max="14083" width="8.140625" style="734" customWidth="1"/>
    <col min="14084" max="14084" width="8.7109375" style="734" customWidth="1"/>
    <col min="14085" max="14085" width="6.7109375" style="734" customWidth="1"/>
    <col min="14086" max="14086" width="9.5703125" style="734" customWidth="1"/>
    <col min="14087" max="14087" width="10.5703125" style="734" customWidth="1"/>
    <col min="14088" max="14088" width="8" style="734" customWidth="1"/>
    <col min="14089" max="14089" width="8.7109375" style="734" customWidth="1"/>
    <col min="14090" max="14090" width="9.28515625" style="734" customWidth="1"/>
    <col min="14091" max="14092" width="8.140625" style="734" customWidth="1"/>
    <col min="14093" max="14093" width="9" style="734" customWidth="1"/>
    <col min="14094" max="14094" width="7.5703125" style="734" customWidth="1"/>
    <col min="14095" max="14095" width="7.28515625" style="734" customWidth="1"/>
    <col min="14096" max="14336" width="9.140625" style="734"/>
    <col min="14337" max="14337" width="41.85546875" style="734" customWidth="1"/>
    <col min="14338" max="14338" width="9" style="734" customWidth="1"/>
    <col min="14339" max="14339" width="8.140625" style="734" customWidth="1"/>
    <col min="14340" max="14340" width="8.7109375" style="734" customWidth="1"/>
    <col min="14341" max="14341" width="6.7109375" style="734" customWidth="1"/>
    <col min="14342" max="14342" width="9.5703125" style="734" customWidth="1"/>
    <col min="14343" max="14343" width="10.5703125" style="734" customWidth="1"/>
    <col min="14344" max="14344" width="8" style="734" customWidth="1"/>
    <col min="14345" max="14345" width="8.7109375" style="734" customWidth="1"/>
    <col min="14346" max="14346" width="9.28515625" style="734" customWidth="1"/>
    <col min="14347" max="14348" width="8.140625" style="734" customWidth="1"/>
    <col min="14349" max="14349" width="9" style="734" customWidth="1"/>
    <col min="14350" max="14350" width="7.5703125" style="734" customWidth="1"/>
    <col min="14351" max="14351" width="7.28515625" style="734" customWidth="1"/>
    <col min="14352" max="14592" width="9.140625" style="734"/>
    <col min="14593" max="14593" width="41.85546875" style="734" customWidth="1"/>
    <col min="14594" max="14594" width="9" style="734" customWidth="1"/>
    <col min="14595" max="14595" width="8.140625" style="734" customWidth="1"/>
    <col min="14596" max="14596" width="8.7109375" style="734" customWidth="1"/>
    <col min="14597" max="14597" width="6.7109375" style="734" customWidth="1"/>
    <col min="14598" max="14598" width="9.5703125" style="734" customWidth="1"/>
    <col min="14599" max="14599" width="10.5703125" style="734" customWidth="1"/>
    <col min="14600" max="14600" width="8" style="734" customWidth="1"/>
    <col min="14601" max="14601" width="8.7109375" style="734" customWidth="1"/>
    <col min="14602" max="14602" width="9.28515625" style="734" customWidth="1"/>
    <col min="14603" max="14604" width="8.140625" style="734" customWidth="1"/>
    <col min="14605" max="14605" width="9" style="734" customWidth="1"/>
    <col min="14606" max="14606" width="7.5703125" style="734" customWidth="1"/>
    <col min="14607" max="14607" width="7.28515625" style="734" customWidth="1"/>
    <col min="14608" max="14848" width="9.140625" style="734"/>
    <col min="14849" max="14849" width="41.85546875" style="734" customWidth="1"/>
    <col min="14850" max="14850" width="9" style="734" customWidth="1"/>
    <col min="14851" max="14851" width="8.140625" style="734" customWidth="1"/>
    <col min="14852" max="14852" width="8.7109375" style="734" customWidth="1"/>
    <col min="14853" max="14853" width="6.7109375" style="734" customWidth="1"/>
    <col min="14854" max="14854" width="9.5703125" style="734" customWidth="1"/>
    <col min="14855" max="14855" width="10.5703125" style="734" customWidth="1"/>
    <col min="14856" max="14856" width="8" style="734" customWidth="1"/>
    <col min="14857" max="14857" width="8.7109375" style="734" customWidth="1"/>
    <col min="14858" max="14858" width="9.28515625" style="734" customWidth="1"/>
    <col min="14859" max="14860" width="8.140625" style="734" customWidth="1"/>
    <col min="14861" max="14861" width="9" style="734" customWidth="1"/>
    <col min="14862" max="14862" width="7.5703125" style="734" customWidth="1"/>
    <col min="14863" max="14863" width="7.28515625" style="734" customWidth="1"/>
    <col min="14864" max="15104" width="9.140625" style="734"/>
    <col min="15105" max="15105" width="41.85546875" style="734" customWidth="1"/>
    <col min="15106" max="15106" width="9" style="734" customWidth="1"/>
    <col min="15107" max="15107" width="8.140625" style="734" customWidth="1"/>
    <col min="15108" max="15108" width="8.7109375" style="734" customWidth="1"/>
    <col min="15109" max="15109" width="6.7109375" style="734" customWidth="1"/>
    <col min="15110" max="15110" width="9.5703125" style="734" customWidth="1"/>
    <col min="15111" max="15111" width="10.5703125" style="734" customWidth="1"/>
    <col min="15112" max="15112" width="8" style="734" customWidth="1"/>
    <col min="15113" max="15113" width="8.7109375" style="734" customWidth="1"/>
    <col min="15114" max="15114" width="9.28515625" style="734" customWidth="1"/>
    <col min="15115" max="15116" width="8.140625" style="734" customWidth="1"/>
    <col min="15117" max="15117" width="9" style="734" customWidth="1"/>
    <col min="15118" max="15118" width="7.5703125" style="734" customWidth="1"/>
    <col min="15119" max="15119" width="7.28515625" style="734" customWidth="1"/>
    <col min="15120" max="15360" width="9.140625" style="734"/>
    <col min="15361" max="15361" width="41.85546875" style="734" customWidth="1"/>
    <col min="15362" max="15362" width="9" style="734" customWidth="1"/>
    <col min="15363" max="15363" width="8.140625" style="734" customWidth="1"/>
    <col min="15364" max="15364" width="8.7109375" style="734" customWidth="1"/>
    <col min="15365" max="15365" width="6.7109375" style="734" customWidth="1"/>
    <col min="15366" max="15366" width="9.5703125" style="734" customWidth="1"/>
    <col min="15367" max="15367" width="10.5703125" style="734" customWidth="1"/>
    <col min="15368" max="15368" width="8" style="734" customWidth="1"/>
    <col min="15369" max="15369" width="8.7109375" style="734" customWidth="1"/>
    <col min="15370" max="15370" width="9.28515625" style="734" customWidth="1"/>
    <col min="15371" max="15372" width="8.140625" style="734" customWidth="1"/>
    <col min="15373" max="15373" width="9" style="734" customWidth="1"/>
    <col min="15374" max="15374" width="7.5703125" style="734" customWidth="1"/>
    <col min="15375" max="15375" width="7.28515625" style="734" customWidth="1"/>
    <col min="15376" max="15616" width="9.140625" style="734"/>
    <col min="15617" max="15617" width="41.85546875" style="734" customWidth="1"/>
    <col min="15618" max="15618" width="9" style="734" customWidth="1"/>
    <col min="15619" max="15619" width="8.140625" style="734" customWidth="1"/>
    <col min="15620" max="15620" width="8.7109375" style="734" customWidth="1"/>
    <col min="15621" max="15621" width="6.7109375" style="734" customWidth="1"/>
    <col min="15622" max="15622" width="9.5703125" style="734" customWidth="1"/>
    <col min="15623" max="15623" width="10.5703125" style="734" customWidth="1"/>
    <col min="15624" max="15624" width="8" style="734" customWidth="1"/>
    <col min="15625" max="15625" width="8.7109375" style="734" customWidth="1"/>
    <col min="15626" max="15626" width="9.28515625" style="734" customWidth="1"/>
    <col min="15627" max="15628" width="8.140625" style="734" customWidth="1"/>
    <col min="15629" max="15629" width="9" style="734" customWidth="1"/>
    <col min="15630" max="15630" width="7.5703125" style="734" customWidth="1"/>
    <col min="15631" max="15631" width="7.28515625" style="734" customWidth="1"/>
    <col min="15632" max="15872" width="9.140625" style="734"/>
    <col min="15873" max="15873" width="41.85546875" style="734" customWidth="1"/>
    <col min="15874" max="15874" width="9" style="734" customWidth="1"/>
    <col min="15875" max="15875" width="8.140625" style="734" customWidth="1"/>
    <col min="15876" max="15876" width="8.7109375" style="734" customWidth="1"/>
    <col min="15877" max="15877" width="6.7109375" style="734" customWidth="1"/>
    <col min="15878" max="15878" width="9.5703125" style="734" customWidth="1"/>
    <col min="15879" max="15879" width="10.5703125" style="734" customWidth="1"/>
    <col min="15880" max="15880" width="8" style="734" customWidth="1"/>
    <col min="15881" max="15881" width="8.7109375" style="734" customWidth="1"/>
    <col min="15882" max="15882" width="9.28515625" style="734" customWidth="1"/>
    <col min="15883" max="15884" width="8.140625" style="734" customWidth="1"/>
    <col min="15885" max="15885" width="9" style="734" customWidth="1"/>
    <col min="15886" max="15886" width="7.5703125" style="734" customWidth="1"/>
    <col min="15887" max="15887" width="7.28515625" style="734" customWidth="1"/>
    <col min="15888" max="16128" width="9.140625" style="734"/>
    <col min="16129" max="16129" width="41.85546875" style="734" customWidth="1"/>
    <col min="16130" max="16130" width="9" style="734" customWidth="1"/>
    <col min="16131" max="16131" width="8.140625" style="734" customWidth="1"/>
    <col min="16132" max="16132" width="8.7109375" style="734" customWidth="1"/>
    <col min="16133" max="16133" width="6.7109375" style="734" customWidth="1"/>
    <col min="16134" max="16134" width="9.5703125" style="734" customWidth="1"/>
    <col min="16135" max="16135" width="10.5703125" style="734" customWidth="1"/>
    <col min="16136" max="16136" width="8" style="734" customWidth="1"/>
    <col min="16137" max="16137" width="8.7109375" style="734" customWidth="1"/>
    <col min="16138" max="16138" width="9.28515625" style="734" customWidth="1"/>
    <col min="16139" max="16140" width="8.140625" style="734" customWidth="1"/>
    <col min="16141" max="16141" width="9" style="734" customWidth="1"/>
    <col min="16142" max="16142" width="7.5703125" style="734" customWidth="1"/>
    <col min="16143" max="16143" width="7.28515625" style="734" customWidth="1"/>
    <col min="16144" max="16384" width="9.140625" style="734"/>
  </cols>
  <sheetData>
    <row r="1" spans="1:17">
      <c r="A1" s="1546" t="s">
        <v>4177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</row>
    <row r="2" spans="1:17">
      <c r="E2" s="1546" t="s">
        <v>4178</v>
      </c>
      <c r="F2" s="1546"/>
      <c r="G2" s="1546"/>
    </row>
    <row r="3" spans="1:17" ht="18" customHeight="1">
      <c r="A3" s="735" t="s">
        <v>4176</v>
      </c>
      <c r="E3" s="736"/>
      <c r="F3" s="736"/>
      <c r="G3" s="736"/>
    </row>
    <row r="4" spans="1:17" ht="26.25" customHeight="1">
      <c r="A4" s="737" t="s">
        <v>169</v>
      </c>
      <c r="B4" s="1547" t="s">
        <v>4231</v>
      </c>
      <c r="C4" s="1547"/>
      <c r="D4" s="1547"/>
      <c r="E4" s="1548" t="s">
        <v>4180</v>
      </c>
      <c r="F4" s="1548"/>
      <c r="G4" s="1549">
        <v>405010206020201</v>
      </c>
      <c r="H4" s="1549"/>
      <c r="I4" s="1548" t="s">
        <v>172</v>
      </c>
      <c r="J4" s="1548"/>
      <c r="K4" s="738" t="s">
        <v>4232</v>
      </c>
      <c r="L4" s="1548" t="s">
        <v>4183</v>
      </c>
      <c r="M4" s="1548"/>
      <c r="N4" s="739" t="s">
        <v>4184</v>
      </c>
    </row>
    <row r="5" spans="1:17">
      <c r="A5" s="773"/>
      <c r="C5" s="736"/>
      <c r="D5" s="736"/>
      <c r="E5" s="736"/>
      <c r="F5" s="774"/>
      <c r="G5" s="774"/>
      <c r="I5" s="347"/>
      <c r="K5" s="775"/>
      <c r="L5" s="775"/>
      <c r="M5" s="347"/>
    </row>
    <row r="6" spans="1:17" ht="26.25" customHeight="1">
      <c r="A6" s="740" t="s">
        <v>174</v>
      </c>
      <c r="B6" s="1551" t="s">
        <v>4233</v>
      </c>
      <c r="C6" s="1552"/>
      <c r="D6" s="1552"/>
      <c r="E6" s="1553"/>
      <c r="F6" s="1554" t="s">
        <v>176</v>
      </c>
      <c r="G6" s="1555"/>
      <c r="H6" s="1556"/>
      <c r="I6" s="1547" t="s">
        <v>4234</v>
      </c>
      <c r="J6" s="1547"/>
      <c r="K6" s="1547"/>
      <c r="L6" s="1547"/>
      <c r="M6" s="1547"/>
    </row>
    <row r="7" spans="1:17">
      <c r="B7" s="736"/>
      <c r="C7" s="736"/>
      <c r="D7" s="736"/>
      <c r="E7" s="736"/>
      <c r="I7" s="736"/>
      <c r="J7" s="736"/>
      <c r="K7" s="736"/>
      <c r="L7" s="736"/>
      <c r="M7" s="736"/>
    </row>
    <row r="8" spans="1:17" ht="26.25" customHeight="1">
      <c r="A8" s="741" t="s">
        <v>178</v>
      </c>
      <c r="B8" s="1547" t="s">
        <v>4235</v>
      </c>
      <c r="C8" s="1547"/>
      <c r="D8" s="1547"/>
      <c r="E8" s="1547"/>
      <c r="F8" s="741" t="s">
        <v>4188</v>
      </c>
      <c r="G8" s="776"/>
      <c r="H8" s="776"/>
      <c r="I8" s="776"/>
      <c r="J8" s="741"/>
      <c r="K8" s="1558" t="s">
        <v>4236</v>
      </c>
      <c r="L8" s="1558"/>
      <c r="M8" s="1558"/>
      <c r="N8" s="1558"/>
    </row>
    <row r="9" spans="1:17" ht="26.25" customHeight="1">
      <c r="A9" s="743" t="s">
        <v>4189</v>
      </c>
      <c r="B9" s="1547" t="s">
        <v>4237</v>
      </c>
      <c r="C9" s="1547"/>
      <c r="D9" s="1547"/>
      <c r="E9" s="1547" t="s">
        <v>4238</v>
      </c>
      <c r="F9" s="1551"/>
      <c r="G9" s="1547"/>
      <c r="H9" s="1547" t="s">
        <v>4239</v>
      </c>
      <c r="I9" s="1547"/>
      <c r="J9" s="1553"/>
      <c r="K9" s="1547" t="s">
        <v>4240</v>
      </c>
      <c r="L9" s="1547"/>
      <c r="M9" s="1547"/>
      <c r="N9" s="1547"/>
      <c r="Q9" s="1574"/>
    </row>
    <row r="10" spans="1:17" ht="26.25" customHeight="1">
      <c r="A10" s="744" t="s">
        <v>187</v>
      </c>
      <c r="B10" s="1559" t="s">
        <v>4241</v>
      </c>
      <c r="C10" s="1559"/>
      <c r="D10" s="1559"/>
      <c r="E10" s="1559" t="s">
        <v>4233</v>
      </c>
      <c r="F10" s="1559"/>
      <c r="G10" s="1550"/>
      <c r="H10" s="1560"/>
      <c r="I10" s="1560"/>
      <c r="J10" s="1560"/>
      <c r="K10" s="1560"/>
      <c r="L10" s="1560"/>
      <c r="M10" s="1560"/>
      <c r="N10" s="1560"/>
      <c r="Q10" s="1574"/>
    </row>
    <row r="11" spans="1:17" ht="26.25" customHeight="1">
      <c r="A11" s="745" t="s">
        <v>192</v>
      </c>
      <c r="B11" s="1558" t="s">
        <v>5787</v>
      </c>
      <c r="C11" s="1558"/>
      <c r="D11" s="1558"/>
      <c r="E11" s="1547" t="s">
        <v>4242</v>
      </c>
      <c r="F11" s="1551"/>
      <c r="G11" s="1547" t="s">
        <v>5788</v>
      </c>
      <c r="H11" s="1547"/>
      <c r="I11" s="1547" t="s">
        <v>5789</v>
      </c>
      <c r="J11" s="1553"/>
      <c r="K11" s="1547" t="s">
        <v>5790</v>
      </c>
      <c r="L11" s="1547"/>
      <c r="M11" s="746"/>
      <c r="N11" s="746"/>
      <c r="Q11" s="1574"/>
    </row>
    <row r="12" spans="1:17" ht="26.25" customHeight="1">
      <c r="A12" s="743" t="s">
        <v>197</v>
      </c>
      <c r="B12" s="1568" t="s">
        <v>4241</v>
      </c>
      <c r="C12" s="1568"/>
      <c r="D12" s="1568"/>
      <c r="E12" s="1568" t="s">
        <v>4243</v>
      </c>
      <c r="F12" s="1568"/>
      <c r="G12" s="1568"/>
      <c r="H12" s="1560"/>
      <c r="I12" s="1560"/>
      <c r="J12" s="1560"/>
      <c r="K12" s="1560"/>
      <c r="L12" s="1560"/>
      <c r="M12" s="1560"/>
      <c r="N12" s="1560"/>
    </row>
    <row r="13" spans="1:17">
      <c r="A13" s="347"/>
      <c r="B13" s="736"/>
      <c r="C13" s="736"/>
      <c r="D13" s="736"/>
      <c r="E13" s="736"/>
      <c r="F13" s="736"/>
      <c r="G13" s="736"/>
      <c r="H13" s="736"/>
      <c r="I13" s="736"/>
      <c r="J13" s="736"/>
      <c r="K13" s="736"/>
      <c r="L13" s="736"/>
      <c r="M13" s="736"/>
      <c r="N13" s="736"/>
    </row>
    <row r="14" spans="1:17" ht="26.25" customHeight="1">
      <c r="A14" s="743" t="s">
        <v>198</v>
      </c>
      <c r="B14" s="747">
        <v>4</v>
      </c>
      <c r="C14" s="1562" t="s">
        <v>199</v>
      </c>
      <c r="D14" s="1562"/>
      <c r="E14" s="1562"/>
      <c r="F14" s="748">
        <v>2</v>
      </c>
      <c r="G14" s="744" t="s">
        <v>200</v>
      </c>
      <c r="H14" s="748">
        <v>4</v>
      </c>
      <c r="I14" s="749" t="s">
        <v>4196</v>
      </c>
      <c r="J14" s="748">
        <v>2</v>
      </c>
      <c r="K14" s="749" t="s">
        <v>202</v>
      </c>
      <c r="L14" s="747">
        <v>4</v>
      </c>
    </row>
    <row r="15" spans="1:17">
      <c r="A15" s="347"/>
      <c r="C15" s="750"/>
      <c r="D15" s="750"/>
      <c r="E15" s="750"/>
      <c r="F15" s="751"/>
      <c r="G15" s="751"/>
      <c r="H15" s="751"/>
      <c r="I15" s="751"/>
      <c r="J15" s="751"/>
      <c r="K15" s="751"/>
    </row>
    <row r="16" spans="1:17" ht="26.25" customHeight="1">
      <c r="A16" s="752" t="s">
        <v>203</v>
      </c>
      <c r="B16" s="753" t="s">
        <v>4197</v>
      </c>
      <c r="C16" s="747">
        <v>53</v>
      </c>
      <c r="D16" s="753" t="s">
        <v>4198</v>
      </c>
      <c r="E16" s="754">
        <v>0</v>
      </c>
      <c r="F16" s="755" t="s">
        <v>4199</v>
      </c>
      <c r="G16" s="754">
        <v>0</v>
      </c>
      <c r="H16" s="753" t="s">
        <v>4200</v>
      </c>
      <c r="I16" s="754">
        <v>53</v>
      </c>
      <c r="J16" s="755" t="s">
        <v>414</v>
      </c>
      <c r="K16" s="747">
        <v>12</v>
      </c>
      <c r="L16" s="1554" t="s">
        <v>4201</v>
      </c>
      <c r="M16" s="1555"/>
      <c r="N16" s="747">
        <v>5</v>
      </c>
    </row>
    <row r="17" spans="1:14" ht="26.25" customHeight="1">
      <c r="A17" s="752" t="s">
        <v>1029</v>
      </c>
      <c r="B17" s="741" t="s">
        <v>4202</v>
      </c>
      <c r="C17" s="747">
        <v>139</v>
      </c>
      <c r="D17" s="741" t="s">
        <v>4203</v>
      </c>
      <c r="E17" s="747">
        <v>0</v>
      </c>
      <c r="F17" s="741" t="s">
        <v>4204</v>
      </c>
      <c r="G17" s="747">
        <v>0</v>
      </c>
      <c r="H17" s="757" t="s">
        <v>5781</v>
      </c>
      <c r="I17" s="747">
        <v>139</v>
      </c>
    </row>
    <row r="18" spans="1:14" ht="26.25" customHeight="1">
      <c r="B18" s="741" t="s">
        <v>4205</v>
      </c>
      <c r="C18" s="747">
        <v>142</v>
      </c>
      <c r="D18" s="741" t="s">
        <v>214</v>
      </c>
      <c r="E18" s="747">
        <v>0</v>
      </c>
      <c r="F18" s="741" t="s">
        <v>1494</v>
      </c>
      <c r="G18" s="747">
        <v>0</v>
      </c>
      <c r="H18" s="757" t="s">
        <v>5782</v>
      </c>
      <c r="I18" s="747">
        <v>142</v>
      </c>
    </row>
    <row r="19" spans="1:14" ht="26.25" customHeight="1">
      <c r="A19" s="758" t="s">
        <v>216</v>
      </c>
    </row>
    <row r="20" spans="1:14" ht="26.25" customHeight="1">
      <c r="A20" s="1565" t="s">
        <v>4206</v>
      </c>
      <c r="B20" s="1566" t="s">
        <v>408</v>
      </c>
      <c r="C20" s="1566" t="s">
        <v>219</v>
      </c>
      <c r="D20" s="1566" t="s">
        <v>4207</v>
      </c>
      <c r="E20" s="1566" t="s">
        <v>1713</v>
      </c>
      <c r="F20" s="1567" t="s">
        <v>4208</v>
      </c>
      <c r="G20" s="1567"/>
      <c r="H20" s="1567"/>
      <c r="I20" s="1567"/>
      <c r="J20" s="1567"/>
      <c r="K20" s="1567"/>
      <c r="L20" s="1567"/>
      <c r="M20" s="1567"/>
      <c r="N20" s="1567"/>
    </row>
    <row r="21" spans="1:14" ht="26.25" customHeight="1">
      <c r="A21" s="1565"/>
      <c r="B21" s="1566"/>
      <c r="C21" s="1566"/>
      <c r="D21" s="1566"/>
      <c r="E21" s="1566"/>
      <c r="F21" s="759">
        <v>1</v>
      </c>
      <c r="G21" s="759">
        <v>2</v>
      </c>
      <c r="H21" s="759">
        <v>3</v>
      </c>
      <c r="I21" s="759">
        <v>4</v>
      </c>
      <c r="J21" s="759">
        <v>5</v>
      </c>
      <c r="K21" s="759">
        <v>6</v>
      </c>
      <c r="L21" s="759">
        <v>7</v>
      </c>
      <c r="M21" s="759" t="s">
        <v>230</v>
      </c>
      <c r="N21" s="760" t="s">
        <v>231</v>
      </c>
    </row>
    <row r="22" spans="1:14" ht="26.25" customHeight="1">
      <c r="A22" s="744" t="s">
        <v>232</v>
      </c>
      <c r="B22" s="761">
        <v>8000</v>
      </c>
      <c r="C22" s="761" t="s">
        <v>4209</v>
      </c>
      <c r="D22" s="762">
        <f>B22*559/100000</f>
        <v>44.72</v>
      </c>
      <c r="E22" s="763">
        <v>2.5874999999999999</v>
      </c>
      <c r="F22" s="764">
        <v>0</v>
      </c>
      <c r="G22" s="764">
        <v>0</v>
      </c>
      <c r="H22" s="764">
        <v>1.1736</v>
      </c>
      <c r="I22" s="764"/>
      <c r="J22" s="764"/>
      <c r="K22" s="764"/>
      <c r="L22" s="764"/>
      <c r="M22" s="764">
        <f>L22+K22+J22+I22+H22+G22+F22</f>
        <v>1.1736</v>
      </c>
      <c r="N22" s="766">
        <f>M22/E22*100</f>
        <v>45.356521739130436</v>
      </c>
    </row>
    <row r="23" spans="1:14" ht="26.25" customHeight="1">
      <c r="A23" s="743" t="s">
        <v>4210</v>
      </c>
      <c r="B23" s="739">
        <v>7000</v>
      </c>
      <c r="C23" s="761" t="s">
        <v>4209</v>
      </c>
      <c r="D23" s="762">
        <f>B23*559/100000</f>
        <v>39.130000000000003</v>
      </c>
      <c r="E23" s="767">
        <v>0</v>
      </c>
      <c r="F23" s="764">
        <v>0</v>
      </c>
      <c r="G23" s="764">
        <v>0</v>
      </c>
      <c r="H23" s="771">
        <v>0</v>
      </c>
      <c r="I23" s="771"/>
      <c r="J23" s="771"/>
      <c r="K23" s="771"/>
      <c r="L23" s="771"/>
      <c r="M23" s="764">
        <f t="shared" ref="M23:M29" si="0">L23+K23+J23+I23+H23+G23+F23</f>
        <v>0</v>
      </c>
      <c r="N23" s="766">
        <v>0</v>
      </c>
    </row>
    <row r="24" spans="1:14" ht="26.25" customHeight="1">
      <c r="A24" s="743" t="s">
        <v>4211</v>
      </c>
      <c r="B24" s="747">
        <v>43000</v>
      </c>
      <c r="C24" s="747" t="s">
        <v>236</v>
      </c>
      <c r="D24" s="770">
        <v>0.43</v>
      </c>
      <c r="E24" s="769">
        <v>0.18</v>
      </c>
      <c r="F24" s="764">
        <v>0</v>
      </c>
      <c r="G24" s="764">
        <v>0</v>
      </c>
      <c r="H24" s="771">
        <v>0</v>
      </c>
      <c r="I24" s="771"/>
      <c r="J24" s="771"/>
      <c r="K24" s="771"/>
      <c r="L24" s="771"/>
      <c r="M24" s="764">
        <f t="shared" si="0"/>
        <v>0</v>
      </c>
      <c r="N24" s="766">
        <f t="shared" ref="N24:N29" si="1">M24/E24*100</f>
        <v>0</v>
      </c>
    </row>
    <row r="25" spans="1:14" ht="26.25" customHeight="1">
      <c r="A25" s="743" t="s">
        <v>4212</v>
      </c>
      <c r="B25" s="747">
        <v>37000</v>
      </c>
      <c r="C25" s="747" t="s">
        <v>236</v>
      </c>
      <c r="D25" s="770">
        <v>0.37</v>
      </c>
      <c r="E25" s="769">
        <v>0.16</v>
      </c>
      <c r="F25" s="764">
        <v>0</v>
      </c>
      <c r="G25" s="764">
        <v>0</v>
      </c>
      <c r="H25" s="771">
        <v>0</v>
      </c>
      <c r="I25" s="771"/>
      <c r="J25" s="771"/>
      <c r="K25" s="771"/>
      <c r="L25" s="771"/>
      <c r="M25" s="764">
        <f t="shared" si="0"/>
        <v>0</v>
      </c>
      <c r="N25" s="766">
        <f t="shared" si="1"/>
        <v>0</v>
      </c>
    </row>
    <row r="26" spans="1:14" ht="26.25" customHeight="1">
      <c r="A26" s="743" t="s">
        <v>4213</v>
      </c>
      <c r="B26" s="747">
        <v>1200</v>
      </c>
      <c r="C26" s="747" t="s">
        <v>4209</v>
      </c>
      <c r="D26" s="770">
        <f>B26*559/100000</f>
        <v>6.7080000000000002</v>
      </c>
      <c r="E26" s="769">
        <v>2</v>
      </c>
      <c r="F26" s="764">
        <v>0</v>
      </c>
      <c r="G26" s="764">
        <v>0</v>
      </c>
      <c r="H26" s="771">
        <v>1.5147299999999999</v>
      </c>
      <c r="I26" s="771"/>
      <c r="J26" s="771"/>
      <c r="K26" s="771"/>
      <c r="L26" s="771"/>
      <c r="M26" s="764">
        <f t="shared" si="0"/>
        <v>1.5147299999999999</v>
      </c>
      <c r="N26" s="766">
        <f t="shared" si="1"/>
        <v>75.736499999999992</v>
      </c>
    </row>
    <row r="27" spans="1:14" ht="26.25" customHeight="1">
      <c r="A27" s="741" t="s">
        <v>4214</v>
      </c>
      <c r="B27" s="747">
        <v>565</v>
      </c>
      <c r="C27" s="747" t="s">
        <v>4209</v>
      </c>
      <c r="D27" s="770">
        <f>B27*559/100000</f>
        <v>3.15835</v>
      </c>
      <c r="E27" s="769">
        <v>0.55900000000000005</v>
      </c>
      <c r="F27" s="764">
        <v>0</v>
      </c>
      <c r="G27" s="764">
        <v>0</v>
      </c>
      <c r="H27" s="771">
        <v>0.1</v>
      </c>
      <c r="I27" s="771"/>
      <c r="J27" s="771"/>
      <c r="K27" s="771"/>
      <c r="L27" s="771"/>
      <c r="M27" s="764">
        <f t="shared" si="0"/>
        <v>0.1</v>
      </c>
      <c r="N27" s="766">
        <f t="shared" si="1"/>
        <v>17.889087656529519</v>
      </c>
    </row>
    <row r="28" spans="1:14" ht="26.25" customHeight="1">
      <c r="A28" s="743" t="s">
        <v>240</v>
      </c>
      <c r="B28" s="747">
        <v>1000</v>
      </c>
      <c r="C28" s="747" t="s">
        <v>4209</v>
      </c>
      <c r="D28" s="770">
        <f>B28*559/100000</f>
        <v>5.59</v>
      </c>
      <c r="E28" s="769">
        <v>0</v>
      </c>
      <c r="F28" s="764">
        <v>0</v>
      </c>
      <c r="G28" s="764">
        <v>0</v>
      </c>
      <c r="H28" s="771">
        <v>0</v>
      </c>
      <c r="I28" s="771"/>
      <c r="J28" s="771"/>
      <c r="K28" s="771"/>
      <c r="L28" s="771"/>
      <c r="M28" s="764">
        <f t="shared" si="0"/>
        <v>0</v>
      </c>
      <c r="N28" s="766">
        <v>0</v>
      </c>
    </row>
    <row r="29" spans="1:14" ht="26.25" customHeight="1">
      <c r="A29" s="743" t="s">
        <v>4215</v>
      </c>
      <c r="B29" s="747">
        <v>2750</v>
      </c>
      <c r="C29" s="747" t="s">
        <v>242</v>
      </c>
      <c r="D29" s="770">
        <v>2.31</v>
      </c>
      <c r="E29" s="769">
        <v>0.33</v>
      </c>
      <c r="F29" s="764">
        <v>0</v>
      </c>
      <c r="G29" s="764">
        <v>0</v>
      </c>
      <c r="H29" s="771">
        <v>0.33</v>
      </c>
      <c r="I29" s="771"/>
      <c r="J29" s="771"/>
      <c r="K29" s="771"/>
      <c r="L29" s="771"/>
      <c r="M29" s="764">
        <f t="shared" si="0"/>
        <v>0.33</v>
      </c>
      <c r="N29" s="766">
        <f t="shared" si="1"/>
        <v>100</v>
      </c>
    </row>
    <row r="30" spans="1:14" ht="26.25" customHeight="1">
      <c r="A30" s="741" t="s">
        <v>4216</v>
      </c>
      <c r="B30" s="747">
        <v>10000</v>
      </c>
      <c r="C30" s="747" t="s">
        <v>244</v>
      </c>
      <c r="D30" s="770">
        <v>0.1</v>
      </c>
      <c r="E30" s="769">
        <v>0</v>
      </c>
      <c r="F30" s="764">
        <v>0</v>
      </c>
      <c r="G30" s="764">
        <v>0</v>
      </c>
      <c r="H30" s="771">
        <v>0</v>
      </c>
      <c r="I30" s="771"/>
      <c r="J30" s="771"/>
      <c r="K30" s="771"/>
      <c r="L30" s="771"/>
      <c r="M30" s="764">
        <f>L30+K30+J30+I30+H30+G30+F30</f>
        <v>0</v>
      </c>
      <c r="N30" s="766">
        <v>0</v>
      </c>
    </row>
    <row r="31" spans="1:14" ht="26.25" customHeight="1">
      <c r="A31" s="741" t="s">
        <v>245</v>
      </c>
      <c r="B31" s="747">
        <f>SUM(B22:B30)</f>
        <v>110515</v>
      </c>
      <c r="C31" s="747"/>
      <c r="D31" s="771">
        <f>SUM(D22:D30)</f>
        <v>102.51635</v>
      </c>
      <c r="E31" s="769">
        <f>SUM(E22:E30)</f>
        <v>5.8165000000000004</v>
      </c>
      <c r="F31" s="771">
        <f>SUM(F22:F30)</f>
        <v>0</v>
      </c>
      <c r="G31" s="771">
        <f t="shared" ref="G31:M31" si="2">SUM(G22:G30)</f>
        <v>0</v>
      </c>
      <c r="H31" s="771">
        <f t="shared" si="2"/>
        <v>3.1183299999999998</v>
      </c>
      <c r="I31" s="771">
        <f t="shared" si="2"/>
        <v>0</v>
      </c>
      <c r="J31" s="771">
        <f t="shared" si="2"/>
        <v>0</v>
      </c>
      <c r="K31" s="771">
        <f t="shared" si="2"/>
        <v>0</v>
      </c>
      <c r="L31" s="771">
        <f t="shared" si="2"/>
        <v>0</v>
      </c>
      <c r="M31" s="771">
        <f t="shared" si="2"/>
        <v>3.1183299999999998</v>
      </c>
      <c r="N31" s="766"/>
    </row>
  </sheetData>
  <mergeCells count="38">
    <mergeCell ref="A20:A21"/>
    <mergeCell ref="B20:B21"/>
    <mergeCell ref="C20:C21"/>
    <mergeCell ref="D20:D21"/>
    <mergeCell ref="E20:E21"/>
    <mergeCell ref="F20:N20"/>
    <mergeCell ref="B12:D12"/>
    <mergeCell ref="E12:G12"/>
    <mergeCell ref="H12:J12"/>
    <mergeCell ref="K12:N12"/>
    <mergeCell ref="C14:E14"/>
    <mergeCell ref="L16:M16"/>
    <mergeCell ref="Q9:Q11"/>
    <mergeCell ref="B10:D10"/>
    <mergeCell ref="E10:G10"/>
    <mergeCell ref="H10:J10"/>
    <mergeCell ref="K10:N10"/>
    <mergeCell ref="B11:D11"/>
    <mergeCell ref="E11:F11"/>
    <mergeCell ref="G11:H11"/>
    <mergeCell ref="I11:J11"/>
    <mergeCell ref="K11:L11"/>
    <mergeCell ref="B9:D9"/>
    <mergeCell ref="E9:G9"/>
    <mergeCell ref="H9:J9"/>
    <mergeCell ref="K9:N9"/>
    <mergeCell ref="B6:E6"/>
    <mergeCell ref="F6:H6"/>
    <mergeCell ref="I6:M6"/>
    <mergeCell ref="B8:E8"/>
    <mergeCell ref="K8:N8"/>
    <mergeCell ref="A1:N1"/>
    <mergeCell ref="E2:G2"/>
    <mergeCell ref="B4:D4"/>
    <mergeCell ref="E4:F4"/>
    <mergeCell ref="G4:H4"/>
    <mergeCell ref="I4:J4"/>
    <mergeCell ref="L4:M4"/>
  </mergeCells>
  <hyperlinks>
    <hyperlink ref="A3" location="'Fact Sheet of VDC'!A1" display="&lt;&lt;Back"/>
  </hyperlinks>
  <pageMargins left="0.84" right="0.15748031496062992" top="0.39370078740157483" bottom="0.35433070866141736" header="0.31496062992125984" footer="0.31496062992125984"/>
  <pageSetup scale="75" orientation="landscape" r:id="rId1"/>
</worksheet>
</file>

<file path=xl/worksheets/sheet304.xml><?xml version="1.0" encoding="utf-8"?>
<worksheet xmlns="http://schemas.openxmlformats.org/spreadsheetml/2006/main" xmlns:r="http://schemas.openxmlformats.org/officeDocument/2006/relationships">
  <dimension ref="A1:Q31"/>
  <sheetViews>
    <sheetView workbookViewId="0">
      <selection activeCell="A3" sqref="A3"/>
    </sheetView>
  </sheetViews>
  <sheetFormatPr defaultRowHeight="12"/>
  <cols>
    <col min="1" max="1" width="36.5703125" style="734" customWidth="1"/>
    <col min="2" max="2" width="9" style="734" customWidth="1"/>
    <col min="3" max="3" width="8.140625" style="734" customWidth="1"/>
    <col min="4" max="4" width="8.7109375" style="734" customWidth="1"/>
    <col min="5" max="5" width="6.7109375" style="734" customWidth="1"/>
    <col min="6" max="6" width="9.5703125" style="734" customWidth="1"/>
    <col min="7" max="7" width="10.5703125" style="734" customWidth="1"/>
    <col min="8" max="8" width="8" style="734" customWidth="1"/>
    <col min="9" max="9" width="8.42578125" style="734" customWidth="1"/>
    <col min="10" max="10" width="8.5703125" style="734" bestFit="1" customWidth="1"/>
    <col min="11" max="12" width="8.140625" style="734" customWidth="1"/>
    <col min="13" max="13" width="9" style="734" customWidth="1"/>
    <col min="14" max="14" width="7.5703125" style="734" customWidth="1"/>
    <col min="15" max="15" width="7.28515625" style="734" customWidth="1"/>
    <col min="16" max="256" width="9.140625" style="734"/>
    <col min="257" max="257" width="36.5703125" style="734" customWidth="1"/>
    <col min="258" max="258" width="9" style="734" customWidth="1"/>
    <col min="259" max="259" width="8.140625" style="734" customWidth="1"/>
    <col min="260" max="260" width="8.7109375" style="734" customWidth="1"/>
    <col min="261" max="261" width="6.7109375" style="734" customWidth="1"/>
    <col min="262" max="262" width="9.5703125" style="734" customWidth="1"/>
    <col min="263" max="263" width="10.5703125" style="734" customWidth="1"/>
    <col min="264" max="264" width="8" style="734" customWidth="1"/>
    <col min="265" max="265" width="8.42578125" style="734" customWidth="1"/>
    <col min="266" max="266" width="8.5703125" style="734" bestFit="1" customWidth="1"/>
    <col min="267" max="268" width="8.140625" style="734" customWidth="1"/>
    <col min="269" max="269" width="9" style="734" customWidth="1"/>
    <col min="270" max="270" width="7.5703125" style="734" customWidth="1"/>
    <col min="271" max="271" width="7.28515625" style="734" customWidth="1"/>
    <col min="272" max="512" width="9.140625" style="734"/>
    <col min="513" max="513" width="36.5703125" style="734" customWidth="1"/>
    <col min="514" max="514" width="9" style="734" customWidth="1"/>
    <col min="515" max="515" width="8.140625" style="734" customWidth="1"/>
    <col min="516" max="516" width="8.7109375" style="734" customWidth="1"/>
    <col min="517" max="517" width="6.7109375" style="734" customWidth="1"/>
    <col min="518" max="518" width="9.5703125" style="734" customWidth="1"/>
    <col min="519" max="519" width="10.5703125" style="734" customWidth="1"/>
    <col min="520" max="520" width="8" style="734" customWidth="1"/>
    <col min="521" max="521" width="8.42578125" style="734" customWidth="1"/>
    <col min="522" max="522" width="8.5703125" style="734" bestFit="1" customWidth="1"/>
    <col min="523" max="524" width="8.140625" style="734" customWidth="1"/>
    <col min="525" max="525" width="9" style="734" customWidth="1"/>
    <col min="526" max="526" width="7.5703125" style="734" customWidth="1"/>
    <col min="527" max="527" width="7.28515625" style="734" customWidth="1"/>
    <col min="528" max="768" width="9.140625" style="734"/>
    <col min="769" max="769" width="36.5703125" style="734" customWidth="1"/>
    <col min="770" max="770" width="9" style="734" customWidth="1"/>
    <col min="771" max="771" width="8.140625" style="734" customWidth="1"/>
    <col min="772" max="772" width="8.7109375" style="734" customWidth="1"/>
    <col min="773" max="773" width="6.7109375" style="734" customWidth="1"/>
    <col min="774" max="774" width="9.5703125" style="734" customWidth="1"/>
    <col min="775" max="775" width="10.5703125" style="734" customWidth="1"/>
    <col min="776" max="776" width="8" style="734" customWidth="1"/>
    <col min="777" max="777" width="8.42578125" style="734" customWidth="1"/>
    <col min="778" max="778" width="8.5703125" style="734" bestFit="1" customWidth="1"/>
    <col min="779" max="780" width="8.140625" style="734" customWidth="1"/>
    <col min="781" max="781" width="9" style="734" customWidth="1"/>
    <col min="782" max="782" width="7.5703125" style="734" customWidth="1"/>
    <col min="783" max="783" width="7.28515625" style="734" customWidth="1"/>
    <col min="784" max="1024" width="9.140625" style="734"/>
    <col min="1025" max="1025" width="36.5703125" style="734" customWidth="1"/>
    <col min="1026" max="1026" width="9" style="734" customWidth="1"/>
    <col min="1027" max="1027" width="8.140625" style="734" customWidth="1"/>
    <col min="1028" max="1028" width="8.7109375" style="734" customWidth="1"/>
    <col min="1029" max="1029" width="6.7109375" style="734" customWidth="1"/>
    <col min="1030" max="1030" width="9.5703125" style="734" customWidth="1"/>
    <col min="1031" max="1031" width="10.5703125" style="734" customWidth="1"/>
    <col min="1032" max="1032" width="8" style="734" customWidth="1"/>
    <col min="1033" max="1033" width="8.42578125" style="734" customWidth="1"/>
    <col min="1034" max="1034" width="8.5703125" style="734" bestFit="1" customWidth="1"/>
    <col min="1035" max="1036" width="8.140625" style="734" customWidth="1"/>
    <col min="1037" max="1037" width="9" style="734" customWidth="1"/>
    <col min="1038" max="1038" width="7.5703125" style="734" customWidth="1"/>
    <col min="1039" max="1039" width="7.28515625" style="734" customWidth="1"/>
    <col min="1040" max="1280" width="9.140625" style="734"/>
    <col min="1281" max="1281" width="36.5703125" style="734" customWidth="1"/>
    <col min="1282" max="1282" width="9" style="734" customWidth="1"/>
    <col min="1283" max="1283" width="8.140625" style="734" customWidth="1"/>
    <col min="1284" max="1284" width="8.7109375" style="734" customWidth="1"/>
    <col min="1285" max="1285" width="6.7109375" style="734" customWidth="1"/>
    <col min="1286" max="1286" width="9.5703125" style="734" customWidth="1"/>
    <col min="1287" max="1287" width="10.5703125" style="734" customWidth="1"/>
    <col min="1288" max="1288" width="8" style="734" customWidth="1"/>
    <col min="1289" max="1289" width="8.42578125" style="734" customWidth="1"/>
    <col min="1290" max="1290" width="8.5703125" style="734" bestFit="1" customWidth="1"/>
    <col min="1291" max="1292" width="8.140625" style="734" customWidth="1"/>
    <col min="1293" max="1293" width="9" style="734" customWidth="1"/>
    <col min="1294" max="1294" width="7.5703125" style="734" customWidth="1"/>
    <col min="1295" max="1295" width="7.28515625" style="734" customWidth="1"/>
    <col min="1296" max="1536" width="9.140625" style="734"/>
    <col min="1537" max="1537" width="36.5703125" style="734" customWidth="1"/>
    <col min="1538" max="1538" width="9" style="734" customWidth="1"/>
    <col min="1539" max="1539" width="8.140625" style="734" customWidth="1"/>
    <col min="1540" max="1540" width="8.7109375" style="734" customWidth="1"/>
    <col min="1541" max="1541" width="6.7109375" style="734" customWidth="1"/>
    <col min="1542" max="1542" width="9.5703125" style="734" customWidth="1"/>
    <col min="1543" max="1543" width="10.5703125" style="734" customWidth="1"/>
    <col min="1544" max="1544" width="8" style="734" customWidth="1"/>
    <col min="1545" max="1545" width="8.42578125" style="734" customWidth="1"/>
    <col min="1546" max="1546" width="8.5703125" style="734" bestFit="1" customWidth="1"/>
    <col min="1547" max="1548" width="8.140625" style="734" customWidth="1"/>
    <col min="1549" max="1549" width="9" style="734" customWidth="1"/>
    <col min="1550" max="1550" width="7.5703125" style="734" customWidth="1"/>
    <col min="1551" max="1551" width="7.28515625" style="734" customWidth="1"/>
    <col min="1552" max="1792" width="9.140625" style="734"/>
    <col min="1793" max="1793" width="36.5703125" style="734" customWidth="1"/>
    <col min="1794" max="1794" width="9" style="734" customWidth="1"/>
    <col min="1795" max="1795" width="8.140625" style="734" customWidth="1"/>
    <col min="1796" max="1796" width="8.7109375" style="734" customWidth="1"/>
    <col min="1797" max="1797" width="6.7109375" style="734" customWidth="1"/>
    <col min="1798" max="1798" width="9.5703125" style="734" customWidth="1"/>
    <col min="1799" max="1799" width="10.5703125" style="734" customWidth="1"/>
    <col min="1800" max="1800" width="8" style="734" customWidth="1"/>
    <col min="1801" max="1801" width="8.42578125" style="734" customWidth="1"/>
    <col min="1802" max="1802" width="8.5703125" style="734" bestFit="1" customWidth="1"/>
    <col min="1803" max="1804" width="8.140625" style="734" customWidth="1"/>
    <col min="1805" max="1805" width="9" style="734" customWidth="1"/>
    <col min="1806" max="1806" width="7.5703125" style="734" customWidth="1"/>
    <col min="1807" max="1807" width="7.28515625" style="734" customWidth="1"/>
    <col min="1808" max="2048" width="9.140625" style="734"/>
    <col min="2049" max="2049" width="36.5703125" style="734" customWidth="1"/>
    <col min="2050" max="2050" width="9" style="734" customWidth="1"/>
    <col min="2051" max="2051" width="8.140625" style="734" customWidth="1"/>
    <col min="2052" max="2052" width="8.7109375" style="734" customWidth="1"/>
    <col min="2053" max="2053" width="6.7109375" style="734" customWidth="1"/>
    <col min="2054" max="2054" width="9.5703125" style="734" customWidth="1"/>
    <col min="2055" max="2055" width="10.5703125" style="734" customWidth="1"/>
    <col min="2056" max="2056" width="8" style="734" customWidth="1"/>
    <col min="2057" max="2057" width="8.42578125" style="734" customWidth="1"/>
    <col min="2058" max="2058" width="8.5703125" style="734" bestFit="1" customWidth="1"/>
    <col min="2059" max="2060" width="8.140625" style="734" customWidth="1"/>
    <col min="2061" max="2061" width="9" style="734" customWidth="1"/>
    <col min="2062" max="2062" width="7.5703125" style="734" customWidth="1"/>
    <col min="2063" max="2063" width="7.28515625" style="734" customWidth="1"/>
    <col min="2064" max="2304" width="9.140625" style="734"/>
    <col min="2305" max="2305" width="36.5703125" style="734" customWidth="1"/>
    <col min="2306" max="2306" width="9" style="734" customWidth="1"/>
    <col min="2307" max="2307" width="8.140625" style="734" customWidth="1"/>
    <col min="2308" max="2308" width="8.7109375" style="734" customWidth="1"/>
    <col min="2309" max="2309" width="6.7109375" style="734" customWidth="1"/>
    <col min="2310" max="2310" width="9.5703125" style="734" customWidth="1"/>
    <col min="2311" max="2311" width="10.5703125" style="734" customWidth="1"/>
    <col min="2312" max="2312" width="8" style="734" customWidth="1"/>
    <col min="2313" max="2313" width="8.42578125" style="734" customWidth="1"/>
    <col min="2314" max="2314" width="8.5703125" style="734" bestFit="1" customWidth="1"/>
    <col min="2315" max="2316" width="8.140625" style="734" customWidth="1"/>
    <col min="2317" max="2317" width="9" style="734" customWidth="1"/>
    <col min="2318" max="2318" width="7.5703125" style="734" customWidth="1"/>
    <col min="2319" max="2319" width="7.28515625" style="734" customWidth="1"/>
    <col min="2320" max="2560" width="9.140625" style="734"/>
    <col min="2561" max="2561" width="36.5703125" style="734" customWidth="1"/>
    <col min="2562" max="2562" width="9" style="734" customWidth="1"/>
    <col min="2563" max="2563" width="8.140625" style="734" customWidth="1"/>
    <col min="2564" max="2564" width="8.7109375" style="734" customWidth="1"/>
    <col min="2565" max="2565" width="6.7109375" style="734" customWidth="1"/>
    <col min="2566" max="2566" width="9.5703125" style="734" customWidth="1"/>
    <col min="2567" max="2567" width="10.5703125" style="734" customWidth="1"/>
    <col min="2568" max="2568" width="8" style="734" customWidth="1"/>
    <col min="2569" max="2569" width="8.42578125" style="734" customWidth="1"/>
    <col min="2570" max="2570" width="8.5703125" style="734" bestFit="1" customWidth="1"/>
    <col min="2571" max="2572" width="8.140625" style="734" customWidth="1"/>
    <col min="2573" max="2573" width="9" style="734" customWidth="1"/>
    <col min="2574" max="2574" width="7.5703125" style="734" customWidth="1"/>
    <col min="2575" max="2575" width="7.28515625" style="734" customWidth="1"/>
    <col min="2576" max="2816" width="9.140625" style="734"/>
    <col min="2817" max="2817" width="36.5703125" style="734" customWidth="1"/>
    <col min="2818" max="2818" width="9" style="734" customWidth="1"/>
    <col min="2819" max="2819" width="8.140625" style="734" customWidth="1"/>
    <col min="2820" max="2820" width="8.7109375" style="734" customWidth="1"/>
    <col min="2821" max="2821" width="6.7109375" style="734" customWidth="1"/>
    <col min="2822" max="2822" width="9.5703125" style="734" customWidth="1"/>
    <col min="2823" max="2823" width="10.5703125" style="734" customWidth="1"/>
    <col min="2824" max="2824" width="8" style="734" customWidth="1"/>
    <col min="2825" max="2825" width="8.42578125" style="734" customWidth="1"/>
    <col min="2826" max="2826" width="8.5703125" style="734" bestFit="1" customWidth="1"/>
    <col min="2827" max="2828" width="8.140625" style="734" customWidth="1"/>
    <col min="2829" max="2829" width="9" style="734" customWidth="1"/>
    <col min="2830" max="2830" width="7.5703125" style="734" customWidth="1"/>
    <col min="2831" max="2831" width="7.28515625" style="734" customWidth="1"/>
    <col min="2832" max="3072" width="9.140625" style="734"/>
    <col min="3073" max="3073" width="36.5703125" style="734" customWidth="1"/>
    <col min="3074" max="3074" width="9" style="734" customWidth="1"/>
    <col min="3075" max="3075" width="8.140625" style="734" customWidth="1"/>
    <col min="3076" max="3076" width="8.7109375" style="734" customWidth="1"/>
    <col min="3077" max="3077" width="6.7109375" style="734" customWidth="1"/>
    <col min="3078" max="3078" width="9.5703125" style="734" customWidth="1"/>
    <col min="3079" max="3079" width="10.5703125" style="734" customWidth="1"/>
    <col min="3080" max="3080" width="8" style="734" customWidth="1"/>
    <col min="3081" max="3081" width="8.42578125" style="734" customWidth="1"/>
    <col min="3082" max="3082" width="8.5703125" style="734" bestFit="1" customWidth="1"/>
    <col min="3083" max="3084" width="8.140625" style="734" customWidth="1"/>
    <col min="3085" max="3085" width="9" style="734" customWidth="1"/>
    <col min="3086" max="3086" width="7.5703125" style="734" customWidth="1"/>
    <col min="3087" max="3087" width="7.28515625" style="734" customWidth="1"/>
    <col min="3088" max="3328" width="9.140625" style="734"/>
    <col min="3329" max="3329" width="36.5703125" style="734" customWidth="1"/>
    <col min="3330" max="3330" width="9" style="734" customWidth="1"/>
    <col min="3331" max="3331" width="8.140625" style="734" customWidth="1"/>
    <col min="3332" max="3332" width="8.7109375" style="734" customWidth="1"/>
    <col min="3333" max="3333" width="6.7109375" style="734" customWidth="1"/>
    <col min="3334" max="3334" width="9.5703125" style="734" customWidth="1"/>
    <col min="3335" max="3335" width="10.5703125" style="734" customWidth="1"/>
    <col min="3336" max="3336" width="8" style="734" customWidth="1"/>
    <col min="3337" max="3337" width="8.42578125" style="734" customWidth="1"/>
    <col min="3338" max="3338" width="8.5703125" style="734" bestFit="1" customWidth="1"/>
    <col min="3339" max="3340" width="8.140625" style="734" customWidth="1"/>
    <col min="3341" max="3341" width="9" style="734" customWidth="1"/>
    <col min="3342" max="3342" width="7.5703125" style="734" customWidth="1"/>
    <col min="3343" max="3343" width="7.28515625" style="734" customWidth="1"/>
    <col min="3344" max="3584" width="9.140625" style="734"/>
    <col min="3585" max="3585" width="36.5703125" style="734" customWidth="1"/>
    <col min="3586" max="3586" width="9" style="734" customWidth="1"/>
    <col min="3587" max="3587" width="8.140625" style="734" customWidth="1"/>
    <col min="3588" max="3588" width="8.7109375" style="734" customWidth="1"/>
    <col min="3589" max="3589" width="6.7109375" style="734" customWidth="1"/>
    <col min="3590" max="3590" width="9.5703125" style="734" customWidth="1"/>
    <col min="3591" max="3591" width="10.5703125" style="734" customWidth="1"/>
    <col min="3592" max="3592" width="8" style="734" customWidth="1"/>
    <col min="3593" max="3593" width="8.42578125" style="734" customWidth="1"/>
    <col min="3594" max="3594" width="8.5703125" style="734" bestFit="1" customWidth="1"/>
    <col min="3595" max="3596" width="8.140625" style="734" customWidth="1"/>
    <col min="3597" max="3597" width="9" style="734" customWidth="1"/>
    <col min="3598" max="3598" width="7.5703125" style="734" customWidth="1"/>
    <col min="3599" max="3599" width="7.28515625" style="734" customWidth="1"/>
    <col min="3600" max="3840" width="9.140625" style="734"/>
    <col min="3841" max="3841" width="36.5703125" style="734" customWidth="1"/>
    <col min="3842" max="3842" width="9" style="734" customWidth="1"/>
    <col min="3843" max="3843" width="8.140625" style="734" customWidth="1"/>
    <col min="3844" max="3844" width="8.7109375" style="734" customWidth="1"/>
    <col min="3845" max="3845" width="6.7109375" style="734" customWidth="1"/>
    <col min="3846" max="3846" width="9.5703125" style="734" customWidth="1"/>
    <col min="3847" max="3847" width="10.5703125" style="734" customWidth="1"/>
    <col min="3848" max="3848" width="8" style="734" customWidth="1"/>
    <col min="3849" max="3849" width="8.42578125" style="734" customWidth="1"/>
    <col min="3850" max="3850" width="8.5703125" style="734" bestFit="1" customWidth="1"/>
    <col min="3851" max="3852" width="8.140625" style="734" customWidth="1"/>
    <col min="3853" max="3853" width="9" style="734" customWidth="1"/>
    <col min="3854" max="3854" width="7.5703125" style="734" customWidth="1"/>
    <col min="3855" max="3855" width="7.28515625" style="734" customWidth="1"/>
    <col min="3856" max="4096" width="9.140625" style="734"/>
    <col min="4097" max="4097" width="36.5703125" style="734" customWidth="1"/>
    <col min="4098" max="4098" width="9" style="734" customWidth="1"/>
    <col min="4099" max="4099" width="8.140625" style="734" customWidth="1"/>
    <col min="4100" max="4100" width="8.7109375" style="734" customWidth="1"/>
    <col min="4101" max="4101" width="6.7109375" style="734" customWidth="1"/>
    <col min="4102" max="4102" width="9.5703125" style="734" customWidth="1"/>
    <col min="4103" max="4103" width="10.5703125" style="734" customWidth="1"/>
    <col min="4104" max="4104" width="8" style="734" customWidth="1"/>
    <col min="4105" max="4105" width="8.42578125" style="734" customWidth="1"/>
    <col min="4106" max="4106" width="8.5703125" style="734" bestFit="1" customWidth="1"/>
    <col min="4107" max="4108" width="8.140625" style="734" customWidth="1"/>
    <col min="4109" max="4109" width="9" style="734" customWidth="1"/>
    <col min="4110" max="4110" width="7.5703125" style="734" customWidth="1"/>
    <col min="4111" max="4111" width="7.28515625" style="734" customWidth="1"/>
    <col min="4112" max="4352" width="9.140625" style="734"/>
    <col min="4353" max="4353" width="36.5703125" style="734" customWidth="1"/>
    <col min="4354" max="4354" width="9" style="734" customWidth="1"/>
    <col min="4355" max="4355" width="8.140625" style="734" customWidth="1"/>
    <col min="4356" max="4356" width="8.7109375" style="734" customWidth="1"/>
    <col min="4357" max="4357" width="6.7109375" style="734" customWidth="1"/>
    <col min="4358" max="4358" width="9.5703125" style="734" customWidth="1"/>
    <col min="4359" max="4359" width="10.5703125" style="734" customWidth="1"/>
    <col min="4360" max="4360" width="8" style="734" customWidth="1"/>
    <col min="4361" max="4361" width="8.42578125" style="734" customWidth="1"/>
    <col min="4362" max="4362" width="8.5703125" style="734" bestFit="1" customWidth="1"/>
    <col min="4363" max="4364" width="8.140625" style="734" customWidth="1"/>
    <col min="4365" max="4365" width="9" style="734" customWidth="1"/>
    <col min="4366" max="4366" width="7.5703125" style="734" customWidth="1"/>
    <col min="4367" max="4367" width="7.28515625" style="734" customWidth="1"/>
    <col min="4368" max="4608" width="9.140625" style="734"/>
    <col min="4609" max="4609" width="36.5703125" style="734" customWidth="1"/>
    <col min="4610" max="4610" width="9" style="734" customWidth="1"/>
    <col min="4611" max="4611" width="8.140625" style="734" customWidth="1"/>
    <col min="4612" max="4612" width="8.7109375" style="734" customWidth="1"/>
    <col min="4613" max="4613" width="6.7109375" style="734" customWidth="1"/>
    <col min="4614" max="4614" width="9.5703125" style="734" customWidth="1"/>
    <col min="4615" max="4615" width="10.5703125" style="734" customWidth="1"/>
    <col min="4616" max="4616" width="8" style="734" customWidth="1"/>
    <col min="4617" max="4617" width="8.42578125" style="734" customWidth="1"/>
    <col min="4618" max="4618" width="8.5703125" style="734" bestFit="1" customWidth="1"/>
    <col min="4619" max="4620" width="8.140625" style="734" customWidth="1"/>
    <col min="4621" max="4621" width="9" style="734" customWidth="1"/>
    <col min="4622" max="4622" width="7.5703125" style="734" customWidth="1"/>
    <col min="4623" max="4623" width="7.28515625" style="734" customWidth="1"/>
    <col min="4624" max="4864" width="9.140625" style="734"/>
    <col min="4865" max="4865" width="36.5703125" style="734" customWidth="1"/>
    <col min="4866" max="4866" width="9" style="734" customWidth="1"/>
    <col min="4867" max="4867" width="8.140625" style="734" customWidth="1"/>
    <col min="4868" max="4868" width="8.7109375" style="734" customWidth="1"/>
    <col min="4869" max="4869" width="6.7109375" style="734" customWidth="1"/>
    <col min="4870" max="4870" width="9.5703125" style="734" customWidth="1"/>
    <col min="4871" max="4871" width="10.5703125" style="734" customWidth="1"/>
    <col min="4872" max="4872" width="8" style="734" customWidth="1"/>
    <col min="4873" max="4873" width="8.42578125" style="734" customWidth="1"/>
    <col min="4874" max="4874" width="8.5703125" style="734" bestFit="1" customWidth="1"/>
    <col min="4875" max="4876" width="8.140625" style="734" customWidth="1"/>
    <col min="4877" max="4877" width="9" style="734" customWidth="1"/>
    <col min="4878" max="4878" width="7.5703125" style="734" customWidth="1"/>
    <col min="4879" max="4879" width="7.28515625" style="734" customWidth="1"/>
    <col min="4880" max="5120" width="9.140625" style="734"/>
    <col min="5121" max="5121" width="36.5703125" style="734" customWidth="1"/>
    <col min="5122" max="5122" width="9" style="734" customWidth="1"/>
    <col min="5123" max="5123" width="8.140625" style="734" customWidth="1"/>
    <col min="5124" max="5124" width="8.7109375" style="734" customWidth="1"/>
    <col min="5125" max="5125" width="6.7109375" style="734" customWidth="1"/>
    <col min="5126" max="5126" width="9.5703125" style="734" customWidth="1"/>
    <col min="5127" max="5127" width="10.5703125" style="734" customWidth="1"/>
    <col min="5128" max="5128" width="8" style="734" customWidth="1"/>
    <col min="5129" max="5129" width="8.42578125" style="734" customWidth="1"/>
    <col min="5130" max="5130" width="8.5703125" style="734" bestFit="1" customWidth="1"/>
    <col min="5131" max="5132" width="8.140625" style="734" customWidth="1"/>
    <col min="5133" max="5133" width="9" style="734" customWidth="1"/>
    <col min="5134" max="5134" width="7.5703125" style="734" customWidth="1"/>
    <col min="5135" max="5135" width="7.28515625" style="734" customWidth="1"/>
    <col min="5136" max="5376" width="9.140625" style="734"/>
    <col min="5377" max="5377" width="36.5703125" style="734" customWidth="1"/>
    <col min="5378" max="5378" width="9" style="734" customWidth="1"/>
    <col min="5379" max="5379" width="8.140625" style="734" customWidth="1"/>
    <col min="5380" max="5380" width="8.7109375" style="734" customWidth="1"/>
    <col min="5381" max="5381" width="6.7109375" style="734" customWidth="1"/>
    <col min="5382" max="5382" width="9.5703125" style="734" customWidth="1"/>
    <col min="5383" max="5383" width="10.5703125" style="734" customWidth="1"/>
    <col min="5384" max="5384" width="8" style="734" customWidth="1"/>
    <col min="5385" max="5385" width="8.42578125" style="734" customWidth="1"/>
    <col min="5386" max="5386" width="8.5703125" style="734" bestFit="1" customWidth="1"/>
    <col min="5387" max="5388" width="8.140625" style="734" customWidth="1"/>
    <col min="5389" max="5389" width="9" style="734" customWidth="1"/>
    <col min="5390" max="5390" width="7.5703125" style="734" customWidth="1"/>
    <col min="5391" max="5391" width="7.28515625" style="734" customWidth="1"/>
    <col min="5392" max="5632" width="9.140625" style="734"/>
    <col min="5633" max="5633" width="36.5703125" style="734" customWidth="1"/>
    <col min="5634" max="5634" width="9" style="734" customWidth="1"/>
    <col min="5635" max="5635" width="8.140625" style="734" customWidth="1"/>
    <col min="5636" max="5636" width="8.7109375" style="734" customWidth="1"/>
    <col min="5637" max="5637" width="6.7109375" style="734" customWidth="1"/>
    <col min="5638" max="5638" width="9.5703125" style="734" customWidth="1"/>
    <col min="5639" max="5639" width="10.5703125" style="734" customWidth="1"/>
    <col min="5640" max="5640" width="8" style="734" customWidth="1"/>
    <col min="5641" max="5641" width="8.42578125" style="734" customWidth="1"/>
    <col min="5642" max="5642" width="8.5703125" style="734" bestFit="1" customWidth="1"/>
    <col min="5643" max="5644" width="8.140625" style="734" customWidth="1"/>
    <col min="5645" max="5645" width="9" style="734" customWidth="1"/>
    <col min="5646" max="5646" width="7.5703125" style="734" customWidth="1"/>
    <col min="5647" max="5647" width="7.28515625" style="734" customWidth="1"/>
    <col min="5648" max="5888" width="9.140625" style="734"/>
    <col min="5889" max="5889" width="36.5703125" style="734" customWidth="1"/>
    <col min="5890" max="5890" width="9" style="734" customWidth="1"/>
    <col min="5891" max="5891" width="8.140625" style="734" customWidth="1"/>
    <col min="5892" max="5892" width="8.7109375" style="734" customWidth="1"/>
    <col min="5893" max="5893" width="6.7109375" style="734" customWidth="1"/>
    <col min="5894" max="5894" width="9.5703125" style="734" customWidth="1"/>
    <col min="5895" max="5895" width="10.5703125" style="734" customWidth="1"/>
    <col min="5896" max="5896" width="8" style="734" customWidth="1"/>
    <col min="5897" max="5897" width="8.42578125" style="734" customWidth="1"/>
    <col min="5898" max="5898" width="8.5703125" style="734" bestFit="1" customWidth="1"/>
    <col min="5899" max="5900" width="8.140625" style="734" customWidth="1"/>
    <col min="5901" max="5901" width="9" style="734" customWidth="1"/>
    <col min="5902" max="5902" width="7.5703125" style="734" customWidth="1"/>
    <col min="5903" max="5903" width="7.28515625" style="734" customWidth="1"/>
    <col min="5904" max="6144" width="9.140625" style="734"/>
    <col min="6145" max="6145" width="36.5703125" style="734" customWidth="1"/>
    <col min="6146" max="6146" width="9" style="734" customWidth="1"/>
    <col min="6147" max="6147" width="8.140625" style="734" customWidth="1"/>
    <col min="6148" max="6148" width="8.7109375" style="734" customWidth="1"/>
    <col min="6149" max="6149" width="6.7109375" style="734" customWidth="1"/>
    <col min="6150" max="6150" width="9.5703125" style="734" customWidth="1"/>
    <col min="6151" max="6151" width="10.5703125" style="734" customWidth="1"/>
    <col min="6152" max="6152" width="8" style="734" customWidth="1"/>
    <col min="6153" max="6153" width="8.42578125" style="734" customWidth="1"/>
    <col min="6154" max="6154" width="8.5703125" style="734" bestFit="1" customWidth="1"/>
    <col min="6155" max="6156" width="8.140625" style="734" customWidth="1"/>
    <col min="6157" max="6157" width="9" style="734" customWidth="1"/>
    <col min="6158" max="6158" width="7.5703125" style="734" customWidth="1"/>
    <col min="6159" max="6159" width="7.28515625" style="734" customWidth="1"/>
    <col min="6160" max="6400" width="9.140625" style="734"/>
    <col min="6401" max="6401" width="36.5703125" style="734" customWidth="1"/>
    <col min="6402" max="6402" width="9" style="734" customWidth="1"/>
    <col min="6403" max="6403" width="8.140625" style="734" customWidth="1"/>
    <col min="6404" max="6404" width="8.7109375" style="734" customWidth="1"/>
    <col min="6405" max="6405" width="6.7109375" style="734" customWidth="1"/>
    <col min="6406" max="6406" width="9.5703125" style="734" customWidth="1"/>
    <col min="6407" max="6407" width="10.5703125" style="734" customWidth="1"/>
    <col min="6408" max="6408" width="8" style="734" customWidth="1"/>
    <col min="6409" max="6409" width="8.42578125" style="734" customWidth="1"/>
    <col min="6410" max="6410" width="8.5703125" style="734" bestFit="1" customWidth="1"/>
    <col min="6411" max="6412" width="8.140625" style="734" customWidth="1"/>
    <col min="6413" max="6413" width="9" style="734" customWidth="1"/>
    <col min="6414" max="6414" width="7.5703125" style="734" customWidth="1"/>
    <col min="6415" max="6415" width="7.28515625" style="734" customWidth="1"/>
    <col min="6416" max="6656" width="9.140625" style="734"/>
    <col min="6657" max="6657" width="36.5703125" style="734" customWidth="1"/>
    <col min="6658" max="6658" width="9" style="734" customWidth="1"/>
    <col min="6659" max="6659" width="8.140625" style="734" customWidth="1"/>
    <col min="6660" max="6660" width="8.7109375" style="734" customWidth="1"/>
    <col min="6661" max="6661" width="6.7109375" style="734" customWidth="1"/>
    <col min="6662" max="6662" width="9.5703125" style="734" customWidth="1"/>
    <col min="6663" max="6663" width="10.5703125" style="734" customWidth="1"/>
    <col min="6664" max="6664" width="8" style="734" customWidth="1"/>
    <col min="6665" max="6665" width="8.42578125" style="734" customWidth="1"/>
    <col min="6666" max="6666" width="8.5703125" style="734" bestFit="1" customWidth="1"/>
    <col min="6667" max="6668" width="8.140625" style="734" customWidth="1"/>
    <col min="6669" max="6669" width="9" style="734" customWidth="1"/>
    <col min="6670" max="6670" width="7.5703125" style="734" customWidth="1"/>
    <col min="6671" max="6671" width="7.28515625" style="734" customWidth="1"/>
    <col min="6672" max="6912" width="9.140625" style="734"/>
    <col min="6913" max="6913" width="36.5703125" style="734" customWidth="1"/>
    <col min="6914" max="6914" width="9" style="734" customWidth="1"/>
    <col min="6915" max="6915" width="8.140625" style="734" customWidth="1"/>
    <col min="6916" max="6916" width="8.7109375" style="734" customWidth="1"/>
    <col min="6917" max="6917" width="6.7109375" style="734" customWidth="1"/>
    <col min="6918" max="6918" width="9.5703125" style="734" customWidth="1"/>
    <col min="6919" max="6919" width="10.5703125" style="734" customWidth="1"/>
    <col min="6920" max="6920" width="8" style="734" customWidth="1"/>
    <col min="6921" max="6921" width="8.42578125" style="734" customWidth="1"/>
    <col min="6922" max="6922" width="8.5703125" style="734" bestFit="1" customWidth="1"/>
    <col min="6923" max="6924" width="8.140625" style="734" customWidth="1"/>
    <col min="6925" max="6925" width="9" style="734" customWidth="1"/>
    <col min="6926" max="6926" width="7.5703125" style="734" customWidth="1"/>
    <col min="6927" max="6927" width="7.28515625" style="734" customWidth="1"/>
    <col min="6928" max="7168" width="9.140625" style="734"/>
    <col min="7169" max="7169" width="36.5703125" style="734" customWidth="1"/>
    <col min="7170" max="7170" width="9" style="734" customWidth="1"/>
    <col min="7171" max="7171" width="8.140625" style="734" customWidth="1"/>
    <col min="7172" max="7172" width="8.7109375" style="734" customWidth="1"/>
    <col min="7173" max="7173" width="6.7109375" style="734" customWidth="1"/>
    <col min="7174" max="7174" width="9.5703125" style="734" customWidth="1"/>
    <col min="7175" max="7175" width="10.5703125" style="734" customWidth="1"/>
    <col min="7176" max="7176" width="8" style="734" customWidth="1"/>
    <col min="7177" max="7177" width="8.42578125" style="734" customWidth="1"/>
    <col min="7178" max="7178" width="8.5703125" style="734" bestFit="1" customWidth="1"/>
    <col min="7179" max="7180" width="8.140625" style="734" customWidth="1"/>
    <col min="7181" max="7181" width="9" style="734" customWidth="1"/>
    <col min="7182" max="7182" width="7.5703125" style="734" customWidth="1"/>
    <col min="7183" max="7183" width="7.28515625" style="734" customWidth="1"/>
    <col min="7184" max="7424" width="9.140625" style="734"/>
    <col min="7425" max="7425" width="36.5703125" style="734" customWidth="1"/>
    <col min="7426" max="7426" width="9" style="734" customWidth="1"/>
    <col min="7427" max="7427" width="8.140625" style="734" customWidth="1"/>
    <col min="7428" max="7428" width="8.7109375" style="734" customWidth="1"/>
    <col min="7429" max="7429" width="6.7109375" style="734" customWidth="1"/>
    <col min="7430" max="7430" width="9.5703125" style="734" customWidth="1"/>
    <col min="7431" max="7431" width="10.5703125" style="734" customWidth="1"/>
    <col min="7432" max="7432" width="8" style="734" customWidth="1"/>
    <col min="7433" max="7433" width="8.42578125" style="734" customWidth="1"/>
    <col min="7434" max="7434" width="8.5703125" style="734" bestFit="1" customWidth="1"/>
    <col min="7435" max="7436" width="8.140625" style="734" customWidth="1"/>
    <col min="7437" max="7437" width="9" style="734" customWidth="1"/>
    <col min="7438" max="7438" width="7.5703125" style="734" customWidth="1"/>
    <col min="7439" max="7439" width="7.28515625" style="734" customWidth="1"/>
    <col min="7440" max="7680" width="9.140625" style="734"/>
    <col min="7681" max="7681" width="36.5703125" style="734" customWidth="1"/>
    <col min="7682" max="7682" width="9" style="734" customWidth="1"/>
    <col min="7683" max="7683" width="8.140625" style="734" customWidth="1"/>
    <col min="7684" max="7684" width="8.7109375" style="734" customWidth="1"/>
    <col min="7685" max="7685" width="6.7109375" style="734" customWidth="1"/>
    <col min="7686" max="7686" width="9.5703125" style="734" customWidth="1"/>
    <col min="7687" max="7687" width="10.5703125" style="734" customWidth="1"/>
    <col min="7688" max="7688" width="8" style="734" customWidth="1"/>
    <col min="7689" max="7689" width="8.42578125" style="734" customWidth="1"/>
    <col min="7690" max="7690" width="8.5703125" style="734" bestFit="1" customWidth="1"/>
    <col min="7691" max="7692" width="8.140625" style="734" customWidth="1"/>
    <col min="7693" max="7693" width="9" style="734" customWidth="1"/>
    <col min="7694" max="7694" width="7.5703125" style="734" customWidth="1"/>
    <col min="7695" max="7695" width="7.28515625" style="734" customWidth="1"/>
    <col min="7696" max="7936" width="9.140625" style="734"/>
    <col min="7937" max="7937" width="36.5703125" style="734" customWidth="1"/>
    <col min="7938" max="7938" width="9" style="734" customWidth="1"/>
    <col min="7939" max="7939" width="8.140625" style="734" customWidth="1"/>
    <col min="7940" max="7940" width="8.7109375" style="734" customWidth="1"/>
    <col min="7941" max="7941" width="6.7109375" style="734" customWidth="1"/>
    <col min="7942" max="7942" width="9.5703125" style="734" customWidth="1"/>
    <col min="7943" max="7943" width="10.5703125" style="734" customWidth="1"/>
    <col min="7944" max="7944" width="8" style="734" customWidth="1"/>
    <col min="7945" max="7945" width="8.42578125" style="734" customWidth="1"/>
    <col min="7946" max="7946" width="8.5703125" style="734" bestFit="1" customWidth="1"/>
    <col min="7947" max="7948" width="8.140625" style="734" customWidth="1"/>
    <col min="7949" max="7949" width="9" style="734" customWidth="1"/>
    <col min="7950" max="7950" width="7.5703125" style="734" customWidth="1"/>
    <col min="7951" max="7951" width="7.28515625" style="734" customWidth="1"/>
    <col min="7952" max="8192" width="9.140625" style="734"/>
    <col min="8193" max="8193" width="36.5703125" style="734" customWidth="1"/>
    <col min="8194" max="8194" width="9" style="734" customWidth="1"/>
    <col min="8195" max="8195" width="8.140625" style="734" customWidth="1"/>
    <col min="8196" max="8196" width="8.7109375" style="734" customWidth="1"/>
    <col min="8197" max="8197" width="6.7109375" style="734" customWidth="1"/>
    <col min="8198" max="8198" width="9.5703125" style="734" customWidth="1"/>
    <col min="8199" max="8199" width="10.5703125" style="734" customWidth="1"/>
    <col min="8200" max="8200" width="8" style="734" customWidth="1"/>
    <col min="8201" max="8201" width="8.42578125" style="734" customWidth="1"/>
    <col min="8202" max="8202" width="8.5703125" style="734" bestFit="1" customWidth="1"/>
    <col min="8203" max="8204" width="8.140625" style="734" customWidth="1"/>
    <col min="8205" max="8205" width="9" style="734" customWidth="1"/>
    <col min="8206" max="8206" width="7.5703125" style="734" customWidth="1"/>
    <col min="8207" max="8207" width="7.28515625" style="734" customWidth="1"/>
    <col min="8208" max="8448" width="9.140625" style="734"/>
    <col min="8449" max="8449" width="36.5703125" style="734" customWidth="1"/>
    <col min="8450" max="8450" width="9" style="734" customWidth="1"/>
    <col min="8451" max="8451" width="8.140625" style="734" customWidth="1"/>
    <col min="8452" max="8452" width="8.7109375" style="734" customWidth="1"/>
    <col min="8453" max="8453" width="6.7109375" style="734" customWidth="1"/>
    <col min="8454" max="8454" width="9.5703125" style="734" customWidth="1"/>
    <col min="8455" max="8455" width="10.5703125" style="734" customWidth="1"/>
    <col min="8456" max="8456" width="8" style="734" customWidth="1"/>
    <col min="8457" max="8457" width="8.42578125" style="734" customWidth="1"/>
    <col min="8458" max="8458" width="8.5703125" style="734" bestFit="1" customWidth="1"/>
    <col min="8459" max="8460" width="8.140625" style="734" customWidth="1"/>
    <col min="8461" max="8461" width="9" style="734" customWidth="1"/>
    <col min="8462" max="8462" width="7.5703125" style="734" customWidth="1"/>
    <col min="8463" max="8463" width="7.28515625" style="734" customWidth="1"/>
    <col min="8464" max="8704" width="9.140625" style="734"/>
    <col min="8705" max="8705" width="36.5703125" style="734" customWidth="1"/>
    <col min="8706" max="8706" width="9" style="734" customWidth="1"/>
    <col min="8707" max="8707" width="8.140625" style="734" customWidth="1"/>
    <col min="8708" max="8708" width="8.7109375" style="734" customWidth="1"/>
    <col min="8709" max="8709" width="6.7109375" style="734" customWidth="1"/>
    <col min="8710" max="8710" width="9.5703125" style="734" customWidth="1"/>
    <col min="8711" max="8711" width="10.5703125" style="734" customWidth="1"/>
    <col min="8712" max="8712" width="8" style="734" customWidth="1"/>
    <col min="8713" max="8713" width="8.42578125" style="734" customWidth="1"/>
    <col min="8714" max="8714" width="8.5703125" style="734" bestFit="1" customWidth="1"/>
    <col min="8715" max="8716" width="8.140625" style="734" customWidth="1"/>
    <col min="8717" max="8717" width="9" style="734" customWidth="1"/>
    <col min="8718" max="8718" width="7.5703125" style="734" customWidth="1"/>
    <col min="8719" max="8719" width="7.28515625" style="734" customWidth="1"/>
    <col min="8720" max="8960" width="9.140625" style="734"/>
    <col min="8961" max="8961" width="36.5703125" style="734" customWidth="1"/>
    <col min="8962" max="8962" width="9" style="734" customWidth="1"/>
    <col min="8963" max="8963" width="8.140625" style="734" customWidth="1"/>
    <col min="8964" max="8964" width="8.7109375" style="734" customWidth="1"/>
    <col min="8965" max="8965" width="6.7109375" style="734" customWidth="1"/>
    <col min="8966" max="8966" width="9.5703125" style="734" customWidth="1"/>
    <col min="8967" max="8967" width="10.5703125" style="734" customWidth="1"/>
    <col min="8968" max="8968" width="8" style="734" customWidth="1"/>
    <col min="8969" max="8969" width="8.42578125" style="734" customWidth="1"/>
    <col min="8970" max="8970" width="8.5703125" style="734" bestFit="1" customWidth="1"/>
    <col min="8971" max="8972" width="8.140625" style="734" customWidth="1"/>
    <col min="8973" max="8973" width="9" style="734" customWidth="1"/>
    <col min="8974" max="8974" width="7.5703125" style="734" customWidth="1"/>
    <col min="8975" max="8975" width="7.28515625" style="734" customWidth="1"/>
    <col min="8976" max="9216" width="9.140625" style="734"/>
    <col min="9217" max="9217" width="36.5703125" style="734" customWidth="1"/>
    <col min="9218" max="9218" width="9" style="734" customWidth="1"/>
    <col min="9219" max="9219" width="8.140625" style="734" customWidth="1"/>
    <col min="9220" max="9220" width="8.7109375" style="734" customWidth="1"/>
    <col min="9221" max="9221" width="6.7109375" style="734" customWidth="1"/>
    <col min="9222" max="9222" width="9.5703125" style="734" customWidth="1"/>
    <col min="9223" max="9223" width="10.5703125" style="734" customWidth="1"/>
    <col min="9224" max="9224" width="8" style="734" customWidth="1"/>
    <col min="9225" max="9225" width="8.42578125" style="734" customWidth="1"/>
    <col min="9226" max="9226" width="8.5703125" style="734" bestFit="1" customWidth="1"/>
    <col min="9227" max="9228" width="8.140625" style="734" customWidth="1"/>
    <col min="9229" max="9229" width="9" style="734" customWidth="1"/>
    <col min="9230" max="9230" width="7.5703125" style="734" customWidth="1"/>
    <col min="9231" max="9231" width="7.28515625" style="734" customWidth="1"/>
    <col min="9232" max="9472" width="9.140625" style="734"/>
    <col min="9473" max="9473" width="36.5703125" style="734" customWidth="1"/>
    <col min="9474" max="9474" width="9" style="734" customWidth="1"/>
    <col min="9475" max="9475" width="8.140625" style="734" customWidth="1"/>
    <col min="9476" max="9476" width="8.7109375" style="734" customWidth="1"/>
    <col min="9477" max="9477" width="6.7109375" style="734" customWidth="1"/>
    <col min="9478" max="9478" width="9.5703125" style="734" customWidth="1"/>
    <col min="9479" max="9479" width="10.5703125" style="734" customWidth="1"/>
    <col min="9480" max="9480" width="8" style="734" customWidth="1"/>
    <col min="9481" max="9481" width="8.42578125" style="734" customWidth="1"/>
    <col min="9482" max="9482" width="8.5703125" style="734" bestFit="1" customWidth="1"/>
    <col min="9483" max="9484" width="8.140625" style="734" customWidth="1"/>
    <col min="9485" max="9485" width="9" style="734" customWidth="1"/>
    <col min="9486" max="9486" width="7.5703125" style="734" customWidth="1"/>
    <col min="9487" max="9487" width="7.28515625" style="734" customWidth="1"/>
    <col min="9488" max="9728" width="9.140625" style="734"/>
    <col min="9729" max="9729" width="36.5703125" style="734" customWidth="1"/>
    <col min="9730" max="9730" width="9" style="734" customWidth="1"/>
    <col min="9731" max="9731" width="8.140625" style="734" customWidth="1"/>
    <col min="9732" max="9732" width="8.7109375" style="734" customWidth="1"/>
    <col min="9733" max="9733" width="6.7109375" style="734" customWidth="1"/>
    <col min="9734" max="9734" width="9.5703125" style="734" customWidth="1"/>
    <col min="9735" max="9735" width="10.5703125" style="734" customWidth="1"/>
    <col min="9736" max="9736" width="8" style="734" customWidth="1"/>
    <col min="9737" max="9737" width="8.42578125" style="734" customWidth="1"/>
    <col min="9738" max="9738" width="8.5703125" style="734" bestFit="1" customWidth="1"/>
    <col min="9739" max="9740" width="8.140625" style="734" customWidth="1"/>
    <col min="9741" max="9741" width="9" style="734" customWidth="1"/>
    <col min="9742" max="9742" width="7.5703125" style="734" customWidth="1"/>
    <col min="9743" max="9743" width="7.28515625" style="734" customWidth="1"/>
    <col min="9744" max="9984" width="9.140625" style="734"/>
    <col min="9985" max="9985" width="36.5703125" style="734" customWidth="1"/>
    <col min="9986" max="9986" width="9" style="734" customWidth="1"/>
    <col min="9987" max="9987" width="8.140625" style="734" customWidth="1"/>
    <col min="9988" max="9988" width="8.7109375" style="734" customWidth="1"/>
    <col min="9989" max="9989" width="6.7109375" style="734" customWidth="1"/>
    <col min="9990" max="9990" width="9.5703125" style="734" customWidth="1"/>
    <col min="9991" max="9991" width="10.5703125" style="734" customWidth="1"/>
    <col min="9992" max="9992" width="8" style="734" customWidth="1"/>
    <col min="9993" max="9993" width="8.42578125" style="734" customWidth="1"/>
    <col min="9994" max="9994" width="8.5703125" style="734" bestFit="1" customWidth="1"/>
    <col min="9995" max="9996" width="8.140625" style="734" customWidth="1"/>
    <col min="9997" max="9997" width="9" style="734" customWidth="1"/>
    <col min="9998" max="9998" width="7.5703125" style="734" customWidth="1"/>
    <col min="9999" max="9999" width="7.28515625" style="734" customWidth="1"/>
    <col min="10000" max="10240" width="9.140625" style="734"/>
    <col min="10241" max="10241" width="36.5703125" style="734" customWidth="1"/>
    <col min="10242" max="10242" width="9" style="734" customWidth="1"/>
    <col min="10243" max="10243" width="8.140625" style="734" customWidth="1"/>
    <col min="10244" max="10244" width="8.7109375" style="734" customWidth="1"/>
    <col min="10245" max="10245" width="6.7109375" style="734" customWidth="1"/>
    <col min="10246" max="10246" width="9.5703125" style="734" customWidth="1"/>
    <col min="10247" max="10247" width="10.5703125" style="734" customWidth="1"/>
    <col min="10248" max="10248" width="8" style="734" customWidth="1"/>
    <col min="10249" max="10249" width="8.42578125" style="734" customWidth="1"/>
    <col min="10250" max="10250" width="8.5703125" style="734" bestFit="1" customWidth="1"/>
    <col min="10251" max="10252" width="8.140625" style="734" customWidth="1"/>
    <col min="10253" max="10253" width="9" style="734" customWidth="1"/>
    <col min="10254" max="10254" width="7.5703125" style="734" customWidth="1"/>
    <col min="10255" max="10255" width="7.28515625" style="734" customWidth="1"/>
    <col min="10256" max="10496" width="9.140625" style="734"/>
    <col min="10497" max="10497" width="36.5703125" style="734" customWidth="1"/>
    <col min="10498" max="10498" width="9" style="734" customWidth="1"/>
    <col min="10499" max="10499" width="8.140625" style="734" customWidth="1"/>
    <col min="10500" max="10500" width="8.7109375" style="734" customWidth="1"/>
    <col min="10501" max="10501" width="6.7109375" style="734" customWidth="1"/>
    <col min="10502" max="10502" width="9.5703125" style="734" customWidth="1"/>
    <col min="10503" max="10503" width="10.5703125" style="734" customWidth="1"/>
    <col min="10504" max="10504" width="8" style="734" customWidth="1"/>
    <col min="10505" max="10505" width="8.42578125" style="734" customWidth="1"/>
    <col min="10506" max="10506" width="8.5703125" style="734" bestFit="1" customWidth="1"/>
    <col min="10507" max="10508" width="8.140625" style="734" customWidth="1"/>
    <col min="10509" max="10509" width="9" style="734" customWidth="1"/>
    <col min="10510" max="10510" width="7.5703125" style="734" customWidth="1"/>
    <col min="10511" max="10511" width="7.28515625" style="734" customWidth="1"/>
    <col min="10512" max="10752" width="9.140625" style="734"/>
    <col min="10753" max="10753" width="36.5703125" style="734" customWidth="1"/>
    <col min="10754" max="10754" width="9" style="734" customWidth="1"/>
    <col min="10755" max="10755" width="8.140625" style="734" customWidth="1"/>
    <col min="10756" max="10756" width="8.7109375" style="734" customWidth="1"/>
    <col min="10757" max="10757" width="6.7109375" style="734" customWidth="1"/>
    <col min="10758" max="10758" width="9.5703125" style="734" customWidth="1"/>
    <col min="10759" max="10759" width="10.5703125" style="734" customWidth="1"/>
    <col min="10760" max="10760" width="8" style="734" customWidth="1"/>
    <col min="10761" max="10761" width="8.42578125" style="734" customWidth="1"/>
    <col min="10762" max="10762" width="8.5703125" style="734" bestFit="1" customWidth="1"/>
    <col min="10763" max="10764" width="8.140625" style="734" customWidth="1"/>
    <col min="10765" max="10765" width="9" style="734" customWidth="1"/>
    <col min="10766" max="10766" width="7.5703125" style="734" customWidth="1"/>
    <col min="10767" max="10767" width="7.28515625" style="734" customWidth="1"/>
    <col min="10768" max="11008" width="9.140625" style="734"/>
    <col min="11009" max="11009" width="36.5703125" style="734" customWidth="1"/>
    <col min="11010" max="11010" width="9" style="734" customWidth="1"/>
    <col min="11011" max="11011" width="8.140625" style="734" customWidth="1"/>
    <col min="11012" max="11012" width="8.7109375" style="734" customWidth="1"/>
    <col min="11013" max="11013" width="6.7109375" style="734" customWidth="1"/>
    <col min="11014" max="11014" width="9.5703125" style="734" customWidth="1"/>
    <col min="11015" max="11015" width="10.5703125" style="734" customWidth="1"/>
    <col min="11016" max="11016" width="8" style="734" customWidth="1"/>
    <col min="11017" max="11017" width="8.42578125" style="734" customWidth="1"/>
    <col min="11018" max="11018" width="8.5703125" style="734" bestFit="1" customWidth="1"/>
    <col min="11019" max="11020" width="8.140625" style="734" customWidth="1"/>
    <col min="11021" max="11021" width="9" style="734" customWidth="1"/>
    <col min="11022" max="11022" width="7.5703125" style="734" customWidth="1"/>
    <col min="11023" max="11023" width="7.28515625" style="734" customWidth="1"/>
    <col min="11024" max="11264" width="9.140625" style="734"/>
    <col min="11265" max="11265" width="36.5703125" style="734" customWidth="1"/>
    <col min="11266" max="11266" width="9" style="734" customWidth="1"/>
    <col min="11267" max="11267" width="8.140625" style="734" customWidth="1"/>
    <col min="11268" max="11268" width="8.7109375" style="734" customWidth="1"/>
    <col min="11269" max="11269" width="6.7109375" style="734" customWidth="1"/>
    <col min="11270" max="11270" width="9.5703125" style="734" customWidth="1"/>
    <col min="11271" max="11271" width="10.5703125" style="734" customWidth="1"/>
    <col min="11272" max="11272" width="8" style="734" customWidth="1"/>
    <col min="11273" max="11273" width="8.42578125" style="734" customWidth="1"/>
    <col min="11274" max="11274" width="8.5703125" style="734" bestFit="1" customWidth="1"/>
    <col min="11275" max="11276" width="8.140625" style="734" customWidth="1"/>
    <col min="11277" max="11277" width="9" style="734" customWidth="1"/>
    <col min="11278" max="11278" width="7.5703125" style="734" customWidth="1"/>
    <col min="11279" max="11279" width="7.28515625" style="734" customWidth="1"/>
    <col min="11280" max="11520" width="9.140625" style="734"/>
    <col min="11521" max="11521" width="36.5703125" style="734" customWidth="1"/>
    <col min="11522" max="11522" width="9" style="734" customWidth="1"/>
    <col min="11523" max="11523" width="8.140625" style="734" customWidth="1"/>
    <col min="11524" max="11524" width="8.7109375" style="734" customWidth="1"/>
    <col min="11525" max="11525" width="6.7109375" style="734" customWidth="1"/>
    <col min="11526" max="11526" width="9.5703125" style="734" customWidth="1"/>
    <col min="11527" max="11527" width="10.5703125" style="734" customWidth="1"/>
    <col min="11528" max="11528" width="8" style="734" customWidth="1"/>
    <col min="11529" max="11529" width="8.42578125" style="734" customWidth="1"/>
    <col min="11530" max="11530" width="8.5703125" style="734" bestFit="1" customWidth="1"/>
    <col min="11531" max="11532" width="8.140625" style="734" customWidth="1"/>
    <col min="11533" max="11533" width="9" style="734" customWidth="1"/>
    <col min="11534" max="11534" width="7.5703125" style="734" customWidth="1"/>
    <col min="11535" max="11535" width="7.28515625" style="734" customWidth="1"/>
    <col min="11536" max="11776" width="9.140625" style="734"/>
    <col min="11777" max="11777" width="36.5703125" style="734" customWidth="1"/>
    <col min="11778" max="11778" width="9" style="734" customWidth="1"/>
    <col min="11779" max="11779" width="8.140625" style="734" customWidth="1"/>
    <col min="11780" max="11780" width="8.7109375" style="734" customWidth="1"/>
    <col min="11781" max="11781" width="6.7109375" style="734" customWidth="1"/>
    <col min="11782" max="11782" width="9.5703125" style="734" customWidth="1"/>
    <col min="11783" max="11783" width="10.5703125" style="734" customWidth="1"/>
    <col min="11784" max="11784" width="8" style="734" customWidth="1"/>
    <col min="11785" max="11785" width="8.42578125" style="734" customWidth="1"/>
    <col min="11786" max="11786" width="8.5703125" style="734" bestFit="1" customWidth="1"/>
    <col min="11787" max="11788" width="8.140625" style="734" customWidth="1"/>
    <col min="11789" max="11789" width="9" style="734" customWidth="1"/>
    <col min="11790" max="11790" width="7.5703125" style="734" customWidth="1"/>
    <col min="11791" max="11791" width="7.28515625" style="734" customWidth="1"/>
    <col min="11792" max="12032" width="9.140625" style="734"/>
    <col min="12033" max="12033" width="36.5703125" style="734" customWidth="1"/>
    <col min="12034" max="12034" width="9" style="734" customWidth="1"/>
    <col min="12035" max="12035" width="8.140625" style="734" customWidth="1"/>
    <col min="12036" max="12036" width="8.7109375" style="734" customWidth="1"/>
    <col min="12037" max="12037" width="6.7109375" style="734" customWidth="1"/>
    <col min="12038" max="12038" width="9.5703125" style="734" customWidth="1"/>
    <col min="12039" max="12039" width="10.5703125" style="734" customWidth="1"/>
    <col min="12040" max="12040" width="8" style="734" customWidth="1"/>
    <col min="12041" max="12041" width="8.42578125" style="734" customWidth="1"/>
    <col min="12042" max="12042" width="8.5703125" style="734" bestFit="1" customWidth="1"/>
    <col min="12043" max="12044" width="8.140625" style="734" customWidth="1"/>
    <col min="12045" max="12045" width="9" style="734" customWidth="1"/>
    <col min="12046" max="12046" width="7.5703125" style="734" customWidth="1"/>
    <col min="12047" max="12047" width="7.28515625" style="734" customWidth="1"/>
    <col min="12048" max="12288" width="9.140625" style="734"/>
    <col min="12289" max="12289" width="36.5703125" style="734" customWidth="1"/>
    <col min="12290" max="12290" width="9" style="734" customWidth="1"/>
    <col min="12291" max="12291" width="8.140625" style="734" customWidth="1"/>
    <col min="12292" max="12292" width="8.7109375" style="734" customWidth="1"/>
    <col min="12293" max="12293" width="6.7109375" style="734" customWidth="1"/>
    <col min="12294" max="12294" width="9.5703125" style="734" customWidth="1"/>
    <col min="12295" max="12295" width="10.5703125" style="734" customWidth="1"/>
    <col min="12296" max="12296" width="8" style="734" customWidth="1"/>
    <col min="12297" max="12297" width="8.42578125" style="734" customWidth="1"/>
    <col min="12298" max="12298" width="8.5703125" style="734" bestFit="1" customWidth="1"/>
    <col min="12299" max="12300" width="8.140625" style="734" customWidth="1"/>
    <col min="12301" max="12301" width="9" style="734" customWidth="1"/>
    <col min="12302" max="12302" width="7.5703125" style="734" customWidth="1"/>
    <col min="12303" max="12303" width="7.28515625" style="734" customWidth="1"/>
    <col min="12304" max="12544" width="9.140625" style="734"/>
    <col min="12545" max="12545" width="36.5703125" style="734" customWidth="1"/>
    <col min="12546" max="12546" width="9" style="734" customWidth="1"/>
    <col min="12547" max="12547" width="8.140625" style="734" customWidth="1"/>
    <col min="12548" max="12548" width="8.7109375" style="734" customWidth="1"/>
    <col min="12549" max="12549" width="6.7109375" style="734" customWidth="1"/>
    <col min="12550" max="12550" width="9.5703125" style="734" customWidth="1"/>
    <col min="12551" max="12551" width="10.5703125" style="734" customWidth="1"/>
    <col min="12552" max="12552" width="8" style="734" customWidth="1"/>
    <col min="12553" max="12553" width="8.42578125" style="734" customWidth="1"/>
    <col min="12554" max="12554" width="8.5703125" style="734" bestFit="1" customWidth="1"/>
    <col min="12555" max="12556" width="8.140625" style="734" customWidth="1"/>
    <col min="12557" max="12557" width="9" style="734" customWidth="1"/>
    <col min="12558" max="12558" width="7.5703125" style="734" customWidth="1"/>
    <col min="12559" max="12559" width="7.28515625" style="734" customWidth="1"/>
    <col min="12560" max="12800" width="9.140625" style="734"/>
    <col min="12801" max="12801" width="36.5703125" style="734" customWidth="1"/>
    <col min="12802" max="12802" width="9" style="734" customWidth="1"/>
    <col min="12803" max="12803" width="8.140625" style="734" customWidth="1"/>
    <col min="12804" max="12804" width="8.7109375" style="734" customWidth="1"/>
    <col min="12805" max="12805" width="6.7109375" style="734" customWidth="1"/>
    <col min="12806" max="12806" width="9.5703125" style="734" customWidth="1"/>
    <col min="12807" max="12807" width="10.5703125" style="734" customWidth="1"/>
    <col min="12808" max="12808" width="8" style="734" customWidth="1"/>
    <col min="12809" max="12809" width="8.42578125" style="734" customWidth="1"/>
    <col min="12810" max="12810" width="8.5703125" style="734" bestFit="1" customWidth="1"/>
    <col min="12811" max="12812" width="8.140625" style="734" customWidth="1"/>
    <col min="12813" max="12813" width="9" style="734" customWidth="1"/>
    <col min="12814" max="12814" width="7.5703125" style="734" customWidth="1"/>
    <col min="12815" max="12815" width="7.28515625" style="734" customWidth="1"/>
    <col min="12816" max="13056" width="9.140625" style="734"/>
    <col min="13057" max="13057" width="36.5703125" style="734" customWidth="1"/>
    <col min="13058" max="13058" width="9" style="734" customWidth="1"/>
    <col min="13059" max="13059" width="8.140625" style="734" customWidth="1"/>
    <col min="13060" max="13060" width="8.7109375" style="734" customWidth="1"/>
    <col min="13061" max="13061" width="6.7109375" style="734" customWidth="1"/>
    <col min="13062" max="13062" width="9.5703125" style="734" customWidth="1"/>
    <col min="13063" max="13063" width="10.5703125" style="734" customWidth="1"/>
    <col min="13064" max="13064" width="8" style="734" customWidth="1"/>
    <col min="13065" max="13065" width="8.42578125" style="734" customWidth="1"/>
    <col min="13066" max="13066" width="8.5703125" style="734" bestFit="1" customWidth="1"/>
    <col min="13067" max="13068" width="8.140625" style="734" customWidth="1"/>
    <col min="13069" max="13069" width="9" style="734" customWidth="1"/>
    <col min="13070" max="13070" width="7.5703125" style="734" customWidth="1"/>
    <col min="13071" max="13071" width="7.28515625" style="734" customWidth="1"/>
    <col min="13072" max="13312" width="9.140625" style="734"/>
    <col min="13313" max="13313" width="36.5703125" style="734" customWidth="1"/>
    <col min="13314" max="13314" width="9" style="734" customWidth="1"/>
    <col min="13315" max="13315" width="8.140625" style="734" customWidth="1"/>
    <col min="13316" max="13316" width="8.7109375" style="734" customWidth="1"/>
    <col min="13317" max="13317" width="6.7109375" style="734" customWidth="1"/>
    <col min="13318" max="13318" width="9.5703125" style="734" customWidth="1"/>
    <col min="13319" max="13319" width="10.5703125" style="734" customWidth="1"/>
    <col min="13320" max="13320" width="8" style="734" customWidth="1"/>
    <col min="13321" max="13321" width="8.42578125" style="734" customWidth="1"/>
    <col min="13322" max="13322" width="8.5703125" style="734" bestFit="1" customWidth="1"/>
    <col min="13323" max="13324" width="8.140625" style="734" customWidth="1"/>
    <col min="13325" max="13325" width="9" style="734" customWidth="1"/>
    <col min="13326" max="13326" width="7.5703125" style="734" customWidth="1"/>
    <col min="13327" max="13327" width="7.28515625" style="734" customWidth="1"/>
    <col min="13328" max="13568" width="9.140625" style="734"/>
    <col min="13569" max="13569" width="36.5703125" style="734" customWidth="1"/>
    <col min="13570" max="13570" width="9" style="734" customWidth="1"/>
    <col min="13571" max="13571" width="8.140625" style="734" customWidth="1"/>
    <col min="13572" max="13572" width="8.7109375" style="734" customWidth="1"/>
    <col min="13573" max="13573" width="6.7109375" style="734" customWidth="1"/>
    <col min="13574" max="13574" width="9.5703125" style="734" customWidth="1"/>
    <col min="13575" max="13575" width="10.5703125" style="734" customWidth="1"/>
    <col min="13576" max="13576" width="8" style="734" customWidth="1"/>
    <col min="13577" max="13577" width="8.42578125" style="734" customWidth="1"/>
    <col min="13578" max="13578" width="8.5703125" style="734" bestFit="1" customWidth="1"/>
    <col min="13579" max="13580" width="8.140625" style="734" customWidth="1"/>
    <col min="13581" max="13581" width="9" style="734" customWidth="1"/>
    <col min="13582" max="13582" width="7.5703125" style="734" customWidth="1"/>
    <col min="13583" max="13583" width="7.28515625" style="734" customWidth="1"/>
    <col min="13584" max="13824" width="9.140625" style="734"/>
    <col min="13825" max="13825" width="36.5703125" style="734" customWidth="1"/>
    <col min="13826" max="13826" width="9" style="734" customWidth="1"/>
    <col min="13827" max="13827" width="8.140625" style="734" customWidth="1"/>
    <col min="13828" max="13828" width="8.7109375" style="734" customWidth="1"/>
    <col min="13829" max="13829" width="6.7109375" style="734" customWidth="1"/>
    <col min="13830" max="13830" width="9.5703125" style="734" customWidth="1"/>
    <col min="13831" max="13831" width="10.5703125" style="734" customWidth="1"/>
    <col min="13832" max="13832" width="8" style="734" customWidth="1"/>
    <col min="13833" max="13833" width="8.42578125" style="734" customWidth="1"/>
    <col min="13834" max="13834" width="8.5703125" style="734" bestFit="1" customWidth="1"/>
    <col min="13835" max="13836" width="8.140625" style="734" customWidth="1"/>
    <col min="13837" max="13837" width="9" style="734" customWidth="1"/>
    <col min="13838" max="13838" width="7.5703125" style="734" customWidth="1"/>
    <col min="13839" max="13839" width="7.28515625" style="734" customWidth="1"/>
    <col min="13840" max="14080" width="9.140625" style="734"/>
    <col min="14081" max="14081" width="36.5703125" style="734" customWidth="1"/>
    <col min="14082" max="14082" width="9" style="734" customWidth="1"/>
    <col min="14083" max="14083" width="8.140625" style="734" customWidth="1"/>
    <col min="14084" max="14084" width="8.7109375" style="734" customWidth="1"/>
    <col min="14085" max="14085" width="6.7109375" style="734" customWidth="1"/>
    <col min="14086" max="14086" width="9.5703125" style="734" customWidth="1"/>
    <col min="14087" max="14087" width="10.5703125" style="734" customWidth="1"/>
    <col min="14088" max="14088" width="8" style="734" customWidth="1"/>
    <col min="14089" max="14089" width="8.42578125" style="734" customWidth="1"/>
    <col min="14090" max="14090" width="8.5703125" style="734" bestFit="1" customWidth="1"/>
    <col min="14091" max="14092" width="8.140625" style="734" customWidth="1"/>
    <col min="14093" max="14093" width="9" style="734" customWidth="1"/>
    <col min="14094" max="14094" width="7.5703125" style="734" customWidth="1"/>
    <col min="14095" max="14095" width="7.28515625" style="734" customWidth="1"/>
    <col min="14096" max="14336" width="9.140625" style="734"/>
    <col min="14337" max="14337" width="36.5703125" style="734" customWidth="1"/>
    <col min="14338" max="14338" width="9" style="734" customWidth="1"/>
    <col min="14339" max="14339" width="8.140625" style="734" customWidth="1"/>
    <col min="14340" max="14340" width="8.7109375" style="734" customWidth="1"/>
    <col min="14341" max="14341" width="6.7109375" style="734" customWidth="1"/>
    <col min="14342" max="14342" width="9.5703125" style="734" customWidth="1"/>
    <col min="14343" max="14343" width="10.5703125" style="734" customWidth="1"/>
    <col min="14344" max="14344" width="8" style="734" customWidth="1"/>
    <col min="14345" max="14345" width="8.42578125" style="734" customWidth="1"/>
    <col min="14346" max="14346" width="8.5703125" style="734" bestFit="1" customWidth="1"/>
    <col min="14347" max="14348" width="8.140625" style="734" customWidth="1"/>
    <col min="14349" max="14349" width="9" style="734" customWidth="1"/>
    <col min="14350" max="14350" width="7.5703125" style="734" customWidth="1"/>
    <col min="14351" max="14351" width="7.28515625" style="734" customWidth="1"/>
    <col min="14352" max="14592" width="9.140625" style="734"/>
    <col min="14593" max="14593" width="36.5703125" style="734" customWidth="1"/>
    <col min="14594" max="14594" width="9" style="734" customWidth="1"/>
    <col min="14595" max="14595" width="8.140625" style="734" customWidth="1"/>
    <col min="14596" max="14596" width="8.7109375" style="734" customWidth="1"/>
    <col min="14597" max="14597" width="6.7109375" style="734" customWidth="1"/>
    <col min="14598" max="14598" width="9.5703125" style="734" customWidth="1"/>
    <col min="14599" max="14599" width="10.5703125" style="734" customWidth="1"/>
    <col min="14600" max="14600" width="8" style="734" customWidth="1"/>
    <col min="14601" max="14601" width="8.42578125" style="734" customWidth="1"/>
    <col min="14602" max="14602" width="8.5703125" style="734" bestFit="1" customWidth="1"/>
    <col min="14603" max="14604" width="8.140625" style="734" customWidth="1"/>
    <col min="14605" max="14605" width="9" style="734" customWidth="1"/>
    <col min="14606" max="14606" width="7.5703125" style="734" customWidth="1"/>
    <col min="14607" max="14607" width="7.28515625" style="734" customWidth="1"/>
    <col min="14608" max="14848" width="9.140625" style="734"/>
    <col min="14849" max="14849" width="36.5703125" style="734" customWidth="1"/>
    <col min="14850" max="14850" width="9" style="734" customWidth="1"/>
    <col min="14851" max="14851" width="8.140625" style="734" customWidth="1"/>
    <col min="14852" max="14852" width="8.7109375" style="734" customWidth="1"/>
    <col min="14853" max="14853" width="6.7109375" style="734" customWidth="1"/>
    <col min="14854" max="14854" width="9.5703125" style="734" customWidth="1"/>
    <col min="14855" max="14855" width="10.5703125" style="734" customWidth="1"/>
    <col min="14856" max="14856" width="8" style="734" customWidth="1"/>
    <col min="14857" max="14857" width="8.42578125" style="734" customWidth="1"/>
    <col min="14858" max="14858" width="8.5703125" style="734" bestFit="1" customWidth="1"/>
    <col min="14859" max="14860" width="8.140625" style="734" customWidth="1"/>
    <col min="14861" max="14861" width="9" style="734" customWidth="1"/>
    <col min="14862" max="14862" width="7.5703125" style="734" customWidth="1"/>
    <col min="14863" max="14863" width="7.28515625" style="734" customWidth="1"/>
    <col min="14864" max="15104" width="9.140625" style="734"/>
    <col min="15105" max="15105" width="36.5703125" style="734" customWidth="1"/>
    <col min="15106" max="15106" width="9" style="734" customWidth="1"/>
    <col min="15107" max="15107" width="8.140625" style="734" customWidth="1"/>
    <col min="15108" max="15108" width="8.7109375" style="734" customWidth="1"/>
    <col min="15109" max="15109" width="6.7109375" style="734" customWidth="1"/>
    <col min="15110" max="15110" width="9.5703125" style="734" customWidth="1"/>
    <col min="15111" max="15111" width="10.5703125" style="734" customWidth="1"/>
    <col min="15112" max="15112" width="8" style="734" customWidth="1"/>
    <col min="15113" max="15113" width="8.42578125" style="734" customWidth="1"/>
    <col min="15114" max="15114" width="8.5703125" style="734" bestFit="1" customWidth="1"/>
    <col min="15115" max="15116" width="8.140625" style="734" customWidth="1"/>
    <col min="15117" max="15117" width="9" style="734" customWidth="1"/>
    <col min="15118" max="15118" width="7.5703125" style="734" customWidth="1"/>
    <col min="15119" max="15119" width="7.28515625" style="734" customWidth="1"/>
    <col min="15120" max="15360" width="9.140625" style="734"/>
    <col min="15361" max="15361" width="36.5703125" style="734" customWidth="1"/>
    <col min="15362" max="15362" width="9" style="734" customWidth="1"/>
    <col min="15363" max="15363" width="8.140625" style="734" customWidth="1"/>
    <col min="15364" max="15364" width="8.7109375" style="734" customWidth="1"/>
    <col min="15365" max="15365" width="6.7109375" style="734" customWidth="1"/>
    <col min="15366" max="15366" width="9.5703125" style="734" customWidth="1"/>
    <col min="15367" max="15367" width="10.5703125" style="734" customWidth="1"/>
    <col min="15368" max="15368" width="8" style="734" customWidth="1"/>
    <col min="15369" max="15369" width="8.42578125" style="734" customWidth="1"/>
    <col min="15370" max="15370" width="8.5703125" style="734" bestFit="1" customWidth="1"/>
    <col min="15371" max="15372" width="8.140625" style="734" customWidth="1"/>
    <col min="15373" max="15373" width="9" style="734" customWidth="1"/>
    <col min="15374" max="15374" width="7.5703125" style="734" customWidth="1"/>
    <col min="15375" max="15375" width="7.28515625" style="734" customWidth="1"/>
    <col min="15376" max="15616" width="9.140625" style="734"/>
    <col min="15617" max="15617" width="36.5703125" style="734" customWidth="1"/>
    <col min="15618" max="15618" width="9" style="734" customWidth="1"/>
    <col min="15619" max="15619" width="8.140625" style="734" customWidth="1"/>
    <col min="15620" max="15620" width="8.7109375" style="734" customWidth="1"/>
    <col min="15621" max="15621" width="6.7109375" style="734" customWidth="1"/>
    <col min="15622" max="15622" width="9.5703125" style="734" customWidth="1"/>
    <col min="15623" max="15623" width="10.5703125" style="734" customWidth="1"/>
    <col min="15624" max="15624" width="8" style="734" customWidth="1"/>
    <col min="15625" max="15625" width="8.42578125" style="734" customWidth="1"/>
    <col min="15626" max="15626" width="8.5703125" style="734" bestFit="1" customWidth="1"/>
    <col min="15627" max="15628" width="8.140625" style="734" customWidth="1"/>
    <col min="15629" max="15629" width="9" style="734" customWidth="1"/>
    <col min="15630" max="15630" width="7.5703125" style="734" customWidth="1"/>
    <col min="15631" max="15631" width="7.28515625" style="734" customWidth="1"/>
    <col min="15632" max="15872" width="9.140625" style="734"/>
    <col min="15873" max="15873" width="36.5703125" style="734" customWidth="1"/>
    <col min="15874" max="15874" width="9" style="734" customWidth="1"/>
    <col min="15875" max="15875" width="8.140625" style="734" customWidth="1"/>
    <col min="15876" max="15876" width="8.7109375" style="734" customWidth="1"/>
    <col min="15877" max="15877" width="6.7109375" style="734" customWidth="1"/>
    <col min="15878" max="15878" width="9.5703125" style="734" customWidth="1"/>
    <col min="15879" max="15879" width="10.5703125" style="734" customWidth="1"/>
    <col min="15880" max="15880" width="8" style="734" customWidth="1"/>
    <col min="15881" max="15881" width="8.42578125" style="734" customWidth="1"/>
    <col min="15882" max="15882" width="8.5703125" style="734" bestFit="1" customWidth="1"/>
    <col min="15883" max="15884" width="8.140625" style="734" customWidth="1"/>
    <col min="15885" max="15885" width="9" style="734" customWidth="1"/>
    <col min="15886" max="15886" width="7.5703125" style="734" customWidth="1"/>
    <col min="15887" max="15887" width="7.28515625" style="734" customWidth="1"/>
    <col min="15888" max="16128" width="9.140625" style="734"/>
    <col min="16129" max="16129" width="36.5703125" style="734" customWidth="1"/>
    <col min="16130" max="16130" width="9" style="734" customWidth="1"/>
    <col min="16131" max="16131" width="8.140625" style="734" customWidth="1"/>
    <col min="16132" max="16132" width="8.7109375" style="734" customWidth="1"/>
    <col min="16133" max="16133" width="6.7109375" style="734" customWidth="1"/>
    <col min="16134" max="16134" width="9.5703125" style="734" customWidth="1"/>
    <col min="16135" max="16135" width="10.5703125" style="734" customWidth="1"/>
    <col min="16136" max="16136" width="8" style="734" customWidth="1"/>
    <col min="16137" max="16137" width="8.42578125" style="734" customWidth="1"/>
    <col min="16138" max="16138" width="8.5703125" style="734" bestFit="1" customWidth="1"/>
    <col min="16139" max="16140" width="8.140625" style="734" customWidth="1"/>
    <col min="16141" max="16141" width="9" style="734" customWidth="1"/>
    <col min="16142" max="16142" width="7.5703125" style="734" customWidth="1"/>
    <col min="16143" max="16143" width="7.28515625" style="734" customWidth="1"/>
    <col min="16144" max="16384" width="9.140625" style="734"/>
  </cols>
  <sheetData>
    <row r="1" spans="1:17">
      <c r="A1" s="1546" t="s">
        <v>4177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</row>
    <row r="2" spans="1:17">
      <c r="E2" s="1546" t="s">
        <v>4178</v>
      </c>
      <c r="F2" s="1546"/>
      <c r="G2" s="1546"/>
    </row>
    <row r="3" spans="1:17" ht="20.25" customHeight="1">
      <c r="A3" s="735" t="s">
        <v>4176</v>
      </c>
      <c r="E3" s="736"/>
      <c r="F3" s="736"/>
      <c r="G3" s="736"/>
    </row>
    <row r="4" spans="1:17" ht="26.25" customHeight="1">
      <c r="A4" s="737" t="s">
        <v>169</v>
      </c>
      <c r="B4" s="1576" t="s">
        <v>4244</v>
      </c>
      <c r="C4" s="1576"/>
      <c r="D4" s="1576"/>
      <c r="E4" s="1548" t="s">
        <v>4180</v>
      </c>
      <c r="F4" s="1548"/>
      <c r="G4" s="1549">
        <v>405010206030101</v>
      </c>
      <c r="H4" s="1549"/>
      <c r="I4" s="1548" t="s">
        <v>172</v>
      </c>
      <c r="J4" s="1548"/>
      <c r="K4" s="738" t="s">
        <v>4245</v>
      </c>
      <c r="L4" s="1548" t="s">
        <v>4183</v>
      </c>
      <c r="M4" s="1548"/>
      <c r="N4" s="739" t="s">
        <v>4184</v>
      </c>
    </row>
    <row r="5" spans="1:17">
      <c r="A5" s="773"/>
      <c r="C5" s="736"/>
      <c r="D5" s="736"/>
      <c r="E5" s="736"/>
      <c r="F5" s="774"/>
      <c r="G5" s="774"/>
      <c r="I5" s="347"/>
      <c r="K5" s="775"/>
      <c r="L5" s="775"/>
      <c r="M5" s="347"/>
    </row>
    <row r="6" spans="1:17" ht="26.25" customHeight="1">
      <c r="A6" s="740" t="s">
        <v>174</v>
      </c>
      <c r="B6" s="1551" t="s">
        <v>4246</v>
      </c>
      <c r="C6" s="1552"/>
      <c r="D6" s="1552"/>
      <c r="E6" s="1553"/>
      <c r="F6" s="1554" t="s">
        <v>176</v>
      </c>
      <c r="G6" s="1555"/>
      <c r="H6" s="1556"/>
      <c r="I6" s="1547" t="s">
        <v>4247</v>
      </c>
      <c r="J6" s="1547"/>
      <c r="K6" s="1547"/>
      <c r="L6" s="1547"/>
      <c r="M6" s="1547"/>
    </row>
    <row r="7" spans="1:17">
      <c r="B7" s="736"/>
      <c r="C7" s="736"/>
      <c r="D7" s="736"/>
      <c r="E7" s="736"/>
      <c r="I7" s="736"/>
      <c r="J7" s="736"/>
      <c r="K7" s="736"/>
      <c r="L7" s="736"/>
      <c r="M7" s="736"/>
    </row>
    <row r="8" spans="1:17" ht="26.25" customHeight="1">
      <c r="A8" s="741" t="s">
        <v>178</v>
      </c>
      <c r="B8" s="1547" t="s">
        <v>4248</v>
      </c>
      <c r="C8" s="1547"/>
      <c r="D8" s="1547"/>
      <c r="E8" s="1564" t="s">
        <v>4188</v>
      </c>
      <c r="F8" s="1564"/>
      <c r="G8" s="1577"/>
      <c r="H8" s="1577"/>
      <c r="I8" s="1577"/>
      <c r="J8" s="1564"/>
      <c r="K8" s="1558" t="s">
        <v>4249</v>
      </c>
      <c r="L8" s="1558"/>
      <c r="M8" s="1558"/>
      <c r="N8" s="1558"/>
    </row>
    <row r="9" spans="1:17" ht="26.25" customHeight="1">
      <c r="A9" s="743" t="s">
        <v>4189</v>
      </c>
      <c r="B9" s="1547" t="s">
        <v>4250</v>
      </c>
      <c r="C9" s="1547"/>
      <c r="D9" s="1547"/>
      <c r="E9" s="1547" t="s">
        <v>4251</v>
      </c>
      <c r="F9" s="1551"/>
      <c r="G9" s="1547"/>
      <c r="H9" s="1547" t="s">
        <v>4252</v>
      </c>
      <c r="I9" s="1547"/>
      <c r="J9" s="1553"/>
      <c r="K9" s="1547" t="s">
        <v>4253</v>
      </c>
      <c r="L9" s="1547"/>
      <c r="M9" s="1547"/>
      <c r="N9" s="1547"/>
    </row>
    <row r="10" spans="1:17" ht="26.25" customHeight="1">
      <c r="A10" s="744" t="s">
        <v>187</v>
      </c>
      <c r="B10" s="1568" t="s">
        <v>4254</v>
      </c>
      <c r="C10" s="1568"/>
      <c r="D10" s="1568"/>
      <c r="E10" s="1568" t="s">
        <v>4255</v>
      </c>
      <c r="F10" s="1568"/>
      <c r="G10" s="1550"/>
      <c r="H10" s="1550" t="s">
        <v>4256</v>
      </c>
      <c r="I10" s="1550"/>
      <c r="J10" s="1547"/>
      <c r="K10" s="1560"/>
      <c r="L10" s="1560"/>
      <c r="M10" s="1560"/>
      <c r="N10" s="1560"/>
    </row>
    <row r="11" spans="1:17" ht="26.25" customHeight="1">
      <c r="A11" s="745" t="s">
        <v>192</v>
      </c>
      <c r="B11" s="1547" t="s">
        <v>4257</v>
      </c>
      <c r="C11" s="1547"/>
      <c r="D11" s="1547"/>
      <c r="E11" s="1547" t="s">
        <v>4258</v>
      </c>
      <c r="F11" s="1551"/>
      <c r="G11" s="1547"/>
      <c r="H11" s="1547" t="s">
        <v>4261</v>
      </c>
      <c r="I11" s="1547"/>
      <c r="J11" s="1553"/>
      <c r="K11" s="1547" t="s">
        <v>4262</v>
      </c>
      <c r="L11" s="1547"/>
      <c r="M11" s="1547"/>
      <c r="N11" s="1547"/>
    </row>
    <row r="12" spans="1:17" ht="26.25" customHeight="1">
      <c r="A12" s="743" t="s">
        <v>197</v>
      </c>
      <c r="B12" s="1547" t="s">
        <v>4259</v>
      </c>
      <c r="C12" s="1547"/>
      <c r="D12" s="1547"/>
      <c r="E12" s="1547" t="s">
        <v>4260</v>
      </c>
      <c r="F12" s="1547"/>
      <c r="G12" s="1568"/>
    </row>
    <row r="13" spans="1:17">
      <c r="A13" s="347"/>
      <c r="B13" s="736"/>
      <c r="C13" s="736"/>
      <c r="D13" s="736"/>
      <c r="E13" s="736"/>
      <c r="F13" s="736"/>
      <c r="G13" s="736"/>
      <c r="H13" s="736"/>
      <c r="I13" s="736"/>
      <c r="J13" s="736"/>
      <c r="K13" s="736"/>
      <c r="L13" s="736"/>
      <c r="M13" s="736"/>
      <c r="N13" s="736"/>
      <c r="Q13" s="1574"/>
    </row>
    <row r="14" spans="1:17" ht="26.25" customHeight="1">
      <c r="A14" s="743" t="s">
        <v>198</v>
      </c>
      <c r="B14" s="747">
        <v>4</v>
      </c>
      <c r="C14" s="1562" t="s">
        <v>199</v>
      </c>
      <c r="D14" s="1562"/>
      <c r="E14" s="1562"/>
      <c r="F14" s="748">
        <v>3</v>
      </c>
      <c r="G14" s="744" t="s">
        <v>200</v>
      </c>
      <c r="H14" s="748">
        <v>13</v>
      </c>
      <c r="I14" s="749" t="s">
        <v>4196</v>
      </c>
      <c r="J14" s="748"/>
      <c r="K14" s="749" t="s">
        <v>202</v>
      </c>
      <c r="L14" s="747">
        <v>4</v>
      </c>
      <c r="Q14" s="1574"/>
    </row>
    <row r="15" spans="1:17">
      <c r="A15" s="347"/>
      <c r="C15" s="750"/>
      <c r="D15" s="750"/>
      <c r="E15" s="750"/>
      <c r="F15" s="751"/>
      <c r="G15" s="751"/>
      <c r="H15" s="751"/>
      <c r="I15" s="751"/>
      <c r="J15" s="751"/>
      <c r="K15" s="751"/>
    </row>
    <row r="16" spans="1:17" ht="26.25" customHeight="1">
      <c r="A16" s="752" t="s">
        <v>203</v>
      </c>
      <c r="B16" s="753" t="s">
        <v>4197</v>
      </c>
      <c r="C16" s="747">
        <v>151</v>
      </c>
      <c r="D16" s="753" t="s">
        <v>4198</v>
      </c>
      <c r="E16" s="754">
        <v>0</v>
      </c>
      <c r="F16" s="755" t="s">
        <v>4199</v>
      </c>
      <c r="G16" s="754">
        <v>0</v>
      </c>
      <c r="H16" s="753" t="s">
        <v>4200</v>
      </c>
      <c r="I16" s="754">
        <v>151</v>
      </c>
      <c r="J16" s="755" t="s">
        <v>414</v>
      </c>
      <c r="K16" s="747">
        <v>15</v>
      </c>
      <c r="L16" s="1575" t="s">
        <v>4201</v>
      </c>
      <c r="M16" s="1575"/>
      <c r="N16" s="1575"/>
      <c r="O16" s="747">
        <v>5</v>
      </c>
    </row>
    <row r="17" spans="1:14" ht="26.25" customHeight="1">
      <c r="A17" s="752" t="s">
        <v>1029</v>
      </c>
      <c r="B17" s="741" t="s">
        <v>4202</v>
      </c>
      <c r="C17" s="747">
        <v>343</v>
      </c>
      <c r="D17" s="741" t="s">
        <v>4203</v>
      </c>
      <c r="E17" s="747">
        <v>0</v>
      </c>
      <c r="F17" s="741" t="s">
        <v>4204</v>
      </c>
      <c r="G17" s="747">
        <v>0</v>
      </c>
      <c r="H17" s="757" t="s">
        <v>5781</v>
      </c>
      <c r="I17" s="747">
        <v>343</v>
      </c>
    </row>
    <row r="18" spans="1:14" ht="26.25" customHeight="1">
      <c r="B18" s="741" t="s">
        <v>4205</v>
      </c>
      <c r="C18" s="747">
        <v>347</v>
      </c>
      <c r="D18" s="741" t="s">
        <v>214</v>
      </c>
      <c r="E18" s="747">
        <v>0</v>
      </c>
      <c r="F18" s="741" t="s">
        <v>1494</v>
      </c>
      <c r="G18" s="747">
        <v>0</v>
      </c>
      <c r="H18" s="757" t="s">
        <v>5782</v>
      </c>
      <c r="I18" s="747">
        <v>347</v>
      </c>
    </row>
    <row r="19" spans="1:14" ht="26.25" customHeight="1">
      <c r="A19" s="758" t="s">
        <v>216</v>
      </c>
    </row>
    <row r="20" spans="1:14" ht="26.25" customHeight="1">
      <c r="A20" s="1565" t="s">
        <v>4206</v>
      </c>
      <c r="B20" s="1566" t="s">
        <v>408</v>
      </c>
      <c r="C20" s="1566" t="s">
        <v>219</v>
      </c>
      <c r="D20" s="1566" t="s">
        <v>4207</v>
      </c>
      <c r="E20" s="1566" t="s">
        <v>1713</v>
      </c>
      <c r="F20" s="1567" t="s">
        <v>4208</v>
      </c>
      <c r="G20" s="1567"/>
      <c r="H20" s="1567"/>
      <c r="I20" s="1567"/>
      <c r="J20" s="1567"/>
      <c r="K20" s="1567"/>
      <c r="L20" s="1567"/>
      <c r="M20" s="1567"/>
      <c r="N20" s="1567"/>
    </row>
    <row r="21" spans="1:14" ht="26.25" customHeight="1">
      <c r="A21" s="1565"/>
      <c r="B21" s="1566"/>
      <c r="C21" s="1566"/>
      <c r="D21" s="1566"/>
      <c r="E21" s="1566"/>
      <c r="F21" s="759">
        <v>1</v>
      </c>
      <c r="G21" s="759">
        <v>2</v>
      </c>
      <c r="H21" s="759">
        <v>3</v>
      </c>
      <c r="I21" s="759">
        <v>4</v>
      </c>
      <c r="J21" s="759">
        <v>5</v>
      </c>
      <c r="K21" s="759">
        <v>6</v>
      </c>
      <c r="L21" s="759">
        <v>7</v>
      </c>
      <c r="M21" s="759" t="s">
        <v>230</v>
      </c>
      <c r="N21" s="760" t="s">
        <v>231</v>
      </c>
    </row>
    <row r="22" spans="1:14" ht="26.25" customHeight="1">
      <c r="A22" s="744" t="s">
        <v>232</v>
      </c>
      <c r="B22" s="761">
        <v>8000</v>
      </c>
      <c r="C22" s="761" t="s">
        <v>4209</v>
      </c>
      <c r="D22" s="762">
        <v>42.24</v>
      </c>
      <c r="E22" s="777">
        <v>3.3159999999999998</v>
      </c>
      <c r="F22" s="764">
        <v>0</v>
      </c>
      <c r="G22" s="764">
        <v>0</v>
      </c>
      <c r="H22" s="764">
        <v>0.48120000000000002</v>
      </c>
      <c r="I22" s="764"/>
      <c r="J22" s="764"/>
      <c r="K22" s="764"/>
      <c r="L22" s="764"/>
      <c r="M22" s="764">
        <f>L22+J22+I22+H22+G22+F22</f>
        <v>0.48120000000000002</v>
      </c>
      <c r="N22" s="766">
        <f>M22/E22*100</f>
        <v>14.511459589867313</v>
      </c>
    </row>
    <row r="23" spans="1:14" ht="26.25" customHeight="1">
      <c r="A23" s="743" t="s">
        <v>4210</v>
      </c>
      <c r="B23" s="739">
        <v>7000</v>
      </c>
      <c r="C23" s="761" t="s">
        <v>4209</v>
      </c>
      <c r="D23" s="762">
        <v>36.96</v>
      </c>
      <c r="E23" s="767">
        <v>0</v>
      </c>
      <c r="F23" s="764">
        <v>0</v>
      </c>
      <c r="G23" s="764">
        <v>0</v>
      </c>
      <c r="H23" s="771">
        <v>0</v>
      </c>
      <c r="I23" s="771"/>
      <c r="J23" s="771"/>
      <c r="K23" s="771"/>
      <c r="L23" s="771"/>
      <c r="M23" s="764">
        <f t="shared" ref="M23:M30" si="0">L23+J23+I23+H23+G23+F23</f>
        <v>0</v>
      </c>
      <c r="N23" s="766">
        <v>0</v>
      </c>
    </row>
    <row r="24" spans="1:14" ht="26.25" customHeight="1">
      <c r="A24" s="743" t="s">
        <v>4211</v>
      </c>
      <c r="B24" s="747">
        <v>43000</v>
      </c>
      <c r="C24" s="747" t="s">
        <v>236</v>
      </c>
      <c r="D24" s="770">
        <v>0.43</v>
      </c>
      <c r="E24" s="769">
        <v>0.18</v>
      </c>
      <c r="F24" s="764">
        <v>0</v>
      </c>
      <c r="G24" s="764">
        <v>0</v>
      </c>
      <c r="H24" s="771">
        <v>0</v>
      </c>
      <c r="I24" s="771"/>
      <c r="J24" s="771"/>
      <c r="K24" s="771"/>
      <c r="L24" s="771"/>
      <c r="M24" s="764">
        <f t="shared" si="0"/>
        <v>0</v>
      </c>
      <c r="N24" s="766">
        <f t="shared" ref="N24:N29" si="1">M24/E24*100</f>
        <v>0</v>
      </c>
    </row>
    <row r="25" spans="1:14" ht="26.25" customHeight="1">
      <c r="A25" s="743" t="s">
        <v>4212</v>
      </c>
      <c r="B25" s="747">
        <v>37000</v>
      </c>
      <c r="C25" s="747" t="s">
        <v>236</v>
      </c>
      <c r="D25" s="770">
        <v>0.37</v>
      </c>
      <c r="E25" s="769">
        <v>0.16</v>
      </c>
      <c r="F25" s="764">
        <v>0</v>
      </c>
      <c r="G25" s="764">
        <v>0</v>
      </c>
      <c r="H25" s="771">
        <v>0</v>
      </c>
      <c r="I25" s="771"/>
      <c r="J25" s="771"/>
      <c r="K25" s="771"/>
      <c r="L25" s="771"/>
      <c r="M25" s="764">
        <f t="shared" si="0"/>
        <v>0</v>
      </c>
      <c r="N25" s="766">
        <f t="shared" si="1"/>
        <v>0</v>
      </c>
    </row>
    <row r="26" spans="1:14" ht="26.25" customHeight="1">
      <c r="A26" s="743" t="s">
        <v>4213</v>
      </c>
      <c r="B26" s="747">
        <v>1200</v>
      </c>
      <c r="C26" s="747" t="s">
        <v>4209</v>
      </c>
      <c r="D26" s="770">
        <v>6.33</v>
      </c>
      <c r="E26" s="769">
        <v>2</v>
      </c>
      <c r="F26" s="764">
        <v>0</v>
      </c>
      <c r="G26" s="764">
        <v>0</v>
      </c>
      <c r="H26" s="771">
        <v>1.5147299999999999</v>
      </c>
      <c r="I26" s="771"/>
      <c r="J26" s="771"/>
      <c r="K26" s="771"/>
      <c r="L26" s="771"/>
      <c r="M26" s="764">
        <f t="shared" si="0"/>
        <v>1.5147299999999999</v>
      </c>
      <c r="N26" s="766">
        <f t="shared" si="1"/>
        <v>75.736499999999992</v>
      </c>
    </row>
    <row r="27" spans="1:14" ht="26.25" customHeight="1">
      <c r="A27" s="741" t="s">
        <v>4214</v>
      </c>
      <c r="B27" s="747">
        <v>565</v>
      </c>
      <c r="C27" s="747" t="s">
        <v>4209</v>
      </c>
      <c r="D27" s="770">
        <v>2.98</v>
      </c>
      <c r="E27" s="769">
        <v>0.52800000000000002</v>
      </c>
      <c r="F27" s="764">
        <v>0</v>
      </c>
      <c r="G27" s="764">
        <v>0</v>
      </c>
      <c r="H27" s="771">
        <v>0.3</v>
      </c>
      <c r="I27" s="771"/>
      <c r="J27" s="771"/>
      <c r="K27" s="771"/>
      <c r="L27" s="771"/>
      <c r="M27" s="764">
        <f t="shared" si="0"/>
        <v>0.3</v>
      </c>
      <c r="N27" s="766">
        <f t="shared" si="1"/>
        <v>56.818181818181813</v>
      </c>
    </row>
    <row r="28" spans="1:14" ht="26.25" customHeight="1">
      <c r="A28" s="743" t="s">
        <v>240</v>
      </c>
      <c r="B28" s="747">
        <v>1000</v>
      </c>
      <c r="C28" s="747" t="s">
        <v>4209</v>
      </c>
      <c r="D28" s="770">
        <v>5.28</v>
      </c>
      <c r="E28" s="769">
        <v>0</v>
      </c>
      <c r="F28" s="764">
        <v>0</v>
      </c>
      <c r="G28" s="764">
        <v>0</v>
      </c>
      <c r="H28" s="771">
        <v>0</v>
      </c>
      <c r="I28" s="771"/>
      <c r="J28" s="771"/>
      <c r="K28" s="771"/>
      <c r="L28" s="771"/>
      <c r="M28" s="764">
        <f t="shared" si="0"/>
        <v>0</v>
      </c>
      <c r="N28" s="766">
        <v>0</v>
      </c>
    </row>
    <row r="29" spans="1:14" ht="26.25" customHeight="1">
      <c r="A29" s="743" t="s">
        <v>4215</v>
      </c>
      <c r="B29" s="747">
        <v>2750</v>
      </c>
      <c r="C29" s="747" t="s">
        <v>242</v>
      </c>
      <c r="D29" s="770">
        <v>2.31</v>
      </c>
      <c r="E29" s="769">
        <v>0.33</v>
      </c>
      <c r="F29" s="764">
        <v>0</v>
      </c>
      <c r="G29" s="764">
        <v>0</v>
      </c>
      <c r="H29" s="771">
        <v>0.33</v>
      </c>
      <c r="I29" s="771"/>
      <c r="J29" s="771"/>
      <c r="K29" s="771"/>
      <c r="L29" s="771"/>
      <c r="M29" s="764">
        <f t="shared" si="0"/>
        <v>0.33</v>
      </c>
      <c r="N29" s="766">
        <f t="shared" si="1"/>
        <v>100</v>
      </c>
    </row>
    <row r="30" spans="1:14" ht="26.25" customHeight="1">
      <c r="A30" s="741" t="s">
        <v>4216</v>
      </c>
      <c r="B30" s="747">
        <v>10000</v>
      </c>
      <c r="C30" s="747" t="s">
        <v>244</v>
      </c>
      <c r="D30" s="770">
        <v>0.1</v>
      </c>
      <c r="E30" s="769">
        <v>0</v>
      </c>
      <c r="F30" s="764">
        <v>0</v>
      </c>
      <c r="G30" s="764">
        <v>0</v>
      </c>
      <c r="H30" s="771">
        <v>0</v>
      </c>
      <c r="I30" s="771"/>
      <c r="J30" s="771"/>
      <c r="K30" s="771"/>
      <c r="L30" s="771"/>
      <c r="M30" s="764">
        <f t="shared" si="0"/>
        <v>0</v>
      </c>
      <c r="N30" s="766">
        <v>0</v>
      </c>
    </row>
    <row r="31" spans="1:14" ht="26.25" customHeight="1">
      <c r="A31" s="741" t="s">
        <v>245</v>
      </c>
      <c r="B31" s="747">
        <f>SUM(B22:B30)</f>
        <v>110515</v>
      </c>
      <c r="C31" s="747"/>
      <c r="D31" s="771">
        <f>SUM(D22:D30)</f>
        <v>97.000000000000014</v>
      </c>
      <c r="E31" s="769">
        <f>SUM(E22:E30)</f>
        <v>6.5140000000000011</v>
      </c>
      <c r="F31" s="771">
        <f>SUM(F22:F30)</f>
        <v>0</v>
      </c>
      <c r="G31" s="771">
        <f t="shared" ref="G31:M31" si="2">SUM(G22:G30)</f>
        <v>0</v>
      </c>
      <c r="H31" s="771">
        <f t="shared" si="2"/>
        <v>2.6259299999999999</v>
      </c>
      <c r="I31" s="771">
        <f t="shared" si="2"/>
        <v>0</v>
      </c>
      <c r="J31" s="771">
        <f t="shared" si="2"/>
        <v>0</v>
      </c>
      <c r="K31" s="771">
        <f t="shared" si="2"/>
        <v>0</v>
      </c>
      <c r="L31" s="771">
        <f t="shared" si="2"/>
        <v>0</v>
      </c>
      <c r="M31" s="771">
        <f t="shared" si="2"/>
        <v>2.6259299999999999</v>
      </c>
      <c r="N31" s="766"/>
    </row>
  </sheetData>
  <mergeCells count="36">
    <mergeCell ref="Q13:Q14"/>
    <mergeCell ref="C14:E14"/>
    <mergeCell ref="L16:N16"/>
    <mergeCell ref="A20:A21"/>
    <mergeCell ref="B20:B21"/>
    <mergeCell ref="C20:C21"/>
    <mergeCell ref="D20:D21"/>
    <mergeCell ref="E20:E21"/>
    <mergeCell ref="F20:N20"/>
    <mergeCell ref="B11:D11"/>
    <mergeCell ref="E11:G11"/>
    <mergeCell ref="H11:J11"/>
    <mergeCell ref="K11:N11"/>
    <mergeCell ref="B12:D12"/>
    <mergeCell ref="E12:G12"/>
    <mergeCell ref="B9:D9"/>
    <mergeCell ref="E9:G9"/>
    <mergeCell ref="H9:J9"/>
    <mergeCell ref="K9:N9"/>
    <mergeCell ref="B10:D10"/>
    <mergeCell ref="E10:G10"/>
    <mergeCell ref="H10:J10"/>
    <mergeCell ref="K10:N10"/>
    <mergeCell ref="B6:E6"/>
    <mergeCell ref="F6:H6"/>
    <mergeCell ref="I6:M6"/>
    <mergeCell ref="B8:D8"/>
    <mergeCell ref="E8:J8"/>
    <mergeCell ref="K8:N8"/>
    <mergeCell ref="A1:N1"/>
    <mergeCell ref="E2:G2"/>
    <mergeCell ref="B4:D4"/>
    <mergeCell ref="E4:F4"/>
    <mergeCell ref="G4:H4"/>
    <mergeCell ref="I4:J4"/>
    <mergeCell ref="L4:M4"/>
  </mergeCells>
  <hyperlinks>
    <hyperlink ref="A3" location="'Fact Sheet of VDC'!A1" display="&lt;&lt;Back"/>
  </hyperlinks>
  <pageMargins left="0.9" right="0.15748031496062992" top="0.39370078740157483" bottom="0.35433070866141736" header="0.31496062992125984" footer="0.31496062992125984"/>
  <pageSetup scale="75" orientation="landscape" r:id="rId1"/>
</worksheet>
</file>

<file path=xl/worksheets/sheet30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1"/>
  <sheetViews>
    <sheetView workbookViewId="0">
      <selection activeCell="A3" sqref="A3"/>
    </sheetView>
  </sheetViews>
  <sheetFormatPr defaultRowHeight="12"/>
  <cols>
    <col min="1" max="1" width="25.5703125" style="734" customWidth="1"/>
    <col min="2" max="2" width="9" style="734" customWidth="1"/>
    <col min="3" max="3" width="8.140625" style="734" customWidth="1"/>
    <col min="4" max="4" width="8.7109375" style="734" customWidth="1"/>
    <col min="5" max="5" width="6.7109375" style="734" customWidth="1"/>
    <col min="6" max="6" width="9.5703125" style="734" customWidth="1"/>
    <col min="7" max="7" width="10.5703125" style="734" customWidth="1"/>
    <col min="8" max="8" width="8" style="734" customWidth="1"/>
    <col min="9" max="9" width="8.42578125" style="734" customWidth="1"/>
    <col min="10" max="10" width="8.5703125" style="734" bestFit="1" customWidth="1"/>
    <col min="11" max="12" width="8.140625" style="734" customWidth="1"/>
    <col min="13" max="13" width="9" style="734" customWidth="1"/>
    <col min="14" max="14" width="7.5703125" style="734" customWidth="1"/>
    <col min="15" max="15" width="7.28515625" style="734" customWidth="1"/>
    <col min="16" max="256" width="9.140625" style="734"/>
    <col min="257" max="257" width="25.5703125" style="734" customWidth="1"/>
    <col min="258" max="258" width="9" style="734" customWidth="1"/>
    <col min="259" max="259" width="8.140625" style="734" customWidth="1"/>
    <col min="260" max="260" width="8.7109375" style="734" customWidth="1"/>
    <col min="261" max="261" width="6.7109375" style="734" customWidth="1"/>
    <col min="262" max="262" width="9.5703125" style="734" customWidth="1"/>
    <col min="263" max="263" width="10.5703125" style="734" customWidth="1"/>
    <col min="264" max="264" width="8" style="734" customWidth="1"/>
    <col min="265" max="265" width="8.42578125" style="734" customWidth="1"/>
    <col min="266" max="266" width="8.5703125" style="734" bestFit="1" customWidth="1"/>
    <col min="267" max="268" width="8.140625" style="734" customWidth="1"/>
    <col min="269" max="269" width="9" style="734" customWidth="1"/>
    <col min="270" max="270" width="7.5703125" style="734" customWidth="1"/>
    <col min="271" max="271" width="7.28515625" style="734" customWidth="1"/>
    <col min="272" max="512" width="9.140625" style="734"/>
    <col min="513" max="513" width="25.5703125" style="734" customWidth="1"/>
    <col min="514" max="514" width="9" style="734" customWidth="1"/>
    <col min="515" max="515" width="8.140625" style="734" customWidth="1"/>
    <col min="516" max="516" width="8.7109375" style="734" customWidth="1"/>
    <col min="517" max="517" width="6.7109375" style="734" customWidth="1"/>
    <col min="518" max="518" width="9.5703125" style="734" customWidth="1"/>
    <col min="519" max="519" width="10.5703125" style="734" customWidth="1"/>
    <col min="520" max="520" width="8" style="734" customWidth="1"/>
    <col min="521" max="521" width="8.42578125" style="734" customWidth="1"/>
    <col min="522" max="522" width="8.5703125" style="734" bestFit="1" customWidth="1"/>
    <col min="523" max="524" width="8.140625" style="734" customWidth="1"/>
    <col min="525" max="525" width="9" style="734" customWidth="1"/>
    <col min="526" max="526" width="7.5703125" style="734" customWidth="1"/>
    <col min="527" max="527" width="7.28515625" style="734" customWidth="1"/>
    <col min="528" max="768" width="9.140625" style="734"/>
    <col min="769" max="769" width="25.5703125" style="734" customWidth="1"/>
    <col min="770" max="770" width="9" style="734" customWidth="1"/>
    <col min="771" max="771" width="8.140625" style="734" customWidth="1"/>
    <col min="772" max="772" width="8.7109375" style="734" customWidth="1"/>
    <col min="773" max="773" width="6.7109375" style="734" customWidth="1"/>
    <col min="774" max="774" width="9.5703125" style="734" customWidth="1"/>
    <col min="775" max="775" width="10.5703125" style="734" customWidth="1"/>
    <col min="776" max="776" width="8" style="734" customWidth="1"/>
    <col min="777" max="777" width="8.42578125" style="734" customWidth="1"/>
    <col min="778" max="778" width="8.5703125" style="734" bestFit="1" customWidth="1"/>
    <col min="779" max="780" width="8.140625" style="734" customWidth="1"/>
    <col min="781" max="781" width="9" style="734" customWidth="1"/>
    <col min="782" max="782" width="7.5703125" style="734" customWidth="1"/>
    <col min="783" max="783" width="7.28515625" style="734" customWidth="1"/>
    <col min="784" max="1024" width="9.140625" style="734"/>
    <col min="1025" max="1025" width="25.5703125" style="734" customWidth="1"/>
    <col min="1026" max="1026" width="9" style="734" customWidth="1"/>
    <col min="1027" max="1027" width="8.140625" style="734" customWidth="1"/>
    <col min="1028" max="1028" width="8.7109375" style="734" customWidth="1"/>
    <col min="1029" max="1029" width="6.7109375" style="734" customWidth="1"/>
    <col min="1030" max="1030" width="9.5703125" style="734" customWidth="1"/>
    <col min="1031" max="1031" width="10.5703125" style="734" customWidth="1"/>
    <col min="1032" max="1032" width="8" style="734" customWidth="1"/>
    <col min="1033" max="1033" width="8.42578125" style="734" customWidth="1"/>
    <col min="1034" max="1034" width="8.5703125" style="734" bestFit="1" customWidth="1"/>
    <col min="1035" max="1036" width="8.140625" style="734" customWidth="1"/>
    <col min="1037" max="1037" width="9" style="734" customWidth="1"/>
    <col min="1038" max="1038" width="7.5703125" style="734" customWidth="1"/>
    <col min="1039" max="1039" width="7.28515625" style="734" customWidth="1"/>
    <col min="1040" max="1280" width="9.140625" style="734"/>
    <col min="1281" max="1281" width="25.5703125" style="734" customWidth="1"/>
    <col min="1282" max="1282" width="9" style="734" customWidth="1"/>
    <col min="1283" max="1283" width="8.140625" style="734" customWidth="1"/>
    <col min="1284" max="1284" width="8.7109375" style="734" customWidth="1"/>
    <col min="1285" max="1285" width="6.7109375" style="734" customWidth="1"/>
    <col min="1286" max="1286" width="9.5703125" style="734" customWidth="1"/>
    <col min="1287" max="1287" width="10.5703125" style="734" customWidth="1"/>
    <col min="1288" max="1288" width="8" style="734" customWidth="1"/>
    <col min="1289" max="1289" width="8.42578125" style="734" customWidth="1"/>
    <col min="1290" max="1290" width="8.5703125" style="734" bestFit="1" customWidth="1"/>
    <col min="1291" max="1292" width="8.140625" style="734" customWidth="1"/>
    <col min="1293" max="1293" width="9" style="734" customWidth="1"/>
    <col min="1294" max="1294" width="7.5703125" style="734" customWidth="1"/>
    <col min="1295" max="1295" width="7.28515625" style="734" customWidth="1"/>
    <col min="1296" max="1536" width="9.140625" style="734"/>
    <col min="1537" max="1537" width="25.5703125" style="734" customWidth="1"/>
    <col min="1538" max="1538" width="9" style="734" customWidth="1"/>
    <col min="1539" max="1539" width="8.140625" style="734" customWidth="1"/>
    <col min="1540" max="1540" width="8.7109375" style="734" customWidth="1"/>
    <col min="1541" max="1541" width="6.7109375" style="734" customWidth="1"/>
    <col min="1542" max="1542" width="9.5703125" style="734" customWidth="1"/>
    <col min="1543" max="1543" width="10.5703125" style="734" customWidth="1"/>
    <col min="1544" max="1544" width="8" style="734" customWidth="1"/>
    <col min="1545" max="1545" width="8.42578125" style="734" customWidth="1"/>
    <col min="1546" max="1546" width="8.5703125" style="734" bestFit="1" customWidth="1"/>
    <col min="1547" max="1548" width="8.140625" style="734" customWidth="1"/>
    <col min="1549" max="1549" width="9" style="734" customWidth="1"/>
    <col min="1550" max="1550" width="7.5703125" style="734" customWidth="1"/>
    <col min="1551" max="1551" width="7.28515625" style="734" customWidth="1"/>
    <col min="1552" max="1792" width="9.140625" style="734"/>
    <col min="1793" max="1793" width="25.5703125" style="734" customWidth="1"/>
    <col min="1794" max="1794" width="9" style="734" customWidth="1"/>
    <col min="1795" max="1795" width="8.140625" style="734" customWidth="1"/>
    <col min="1796" max="1796" width="8.7109375" style="734" customWidth="1"/>
    <col min="1797" max="1797" width="6.7109375" style="734" customWidth="1"/>
    <col min="1798" max="1798" width="9.5703125" style="734" customWidth="1"/>
    <col min="1799" max="1799" width="10.5703125" style="734" customWidth="1"/>
    <col min="1800" max="1800" width="8" style="734" customWidth="1"/>
    <col min="1801" max="1801" width="8.42578125" style="734" customWidth="1"/>
    <col min="1802" max="1802" width="8.5703125" style="734" bestFit="1" customWidth="1"/>
    <col min="1803" max="1804" width="8.140625" style="734" customWidth="1"/>
    <col min="1805" max="1805" width="9" style="734" customWidth="1"/>
    <col min="1806" max="1806" width="7.5703125" style="734" customWidth="1"/>
    <col min="1807" max="1807" width="7.28515625" style="734" customWidth="1"/>
    <col min="1808" max="2048" width="9.140625" style="734"/>
    <col min="2049" max="2049" width="25.5703125" style="734" customWidth="1"/>
    <col min="2050" max="2050" width="9" style="734" customWidth="1"/>
    <col min="2051" max="2051" width="8.140625" style="734" customWidth="1"/>
    <col min="2052" max="2052" width="8.7109375" style="734" customWidth="1"/>
    <col min="2053" max="2053" width="6.7109375" style="734" customWidth="1"/>
    <col min="2054" max="2054" width="9.5703125" style="734" customWidth="1"/>
    <col min="2055" max="2055" width="10.5703125" style="734" customWidth="1"/>
    <col min="2056" max="2056" width="8" style="734" customWidth="1"/>
    <col min="2057" max="2057" width="8.42578125" style="734" customWidth="1"/>
    <col min="2058" max="2058" width="8.5703125" style="734" bestFit="1" customWidth="1"/>
    <col min="2059" max="2060" width="8.140625" style="734" customWidth="1"/>
    <col min="2061" max="2061" width="9" style="734" customWidth="1"/>
    <col min="2062" max="2062" width="7.5703125" style="734" customWidth="1"/>
    <col min="2063" max="2063" width="7.28515625" style="734" customWidth="1"/>
    <col min="2064" max="2304" width="9.140625" style="734"/>
    <col min="2305" max="2305" width="25.5703125" style="734" customWidth="1"/>
    <col min="2306" max="2306" width="9" style="734" customWidth="1"/>
    <col min="2307" max="2307" width="8.140625" style="734" customWidth="1"/>
    <col min="2308" max="2308" width="8.7109375" style="734" customWidth="1"/>
    <col min="2309" max="2309" width="6.7109375" style="734" customWidth="1"/>
    <col min="2310" max="2310" width="9.5703125" style="734" customWidth="1"/>
    <col min="2311" max="2311" width="10.5703125" style="734" customWidth="1"/>
    <col min="2312" max="2312" width="8" style="734" customWidth="1"/>
    <col min="2313" max="2313" width="8.42578125" style="734" customWidth="1"/>
    <col min="2314" max="2314" width="8.5703125" style="734" bestFit="1" customWidth="1"/>
    <col min="2315" max="2316" width="8.140625" style="734" customWidth="1"/>
    <col min="2317" max="2317" width="9" style="734" customWidth="1"/>
    <col min="2318" max="2318" width="7.5703125" style="734" customWidth="1"/>
    <col min="2319" max="2319" width="7.28515625" style="734" customWidth="1"/>
    <col min="2320" max="2560" width="9.140625" style="734"/>
    <col min="2561" max="2561" width="25.5703125" style="734" customWidth="1"/>
    <col min="2562" max="2562" width="9" style="734" customWidth="1"/>
    <col min="2563" max="2563" width="8.140625" style="734" customWidth="1"/>
    <col min="2564" max="2564" width="8.7109375" style="734" customWidth="1"/>
    <col min="2565" max="2565" width="6.7109375" style="734" customWidth="1"/>
    <col min="2566" max="2566" width="9.5703125" style="734" customWidth="1"/>
    <col min="2567" max="2567" width="10.5703125" style="734" customWidth="1"/>
    <col min="2568" max="2568" width="8" style="734" customWidth="1"/>
    <col min="2569" max="2569" width="8.42578125" style="734" customWidth="1"/>
    <col min="2570" max="2570" width="8.5703125" style="734" bestFit="1" customWidth="1"/>
    <col min="2571" max="2572" width="8.140625" style="734" customWidth="1"/>
    <col min="2573" max="2573" width="9" style="734" customWidth="1"/>
    <col min="2574" max="2574" width="7.5703125" style="734" customWidth="1"/>
    <col min="2575" max="2575" width="7.28515625" style="734" customWidth="1"/>
    <col min="2576" max="2816" width="9.140625" style="734"/>
    <col min="2817" max="2817" width="25.5703125" style="734" customWidth="1"/>
    <col min="2818" max="2818" width="9" style="734" customWidth="1"/>
    <col min="2819" max="2819" width="8.140625" style="734" customWidth="1"/>
    <col min="2820" max="2820" width="8.7109375" style="734" customWidth="1"/>
    <col min="2821" max="2821" width="6.7109375" style="734" customWidth="1"/>
    <col min="2822" max="2822" width="9.5703125" style="734" customWidth="1"/>
    <col min="2823" max="2823" width="10.5703125" style="734" customWidth="1"/>
    <col min="2824" max="2824" width="8" style="734" customWidth="1"/>
    <col min="2825" max="2825" width="8.42578125" style="734" customWidth="1"/>
    <col min="2826" max="2826" width="8.5703125" style="734" bestFit="1" customWidth="1"/>
    <col min="2827" max="2828" width="8.140625" style="734" customWidth="1"/>
    <col min="2829" max="2829" width="9" style="734" customWidth="1"/>
    <col min="2830" max="2830" width="7.5703125" style="734" customWidth="1"/>
    <col min="2831" max="2831" width="7.28515625" style="734" customWidth="1"/>
    <col min="2832" max="3072" width="9.140625" style="734"/>
    <col min="3073" max="3073" width="25.5703125" style="734" customWidth="1"/>
    <col min="3074" max="3074" width="9" style="734" customWidth="1"/>
    <col min="3075" max="3075" width="8.140625" style="734" customWidth="1"/>
    <col min="3076" max="3076" width="8.7109375" style="734" customWidth="1"/>
    <col min="3077" max="3077" width="6.7109375" style="734" customWidth="1"/>
    <col min="3078" max="3078" width="9.5703125" style="734" customWidth="1"/>
    <col min="3079" max="3079" width="10.5703125" style="734" customWidth="1"/>
    <col min="3080" max="3080" width="8" style="734" customWidth="1"/>
    <col min="3081" max="3081" width="8.42578125" style="734" customWidth="1"/>
    <col min="3082" max="3082" width="8.5703125" style="734" bestFit="1" customWidth="1"/>
    <col min="3083" max="3084" width="8.140625" style="734" customWidth="1"/>
    <col min="3085" max="3085" width="9" style="734" customWidth="1"/>
    <col min="3086" max="3086" width="7.5703125" style="734" customWidth="1"/>
    <col min="3087" max="3087" width="7.28515625" style="734" customWidth="1"/>
    <col min="3088" max="3328" width="9.140625" style="734"/>
    <col min="3329" max="3329" width="25.5703125" style="734" customWidth="1"/>
    <col min="3330" max="3330" width="9" style="734" customWidth="1"/>
    <col min="3331" max="3331" width="8.140625" style="734" customWidth="1"/>
    <col min="3332" max="3332" width="8.7109375" style="734" customWidth="1"/>
    <col min="3333" max="3333" width="6.7109375" style="734" customWidth="1"/>
    <col min="3334" max="3334" width="9.5703125" style="734" customWidth="1"/>
    <col min="3335" max="3335" width="10.5703125" style="734" customWidth="1"/>
    <col min="3336" max="3336" width="8" style="734" customWidth="1"/>
    <col min="3337" max="3337" width="8.42578125" style="734" customWidth="1"/>
    <col min="3338" max="3338" width="8.5703125" style="734" bestFit="1" customWidth="1"/>
    <col min="3339" max="3340" width="8.140625" style="734" customWidth="1"/>
    <col min="3341" max="3341" width="9" style="734" customWidth="1"/>
    <col min="3342" max="3342" width="7.5703125" style="734" customWidth="1"/>
    <col min="3343" max="3343" width="7.28515625" style="734" customWidth="1"/>
    <col min="3344" max="3584" width="9.140625" style="734"/>
    <col min="3585" max="3585" width="25.5703125" style="734" customWidth="1"/>
    <col min="3586" max="3586" width="9" style="734" customWidth="1"/>
    <col min="3587" max="3587" width="8.140625" style="734" customWidth="1"/>
    <col min="3588" max="3588" width="8.7109375" style="734" customWidth="1"/>
    <col min="3589" max="3589" width="6.7109375" style="734" customWidth="1"/>
    <col min="3590" max="3590" width="9.5703125" style="734" customWidth="1"/>
    <col min="3591" max="3591" width="10.5703125" style="734" customWidth="1"/>
    <col min="3592" max="3592" width="8" style="734" customWidth="1"/>
    <col min="3593" max="3593" width="8.42578125" style="734" customWidth="1"/>
    <col min="3594" max="3594" width="8.5703125" style="734" bestFit="1" customWidth="1"/>
    <col min="3595" max="3596" width="8.140625" style="734" customWidth="1"/>
    <col min="3597" max="3597" width="9" style="734" customWidth="1"/>
    <col min="3598" max="3598" width="7.5703125" style="734" customWidth="1"/>
    <col min="3599" max="3599" width="7.28515625" style="734" customWidth="1"/>
    <col min="3600" max="3840" width="9.140625" style="734"/>
    <col min="3841" max="3841" width="25.5703125" style="734" customWidth="1"/>
    <col min="3842" max="3842" width="9" style="734" customWidth="1"/>
    <col min="3843" max="3843" width="8.140625" style="734" customWidth="1"/>
    <col min="3844" max="3844" width="8.7109375" style="734" customWidth="1"/>
    <col min="3845" max="3845" width="6.7109375" style="734" customWidth="1"/>
    <col min="3846" max="3846" width="9.5703125" style="734" customWidth="1"/>
    <col min="3847" max="3847" width="10.5703125" style="734" customWidth="1"/>
    <col min="3848" max="3848" width="8" style="734" customWidth="1"/>
    <col min="3849" max="3849" width="8.42578125" style="734" customWidth="1"/>
    <col min="3850" max="3850" width="8.5703125" style="734" bestFit="1" customWidth="1"/>
    <col min="3851" max="3852" width="8.140625" style="734" customWidth="1"/>
    <col min="3853" max="3853" width="9" style="734" customWidth="1"/>
    <col min="3854" max="3854" width="7.5703125" style="734" customWidth="1"/>
    <col min="3855" max="3855" width="7.28515625" style="734" customWidth="1"/>
    <col min="3856" max="4096" width="9.140625" style="734"/>
    <col min="4097" max="4097" width="25.5703125" style="734" customWidth="1"/>
    <col min="4098" max="4098" width="9" style="734" customWidth="1"/>
    <col min="4099" max="4099" width="8.140625" style="734" customWidth="1"/>
    <col min="4100" max="4100" width="8.7109375" style="734" customWidth="1"/>
    <col min="4101" max="4101" width="6.7109375" style="734" customWidth="1"/>
    <col min="4102" max="4102" width="9.5703125" style="734" customWidth="1"/>
    <col min="4103" max="4103" width="10.5703125" style="734" customWidth="1"/>
    <col min="4104" max="4104" width="8" style="734" customWidth="1"/>
    <col min="4105" max="4105" width="8.42578125" style="734" customWidth="1"/>
    <col min="4106" max="4106" width="8.5703125" style="734" bestFit="1" customWidth="1"/>
    <col min="4107" max="4108" width="8.140625" style="734" customWidth="1"/>
    <col min="4109" max="4109" width="9" style="734" customWidth="1"/>
    <col min="4110" max="4110" width="7.5703125" style="734" customWidth="1"/>
    <col min="4111" max="4111" width="7.28515625" style="734" customWidth="1"/>
    <col min="4112" max="4352" width="9.140625" style="734"/>
    <col min="4353" max="4353" width="25.5703125" style="734" customWidth="1"/>
    <col min="4354" max="4354" width="9" style="734" customWidth="1"/>
    <col min="4355" max="4355" width="8.140625" style="734" customWidth="1"/>
    <col min="4356" max="4356" width="8.7109375" style="734" customWidth="1"/>
    <col min="4357" max="4357" width="6.7109375" style="734" customWidth="1"/>
    <col min="4358" max="4358" width="9.5703125" style="734" customWidth="1"/>
    <col min="4359" max="4359" width="10.5703125" style="734" customWidth="1"/>
    <col min="4360" max="4360" width="8" style="734" customWidth="1"/>
    <col min="4361" max="4361" width="8.42578125" style="734" customWidth="1"/>
    <col min="4362" max="4362" width="8.5703125" style="734" bestFit="1" customWidth="1"/>
    <col min="4363" max="4364" width="8.140625" style="734" customWidth="1"/>
    <col min="4365" max="4365" width="9" style="734" customWidth="1"/>
    <col min="4366" max="4366" width="7.5703125" style="734" customWidth="1"/>
    <col min="4367" max="4367" width="7.28515625" style="734" customWidth="1"/>
    <col min="4368" max="4608" width="9.140625" style="734"/>
    <col min="4609" max="4609" width="25.5703125" style="734" customWidth="1"/>
    <col min="4610" max="4610" width="9" style="734" customWidth="1"/>
    <col min="4611" max="4611" width="8.140625" style="734" customWidth="1"/>
    <col min="4612" max="4612" width="8.7109375" style="734" customWidth="1"/>
    <col min="4613" max="4613" width="6.7109375" style="734" customWidth="1"/>
    <col min="4614" max="4614" width="9.5703125" style="734" customWidth="1"/>
    <col min="4615" max="4615" width="10.5703125" style="734" customWidth="1"/>
    <col min="4616" max="4616" width="8" style="734" customWidth="1"/>
    <col min="4617" max="4617" width="8.42578125" style="734" customWidth="1"/>
    <col min="4618" max="4618" width="8.5703125" style="734" bestFit="1" customWidth="1"/>
    <col min="4619" max="4620" width="8.140625" style="734" customWidth="1"/>
    <col min="4621" max="4621" width="9" style="734" customWidth="1"/>
    <col min="4622" max="4622" width="7.5703125" style="734" customWidth="1"/>
    <col min="4623" max="4623" width="7.28515625" style="734" customWidth="1"/>
    <col min="4624" max="4864" width="9.140625" style="734"/>
    <col min="4865" max="4865" width="25.5703125" style="734" customWidth="1"/>
    <col min="4866" max="4866" width="9" style="734" customWidth="1"/>
    <col min="4867" max="4867" width="8.140625" style="734" customWidth="1"/>
    <col min="4868" max="4868" width="8.7109375" style="734" customWidth="1"/>
    <col min="4869" max="4869" width="6.7109375" style="734" customWidth="1"/>
    <col min="4870" max="4870" width="9.5703125" style="734" customWidth="1"/>
    <col min="4871" max="4871" width="10.5703125" style="734" customWidth="1"/>
    <col min="4872" max="4872" width="8" style="734" customWidth="1"/>
    <col min="4873" max="4873" width="8.42578125" style="734" customWidth="1"/>
    <col min="4874" max="4874" width="8.5703125" style="734" bestFit="1" customWidth="1"/>
    <col min="4875" max="4876" width="8.140625" style="734" customWidth="1"/>
    <col min="4877" max="4877" width="9" style="734" customWidth="1"/>
    <col min="4878" max="4878" width="7.5703125" style="734" customWidth="1"/>
    <col min="4879" max="4879" width="7.28515625" style="734" customWidth="1"/>
    <col min="4880" max="5120" width="9.140625" style="734"/>
    <col min="5121" max="5121" width="25.5703125" style="734" customWidth="1"/>
    <col min="5122" max="5122" width="9" style="734" customWidth="1"/>
    <col min="5123" max="5123" width="8.140625" style="734" customWidth="1"/>
    <col min="5124" max="5124" width="8.7109375" style="734" customWidth="1"/>
    <col min="5125" max="5125" width="6.7109375" style="734" customWidth="1"/>
    <col min="5126" max="5126" width="9.5703125" style="734" customWidth="1"/>
    <col min="5127" max="5127" width="10.5703125" style="734" customWidth="1"/>
    <col min="5128" max="5128" width="8" style="734" customWidth="1"/>
    <col min="5129" max="5129" width="8.42578125" style="734" customWidth="1"/>
    <col min="5130" max="5130" width="8.5703125" style="734" bestFit="1" customWidth="1"/>
    <col min="5131" max="5132" width="8.140625" style="734" customWidth="1"/>
    <col min="5133" max="5133" width="9" style="734" customWidth="1"/>
    <col min="5134" max="5134" width="7.5703125" style="734" customWidth="1"/>
    <col min="5135" max="5135" width="7.28515625" style="734" customWidth="1"/>
    <col min="5136" max="5376" width="9.140625" style="734"/>
    <col min="5377" max="5377" width="25.5703125" style="734" customWidth="1"/>
    <col min="5378" max="5378" width="9" style="734" customWidth="1"/>
    <col min="5379" max="5379" width="8.140625" style="734" customWidth="1"/>
    <col min="5380" max="5380" width="8.7109375" style="734" customWidth="1"/>
    <col min="5381" max="5381" width="6.7109375" style="734" customWidth="1"/>
    <col min="5382" max="5382" width="9.5703125" style="734" customWidth="1"/>
    <col min="5383" max="5383" width="10.5703125" style="734" customWidth="1"/>
    <col min="5384" max="5384" width="8" style="734" customWidth="1"/>
    <col min="5385" max="5385" width="8.42578125" style="734" customWidth="1"/>
    <col min="5386" max="5386" width="8.5703125" style="734" bestFit="1" customWidth="1"/>
    <col min="5387" max="5388" width="8.140625" style="734" customWidth="1"/>
    <col min="5389" max="5389" width="9" style="734" customWidth="1"/>
    <col min="5390" max="5390" width="7.5703125" style="734" customWidth="1"/>
    <col min="5391" max="5391" width="7.28515625" style="734" customWidth="1"/>
    <col min="5392" max="5632" width="9.140625" style="734"/>
    <col min="5633" max="5633" width="25.5703125" style="734" customWidth="1"/>
    <col min="5634" max="5634" width="9" style="734" customWidth="1"/>
    <col min="5635" max="5635" width="8.140625" style="734" customWidth="1"/>
    <col min="5636" max="5636" width="8.7109375" style="734" customWidth="1"/>
    <col min="5637" max="5637" width="6.7109375" style="734" customWidth="1"/>
    <col min="5638" max="5638" width="9.5703125" style="734" customWidth="1"/>
    <col min="5639" max="5639" width="10.5703125" style="734" customWidth="1"/>
    <col min="5640" max="5640" width="8" style="734" customWidth="1"/>
    <col min="5641" max="5641" width="8.42578125" style="734" customWidth="1"/>
    <col min="5642" max="5642" width="8.5703125" style="734" bestFit="1" customWidth="1"/>
    <col min="5643" max="5644" width="8.140625" style="734" customWidth="1"/>
    <col min="5645" max="5645" width="9" style="734" customWidth="1"/>
    <col min="5646" max="5646" width="7.5703125" style="734" customWidth="1"/>
    <col min="5647" max="5647" width="7.28515625" style="734" customWidth="1"/>
    <col min="5648" max="5888" width="9.140625" style="734"/>
    <col min="5889" max="5889" width="25.5703125" style="734" customWidth="1"/>
    <col min="5890" max="5890" width="9" style="734" customWidth="1"/>
    <col min="5891" max="5891" width="8.140625" style="734" customWidth="1"/>
    <col min="5892" max="5892" width="8.7109375" style="734" customWidth="1"/>
    <col min="5893" max="5893" width="6.7109375" style="734" customWidth="1"/>
    <col min="5894" max="5894" width="9.5703125" style="734" customWidth="1"/>
    <col min="5895" max="5895" width="10.5703125" style="734" customWidth="1"/>
    <col min="5896" max="5896" width="8" style="734" customWidth="1"/>
    <col min="5897" max="5897" width="8.42578125" style="734" customWidth="1"/>
    <col min="5898" max="5898" width="8.5703125" style="734" bestFit="1" customWidth="1"/>
    <col min="5899" max="5900" width="8.140625" style="734" customWidth="1"/>
    <col min="5901" max="5901" width="9" style="734" customWidth="1"/>
    <col min="5902" max="5902" width="7.5703125" style="734" customWidth="1"/>
    <col min="5903" max="5903" width="7.28515625" style="734" customWidth="1"/>
    <col min="5904" max="6144" width="9.140625" style="734"/>
    <col min="6145" max="6145" width="25.5703125" style="734" customWidth="1"/>
    <col min="6146" max="6146" width="9" style="734" customWidth="1"/>
    <col min="6147" max="6147" width="8.140625" style="734" customWidth="1"/>
    <col min="6148" max="6148" width="8.7109375" style="734" customWidth="1"/>
    <col min="6149" max="6149" width="6.7109375" style="734" customWidth="1"/>
    <col min="6150" max="6150" width="9.5703125" style="734" customWidth="1"/>
    <col min="6151" max="6151" width="10.5703125" style="734" customWidth="1"/>
    <col min="6152" max="6152" width="8" style="734" customWidth="1"/>
    <col min="6153" max="6153" width="8.42578125" style="734" customWidth="1"/>
    <col min="6154" max="6154" width="8.5703125" style="734" bestFit="1" customWidth="1"/>
    <col min="6155" max="6156" width="8.140625" style="734" customWidth="1"/>
    <col min="6157" max="6157" width="9" style="734" customWidth="1"/>
    <col min="6158" max="6158" width="7.5703125" style="734" customWidth="1"/>
    <col min="6159" max="6159" width="7.28515625" style="734" customWidth="1"/>
    <col min="6160" max="6400" width="9.140625" style="734"/>
    <col min="6401" max="6401" width="25.5703125" style="734" customWidth="1"/>
    <col min="6402" max="6402" width="9" style="734" customWidth="1"/>
    <col min="6403" max="6403" width="8.140625" style="734" customWidth="1"/>
    <col min="6404" max="6404" width="8.7109375" style="734" customWidth="1"/>
    <col min="6405" max="6405" width="6.7109375" style="734" customWidth="1"/>
    <col min="6406" max="6406" width="9.5703125" style="734" customWidth="1"/>
    <col min="6407" max="6407" width="10.5703125" style="734" customWidth="1"/>
    <col min="6408" max="6408" width="8" style="734" customWidth="1"/>
    <col min="6409" max="6409" width="8.42578125" style="734" customWidth="1"/>
    <col min="6410" max="6410" width="8.5703125" style="734" bestFit="1" customWidth="1"/>
    <col min="6411" max="6412" width="8.140625" style="734" customWidth="1"/>
    <col min="6413" max="6413" width="9" style="734" customWidth="1"/>
    <col min="6414" max="6414" width="7.5703125" style="734" customWidth="1"/>
    <col min="6415" max="6415" width="7.28515625" style="734" customWidth="1"/>
    <col min="6416" max="6656" width="9.140625" style="734"/>
    <col min="6657" max="6657" width="25.5703125" style="734" customWidth="1"/>
    <col min="6658" max="6658" width="9" style="734" customWidth="1"/>
    <col min="6659" max="6659" width="8.140625" style="734" customWidth="1"/>
    <col min="6660" max="6660" width="8.7109375" style="734" customWidth="1"/>
    <col min="6661" max="6661" width="6.7109375" style="734" customWidth="1"/>
    <col min="6662" max="6662" width="9.5703125" style="734" customWidth="1"/>
    <col min="6663" max="6663" width="10.5703125" style="734" customWidth="1"/>
    <col min="6664" max="6664" width="8" style="734" customWidth="1"/>
    <col min="6665" max="6665" width="8.42578125" style="734" customWidth="1"/>
    <col min="6666" max="6666" width="8.5703125" style="734" bestFit="1" customWidth="1"/>
    <col min="6667" max="6668" width="8.140625" style="734" customWidth="1"/>
    <col min="6669" max="6669" width="9" style="734" customWidth="1"/>
    <col min="6670" max="6670" width="7.5703125" style="734" customWidth="1"/>
    <col min="6671" max="6671" width="7.28515625" style="734" customWidth="1"/>
    <col min="6672" max="6912" width="9.140625" style="734"/>
    <col min="6913" max="6913" width="25.5703125" style="734" customWidth="1"/>
    <col min="6914" max="6914" width="9" style="734" customWidth="1"/>
    <col min="6915" max="6915" width="8.140625" style="734" customWidth="1"/>
    <col min="6916" max="6916" width="8.7109375" style="734" customWidth="1"/>
    <col min="6917" max="6917" width="6.7109375" style="734" customWidth="1"/>
    <col min="6918" max="6918" width="9.5703125" style="734" customWidth="1"/>
    <col min="6919" max="6919" width="10.5703125" style="734" customWidth="1"/>
    <col min="6920" max="6920" width="8" style="734" customWidth="1"/>
    <col min="6921" max="6921" width="8.42578125" style="734" customWidth="1"/>
    <col min="6922" max="6922" width="8.5703125" style="734" bestFit="1" customWidth="1"/>
    <col min="6923" max="6924" width="8.140625" style="734" customWidth="1"/>
    <col min="6925" max="6925" width="9" style="734" customWidth="1"/>
    <col min="6926" max="6926" width="7.5703125" style="734" customWidth="1"/>
    <col min="6927" max="6927" width="7.28515625" style="734" customWidth="1"/>
    <col min="6928" max="7168" width="9.140625" style="734"/>
    <col min="7169" max="7169" width="25.5703125" style="734" customWidth="1"/>
    <col min="7170" max="7170" width="9" style="734" customWidth="1"/>
    <col min="7171" max="7171" width="8.140625" style="734" customWidth="1"/>
    <col min="7172" max="7172" width="8.7109375" style="734" customWidth="1"/>
    <col min="7173" max="7173" width="6.7109375" style="734" customWidth="1"/>
    <col min="7174" max="7174" width="9.5703125" style="734" customWidth="1"/>
    <col min="7175" max="7175" width="10.5703125" style="734" customWidth="1"/>
    <col min="7176" max="7176" width="8" style="734" customWidth="1"/>
    <col min="7177" max="7177" width="8.42578125" style="734" customWidth="1"/>
    <col min="7178" max="7178" width="8.5703125" style="734" bestFit="1" customWidth="1"/>
    <col min="7179" max="7180" width="8.140625" style="734" customWidth="1"/>
    <col min="7181" max="7181" width="9" style="734" customWidth="1"/>
    <col min="7182" max="7182" width="7.5703125" style="734" customWidth="1"/>
    <col min="7183" max="7183" width="7.28515625" style="734" customWidth="1"/>
    <col min="7184" max="7424" width="9.140625" style="734"/>
    <col min="7425" max="7425" width="25.5703125" style="734" customWidth="1"/>
    <col min="7426" max="7426" width="9" style="734" customWidth="1"/>
    <col min="7427" max="7427" width="8.140625" style="734" customWidth="1"/>
    <col min="7428" max="7428" width="8.7109375" style="734" customWidth="1"/>
    <col min="7429" max="7429" width="6.7109375" style="734" customWidth="1"/>
    <col min="7430" max="7430" width="9.5703125" style="734" customWidth="1"/>
    <col min="7431" max="7431" width="10.5703125" style="734" customWidth="1"/>
    <col min="7432" max="7432" width="8" style="734" customWidth="1"/>
    <col min="7433" max="7433" width="8.42578125" style="734" customWidth="1"/>
    <col min="7434" max="7434" width="8.5703125" style="734" bestFit="1" customWidth="1"/>
    <col min="7435" max="7436" width="8.140625" style="734" customWidth="1"/>
    <col min="7437" max="7437" width="9" style="734" customWidth="1"/>
    <col min="7438" max="7438" width="7.5703125" style="734" customWidth="1"/>
    <col min="7439" max="7439" width="7.28515625" style="734" customWidth="1"/>
    <col min="7440" max="7680" width="9.140625" style="734"/>
    <col min="7681" max="7681" width="25.5703125" style="734" customWidth="1"/>
    <col min="7682" max="7682" width="9" style="734" customWidth="1"/>
    <col min="7683" max="7683" width="8.140625" style="734" customWidth="1"/>
    <col min="7684" max="7684" width="8.7109375" style="734" customWidth="1"/>
    <col min="7685" max="7685" width="6.7109375" style="734" customWidth="1"/>
    <col min="7686" max="7686" width="9.5703125" style="734" customWidth="1"/>
    <col min="7687" max="7687" width="10.5703125" style="734" customWidth="1"/>
    <col min="7688" max="7688" width="8" style="734" customWidth="1"/>
    <col min="7689" max="7689" width="8.42578125" style="734" customWidth="1"/>
    <col min="7690" max="7690" width="8.5703125" style="734" bestFit="1" customWidth="1"/>
    <col min="7691" max="7692" width="8.140625" style="734" customWidth="1"/>
    <col min="7693" max="7693" width="9" style="734" customWidth="1"/>
    <col min="7694" max="7694" width="7.5703125" style="734" customWidth="1"/>
    <col min="7695" max="7695" width="7.28515625" style="734" customWidth="1"/>
    <col min="7696" max="7936" width="9.140625" style="734"/>
    <col min="7937" max="7937" width="25.5703125" style="734" customWidth="1"/>
    <col min="7938" max="7938" width="9" style="734" customWidth="1"/>
    <col min="7939" max="7939" width="8.140625" style="734" customWidth="1"/>
    <col min="7940" max="7940" width="8.7109375" style="734" customWidth="1"/>
    <col min="7941" max="7941" width="6.7109375" style="734" customWidth="1"/>
    <col min="7942" max="7942" width="9.5703125" style="734" customWidth="1"/>
    <col min="7943" max="7943" width="10.5703125" style="734" customWidth="1"/>
    <col min="7944" max="7944" width="8" style="734" customWidth="1"/>
    <col min="7945" max="7945" width="8.42578125" style="734" customWidth="1"/>
    <col min="7946" max="7946" width="8.5703125" style="734" bestFit="1" customWidth="1"/>
    <col min="7947" max="7948" width="8.140625" style="734" customWidth="1"/>
    <col min="7949" max="7949" width="9" style="734" customWidth="1"/>
    <col min="7950" max="7950" width="7.5703125" style="734" customWidth="1"/>
    <col min="7951" max="7951" width="7.28515625" style="734" customWidth="1"/>
    <col min="7952" max="8192" width="9.140625" style="734"/>
    <col min="8193" max="8193" width="25.5703125" style="734" customWidth="1"/>
    <col min="8194" max="8194" width="9" style="734" customWidth="1"/>
    <col min="8195" max="8195" width="8.140625" style="734" customWidth="1"/>
    <col min="8196" max="8196" width="8.7109375" style="734" customWidth="1"/>
    <col min="8197" max="8197" width="6.7109375" style="734" customWidth="1"/>
    <col min="8198" max="8198" width="9.5703125" style="734" customWidth="1"/>
    <col min="8199" max="8199" width="10.5703125" style="734" customWidth="1"/>
    <col min="8200" max="8200" width="8" style="734" customWidth="1"/>
    <col min="8201" max="8201" width="8.42578125" style="734" customWidth="1"/>
    <col min="8202" max="8202" width="8.5703125" style="734" bestFit="1" customWidth="1"/>
    <col min="8203" max="8204" width="8.140625" style="734" customWidth="1"/>
    <col min="8205" max="8205" width="9" style="734" customWidth="1"/>
    <col min="8206" max="8206" width="7.5703125" style="734" customWidth="1"/>
    <col min="8207" max="8207" width="7.28515625" style="734" customWidth="1"/>
    <col min="8208" max="8448" width="9.140625" style="734"/>
    <col min="8449" max="8449" width="25.5703125" style="734" customWidth="1"/>
    <col min="8450" max="8450" width="9" style="734" customWidth="1"/>
    <col min="8451" max="8451" width="8.140625" style="734" customWidth="1"/>
    <col min="8452" max="8452" width="8.7109375" style="734" customWidth="1"/>
    <col min="8453" max="8453" width="6.7109375" style="734" customWidth="1"/>
    <col min="8454" max="8454" width="9.5703125" style="734" customWidth="1"/>
    <col min="8455" max="8455" width="10.5703125" style="734" customWidth="1"/>
    <col min="8456" max="8456" width="8" style="734" customWidth="1"/>
    <col min="8457" max="8457" width="8.42578125" style="734" customWidth="1"/>
    <col min="8458" max="8458" width="8.5703125" style="734" bestFit="1" customWidth="1"/>
    <col min="8459" max="8460" width="8.140625" style="734" customWidth="1"/>
    <col min="8461" max="8461" width="9" style="734" customWidth="1"/>
    <col min="8462" max="8462" width="7.5703125" style="734" customWidth="1"/>
    <col min="8463" max="8463" width="7.28515625" style="734" customWidth="1"/>
    <col min="8464" max="8704" width="9.140625" style="734"/>
    <col min="8705" max="8705" width="25.5703125" style="734" customWidth="1"/>
    <col min="8706" max="8706" width="9" style="734" customWidth="1"/>
    <col min="8707" max="8707" width="8.140625" style="734" customWidth="1"/>
    <col min="8708" max="8708" width="8.7109375" style="734" customWidth="1"/>
    <col min="8709" max="8709" width="6.7109375" style="734" customWidth="1"/>
    <col min="8710" max="8710" width="9.5703125" style="734" customWidth="1"/>
    <col min="8711" max="8711" width="10.5703125" style="734" customWidth="1"/>
    <col min="8712" max="8712" width="8" style="734" customWidth="1"/>
    <col min="8713" max="8713" width="8.42578125" style="734" customWidth="1"/>
    <col min="8714" max="8714" width="8.5703125" style="734" bestFit="1" customWidth="1"/>
    <col min="8715" max="8716" width="8.140625" style="734" customWidth="1"/>
    <col min="8717" max="8717" width="9" style="734" customWidth="1"/>
    <col min="8718" max="8718" width="7.5703125" style="734" customWidth="1"/>
    <col min="8719" max="8719" width="7.28515625" style="734" customWidth="1"/>
    <col min="8720" max="8960" width="9.140625" style="734"/>
    <col min="8961" max="8961" width="25.5703125" style="734" customWidth="1"/>
    <col min="8962" max="8962" width="9" style="734" customWidth="1"/>
    <col min="8963" max="8963" width="8.140625" style="734" customWidth="1"/>
    <col min="8964" max="8964" width="8.7109375" style="734" customWidth="1"/>
    <col min="8965" max="8965" width="6.7109375" style="734" customWidth="1"/>
    <col min="8966" max="8966" width="9.5703125" style="734" customWidth="1"/>
    <col min="8967" max="8967" width="10.5703125" style="734" customWidth="1"/>
    <col min="8968" max="8968" width="8" style="734" customWidth="1"/>
    <col min="8969" max="8969" width="8.42578125" style="734" customWidth="1"/>
    <col min="8970" max="8970" width="8.5703125" style="734" bestFit="1" customWidth="1"/>
    <col min="8971" max="8972" width="8.140625" style="734" customWidth="1"/>
    <col min="8973" max="8973" width="9" style="734" customWidth="1"/>
    <col min="8974" max="8974" width="7.5703125" style="734" customWidth="1"/>
    <col min="8975" max="8975" width="7.28515625" style="734" customWidth="1"/>
    <col min="8976" max="9216" width="9.140625" style="734"/>
    <col min="9217" max="9217" width="25.5703125" style="734" customWidth="1"/>
    <col min="9218" max="9218" width="9" style="734" customWidth="1"/>
    <col min="9219" max="9219" width="8.140625" style="734" customWidth="1"/>
    <col min="9220" max="9220" width="8.7109375" style="734" customWidth="1"/>
    <col min="9221" max="9221" width="6.7109375" style="734" customWidth="1"/>
    <col min="9222" max="9222" width="9.5703125" style="734" customWidth="1"/>
    <col min="9223" max="9223" width="10.5703125" style="734" customWidth="1"/>
    <col min="9224" max="9224" width="8" style="734" customWidth="1"/>
    <col min="9225" max="9225" width="8.42578125" style="734" customWidth="1"/>
    <col min="9226" max="9226" width="8.5703125" style="734" bestFit="1" customWidth="1"/>
    <col min="9227" max="9228" width="8.140625" style="734" customWidth="1"/>
    <col min="9229" max="9229" width="9" style="734" customWidth="1"/>
    <col min="9230" max="9230" width="7.5703125" style="734" customWidth="1"/>
    <col min="9231" max="9231" width="7.28515625" style="734" customWidth="1"/>
    <col min="9232" max="9472" width="9.140625" style="734"/>
    <col min="9473" max="9473" width="25.5703125" style="734" customWidth="1"/>
    <col min="9474" max="9474" width="9" style="734" customWidth="1"/>
    <col min="9475" max="9475" width="8.140625" style="734" customWidth="1"/>
    <col min="9476" max="9476" width="8.7109375" style="734" customWidth="1"/>
    <col min="9477" max="9477" width="6.7109375" style="734" customWidth="1"/>
    <col min="9478" max="9478" width="9.5703125" style="734" customWidth="1"/>
    <col min="9479" max="9479" width="10.5703125" style="734" customWidth="1"/>
    <col min="9480" max="9480" width="8" style="734" customWidth="1"/>
    <col min="9481" max="9481" width="8.42578125" style="734" customWidth="1"/>
    <col min="9482" max="9482" width="8.5703125" style="734" bestFit="1" customWidth="1"/>
    <col min="9483" max="9484" width="8.140625" style="734" customWidth="1"/>
    <col min="9485" max="9485" width="9" style="734" customWidth="1"/>
    <col min="9486" max="9486" width="7.5703125" style="734" customWidth="1"/>
    <col min="9487" max="9487" width="7.28515625" style="734" customWidth="1"/>
    <col min="9488" max="9728" width="9.140625" style="734"/>
    <col min="9729" max="9729" width="25.5703125" style="734" customWidth="1"/>
    <col min="9730" max="9730" width="9" style="734" customWidth="1"/>
    <col min="9731" max="9731" width="8.140625" style="734" customWidth="1"/>
    <col min="9732" max="9732" width="8.7109375" style="734" customWidth="1"/>
    <col min="9733" max="9733" width="6.7109375" style="734" customWidth="1"/>
    <col min="9734" max="9734" width="9.5703125" style="734" customWidth="1"/>
    <col min="9735" max="9735" width="10.5703125" style="734" customWidth="1"/>
    <col min="9736" max="9736" width="8" style="734" customWidth="1"/>
    <col min="9737" max="9737" width="8.42578125" style="734" customWidth="1"/>
    <col min="9738" max="9738" width="8.5703125" style="734" bestFit="1" customWidth="1"/>
    <col min="9739" max="9740" width="8.140625" style="734" customWidth="1"/>
    <col min="9741" max="9741" width="9" style="734" customWidth="1"/>
    <col min="9742" max="9742" width="7.5703125" style="734" customWidth="1"/>
    <col min="9743" max="9743" width="7.28515625" style="734" customWidth="1"/>
    <col min="9744" max="9984" width="9.140625" style="734"/>
    <col min="9985" max="9985" width="25.5703125" style="734" customWidth="1"/>
    <col min="9986" max="9986" width="9" style="734" customWidth="1"/>
    <col min="9987" max="9987" width="8.140625" style="734" customWidth="1"/>
    <col min="9988" max="9988" width="8.7109375" style="734" customWidth="1"/>
    <col min="9989" max="9989" width="6.7109375" style="734" customWidth="1"/>
    <col min="9990" max="9990" width="9.5703125" style="734" customWidth="1"/>
    <col min="9991" max="9991" width="10.5703125" style="734" customWidth="1"/>
    <col min="9992" max="9992" width="8" style="734" customWidth="1"/>
    <col min="9993" max="9993" width="8.42578125" style="734" customWidth="1"/>
    <col min="9994" max="9994" width="8.5703125" style="734" bestFit="1" customWidth="1"/>
    <col min="9995" max="9996" width="8.140625" style="734" customWidth="1"/>
    <col min="9997" max="9997" width="9" style="734" customWidth="1"/>
    <col min="9998" max="9998" width="7.5703125" style="734" customWidth="1"/>
    <col min="9999" max="9999" width="7.28515625" style="734" customWidth="1"/>
    <col min="10000" max="10240" width="9.140625" style="734"/>
    <col min="10241" max="10241" width="25.5703125" style="734" customWidth="1"/>
    <col min="10242" max="10242" width="9" style="734" customWidth="1"/>
    <col min="10243" max="10243" width="8.140625" style="734" customWidth="1"/>
    <col min="10244" max="10244" width="8.7109375" style="734" customWidth="1"/>
    <col min="10245" max="10245" width="6.7109375" style="734" customWidth="1"/>
    <col min="10246" max="10246" width="9.5703125" style="734" customWidth="1"/>
    <col min="10247" max="10247" width="10.5703125" style="734" customWidth="1"/>
    <col min="10248" max="10248" width="8" style="734" customWidth="1"/>
    <col min="10249" max="10249" width="8.42578125" style="734" customWidth="1"/>
    <col min="10250" max="10250" width="8.5703125" style="734" bestFit="1" customWidth="1"/>
    <col min="10251" max="10252" width="8.140625" style="734" customWidth="1"/>
    <col min="10253" max="10253" width="9" style="734" customWidth="1"/>
    <col min="10254" max="10254" width="7.5703125" style="734" customWidth="1"/>
    <col min="10255" max="10255" width="7.28515625" style="734" customWidth="1"/>
    <col min="10256" max="10496" width="9.140625" style="734"/>
    <col min="10497" max="10497" width="25.5703125" style="734" customWidth="1"/>
    <col min="10498" max="10498" width="9" style="734" customWidth="1"/>
    <col min="10499" max="10499" width="8.140625" style="734" customWidth="1"/>
    <col min="10500" max="10500" width="8.7109375" style="734" customWidth="1"/>
    <col min="10501" max="10501" width="6.7109375" style="734" customWidth="1"/>
    <col min="10502" max="10502" width="9.5703125" style="734" customWidth="1"/>
    <col min="10503" max="10503" width="10.5703125" style="734" customWidth="1"/>
    <col min="10504" max="10504" width="8" style="734" customWidth="1"/>
    <col min="10505" max="10505" width="8.42578125" style="734" customWidth="1"/>
    <col min="10506" max="10506" width="8.5703125" style="734" bestFit="1" customWidth="1"/>
    <col min="10507" max="10508" width="8.140625" style="734" customWidth="1"/>
    <col min="10509" max="10509" width="9" style="734" customWidth="1"/>
    <col min="10510" max="10510" width="7.5703125" style="734" customWidth="1"/>
    <col min="10511" max="10511" width="7.28515625" style="734" customWidth="1"/>
    <col min="10512" max="10752" width="9.140625" style="734"/>
    <col min="10753" max="10753" width="25.5703125" style="734" customWidth="1"/>
    <col min="10754" max="10754" width="9" style="734" customWidth="1"/>
    <col min="10755" max="10755" width="8.140625" style="734" customWidth="1"/>
    <col min="10756" max="10756" width="8.7109375" style="734" customWidth="1"/>
    <col min="10757" max="10757" width="6.7109375" style="734" customWidth="1"/>
    <col min="10758" max="10758" width="9.5703125" style="734" customWidth="1"/>
    <col min="10759" max="10759" width="10.5703125" style="734" customWidth="1"/>
    <col min="10760" max="10760" width="8" style="734" customWidth="1"/>
    <col min="10761" max="10761" width="8.42578125" style="734" customWidth="1"/>
    <col min="10762" max="10762" width="8.5703125" style="734" bestFit="1" customWidth="1"/>
    <col min="10763" max="10764" width="8.140625" style="734" customWidth="1"/>
    <col min="10765" max="10765" width="9" style="734" customWidth="1"/>
    <col min="10766" max="10766" width="7.5703125" style="734" customWidth="1"/>
    <col min="10767" max="10767" width="7.28515625" style="734" customWidth="1"/>
    <col min="10768" max="11008" width="9.140625" style="734"/>
    <col min="11009" max="11009" width="25.5703125" style="734" customWidth="1"/>
    <col min="11010" max="11010" width="9" style="734" customWidth="1"/>
    <col min="11011" max="11011" width="8.140625" style="734" customWidth="1"/>
    <col min="11012" max="11012" width="8.7109375" style="734" customWidth="1"/>
    <col min="11013" max="11013" width="6.7109375" style="734" customWidth="1"/>
    <col min="11014" max="11014" width="9.5703125" style="734" customWidth="1"/>
    <col min="11015" max="11015" width="10.5703125" style="734" customWidth="1"/>
    <col min="11016" max="11016" width="8" style="734" customWidth="1"/>
    <col min="11017" max="11017" width="8.42578125" style="734" customWidth="1"/>
    <col min="11018" max="11018" width="8.5703125" style="734" bestFit="1" customWidth="1"/>
    <col min="11019" max="11020" width="8.140625" style="734" customWidth="1"/>
    <col min="11021" max="11021" width="9" style="734" customWidth="1"/>
    <col min="11022" max="11022" width="7.5703125" style="734" customWidth="1"/>
    <col min="11023" max="11023" width="7.28515625" style="734" customWidth="1"/>
    <col min="11024" max="11264" width="9.140625" style="734"/>
    <col min="11265" max="11265" width="25.5703125" style="734" customWidth="1"/>
    <col min="11266" max="11266" width="9" style="734" customWidth="1"/>
    <col min="11267" max="11267" width="8.140625" style="734" customWidth="1"/>
    <col min="11268" max="11268" width="8.7109375" style="734" customWidth="1"/>
    <col min="11269" max="11269" width="6.7109375" style="734" customWidth="1"/>
    <col min="11270" max="11270" width="9.5703125" style="734" customWidth="1"/>
    <col min="11271" max="11271" width="10.5703125" style="734" customWidth="1"/>
    <col min="11272" max="11272" width="8" style="734" customWidth="1"/>
    <col min="11273" max="11273" width="8.42578125" style="734" customWidth="1"/>
    <col min="11274" max="11274" width="8.5703125" style="734" bestFit="1" customWidth="1"/>
    <col min="11275" max="11276" width="8.140625" style="734" customWidth="1"/>
    <col min="11277" max="11277" width="9" style="734" customWidth="1"/>
    <col min="11278" max="11278" width="7.5703125" style="734" customWidth="1"/>
    <col min="11279" max="11279" width="7.28515625" style="734" customWidth="1"/>
    <col min="11280" max="11520" width="9.140625" style="734"/>
    <col min="11521" max="11521" width="25.5703125" style="734" customWidth="1"/>
    <col min="11522" max="11522" width="9" style="734" customWidth="1"/>
    <col min="11523" max="11523" width="8.140625" style="734" customWidth="1"/>
    <col min="11524" max="11524" width="8.7109375" style="734" customWidth="1"/>
    <col min="11525" max="11525" width="6.7109375" style="734" customWidth="1"/>
    <col min="11526" max="11526" width="9.5703125" style="734" customWidth="1"/>
    <col min="11527" max="11527" width="10.5703125" style="734" customWidth="1"/>
    <col min="11528" max="11528" width="8" style="734" customWidth="1"/>
    <col min="11529" max="11529" width="8.42578125" style="734" customWidth="1"/>
    <col min="11530" max="11530" width="8.5703125" style="734" bestFit="1" customWidth="1"/>
    <col min="11531" max="11532" width="8.140625" style="734" customWidth="1"/>
    <col min="11533" max="11533" width="9" style="734" customWidth="1"/>
    <col min="11534" max="11534" width="7.5703125" style="734" customWidth="1"/>
    <col min="11535" max="11535" width="7.28515625" style="734" customWidth="1"/>
    <col min="11536" max="11776" width="9.140625" style="734"/>
    <col min="11777" max="11777" width="25.5703125" style="734" customWidth="1"/>
    <col min="11778" max="11778" width="9" style="734" customWidth="1"/>
    <col min="11779" max="11779" width="8.140625" style="734" customWidth="1"/>
    <col min="11780" max="11780" width="8.7109375" style="734" customWidth="1"/>
    <col min="11781" max="11781" width="6.7109375" style="734" customWidth="1"/>
    <col min="11782" max="11782" width="9.5703125" style="734" customWidth="1"/>
    <col min="11783" max="11783" width="10.5703125" style="734" customWidth="1"/>
    <col min="11784" max="11784" width="8" style="734" customWidth="1"/>
    <col min="11785" max="11785" width="8.42578125" style="734" customWidth="1"/>
    <col min="11786" max="11786" width="8.5703125" style="734" bestFit="1" customWidth="1"/>
    <col min="11787" max="11788" width="8.140625" style="734" customWidth="1"/>
    <col min="11789" max="11789" width="9" style="734" customWidth="1"/>
    <col min="11790" max="11790" width="7.5703125" style="734" customWidth="1"/>
    <col min="11791" max="11791" width="7.28515625" style="734" customWidth="1"/>
    <col min="11792" max="12032" width="9.140625" style="734"/>
    <col min="12033" max="12033" width="25.5703125" style="734" customWidth="1"/>
    <col min="12034" max="12034" width="9" style="734" customWidth="1"/>
    <col min="12035" max="12035" width="8.140625" style="734" customWidth="1"/>
    <col min="12036" max="12036" width="8.7109375" style="734" customWidth="1"/>
    <col min="12037" max="12037" width="6.7109375" style="734" customWidth="1"/>
    <col min="12038" max="12038" width="9.5703125" style="734" customWidth="1"/>
    <col min="12039" max="12039" width="10.5703125" style="734" customWidth="1"/>
    <col min="12040" max="12040" width="8" style="734" customWidth="1"/>
    <col min="12041" max="12041" width="8.42578125" style="734" customWidth="1"/>
    <col min="12042" max="12042" width="8.5703125" style="734" bestFit="1" customWidth="1"/>
    <col min="12043" max="12044" width="8.140625" style="734" customWidth="1"/>
    <col min="12045" max="12045" width="9" style="734" customWidth="1"/>
    <col min="12046" max="12046" width="7.5703125" style="734" customWidth="1"/>
    <col min="12047" max="12047" width="7.28515625" style="734" customWidth="1"/>
    <col min="12048" max="12288" width="9.140625" style="734"/>
    <col min="12289" max="12289" width="25.5703125" style="734" customWidth="1"/>
    <col min="12290" max="12290" width="9" style="734" customWidth="1"/>
    <col min="12291" max="12291" width="8.140625" style="734" customWidth="1"/>
    <col min="12292" max="12292" width="8.7109375" style="734" customWidth="1"/>
    <col min="12293" max="12293" width="6.7109375" style="734" customWidth="1"/>
    <col min="12294" max="12294" width="9.5703125" style="734" customWidth="1"/>
    <col min="12295" max="12295" width="10.5703125" style="734" customWidth="1"/>
    <col min="12296" max="12296" width="8" style="734" customWidth="1"/>
    <col min="12297" max="12297" width="8.42578125" style="734" customWidth="1"/>
    <col min="12298" max="12298" width="8.5703125" style="734" bestFit="1" customWidth="1"/>
    <col min="12299" max="12300" width="8.140625" style="734" customWidth="1"/>
    <col min="12301" max="12301" width="9" style="734" customWidth="1"/>
    <col min="12302" max="12302" width="7.5703125" style="734" customWidth="1"/>
    <col min="12303" max="12303" width="7.28515625" style="734" customWidth="1"/>
    <col min="12304" max="12544" width="9.140625" style="734"/>
    <col min="12545" max="12545" width="25.5703125" style="734" customWidth="1"/>
    <col min="12546" max="12546" width="9" style="734" customWidth="1"/>
    <col min="12547" max="12547" width="8.140625" style="734" customWidth="1"/>
    <col min="12548" max="12548" width="8.7109375" style="734" customWidth="1"/>
    <col min="12549" max="12549" width="6.7109375" style="734" customWidth="1"/>
    <col min="12550" max="12550" width="9.5703125" style="734" customWidth="1"/>
    <col min="12551" max="12551" width="10.5703125" style="734" customWidth="1"/>
    <col min="12552" max="12552" width="8" style="734" customWidth="1"/>
    <col min="12553" max="12553" width="8.42578125" style="734" customWidth="1"/>
    <col min="12554" max="12554" width="8.5703125" style="734" bestFit="1" customWidth="1"/>
    <col min="12555" max="12556" width="8.140625" style="734" customWidth="1"/>
    <col min="12557" max="12557" width="9" style="734" customWidth="1"/>
    <col min="12558" max="12558" width="7.5703125" style="734" customWidth="1"/>
    <col min="12559" max="12559" width="7.28515625" style="734" customWidth="1"/>
    <col min="12560" max="12800" width="9.140625" style="734"/>
    <col min="12801" max="12801" width="25.5703125" style="734" customWidth="1"/>
    <col min="12802" max="12802" width="9" style="734" customWidth="1"/>
    <col min="12803" max="12803" width="8.140625" style="734" customWidth="1"/>
    <col min="12804" max="12804" width="8.7109375" style="734" customWidth="1"/>
    <col min="12805" max="12805" width="6.7109375" style="734" customWidth="1"/>
    <col min="12806" max="12806" width="9.5703125" style="734" customWidth="1"/>
    <col min="12807" max="12807" width="10.5703125" style="734" customWidth="1"/>
    <col min="12808" max="12808" width="8" style="734" customWidth="1"/>
    <col min="12809" max="12809" width="8.42578125" style="734" customWidth="1"/>
    <col min="12810" max="12810" width="8.5703125" style="734" bestFit="1" customWidth="1"/>
    <col min="12811" max="12812" width="8.140625" style="734" customWidth="1"/>
    <col min="12813" max="12813" width="9" style="734" customWidth="1"/>
    <col min="12814" max="12814" width="7.5703125" style="734" customWidth="1"/>
    <col min="12815" max="12815" width="7.28515625" style="734" customWidth="1"/>
    <col min="12816" max="13056" width="9.140625" style="734"/>
    <col min="13057" max="13057" width="25.5703125" style="734" customWidth="1"/>
    <col min="13058" max="13058" width="9" style="734" customWidth="1"/>
    <col min="13059" max="13059" width="8.140625" style="734" customWidth="1"/>
    <col min="13060" max="13060" width="8.7109375" style="734" customWidth="1"/>
    <col min="13061" max="13061" width="6.7109375" style="734" customWidth="1"/>
    <col min="13062" max="13062" width="9.5703125" style="734" customWidth="1"/>
    <col min="13063" max="13063" width="10.5703125" style="734" customWidth="1"/>
    <col min="13064" max="13064" width="8" style="734" customWidth="1"/>
    <col min="13065" max="13065" width="8.42578125" style="734" customWidth="1"/>
    <col min="13066" max="13066" width="8.5703125" style="734" bestFit="1" customWidth="1"/>
    <col min="13067" max="13068" width="8.140625" style="734" customWidth="1"/>
    <col min="13069" max="13069" width="9" style="734" customWidth="1"/>
    <col min="13070" max="13070" width="7.5703125" style="734" customWidth="1"/>
    <col min="13071" max="13071" width="7.28515625" style="734" customWidth="1"/>
    <col min="13072" max="13312" width="9.140625" style="734"/>
    <col min="13313" max="13313" width="25.5703125" style="734" customWidth="1"/>
    <col min="13314" max="13314" width="9" style="734" customWidth="1"/>
    <col min="13315" max="13315" width="8.140625" style="734" customWidth="1"/>
    <col min="13316" max="13316" width="8.7109375" style="734" customWidth="1"/>
    <col min="13317" max="13317" width="6.7109375" style="734" customWidth="1"/>
    <col min="13318" max="13318" width="9.5703125" style="734" customWidth="1"/>
    <col min="13319" max="13319" width="10.5703125" style="734" customWidth="1"/>
    <col min="13320" max="13320" width="8" style="734" customWidth="1"/>
    <col min="13321" max="13321" width="8.42578125" style="734" customWidth="1"/>
    <col min="13322" max="13322" width="8.5703125" style="734" bestFit="1" customWidth="1"/>
    <col min="13323" max="13324" width="8.140625" style="734" customWidth="1"/>
    <col min="13325" max="13325" width="9" style="734" customWidth="1"/>
    <col min="13326" max="13326" width="7.5703125" style="734" customWidth="1"/>
    <col min="13327" max="13327" width="7.28515625" style="734" customWidth="1"/>
    <col min="13328" max="13568" width="9.140625" style="734"/>
    <col min="13569" max="13569" width="25.5703125" style="734" customWidth="1"/>
    <col min="13570" max="13570" width="9" style="734" customWidth="1"/>
    <col min="13571" max="13571" width="8.140625" style="734" customWidth="1"/>
    <col min="13572" max="13572" width="8.7109375" style="734" customWidth="1"/>
    <col min="13573" max="13573" width="6.7109375" style="734" customWidth="1"/>
    <col min="13574" max="13574" width="9.5703125" style="734" customWidth="1"/>
    <col min="13575" max="13575" width="10.5703125" style="734" customWidth="1"/>
    <col min="13576" max="13576" width="8" style="734" customWidth="1"/>
    <col min="13577" max="13577" width="8.42578125" style="734" customWidth="1"/>
    <col min="13578" max="13578" width="8.5703125" style="734" bestFit="1" customWidth="1"/>
    <col min="13579" max="13580" width="8.140625" style="734" customWidth="1"/>
    <col min="13581" max="13581" width="9" style="734" customWidth="1"/>
    <col min="13582" max="13582" width="7.5703125" style="734" customWidth="1"/>
    <col min="13583" max="13583" width="7.28515625" style="734" customWidth="1"/>
    <col min="13584" max="13824" width="9.140625" style="734"/>
    <col min="13825" max="13825" width="25.5703125" style="734" customWidth="1"/>
    <col min="13826" max="13826" width="9" style="734" customWidth="1"/>
    <col min="13827" max="13827" width="8.140625" style="734" customWidth="1"/>
    <col min="13828" max="13828" width="8.7109375" style="734" customWidth="1"/>
    <col min="13829" max="13829" width="6.7109375" style="734" customWidth="1"/>
    <col min="13830" max="13830" width="9.5703125" style="734" customWidth="1"/>
    <col min="13831" max="13831" width="10.5703125" style="734" customWidth="1"/>
    <col min="13832" max="13832" width="8" style="734" customWidth="1"/>
    <col min="13833" max="13833" width="8.42578125" style="734" customWidth="1"/>
    <col min="13834" max="13834" width="8.5703125" style="734" bestFit="1" customWidth="1"/>
    <col min="13835" max="13836" width="8.140625" style="734" customWidth="1"/>
    <col min="13837" max="13837" width="9" style="734" customWidth="1"/>
    <col min="13838" max="13838" width="7.5703125" style="734" customWidth="1"/>
    <col min="13839" max="13839" width="7.28515625" style="734" customWidth="1"/>
    <col min="13840" max="14080" width="9.140625" style="734"/>
    <col min="14081" max="14081" width="25.5703125" style="734" customWidth="1"/>
    <col min="14082" max="14082" width="9" style="734" customWidth="1"/>
    <col min="14083" max="14083" width="8.140625" style="734" customWidth="1"/>
    <col min="14084" max="14084" width="8.7109375" style="734" customWidth="1"/>
    <col min="14085" max="14085" width="6.7109375" style="734" customWidth="1"/>
    <col min="14086" max="14086" width="9.5703125" style="734" customWidth="1"/>
    <col min="14087" max="14087" width="10.5703125" style="734" customWidth="1"/>
    <col min="14088" max="14088" width="8" style="734" customWidth="1"/>
    <col min="14089" max="14089" width="8.42578125" style="734" customWidth="1"/>
    <col min="14090" max="14090" width="8.5703125" style="734" bestFit="1" customWidth="1"/>
    <col min="14091" max="14092" width="8.140625" style="734" customWidth="1"/>
    <col min="14093" max="14093" width="9" style="734" customWidth="1"/>
    <col min="14094" max="14094" width="7.5703125" style="734" customWidth="1"/>
    <col min="14095" max="14095" width="7.28515625" style="734" customWidth="1"/>
    <col min="14096" max="14336" width="9.140625" style="734"/>
    <col min="14337" max="14337" width="25.5703125" style="734" customWidth="1"/>
    <col min="14338" max="14338" width="9" style="734" customWidth="1"/>
    <col min="14339" max="14339" width="8.140625" style="734" customWidth="1"/>
    <col min="14340" max="14340" width="8.7109375" style="734" customWidth="1"/>
    <col min="14341" max="14341" width="6.7109375" style="734" customWidth="1"/>
    <col min="14342" max="14342" width="9.5703125" style="734" customWidth="1"/>
    <col min="14343" max="14343" width="10.5703125" style="734" customWidth="1"/>
    <col min="14344" max="14344" width="8" style="734" customWidth="1"/>
    <col min="14345" max="14345" width="8.42578125" style="734" customWidth="1"/>
    <col min="14346" max="14346" width="8.5703125" style="734" bestFit="1" customWidth="1"/>
    <col min="14347" max="14348" width="8.140625" style="734" customWidth="1"/>
    <col min="14349" max="14349" width="9" style="734" customWidth="1"/>
    <col min="14350" max="14350" width="7.5703125" style="734" customWidth="1"/>
    <col min="14351" max="14351" width="7.28515625" style="734" customWidth="1"/>
    <col min="14352" max="14592" width="9.140625" style="734"/>
    <col min="14593" max="14593" width="25.5703125" style="734" customWidth="1"/>
    <col min="14594" max="14594" width="9" style="734" customWidth="1"/>
    <col min="14595" max="14595" width="8.140625" style="734" customWidth="1"/>
    <col min="14596" max="14596" width="8.7109375" style="734" customWidth="1"/>
    <col min="14597" max="14597" width="6.7109375" style="734" customWidth="1"/>
    <col min="14598" max="14598" width="9.5703125" style="734" customWidth="1"/>
    <col min="14599" max="14599" width="10.5703125" style="734" customWidth="1"/>
    <col min="14600" max="14600" width="8" style="734" customWidth="1"/>
    <col min="14601" max="14601" width="8.42578125" style="734" customWidth="1"/>
    <col min="14602" max="14602" width="8.5703125" style="734" bestFit="1" customWidth="1"/>
    <col min="14603" max="14604" width="8.140625" style="734" customWidth="1"/>
    <col min="14605" max="14605" width="9" style="734" customWidth="1"/>
    <col min="14606" max="14606" width="7.5703125" style="734" customWidth="1"/>
    <col min="14607" max="14607" width="7.28515625" style="734" customWidth="1"/>
    <col min="14608" max="14848" width="9.140625" style="734"/>
    <col min="14849" max="14849" width="25.5703125" style="734" customWidth="1"/>
    <col min="14850" max="14850" width="9" style="734" customWidth="1"/>
    <col min="14851" max="14851" width="8.140625" style="734" customWidth="1"/>
    <col min="14852" max="14852" width="8.7109375" style="734" customWidth="1"/>
    <col min="14853" max="14853" width="6.7109375" style="734" customWidth="1"/>
    <col min="14854" max="14854" width="9.5703125" style="734" customWidth="1"/>
    <col min="14855" max="14855" width="10.5703125" style="734" customWidth="1"/>
    <col min="14856" max="14856" width="8" style="734" customWidth="1"/>
    <col min="14857" max="14857" width="8.42578125" style="734" customWidth="1"/>
    <col min="14858" max="14858" width="8.5703125" style="734" bestFit="1" customWidth="1"/>
    <col min="14859" max="14860" width="8.140625" style="734" customWidth="1"/>
    <col min="14861" max="14861" width="9" style="734" customWidth="1"/>
    <col min="14862" max="14862" width="7.5703125" style="734" customWidth="1"/>
    <col min="14863" max="14863" width="7.28515625" style="734" customWidth="1"/>
    <col min="14864" max="15104" width="9.140625" style="734"/>
    <col min="15105" max="15105" width="25.5703125" style="734" customWidth="1"/>
    <col min="15106" max="15106" width="9" style="734" customWidth="1"/>
    <col min="15107" max="15107" width="8.140625" style="734" customWidth="1"/>
    <col min="15108" max="15108" width="8.7109375" style="734" customWidth="1"/>
    <col min="15109" max="15109" width="6.7109375" style="734" customWidth="1"/>
    <col min="15110" max="15110" width="9.5703125" style="734" customWidth="1"/>
    <col min="15111" max="15111" width="10.5703125" style="734" customWidth="1"/>
    <col min="15112" max="15112" width="8" style="734" customWidth="1"/>
    <col min="15113" max="15113" width="8.42578125" style="734" customWidth="1"/>
    <col min="15114" max="15114" width="8.5703125" style="734" bestFit="1" customWidth="1"/>
    <col min="15115" max="15116" width="8.140625" style="734" customWidth="1"/>
    <col min="15117" max="15117" width="9" style="734" customWidth="1"/>
    <col min="15118" max="15118" width="7.5703125" style="734" customWidth="1"/>
    <col min="15119" max="15119" width="7.28515625" style="734" customWidth="1"/>
    <col min="15120" max="15360" width="9.140625" style="734"/>
    <col min="15361" max="15361" width="25.5703125" style="734" customWidth="1"/>
    <col min="15362" max="15362" width="9" style="734" customWidth="1"/>
    <col min="15363" max="15363" width="8.140625" style="734" customWidth="1"/>
    <col min="15364" max="15364" width="8.7109375" style="734" customWidth="1"/>
    <col min="15365" max="15365" width="6.7109375" style="734" customWidth="1"/>
    <col min="15366" max="15366" width="9.5703125" style="734" customWidth="1"/>
    <col min="15367" max="15367" width="10.5703125" style="734" customWidth="1"/>
    <col min="15368" max="15368" width="8" style="734" customWidth="1"/>
    <col min="15369" max="15369" width="8.42578125" style="734" customWidth="1"/>
    <col min="15370" max="15370" width="8.5703125" style="734" bestFit="1" customWidth="1"/>
    <col min="15371" max="15372" width="8.140625" style="734" customWidth="1"/>
    <col min="15373" max="15373" width="9" style="734" customWidth="1"/>
    <col min="15374" max="15374" width="7.5703125" style="734" customWidth="1"/>
    <col min="15375" max="15375" width="7.28515625" style="734" customWidth="1"/>
    <col min="15376" max="15616" width="9.140625" style="734"/>
    <col min="15617" max="15617" width="25.5703125" style="734" customWidth="1"/>
    <col min="15618" max="15618" width="9" style="734" customWidth="1"/>
    <col min="15619" max="15619" width="8.140625" style="734" customWidth="1"/>
    <col min="15620" max="15620" width="8.7109375" style="734" customWidth="1"/>
    <col min="15621" max="15621" width="6.7109375" style="734" customWidth="1"/>
    <col min="15622" max="15622" width="9.5703125" style="734" customWidth="1"/>
    <col min="15623" max="15623" width="10.5703125" style="734" customWidth="1"/>
    <col min="15624" max="15624" width="8" style="734" customWidth="1"/>
    <col min="15625" max="15625" width="8.42578125" style="734" customWidth="1"/>
    <col min="15626" max="15626" width="8.5703125" style="734" bestFit="1" customWidth="1"/>
    <col min="15627" max="15628" width="8.140625" style="734" customWidth="1"/>
    <col min="15629" max="15629" width="9" style="734" customWidth="1"/>
    <col min="15630" max="15630" width="7.5703125" style="734" customWidth="1"/>
    <col min="15631" max="15631" width="7.28515625" style="734" customWidth="1"/>
    <col min="15632" max="15872" width="9.140625" style="734"/>
    <col min="15873" max="15873" width="25.5703125" style="734" customWidth="1"/>
    <col min="15874" max="15874" width="9" style="734" customWidth="1"/>
    <col min="15875" max="15875" width="8.140625" style="734" customWidth="1"/>
    <col min="15876" max="15876" width="8.7109375" style="734" customWidth="1"/>
    <col min="15877" max="15877" width="6.7109375" style="734" customWidth="1"/>
    <col min="15878" max="15878" width="9.5703125" style="734" customWidth="1"/>
    <col min="15879" max="15879" width="10.5703125" style="734" customWidth="1"/>
    <col min="15880" max="15880" width="8" style="734" customWidth="1"/>
    <col min="15881" max="15881" width="8.42578125" style="734" customWidth="1"/>
    <col min="15882" max="15882" width="8.5703125" style="734" bestFit="1" customWidth="1"/>
    <col min="15883" max="15884" width="8.140625" style="734" customWidth="1"/>
    <col min="15885" max="15885" width="9" style="734" customWidth="1"/>
    <col min="15886" max="15886" width="7.5703125" style="734" customWidth="1"/>
    <col min="15887" max="15887" width="7.28515625" style="734" customWidth="1"/>
    <col min="15888" max="16128" width="9.140625" style="734"/>
    <col min="16129" max="16129" width="25.5703125" style="734" customWidth="1"/>
    <col min="16130" max="16130" width="9" style="734" customWidth="1"/>
    <col min="16131" max="16131" width="8.140625" style="734" customWidth="1"/>
    <col min="16132" max="16132" width="8.7109375" style="734" customWidth="1"/>
    <col min="16133" max="16133" width="6.7109375" style="734" customWidth="1"/>
    <col min="16134" max="16134" width="9.5703125" style="734" customWidth="1"/>
    <col min="16135" max="16135" width="10.5703125" style="734" customWidth="1"/>
    <col min="16136" max="16136" width="8" style="734" customWidth="1"/>
    <col min="16137" max="16137" width="8.42578125" style="734" customWidth="1"/>
    <col min="16138" max="16138" width="8.5703125" style="734" bestFit="1" customWidth="1"/>
    <col min="16139" max="16140" width="8.140625" style="734" customWidth="1"/>
    <col min="16141" max="16141" width="9" style="734" customWidth="1"/>
    <col min="16142" max="16142" width="7.5703125" style="734" customWidth="1"/>
    <col min="16143" max="16143" width="7.28515625" style="734" customWidth="1"/>
    <col min="16144" max="16384" width="9.140625" style="734"/>
  </cols>
  <sheetData>
    <row r="1" spans="1:17">
      <c r="A1" s="1546" t="s">
        <v>4177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</row>
    <row r="2" spans="1:17">
      <c r="E2" s="1546" t="s">
        <v>4178</v>
      </c>
      <c r="F2" s="1546"/>
      <c r="G2" s="1546"/>
    </row>
    <row r="3" spans="1:17" ht="19.5" customHeight="1">
      <c r="A3" s="735" t="s">
        <v>4176</v>
      </c>
      <c r="E3" s="736"/>
      <c r="F3" s="736"/>
      <c r="G3" s="736"/>
    </row>
    <row r="4" spans="1:17" ht="26.25" customHeight="1">
      <c r="A4" s="737" t="s">
        <v>169</v>
      </c>
      <c r="B4" s="1547" t="s">
        <v>4263</v>
      </c>
      <c r="C4" s="1547"/>
      <c r="D4" s="1547"/>
      <c r="E4" s="1548" t="s">
        <v>4180</v>
      </c>
      <c r="F4" s="1548"/>
      <c r="G4" s="1549">
        <v>405010206030103</v>
      </c>
      <c r="H4" s="1549"/>
      <c r="I4" s="1548" t="s">
        <v>172</v>
      </c>
      <c r="J4" s="1548"/>
      <c r="K4" s="738" t="s">
        <v>4264</v>
      </c>
      <c r="L4" s="1548" t="s">
        <v>4183</v>
      </c>
      <c r="M4" s="1548"/>
      <c r="N4" s="739" t="s">
        <v>4184</v>
      </c>
    </row>
    <row r="5" spans="1:17">
      <c r="A5" s="773"/>
      <c r="C5" s="736"/>
      <c r="D5" s="736"/>
      <c r="E5" s="736"/>
      <c r="F5" s="774"/>
      <c r="G5" s="774"/>
      <c r="I5" s="347"/>
      <c r="K5" s="775"/>
      <c r="L5" s="775"/>
      <c r="M5" s="347"/>
    </row>
    <row r="6" spans="1:17" ht="26.25" customHeight="1">
      <c r="A6" s="740" t="s">
        <v>174</v>
      </c>
      <c r="B6" s="1551" t="s">
        <v>4265</v>
      </c>
      <c r="C6" s="1552"/>
      <c r="D6" s="1552"/>
      <c r="E6" s="1553"/>
      <c r="F6" s="1554" t="s">
        <v>176</v>
      </c>
      <c r="G6" s="1555"/>
      <c r="H6" s="1556"/>
      <c r="I6" s="1547" t="s">
        <v>4266</v>
      </c>
      <c r="J6" s="1547"/>
      <c r="K6" s="1547"/>
      <c r="L6" s="1547"/>
      <c r="M6" s="1547"/>
    </row>
    <row r="7" spans="1:17" ht="15.75" customHeight="1">
      <c r="B7" s="736"/>
      <c r="C7" s="736"/>
      <c r="D7" s="736"/>
      <c r="E7" s="736"/>
      <c r="I7" s="736"/>
      <c r="J7" s="736"/>
      <c r="K7" s="736"/>
      <c r="L7" s="736"/>
      <c r="M7" s="736"/>
    </row>
    <row r="8" spans="1:17" ht="26.25" customHeight="1">
      <c r="A8" s="741" t="s">
        <v>178</v>
      </c>
      <c r="B8" s="1547" t="s">
        <v>4267</v>
      </c>
      <c r="C8" s="1547"/>
      <c r="D8" s="1547"/>
      <c r="E8" s="746"/>
      <c r="F8" s="740" t="s">
        <v>4188</v>
      </c>
      <c r="G8" s="740"/>
      <c r="H8" s="740"/>
      <c r="I8" s="740"/>
      <c r="J8" s="740"/>
      <c r="K8" s="1558" t="s">
        <v>4268</v>
      </c>
      <c r="L8" s="1558"/>
      <c r="M8" s="1558"/>
      <c r="N8" s="1558"/>
    </row>
    <row r="9" spans="1:17" ht="26.25" customHeight="1">
      <c r="A9" s="743" t="s">
        <v>4189</v>
      </c>
      <c r="B9" s="1547" t="s">
        <v>4269</v>
      </c>
      <c r="C9" s="1547"/>
      <c r="D9" s="1547"/>
      <c r="E9" s="1547" t="s">
        <v>4270</v>
      </c>
      <c r="F9" s="1551"/>
      <c r="G9" s="1547"/>
      <c r="H9" s="1547" t="s">
        <v>4271</v>
      </c>
      <c r="I9" s="1547"/>
      <c r="J9" s="1553"/>
      <c r="K9" s="1547" t="s">
        <v>4272</v>
      </c>
      <c r="L9" s="1547"/>
      <c r="M9" s="1547"/>
      <c r="N9" s="1547"/>
    </row>
    <row r="10" spans="1:17" ht="26.25" customHeight="1">
      <c r="A10" s="744" t="s">
        <v>187</v>
      </c>
      <c r="B10" s="1559" t="s">
        <v>4273</v>
      </c>
      <c r="C10" s="1559"/>
      <c r="D10" s="1559"/>
      <c r="E10" s="1559" t="s">
        <v>4274</v>
      </c>
      <c r="F10" s="1559"/>
      <c r="G10" s="1550"/>
      <c r="H10" s="1560"/>
      <c r="I10" s="1560"/>
      <c r="J10" s="1560"/>
      <c r="K10" s="1560"/>
      <c r="L10" s="1560"/>
      <c r="M10" s="1560"/>
      <c r="N10" s="1560"/>
    </row>
    <row r="11" spans="1:17" ht="26.25" customHeight="1">
      <c r="A11" s="745" t="s">
        <v>192</v>
      </c>
      <c r="B11" s="1558" t="s">
        <v>5791</v>
      </c>
      <c r="C11" s="1558"/>
      <c r="D11" s="1558" t="s">
        <v>5792</v>
      </c>
      <c r="E11" s="1558"/>
      <c r="F11" s="1551" t="s">
        <v>4275</v>
      </c>
      <c r="G11" s="1547"/>
      <c r="H11" s="1547" t="s">
        <v>4276</v>
      </c>
      <c r="I11" s="1547"/>
      <c r="J11" s="1553" t="s">
        <v>5793</v>
      </c>
      <c r="K11" s="1547"/>
      <c r="L11" s="746"/>
      <c r="M11" s="746"/>
      <c r="N11" s="746"/>
    </row>
    <row r="12" spans="1:17" ht="26.25" customHeight="1">
      <c r="A12" s="743" t="s">
        <v>197</v>
      </c>
      <c r="B12" s="1568" t="s">
        <v>4277</v>
      </c>
      <c r="C12" s="1568"/>
      <c r="D12" s="1568"/>
      <c r="E12" s="1568" t="s">
        <v>4278</v>
      </c>
      <c r="F12" s="1568"/>
      <c r="G12" s="1568"/>
      <c r="H12" s="1560"/>
      <c r="I12" s="1560"/>
      <c r="J12" s="1560"/>
      <c r="K12" s="1560"/>
      <c r="L12" s="1560"/>
      <c r="M12" s="1560"/>
      <c r="N12" s="1560"/>
      <c r="Q12" s="1560"/>
    </row>
    <row r="13" spans="1:17">
      <c r="A13" s="347"/>
      <c r="B13" s="736"/>
      <c r="C13" s="736"/>
      <c r="D13" s="736"/>
      <c r="E13" s="736"/>
      <c r="F13" s="736"/>
      <c r="G13" s="736"/>
      <c r="H13" s="736"/>
      <c r="I13" s="736"/>
      <c r="J13" s="736"/>
      <c r="K13" s="736"/>
      <c r="L13" s="736"/>
      <c r="M13" s="736"/>
      <c r="N13" s="736"/>
      <c r="Q13" s="1560"/>
    </row>
    <row r="14" spans="1:17" ht="26.25" customHeight="1">
      <c r="A14" s="743" t="s">
        <v>198</v>
      </c>
      <c r="B14" s="747">
        <v>4</v>
      </c>
      <c r="C14" s="1562" t="s">
        <v>199</v>
      </c>
      <c r="D14" s="1562"/>
      <c r="E14" s="1562"/>
      <c r="F14" s="748">
        <v>2</v>
      </c>
      <c r="G14" s="744" t="s">
        <v>200</v>
      </c>
      <c r="H14" s="748">
        <v>7</v>
      </c>
      <c r="I14" s="749" t="s">
        <v>4196</v>
      </c>
      <c r="J14" s="748">
        <v>1</v>
      </c>
      <c r="K14" s="749" t="s">
        <v>202</v>
      </c>
      <c r="L14" s="747">
        <v>4</v>
      </c>
      <c r="Q14" s="1560"/>
    </row>
    <row r="15" spans="1:17">
      <c r="A15" s="347"/>
      <c r="C15" s="750"/>
      <c r="D15" s="750"/>
      <c r="E15" s="750"/>
      <c r="F15" s="751"/>
      <c r="G15" s="751"/>
      <c r="H15" s="751"/>
      <c r="I15" s="751"/>
      <c r="J15" s="751"/>
      <c r="K15" s="751"/>
    </row>
    <row r="16" spans="1:17" ht="26.25" customHeight="1">
      <c r="A16" s="752" t="s">
        <v>203</v>
      </c>
      <c r="B16" s="753" t="s">
        <v>4197</v>
      </c>
      <c r="C16" s="747">
        <v>80</v>
      </c>
      <c r="D16" s="753" t="s">
        <v>4198</v>
      </c>
      <c r="E16" s="754">
        <v>2</v>
      </c>
      <c r="F16" s="755" t="s">
        <v>4199</v>
      </c>
      <c r="G16" s="754">
        <v>18</v>
      </c>
      <c r="H16" s="753" t="s">
        <v>4200</v>
      </c>
      <c r="I16" s="754">
        <v>100</v>
      </c>
      <c r="J16" s="755" t="s">
        <v>414</v>
      </c>
      <c r="K16" s="747">
        <v>6</v>
      </c>
      <c r="L16" s="1575" t="s">
        <v>4201</v>
      </c>
      <c r="M16" s="1575"/>
      <c r="N16" s="1575"/>
      <c r="O16" s="747">
        <v>5</v>
      </c>
    </row>
    <row r="17" spans="1:14" ht="26.25" customHeight="1">
      <c r="A17" s="752" t="s">
        <v>1029</v>
      </c>
      <c r="B17" s="741" t="s">
        <v>4202</v>
      </c>
      <c r="C17" s="747">
        <v>157</v>
      </c>
      <c r="D17" s="741" t="s">
        <v>4203</v>
      </c>
      <c r="E17" s="747">
        <v>4</v>
      </c>
      <c r="F17" s="741" t="s">
        <v>4204</v>
      </c>
      <c r="G17" s="747">
        <v>35</v>
      </c>
      <c r="H17" s="757" t="s">
        <v>5781</v>
      </c>
      <c r="I17" s="747">
        <f>G17+E17+C17</f>
        <v>196</v>
      </c>
    </row>
    <row r="18" spans="1:14" ht="26.25" customHeight="1">
      <c r="B18" s="741" t="s">
        <v>4205</v>
      </c>
      <c r="C18" s="747">
        <v>153</v>
      </c>
      <c r="D18" s="741" t="s">
        <v>214</v>
      </c>
      <c r="E18" s="747">
        <v>3</v>
      </c>
      <c r="F18" s="741" t="s">
        <v>1494</v>
      </c>
      <c r="G18" s="747">
        <v>38</v>
      </c>
      <c r="H18" s="757" t="s">
        <v>5782</v>
      </c>
      <c r="I18" s="747">
        <f>G18+E18+C18</f>
        <v>194</v>
      </c>
    </row>
    <row r="19" spans="1:14" ht="26.25" customHeight="1">
      <c r="A19" s="758" t="s">
        <v>216</v>
      </c>
    </row>
    <row r="20" spans="1:14" ht="26.25" customHeight="1">
      <c r="A20" s="1565" t="s">
        <v>4206</v>
      </c>
      <c r="B20" s="1566" t="s">
        <v>408</v>
      </c>
      <c r="C20" s="1566" t="s">
        <v>219</v>
      </c>
      <c r="D20" s="1566" t="s">
        <v>4207</v>
      </c>
      <c r="E20" s="1566" t="s">
        <v>1713</v>
      </c>
      <c r="F20" s="1567" t="s">
        <v>4208</v>
      </c>
      <c r="G20" s="1567"/>
      <c r="H20" s="1567"/>
      <c r="I20" s="1567"/>
      <c r="J20" s="1567"/>
      <c r="K20" s="1567"/>
      <c r="L20" s="1567"/>
      <c r="M20" s="1567"/>
      <c r="N20" s="1567"/>
    </row>
    <row r="21" spans="1:14" ht="26.25" customHeight="1">
      <c r="A21" s="1565"/>
      <c r="B21" s="1566"/>
      <c r="C21" s="1566"/>
      <c r="D21" s="1566"/>
      <c r="E21" s="1566"/>
      <c r="F21" s="759">
        <v>1</v>
      </c>
      <c r="G21" s="759">
        <v>2</v>
      </c>
      <c r="H21" s="759">
        <v>3</v>
      </c>
      <c r="I21" s="759">
        <v>4</v>
      </c>
      <c r="J21" s="759">
        <v>5</v>
      </c>
      <c r="K21" s="759">
        <v>6</v>
      </c>
      <c r="L21" s="759">
        <v>7</v>
      </c>
      <c r="M21" s="759" t="s">
        <v>230</v>
      </c>
      <c r="N21" s="760" t="s">
        <v>231</v>
      </c>
    </row>
    <row r="22" spans="1:14" ht="26.25" customHeight="1">
      <c r="A22" s="744" t="s">
        <v>232</v>
      </c>
      <c r="B22" s="761">
        <v>8000</v>
      </c>
      <c r="C22" s="761" t="s">
        <v>4209</v>
      </c>
      <c r="D22" s="762">
        <v>39.68</v>
      </c>
      <c r="E22" s="763">
        <v>3.0366</v>
      </c>
      <c r="F22" s="764">
        <v>0</v>
      </c>
      <c r="G22" s="778">
        <v>0</v>
      </c>
      <c r="H22" s="778">
        <v>0.39510000000000001</v>
      </c>
      <c r="I22" s="764"/>
      <c r="J22" s="764"/>
      <c r="K22" s="764"/>
      <c r="L22" s="764"/>
      <c r="M22" s="764">
        <f>K22+J22+I22+H22+G22+F22</f>
        <v>0.39510000000000001</v>
      </c>
      <c r="N22" s="766">
        <f>M22/E22*100</f>
        <v>13.011262596324839</v>
      </c>
    </row>
    <row r="23" spans="1:14" ht="26.25" customHeight="1">
      <c r="A23" s="743" t="s">
        <v>4210</v>
      </c>
      <c r="B23" s="739">
        <v>7000</v>
      </c>
      <c r="C23" s="761" t="s">
        <v>4209</v>
      </c>
      <c r="D23" s="762">
        <v>34.72</v>
      </c>
      <c r="E23" s="767">
        <v>0</v>
      </c>
      <c r="F23" s="764">
        <v>0</v>
      </c>
      <c r="G23" s="778">
        <v>0</v>
      </c>
      <c r="H23" s="771">
        <v>0</v>
      </c>
      <c r="I23" s="771"/>
      <c r="J23" s="771"/>
      <c r="K23" s="771"/>
      <c r="L23" s="771"/>
      <c r="M23" s="764">
        <f t="shared" ref="M23:M30" si="0">K23+J23+I23+H23+G23+F23</f>
        <v>0</v>
      </c>
      <c r="N23" s="766">
        <v>0</v>
      </c>
    </row>
    <row r="24" spans="1:14" ht="26.25" customHeight="1">
      <c r="A24" s="743" t="s">
        <v>4211</v>
      </c>
      <c r="B24" s="747">
        <v>43000</v>
      </c>
      <c r="C24" s="747" t="s">
        <v>236</v>
      </c>
      <c r="D24" s="770">
        <v>0.43</v>
      </c>
      <c r="E24" s="769">
        <v>0.18</v>
      </c>
      <c r="F24" s="764">
        <v>0</v>
      </c>
      <c r="G24" s="778">
        <v>0</v>
      </c>
      <c r="H24" s="771">
        <v>0</v>
      </c>
      <c r="I24" s="771"/>
      <c r="J24" s="771"/>
      <c r="K24" s="771"/>
      <c r="L24" s="771"/>
      <c r="M24" s="764">
        <f t="shared" si="0"/>
        <v>0</v>
      </c>
      <c r="N24" s="766">
        <f t="shared" ref="N24:N29" si="1">M24/E24*100</f>
        <v>0</v>
      </c>
    </row>
    <row r="25" spans="1:14" ht="26.25" customHeight="1">
      <c r="A25" s="743" t="s">
        <v>4212</v>
      </c>
      <c r="B25" s="747">
        <v>37000</v>
      </c>
      <c r="C25" s="747" t="s">
        <v>236</v>
      </c>
      <c r="D25" s="770">
        <v>0.37</v>
      </c>
      <c r="E25" s="769">
        <v>0.16</v>
      </c>
      <c r="F25" s="764">
        <v>0</v>
      </c>
      <c r="G25" s="778">
        <v>0</v>
      </c>
      <c r="H25" s="771">
        <v>0</v>
      </c>
      <c r="I25" s="771"/>
      <c r="J25" s="771"/>
      <c r="K25" s="771"/>
      <c r="L25" s="771"/>
      <c r="M25" s="764">
        <f t="shared" si="0"/>
        <v>0</v>
      </c>
      <c r="N25" s="766">
        <f t="shared" si="1"/>
        <v>0</v>
      </c>
    </row>
    <row r="26" spans="1:14" ht="26.25" customHeight="1">
      <c r="A26" s="743" t="s">
        <v>4213</v>
      </c>
      <c r="B26" s="747">
        <v>1200</v>
      </c>
      <c r="C26" s="747" t="s">
        <v>4209</v>
      </c>
      <c r="D26" s="770">
        <v>5.95</v>
      </c>
      <c r="E26" s="769">
        <v>2</v>
      </c>
      <c r="F26" s="764">
        <v>0</v>
      </c>
      <c r="G26" s="778">
        <v>0</v>
      </c>
      <c r="H26" s="771">
        <v>1.5147299999999999</v>
      </c>
      <c r="I26" s="771"/>
      <c r="J26" s="771"/>
      <c r="K26" s="771"/>
      <c r="L26" s="771"/>
      <c r="M26" s="764">
        <f t="shared" si="0"/>
        <v>1.5147299999999999</v>
      </c>
      <c r="N26" s="766">
        <f t="shared" si="1"/>
        <v>75.736499999999992</v>
      </c>
    </row>
    <row r="27" spans="1:14" ht="26.25" customHeight="1">
      <c r="A27" s="741" t="s">
        <v>4214</v>
      </c>
      <c r="B27" s="747">
        <v>565</v>
      </c>
      <c r="C27" s="747" t="s">
        <v>4209</v>
      </c>
      <c r="D27" s="770">
        <v>2.8</v>
      </c>
      <c r="E27" s="769">
        <v>0.496</v>
      </c>
      <c r="F27" s="764">
        <v>0</v>
      </c>
      <c r="G27" s="778">
        <v>0</v>
      </c>
      <c r="H27" s="771">
        <v>0.15</v>
      </c>
      <c r="I27" s="771"/>
      <c r="J27" s="771"/>
      <c r="K27" s="771"/>
      <c r="L27" s="771"/>
      <c r="M27" s="764">
        <f t="shared" si="0"/>
        <v>0.15</v>
      </c>
      <c r="N27" s="766">
        <f t="shared" si="1"/>
        <v>30.241935483870968</v>
      </c>
    </row>
    <row r="28" spans="1:14" ht="26.25" customHeight="1">
      <c r="A28" s="743" t="s">
        <v>240</v>
      </c>
      <c r="B28" s="747">
        <v>1000</v>
      </c>
      <c r="C28" s="747" t="s">
        <v>4209</v>
      </c>
      <c r="D28" s="770">
        <v>4.96</v>
      </c>
      <c r="E28" s="769">
        <v>0</v>
      </c>
      <c r="F28" s="764">
        <v>0</v>
      </c>
      <c r="G28" s="778">
        <v>0</v>
      </c>
      <c r="H28" s="771">
        <v>0</v>
      </c>
      <c r="I28" s="771"/>
      <c r="J28" s="771"/>
      <c r="K28" s="771"/>
      <c r="L28" s="771"/>
      <c r="M28" s="764">
        <f t="shared" si="0"/>
        <v>0</v>
      </c>
      <c r="N28" s="766">
        <v>0</v>
      </c>
    </row>
    <row r="29" spans="1:14" ht="26.25" customHeight="1">
      <c r="A29" s="743" t="s">
        <v>4215</v>
      </c>
      <c r="B29" s="747">
        <v>2750</v>
      </c>
      <c r="C29" s="747" t="s">
        <v>242</v>
      </c>
      <c r="D29" s="770">
        <v>2.31</v>
      </c>
      <c r="E29" s="769">
        <v>0.33</v>
      </c>
      <c r="F29" s="764">
        <v>0</v>
      </c>
      <c r="G29" s="778">
        <v>0</v>
      </c>
      <c r="H29" s="771">
        <v>0.33</v>
      </c>
      <c r="I29" s="771"/>
      <c r="J29" s="771"/>
      <c r="K29" s="771"/>
      <c r="L29" s="771"/>
      <c r="M29" s="764">
        <f t="shared" si="0"/>
        <v>0.33</v>
      </c>
      <c r="N29" s="766">
        <f t="shared" si="1"/>
        <v>100</v>
      </c>
    </row>
    <row r="30" spans="1:14" ht="26.25" customHeight="1">
      <c r="A30" s="741" t="s">
        <v>4216</v>
      </c>
      <c r="B30" s="747">
        <v>10000</v>
      </c>
      <c r="C30" s="747" t="s">
        <v>244</v>
      </c>
      <c r="D30" s="770">
        <v>0.1</v>
      </c>
      <c r="E30" s="769">
        <v>0</v>
      </c>
      <c r="F30" s="764">
        <v>0</v>
      </c>
      <c r="G30" s="778">
        <v>0</v>
      </c>
      <c r="H30" s="771">
        <v>0</v>
      </c>
      <c r="I30" s="771"/>
      <c r="J30" s="771"/>
      <c r="K30" s="771"/>
      <c r="L30" s="771"/>
      <c r="M30" s="764">
        <f t="shared" si="0"/>
        <v>0</v>
      </c>
      <c r="N30" s="766">
        <v>0</v>
      </c>
    </row>
    <row r="31" spans="1:14" ht="26.25" customHeight="1">
      <c r="A31" s="741" t="s">
        <v>245</v>
      </c>
      <c r="B31" s="747">
        <f>SUM(B22:B30)</f>
        <v>110515</v>
      </c>
      <c r="C31" s="747"/>
      <c r="D31" s="771">
        <f>SUM(D22:D30)</f>
        <v>91.320000000000007</v>
      </c>
      <c r="E31" s="769">
        <f>SUM(E22:E30)</f>
        <v>6.2026000000000003</v>
      </c>
      <c r="F31" s="771">
        <f>SUM(F22:F30)</f>
        <v>0</v>
      </c>
      <c r="G31" s="771">
        <f t="shared" ref="G31:M31" si="2">SUM(G22:G30)</f>
        <v>0</v>
      </c>
      <c r="H31" s="771">
        <f t="shared" si="2"/>
        <v>2.3898299999999999</v>
      </c>
      <c r="I31" s="771">
        <f t="shared" si="2"/>
        <v>0</v>
      </c>
      <c r="J31" s="771">
        <f t="shared" si="2"/>
        <v>0</v>
      </c>
      <c r="K31" s="771">
        <f t="shared" si="2"/>
        <v>0</v>
      </c>
      <c r="L31" s="771">
        <f t="shared" si="2"/>
        <v>0</v>
      </c>
      <c r="M31" s="771">
        <f t="shared" si="2"/>
        <v>2.3898299999999999</v>
      </c>
      <c r="N31" s="766"/>
    </row>
  </sheetData>
  <mergeCells count="38">
    <mergeCell ref="L16:N16"/>
    <mergeCell ref="A20:A21"/>
    <mergeCell ref="B20:B21"/>
    <mergeCell ref="C20:C21"/>
    <mergeCell ref="D20:D21"/>
    <mergeCell ref="E20:E21"/>
    <mergeCell ref="F20:N20"/>
    <mergeCell ref="B12:D12"/>
    <mergeCell ref="E12:G12"/>
    <mergeCell ref="H12:J12"/>
    <mergeCell ref="K12:N12"/>
    <mergeCell ref="Q12:Q14"/>
    <mergeCell ref="C14:E14"/>
    <mergeCell ref="B10:D10"/>
    <mergeCell ref="E10:G10"/>
    <mergeCell ref="H10:J10"/>
    <mergeCell ref="K10:N10"/>
    <mergeCell ref="B11:C11"/>
    <mergeCell ref="D11:E11"/>
    <mergeCell ref="F11:G11"/>
    <mergeCell ref="H11:I11"/>
    <mergeCell ref="J11:K11"/>
    <mergeCell ref="B9:D9"/>
    <mergeCell ref="E9:G9"/>
    <mergeCell ref="H9:J9"/>
    <mergeCell ref="K9:N9"/>
    <mergeCell ref="A1:N1"/>
    <mergeCell ref="E2:G2"/>
    <mergeCell ref="B4:D4"/>
    <mergeCell ref="E4:F4"/>
    <mergeCell ref="G4:H4"/>
    <mergeCell ref="I4:J4"/>
    <mergeCell ref="L4:M4"/>
    <mergeCell ref="B6:E6"/>
    <mergeCell ref="F6:H6"/>
    <mergeCell ref="I6:M6"/>
    <mergeCell ref="B8:D8"/>
    <mergeCell ref="K8:N8"/>
  </mergeCells>
  <hyperlinks>
    <hyperlink ref="A3" location="'Fact Sheet of VDC'!A1" display="&lt;&lt;Back"/>
  </hyperlinks>
  <printOptions horizontalCentered="1" verticalCentered="1"/>
  <pageMargins left="0.82677165354330717" right="0.15748031496062992" top="0.39370078740157483" bottom="0.35433070866141736" header="0.31496062992125984" footer="0.31496062992125984"/>
  <pageSetup scale="78" orientation="landscape" r:id="rId1"/>
</worksheet>
</file>

<file path=xl/worksheets/sheet30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1"/>
  <sheetViews>
    <sheetView workbookViewId="0">
      <selection activeCell="A3" sqref="A3"/>
    </sheetView>
  </sheetViews>
  <sheetFormatPr defaultRowHeight="12"/>
  <cols>
    <col min="1" max="1" width="32.7109375" style="734" customWidth="1"/>
    <col min="2" max="2" width="9" style="734" customWidth="1"/>
    <col min="3" max="3" width="8.140625" style="734" customWidth="1"/>
    <col min="4" max="4" width="8.7109375" style="734" customWidth="1"/>
    <col min="5" max="5" width="6.7109375" style="734" customWidth="1"/>
    <col min="6" max="6" width="9.5703125" style="734" customWidth="1"/>
    <col min="7" max="7" width="10.5703125" style="734" customWidth="1"/>
    <col min="8" max="8" width="8" style="734" customWidth="1"/>
    <col min="9" max="9" width="8.42578125" style="734" customWidth="1"/>
    <col min="10" max="10" width="8.5703125" style="734" bestFit="1" customWidth="1"/>
    <col min="11" max="12" width="8.140625" style="734" customWidth="1"/>
    <col min="13" max="13" width="9" style="734" customWidth="1"/>
    <col min="14" max="14" width="7.5703125" style="734" customWidth="1"/>
    <col min="15" max="15" width="7.28515625" style="734" customWidth="1"/>
    <col min="16" max="256" width="9.140625" style="734"/>
    <col min="257" max="257" width="32.7109375" style="734" customWidth="1"/>
    <col min="258" max="258" width="9" style="734" customWidth="1"/>
    <col min="259" max="259" width="8.140625" style="734" customWidth="1"/>
    <col min="260" max="260" width="8.7109375" style="734" customWidth="1"/>
    <col min="261" max="261" width="6.7109375" style="734" customWidth="1"/>
    <col min="262" max="262" width="9.5703125" style="734" customWidth="1"/>
    <col min="263" max="263" width="10.5703125" style="734" customWidth="1"/>
    <col min="264" max="264" width="8" style="734" customWidth="1"/>
    <col min="265" max="265" width="8.42578125" style="734" customWidth="1"/>
    <col min="266" max="266" width="8.5703125" style="734" bestFit="1" customWidth="1"/>
    <col min="267" max="268" width="8.140625" style="734" customWidth="1"/>
    <col min="269" max="269" width="9" style="734" customWidth="1"/>
    <col min="270" max="270" width="7.5703125" style="734" customWidth="1"/>
    <col min="271" max="271" width="7.28515625" style="734" customWidth="1"/>
    <col min="272" max="512" width="9.140625" style="734"/>
    <col min="513" max="513" width="32.7109375" style="734" customWidth="1"/>
    <col min="514" max="514" width="9" style="734" customWidth="1"/>
    <col min="515" max="515" width="8.140625" style="734" customWidth="1"/>
    <col min="516" max="516" width="8.7109375" style="734" customWidth="1"/>
    <col min="517" max="517" width="6.7109375" style="734" customWidth="1"/>
    <col min="518" max="518" width="9.5703125" style="734" customWidth="1"/>
    <col min="519" max="519" width="10.5703125" style="734" customWidth="1"/>
    <col min="520" max="520" width="8" style="734" customWidth="1"/>
    <col min="521" max="521" width="8.42578125" style="734" customWidth="1"/>
    <col min="522" max="522" width="8.5703125" style="734" bestFit="1" customWidth="1"/>
    <col min="523" max="524" width="8.140625" style="734" customWidth="1"/>
    <col min="525" max="525" width="9" style="734" customWidth="1"/>
    <col min="526" max="526" width="7.5703125" style="734" customWidth="1"/>
    <col min="527" max="527" width="7.28515625" style="734" customWidth="1"/>
    <col min="528" max="768" width="9.140625" style="734"/>
    <col min="769" max="769" width="32.7109375" style="734" customWidth="1"/>
    <col min="770" max="770" width="9" style="734" customWidth="1"/>
    <col min="771" max="771" width="8.140625" style="734" customWidth="1"/>
    <col min="772" max="772" width="8.7109375" style="734" customWidth="1"/>
    <col min="773" max="773" width="6.7109375" style="734" customWidth="1"/>
    <col min="774" max="774" width="9.5703125" style="734" customWidth="1"/>
    <col min="775" max="775" width="10.5703125" style="734" customWidth="1"/>
    <col min="776" max="776" width="8" style="734" customWidth="1"/>
    <col min="777" max="777" width="8.42578125" style="734" customWidth="1"/>
    <col min="778" max="778" width="8.5703125" style="734" bestFit="1" customWidth="1"/>
    <col min="779" max="780" width="8.140625" style="734" customWidth="1"/>
    <col min="781" max="781" width="9" style="734" customWidth="1"/>
    <col min="782" max="782" width="7.5703125" style="734" customWidth="1"/>
    <col min="783" max="783" width="7.28515625" style="734" customWidth="1"/>
    <col min="784" max="1024" width="9.140625" style="734"/>
    <col min="1025" max="1025" width="32.7109375" style="734" customWidth="1"/>
    <col min="1026" max="1026" width="9" style="734" customWidth="1"/>
    <col min="1027" max="1027" width="8.140625" style="734" customWidth="1"/>
    <col min="1028" max="1028" width="8.7109375" style="734" customWidth="1"/>
    <col min="1029" max="1029" width="6.7109375" style="734" customWidth="1"/>
    <col min="1030" max="1030" width="9.5703125" style="734" customWidth="1"/>
    <col min="1031" max="1031" width="10.5703125" style="734" customWidth="1"/>
    <col min="1032" max="1032" width="8" style="734" customWidth="1"/>
    <col min="1033" max="1033" width="8.42578125" style="734" customWidth="1"/>
    <col min="1034" max="1034" width="8.5703125" style="734" bestFit="1" customWidth="1"/>
    <col min="1035" max="1036" width="8.140625" style="734" customWidth="1"/>
    <col min="1037" max="1037" width="9" style="734" customWidth="1"/>
    <col min="1038" max="1038" width="7.5703125" style="734" customWidth="1"/>
    <col min="1039" max="1039" width="7.28515625" style="734" customWidth="1"/>
    <col min="1040" max="1280" width="9.140625" style="734"/>
    <col min="1281" max="1281" width="32.7109375" style="734" customWidth="1"/>
    <col min="1282" max="1282" width="9" style="734" customWidth="1"/>
    <col min="1283" max="1283" width="8.140625" style="734" customWidth="1"/>
    <col min="1284" max="1284" width="8.7109375" style="734" customWidth="1"/>
    <col min="1285" max="1285" width="6.7109375" style="734" customWidth="1"/>
    <col min="1286" max="1286" width="9.5703125" style="734" customWidth="1"/>
    <col min="1287" max="1287" width="10.5703125" style="734" customWidth="1"/>
    <col min="1288" max="1288" width="8" style="734" customWidth="1"/>
    <col min="1289" max="1289" width="8.42578125" style="734" customWidth="1"/>
    <col min="1290" max="1290" width="8.5703125" style="734" bestFit="1" customWidth="1"/>
    <col min="1291" max="1292" width="8.140625" style="734" customWidth="1"/>
    <col min="1293" max="1293" width="9" style="734" customWidth="1"/>
    <col min="1294" max="1294" width="7.5703125" style="734" customWidth="1"/>
    <col min="1295" max="1295" width="7.28515625" style="734" customWidth="1"/>
    <col min="1296" max="1536" width="9.140625" style="734"/>
    <col min="1537" max="1537" width="32.7109375" style="734" customWidth="1"/>
    <col min="1538" max="1538" width="9" style="734" customWidth="1"/>
    <col min="1539" max="1539" width="8.140625" style="734" customWidth="1"/>
    <col min="1540" max="1540" width="8.7109375" style="734" customWidth="1"/>
    <col min="1541" max="1541" width="6.7109375" style="734" customWidth="1"/>
    <col min="1542" max="1542" width="9.5703125" style="734" customWidth="1"/>
    <col min="1543" max="1543" width="10.5703125" style="734" customWidth="1"/>
    <col min="1544" max="1544" width="8" style="734" customWidth="1"/>
    <col min="1545" max="1545" width="8.42578125" style="734" customWidth="1"/>
    <col min="1546" max="1546" width="8.5703125" style="734" bestFit="1" customWidth="1"/>
    <col min="1547" max="1548" width="8.140625" style="734" customWidth="1"/>
    <col min="1549" max="1549" width="9" style="734" customWidth="1"/>
    <col min="1550" max="1550" width="7.5703125" style="734" customWidth="1"/>
    <col min="1551" max="1551" width="7.28515625" style="734" customWidth="1"/>
    <col min="1552" max="1792" width="9.140625" style="734"/>
    <col min="1793" max="1793" width="32.7109375" style="734" customWidth="1"/>
    <col min="1794" max="1794" width="9" style="734" customWidth="1"/>
    <col min="1795" max="1795" width="8.140625" style="734" customWidth="1"/>
    <col min="1796" max="1796" width="8.7109375" style="734" customWidth="1"/>
    <col min="1797" max="1797" width="6.7109375" style="734" customWidth="1"/>
    <col min="1798" max="1798" width="9.5703125" style="734" customWidth="1"/>
    <col min="1799" max="1799" width="10.5703125" style="734" customWidth="1"/>
    <col min="1800" max="1800" width="8" style="734" customWidth="1"/>
    <col min="1801" max="1801" width="8.42578125" style="734" customWidth="1"/>
    <col min="1802" max="1802" width="8.5703125" style="734" bestFit="1" customWidth="1"/>
    <col min="1803" max="1804" width="8.140625" style="734" customWidth="1"/>
    <col min="1805" max="1805" width="9" style="734" customWidth="1"/>
    <col min="1806" max="1806" width="7.5703125" style="734" customWidth="1"/>
    <col min="1807" max="1807" width="7.28515625" style="734" customWidth="1"/>
    <col min="1808" max="2048" width="9.140625" style="734"/>
    <col min="2049" max="2049" width="32.7109375" style="734" customWidth="1"/>
    <col min="2050" max="2050" width="9" style="734" customWidth="1"/>
    <col min="2051" max="2051" width="8.140625" style="734" customWidth="1"/>
    <col min="2052" max="2052" width="8.7109375" style="734" customWidth="1"/>
    <col min="2053" max="2053" width="6.7109375" style="734" customWidth="1"/>
    <col min="2054" max="2054" width="9.5703125" style="734" customWidth="1"/>
    <col min="2055" max="2055" width="10.5703125" style="734" customWidth="1"/>
    <col min="2056" max="2056" width="8" style="734" customWidth="1"/>
    <col min="2057" max="2057" width="8.42578125" style="734" customWidth="1"/>
    <col min="2058" max="2058" width="8.5703125" style="734" bestFit="1" customWidth="1"/>
    <col min="2059" max="2060" width="8.140625" style="734" customWidth="1"/>
    <col min="2061" max="2061" width="9" style="734" customWidth="1"/>
    <col min="2062" max="2062" width="7.5703125" style="734" customWidth="1"/>
    <col min="2063" max="2063" width="7.28515625" style="734" customWidth="1"/>
    <col min="2064" max="2304" width="9.140625" style="734"/>
    <col min="2305" max="2305" width="32.7109375" style="734" customWidth="1"/>
    <col min="2306" max="2306" width="9" style="734" customWidth="1"/>
    <col min="2307" max="2307" width="8.140625" style="734" customWidth="1"/>
    <col min="2308" max="2308" width="8.7109375" style="734" customWidth="1"/>
    <col min="2309" max="2309" width="6.7109375" style="734" customWidth="1"/>
    <col min="2310" max="2310" width="9.5703125" style="734" customWidth="1"/>
    <col min="2311" max="2311" width="10.5703125" style="734" customWidth="1"/>
    <col min="2312" max="2312" width="8" style="734" customWidth="1"/>
    <col min="2313" max="2313" width="8.42578125" style="734" customWidth="1"/>
    <col min="2314" max="2314" width="8.5703125" style="734" bestFit="1" customWidth="1"/>
    <col min="2315" max="2316" width="8.140625" style="734" customWidth="1"/>
    <col min="2317" max="2317" width="9" style="734" customWidth="1"/>
    <col min="2318" max="2318" width="7.5703125" style="734" customWidth="1"/>
    <col min="2319" max="2319" width="7.28515625" style="734" customWidth="1"/>
    <col min="2320" max="2560" width="9.140625" style="734"/>
    <col min="2561" max="2561" width="32.7109375" style="734" customWidth="1"/>
    <col min="2562" max="2562" width="9" style="734" customWidth="1"/>
    <col min="2563" max="2563" width="8.140625" style="734" customWidth="1"/>
    <col min="2564" max="2564" width="8.7109375" style="734" customWidth="1"/>
    <col min="2565" max="2565" width="6.7109375" style="734" customWidth="1"/>
    <col min="2566" max="2566" width="9.5703125" style="734" customWidth="1"/>
    <col min="2567" max="2567" width="10.5703125" style="734" customWidth="1"/>
    <col min="2568" max="2568" width="8" style="734" customWidth="1"/>
    <col min="2569" max="2569" width="8.42578125" style="734" customWidth="1"/>
    <col min="2570" max="2570" width="8.5703125" style="734" bestFit="1" customWidth="1"/>
    <col min="2571" max="2572" width="8.140625" style="734" customWidth="1"/>
    <col min="2573" max="2573" width="9" style="734" customWidth="1"/>
    <col min="2574" max="2574" width="7.5703125" style="734" customWidth="1"/>
    <col min="2575" max="2575" width="7.28515625" style="734" customWidth="1"/>
    <col min="2576" max="2816" width="9.140625" style="734"/>
    <col min="2817" max="2817" width="32.7109375" style="734" customWidth="1"/>
    <col min="2818" max="2818" width="9" style="734" customWidth="1"/>
    <col min="2819" max="2819" width="8.140625" style="734" customWidth="1"/>
    <col min="2820" max="2820" width="8.7109375" style="734" customWidth="1"/>
    <col min="2821" max="2821" width="6.7109375" style="734" customWidth="1"/>
    <col min="2822" max="2822" width="9.5703125" style="734" customWidth="1"/>
    <col min="2823" max="2823" width="10.5703125" style="734" customWidth="1"/>
    <col min="2824" max="2824" width="8" style="734" customWidth="1"/>
    <col min="2825" max="2825" width="8.42578125" style="734" customWidth="1"/>
    <col min="2826" max="2826" width="8.5703125" style="734" bestFit="1" customWidth="1"/>
    <col min="2827" max="2828" width="8.140625" style="734" customWidth="1"/>
    <col min="2829" max="2829" width="9" style="734" customWidth="1"/>
    <col min="2830" max="2830" width="7.5703125" style="734" customWidth="1"/>
    <col min="2831" max="2831" width="7.28515625" style="734" customWidth="1"/>
    <col min="2832" max="3072" width="9.140625" style="734"/>
    <col min="3073" max="3073" width="32.7109375" style="734" customWidth="1"/>
    <col min="3074" max="3074" width="9" style="734" customWidth="1"/>
    <col min="3075" max="3075" width="8.140625" style="734" customWidth="1"/>
    <col min="3076" max="3076" width="8.7109375" style="734" customWidth="1"/>
    <col min="3077" max="3077" width="6.7109375" style="734" customWidth="1"/>
    <col min="3078" max="3078" width="9.5703125" style="734" customWidth="1"/>
    <col min="3079" max="3079" width="10.5703125" style="734" customWidth="1"/>
    <col min="3080" max="3080" width="8" style="734" customWidth="1"/>
    <col min="3081" max="3081" width="8.42578125" style="734" customWidth="1"/>
    <col min="3082" max="3082" width="8.5703125" style="734" bestFit="1" customWidth="1"/>
    <col min="3083" max="3084" width="8.140625" style="734" customWidth="1"/>
    <col min="3085" max="3085" width="9" style="734" customWidth="1"/>
    <col min="3086" max="3086" width="7.5703125" style="734" customWidth="1"/>
    <col min="3087" max="3087" width="7.28515625" style="734" customWidth="1"/>
    <col min="3088" max="3328" width="9.140625" style="734"/>
    <col min="3329" max="3329" width="32.7109375" style="734" customWidth="1"/>
    <col min="3330" max="3330" width="9" style="734" customWidth="1"/>
    <col min="3331" max="3331" width="8.140625" style="734" customWidth="1"/>
    <col min="3332" max="3332" width="8.7109375" style="734" customWidth="1"/>
    <col min="3333" max="3333" width="6.7109375" style="734" customWidth="1"/>
    <col min="3334" max="3334" width="9.5703125" style="734" customWidth="1"/>
    <col min="3335" max="3335" width="10.5703125" style="734" customWidth="1"/>
    <col min="3336" max="3336" width="8" style="734" customWidth="1"/>
    <col min="3337" max="3337" width="8.42578125" style="734" customWidth="1"/>
    <col min="3338" max="3338" width="8.5703125" style="734" bestFit="1" customWidth="1"/>
    <col min="3339" max="3340" width="8.140625" style="734" customWidth="1"/>
    <col min="3341" max="3341" width="9" style="734" customWidth="1"/>
    <col min="3342" max="3342" width="7.5703125" style="734" customWidth="1"/>
    <col min="3343" max="3343" width="7.28515625" style="734" customWidth="1"/>
    <col min="3344" max="3584" width="9.140625" style="734"/>
    <col min="3585" max="3585" width="32.7109375" style="734" customWidth="1"/>
    <col min="3586" max="3586" width="9" style="734" customWidth="1"/>
    <col min="3587" max="3587" width="8.140625" style="734" customWidth="1"/>
    <col min="3588" max="3588" width="8.7109375" style="734" customWidth="1"/>
    <col min="3589" max="3589" width="6.7109375" style="734" customWidth="1"/>
    <col min="3590" max="3590" width="9.5703125" style="734" customWidth="1"/>
    <col min="3591" max="3591" width="10.5703125" style="734" customWidth="1"/>
    <col min="3592" max="3592" width="8" style="734" customWidth="1"/>
    <col min="3593" max="3593" width="8.42578125" style="734" customWidth="1"/>
    <col min="3594" max="3594" width="8.5703125" style="734" bestFit="1" customWidth="1"/>
    <col min="3595" max="3596" width="8.140625" style="734" customWidth="1"/>
    <col min="3597" max="3597" width="9" style="734" customWidth="1"/>
    <col min="3598" max="3598" width="7.5703125" style="734" customWidth="1"/>
    <col min="3599" max="3599" width="7.28515625" style="734" customWidth="1"/>
    <col min="3600" max="3840" width="9.140625" style="734"/>
    <col min="3841" max="3841" width="32.7109375" style="734" customWidth="1"/>
    <col min="3842" max="3842" width="9" style="734" customWidth="1"/>
    <col min="3843" max="3843" width="8.140625" style="734" customWidth="1"/>
    <col min="3844" max="3844" width="8.7109375" style="734" customWidth="1"/>
    <col min="3845" max="3845" width="6.7109375" style="734" customWidth="1"/>
    <col min="3846" max="3846" width="9.5703125" style="734" customWidth="1"/>
    <col min="3847" max="3847" width="10.5703125" style="734" customWidth="1"/>
    <col min="3848" max="3848" width="8" style="734" customWidth="1"/>
    <col min="3849" max="3849" width="8.42578125" style="734" customWidth="1"/>
    <col min="3850" max="3850" width="8.5703125" style="734" bestFit="1" customWidth="1"/>
    <col min="3851" max="3852" width="8.140625" style="734" customWidth="1"/>
    <col min="3853" max="3853" width="9" style="734" customWidth="1"/>
    <col min="3854" max="3854" width="7.5703125" style="734" customWidth="1"/>
    <col min="3855" max="3855" width="7.28515625" style="734" customWidth="1"/>
    <col min="3856" max="4096" width="9.140625" style="734"/>
    <col min="4097" max="4097" width="32.7109375" style="734" customWidth="1"/>
    <col min="4098" max="4098" width="9" style="734" customWidth="1"/>
    <col min="4099" max="4099" width="8.140625" style="734" customWidth="1"/>
    <col min="4100" max="4100" width="8.7109375" style="734" customWidth="1"/>
    <col min="4101" max="4101" width="6.7109375" style="734" customWidth="1"/>
    <col min="4102" max="4102" width="9.5703125" style="734" customWidth="1"/>
    <col min="4103" max="4103" width="10.5703125" style="734" customWidth="1"/>
    <col min="4104" max="4104" width="8" style="734" customWidth="1"/>
    <col min="4105" max="4105" width="8.42578125" style="734" customWidth="1"/>
    <col min="4106" max="4106" width="8.5703125" style="734" bestFit="1" customWidth="1"/>
    <col min="4107" max="4108" width="8.140625" style="734" customWidth="1"/>
    <col min="4109" max="4109" width="9" style="734" customWidth="1"/>
    <col min="4110" max="4110" width="7.5703125" style="734" customWidth="1"/>
    <col min="4111" max="4111" width="7.28515625" style="734" customWidth="1"/>
    <col min="4112" max="4352" width="9.140625" style="734"/>
    <col min="4353" max="4353" width="32.7109375" style="734" customWidth="1"/>
    <col min="4354" max="4354" width="9" style="734" customWidth="1"/>
    <col min="4355" max="4355" width="8.140625" style="734" customWidth="1"/>
    <col min="4356" max="4356" width="8.7109375" style="734" customWidth="1"/>
    <col min="4357" max="4357" width="6.7109375" style="734" customWidth="1"/>
    <col min="4358" max="4358" width="9.5703125" style="734" customWidth="1"/>
    <col min="4359" max="4359" width="10.5703125" style="734" customWidth="1"/>
    <col min="4360" max="4360" width="8" style="734" customWidth="1"/>
    <col min="4361" max="4361" width="8.42578125" style="734" customWidth="1"/>
    <col min="4362" max="4362" width="8.5703125" style="734" bestFit="1" customWidth="1"/>
    <col min="4363" max="4364" width="8.140625" style="734" customWidth="1"/>
    <col min="4365" max="4365" width="9" style="734" customWidth="1"/>
    <col min="4366" max="4366" width="7.5703125" style="734" customWidth="1"/>
    <col min="4367" max="4367" width="7.28515625" style="734" customWidth="1"/>
    <col min="4368" max="4608" width="9.140625" style="734"/>
    <col min="4609" max="4609" width="32.7109375" style="734" customWidth="1"/>
    <col min="4610" max="4610" width="9" style="734" customWidth="1"/>
    <col min="4611" max="4611" width="8.140625" style="734" customWidth="1"/>
    <col min="4612" max="4612" width="8.7109375" style="734" customWidth="1"/>
    <col min="4613" max="4613" width="6.7109375" style="734" customWidth="1"/>
    <col min="4614" max="4614" width="9.5703125" style="734" customWidth="1"/>
    <col min="4615" max="4615" width="10.5703125" style="734" customWidth="1"/>
    <col min="4616" max="4616" width="8" style="734" customWidth="1"/>
    <col min="4617" max="4617" width="8.42578125" style="734" customWidth="1"/>
    <col min="4618" max="4618" width="8.5703125" style="734" bestFit="1" customWidth="1"/>
    <col min="4619" max="4620" width="8.140625" style="734" customWidth="1"/>
    <col min="4621" max="4621" width="9" style="734" customWidth="1"/>
    <col min="4622" max="4622" width="7.5703125" style="734" customWidth="1"/>
    <col min="4623" max="4623" width="7.28515625" style="734" customWidth="1"/>
    <col min="4624" max="4864" width="9.140625" style="734"/>
    <col min="4865" max="4865" width="32.7109375" style="734" customWidth="1"/>
    <col min="4866" max="4866" width="9" style="734" customWidth="1"/>
    <col min="4867" max="4867" width="8.140625" style="734" customWidth="1"/>
    <col min="4868" max="4868" width="8.7109375" style="734" customWidth="1"/>
    <col min="4869" max="4869" width="6.7109375" style="734" customWidth="1"/>
    <col min="4870" max="4870" width="9.5703125" style="734" customWidth="1"/>
    <col min="4871" max="4871" width="10.5703125" style="734" customWidth="1"/>
    <col min="4872" max="4872" width="8" style="734" customWidth="1"/>
    <col min="4873" max="4873" width="8.42578125" style="734" customWidth="1"/>
    <col min="4874" max="4874" width="8.5703125" style="734" bestFit="1" customWidth="1"/>
    <col min="4875" max="4876" width="8.140625" style="734" customWidth="1"/>
    <col min="4877" max="4877" width="9" style="734" customWidth="1"/>
    <col min="4878" max="4878" width="7.5703125" style="734" customWidth="1"/>
    <col min="4879" max="4879" width="7.28515625" style="734" customWidth="1"/>
    <col min="4880" max="5120" width="9.140625" style="734"/>
    <col min="5121" max="5121" width="32.7109375" style="734" customWidth="1"/>
    <col min="5122" max="5122" width="9" style="734" customWidth="1"/>
    <col min="5123" max="5123" width="8.140625" style="734" customWidth="1"/>
    <col min="5124" max="5124" width="8.7109375" style="734" customWidth="1"/>
    <col min="5125" max="5125" width="6.7109375" style="734" customWidth="1"/>
    <col min="5126" max="5126" width="9.5703125" style="734" customWidth="1"/>
    <col min="5127" max="5127" width="10.5703125" style="734" customWidth="1"/>
    <col min="5128" max="5128" width="8" style="734" customWidth="1"/>
    <col min="5129" max="5129" width="8.42578125" style="734" customWidth="1"/>
    <col min="5130" max="5130" width="8.5703125" style="734" bestFit="1" customWidth="1"/>
    <col min="5131" max="5132" width="8.140625" style="734" customWidth="1"/>
    <col min="5133" max="5133" width="9" style="734" customWidth="1"/>
    <col min="5134" max="5134" width="7.5703125" style="734" customWidth="1"/>
    <col min="5135" max="5135" width="7.28515625" style="734" customWidth="1"/>
    <col min="5136" max="5376" width="9.140625" style="734"/>
    <col min="5377" max="5377" width="32.7109375" style="734" customWidth="1"/>
    <col min="5378" max="5378" width="9" style="734" customWidth="1"/>
    <col min="5379" max="5379" width="8.140625" style="734" customWidth="1"/>
    <col min="5380" max="5380" width="8.7109375" style="734" customWidth="1"/>
    <col min="5381" max="5381" width="6.7109375" style="734" customWidth="1"/>
    <col min="5382" max="5382" width="9.5703125" style="734" customWidth="1"/>
    <col min="5383" max="5383" width="10.5703125" style="734" customWidth="1"/>
    <col min="5384" max="5384" width="8" style="734" customWidth="1"/>
    <col min="5385" max="5385" width="8.42578125" style="734" customWidth="1"/>
    <col min="5386" max="5386" width="8.5703125" style="734" bestFit="1" customWidth="1"/>
    <col min="5387" max="5388" width="8.140625" style="734" customWidth="1"/>
    <col min="5389" max="5389" width="9" style="734" customWidth="1"/>
    <col min="5390" max="5390" width="7.5703125" style="734" customWidth="1"/>
    <col min="5391" max="5391" width="7.28515625" style="734" customWidth="1"/>
    <col min="5392" max="5632" width="9.140625" style="734"/>
    <col min="5633" max="5633" width="32.7109375" style="734" customWidth="1"/>
    <col min="5634" max="5634" width="9" style="734" customWidth="1"/>
    <col min="5635" max="5635" width="8.140625" style="734" customWidth="1"/>
    <col min="5636" max="5636" width="8.7109375" style="734" customWidth="1"/>
    <col min="5637" max="5637" width="6.7109375" style="734" customWidth="1"/>
    <col min="5638" max="5638" width="9.5703125" style="734" customWidth="1"/>
    <col min="5639" max="5639" width="10.5703125" style="734" customWidth="1"/>
    <col min="5640" max="5640" width="8" style="734" customWidth="1"/>
    <col min="5641" max="5641" width="8.42578125" style="734" customWidth="1"/>
    <col min="5642" max="5642" width="8.5703125" style="734" bestFit="1" customWidth="1"/>
    <col min="5643" max="5644" width="8.140625" style="734" customWidth="1"/>
    <col min="5645" max="5645" width="9" style="734" customWidth="1"/>
    <col min="5646" max="5646" width="7.5703125" style="734" customWidth="1"/>
    <col min="5647" max="5647" width="7.28515625" style="734" customWidth="1"/>
    <col min="5648" max="5888" width="9.140625" style="734"/>
    <col min="5889" max="5889" width="32.7109375" style="734" customWidth="1"/>
    <col min="5890" max="5890" width="9" style="734" customWidth="1"/>
    <col min="5891" max="5891" width="8.140625" style="734" customWidth="1"/>
    <col min="5892" max="5892" width="8.7109375" style="734" customWidth="1"/>
    <col min="5893" max="5893" width="6.7109375" style="734" customWidth="1"/>
    <col min="5894" max="5894" width="9.5703125" style="734" customWidth="1"/>
    <col min="5895" max="5895" width="10.5703125" style="734" customWidth="1"/>
    <col min="5896" max="5896" width="8" style="734" customWidth="1"/>
    <col min="5897" max="5897" width="8.42578125" style="734" customWidth="1"/>
    <col min="5898" max="5898" width="8.5703125" style="734" bestFit="1" customWidth="1"/>
    <col min="5899" max="5900" width="8.140625" style="734" customWidth="1"/>
    <col min="5901" max="5901" width="9" style="734" customWidth="1"/>
    <col min="5902" max="5902" width="7.5703125" style="734" customWidth="1"/>
    <col min="5903" max="5903" width="7.28515625" style="734" customWidth="1"/>
    <col min="5904" max="6144" width="9.140625" style="734"/>
    <col min="6145" max="6145" width="32.7109375" style="734" customWidth="1"/>
    <col min="6146" max="6146" width="9" style="734" customWidth="1"/>
    <col min="6147" max="6147" width="8.140625" style="734" customWidth="1"/>
    <col min="6148" max="6148" width="8.7109375" style="734" customWidth="1"/>
    <col min="6149" max="6149" width="6.7109375" style="734" customWidth="1"/>
    <col min="6150" max="6150" width="9.5703125" style="734" customWidth="1"/>
    <col min="6151" max="6151" width="10.5703125" style="734" customWidth="1"/>
    <col min="6152" max="6152" width="8" style="734" customWidth="1"/>
    <col min="6153" max="6153" width="8.42578125" style="734" customWidth="1"/>
    <col min="6154" max="6154" width="8.5703125" style="734" bestFit="1" customWidth="1"/>
    <col min="6155" max="6156" width="8.140625" style="734" customWidth="1"/>
    <col min="6157" max="6157" width="9" style="734" customWidth="1"/>
    <col min="6158" max="6158" width="7.5703125" style="734" customWidth="1"/>
    <col min="6159" max="6159" width="7.28515625" style="734" customWidth="1"/>
    <col min="6160" max="6400" width="9.140625" style="734"/>
    <col min="6401" max="6401" width="32.7109375" style="734" customWidth="1"/>
    <col min="6402" max="6402" width="9" style="734" customWidth="1"/>
    <col min="6403" max="6403" width="8.140625" style="734" customWidth="1"/>
    <col min="6404" max="6404" width="8.7109375" style="734" customWidth="1"/>
    <col min="6405" max="6405" width="6.7109375" style="734" customWidth="1"/>
    <col min="6406" max="6406" width="9.5703125" style="734" customWidth="1"/>
    <col min="6407" max="6407" width="10.5703125" style="734" customWidth="1"/>
    <col min="6408" max="6408" width="8" style="734" customWidth="1"/>
    <col min="6409" max="6409" width="8.42578125" style="734" customWidth="1"/>
    <col min="6410" max="6410" width="8.5703125" style="734" bestFit="1" customWidth="1"/>
    <col min="6411" max="6412" width="8.140625" style="734" customWidth="1"/>
    <col min="6413" max="6413" width="9" style="734" customWidth="1"/>
    <col min="6414" max="6414" width="7.5703125" style="734" customWidth="1"/>
    <col min="6415" max="6415" width="7.28515625" style="734" customWidth="1"/>
    <col min="6416" max="6656" width="9.140625" style="734"/>
    <col min="6657" max="6657" width="32.7109375" style="734" customWidth="1"/>
    <col min="6658" max="6658" width="9" style="734" customWidth="1"/>
    <col min="6659" max="6659" width="8.140625" style="734" customWidth="1"/>
    <col min="6660" max="6660" width="8.7109375" style="734" customWidth="1"/>
    <col min="6661" max="6661" width="6.7109375" style="734" customWidth="1"/>
    <col min="6662" max="6662" width="9.5703125" style="734" customWidth="1"/>
    <col min="6663" max="6663" width="10.5703125" style="734" customWidth="1"/>
    <col min="6664" max="6664" width="8" style="734" customWidth="1"/>
    <col min="6665" max="6665" width="8.42578125" style="734" customWidth="1"/>
    <col min="6666" max="6666" width="8.5703125" style="734" bestFit="1" customWidth="1"/>
    <col min="6667" max="6668" width="8.140625" style="734" customWidth="1"/>
    <col min="6669" max="6669" width="9" style="734" customWidth="1"/>
    <col min="6670" max="6670" width="7.5703125" style="734" customWidth="1"/>
    <col min="6671" max="6671" width="7.28515625" style="734" customWidth="1"/>
    <col min="6672" max="6912" width="9.140625" style="734"/>
    <col min="6913" max="6913" width="32.7109375" style="734" customWidth="1"/>
    <col min="6914" max="6914" width="9" style="734" customWidth="1"/>
    <col min="6915" max="6915" width="8.140625" style="734" customWidth="1"/>
    <col min="6916" max="6916" width="8.7109375" style="734" customWidth="1"/>
    <col min="6917" max="6917" width="6.7109375" style="734" customWidth="1"/>
    <col min="6918" max="6918" width="9.5703125" style="734" customWidth="1"/>
    <col min="6919" max="6919" width="10.5703125" style="734" customWidth="1"/>
    <col min="6920" max="6920" width="8" style="734" customWidth="1"/>
    <col min="6921" max="6921" width="8.42578125" style="734" customWidth="1"/>
    <col min="6922" max="6922" width="8.5703125" style="734" bestFit="1" customWidth="1"/>
    <col min="6923" max="6924" width="8.140625" style="734" customWidth="1"/>
    <col min="6925" max="6925" width="9" style="734" customWidth="1"/>
    <col min="6926" max="6926" width="7.5703125" style="734" customWidth="1"/>
    <col min="6927" max="6927" width="7.28515625" style="734" customWidth="1"/>
    <col min="6928" max="7168" width="9.140625" style="734"/>
    <col min="7169" max="7169" width="32.7109375" style="734" customWidth="1"/>
    <col min="7170" max="7170" width="9" style="734" customWidth="1"/>
    <col min="7171" max="7171" width="8.140625" style="734" customWidth="1"/>
    <col min="7172" max="7172" width="8.7109375" style="734" customWidth="1"/>
    <col min="7173" max="7173" width="6.7109375" style="734" customWidth="1"/>
    <col min="7174" max="7174" width="9.5703125" style="734" customWidth="1"/>
    <col min="7175" max="7175" width="10.5703125" style="734" customWidth="1"/>
    <col min="7176" max="7176" width="8" style="734" customWidth="1"/>
    <col min="7177" max="7177" width="8.42578125" style="734" customWidth="1"/>
    <col min="7178" max="7178" width="8.5703125" style="734" bestFit="1" customWidth="1"/>
    <col min="7179" max="7180" width="8.140625" style="734" customWidth="1"/>
    <col min="7181" max="7181" width="9" style="734" customWidth="1"/>
    <col min="7182" max="7182" width="7.5703125" style="734" customWidth="1"/>
    <col min="7183" max="7183" width="7.28515625" style="734" customWidth="1"/>
    <col min="7184" max="7424" width="9.140625" style="734"/>
    <col min="7425" max="7425" width="32.7109375" style="734" customWidth="1"/>
    <col min="7426" max="7426" width="9" style="734" customWidth="1"/>
    <col min="7427" max="7427" width="8.140625" style="734" customWidth="1"/>
    <col min="7428" max="7428" width="8.7109375" style="734" customWidth="1"/>
    <col min="7429" max="7429" width="6.7109375" style="734" customWidth="1"/>
    <col min="7430" max="7430" width="9.5703125" style="734" customWidth="1"/>
    <col min="7431" max="7431" width="10.5703125" style="734" customWidth="1"/>
    <col min="7432" max="7432" width="8" style="734" customWidth="1"/>
    <col min="7433" max="7433" width="8.42578125" style="734" customWidth="1"/>
    <col min="7434" max="7434" width="8.5703125" style="734" bestFit="1" customWidth="1"/>
    <col min="7435" max="7436" width="8.140625" style="734" customWidth="1"/>
    <col min="7437" max="7437" width="9" style="734" customWidth="1"/>
    <col min="7438" max="7438" width="7.5703125" style="734" customWidth="1"/>
    <col min="7439" max="7439" width="7.28515625" style="734" customWidth="1"/>
    <col min="7440" max="7680" width="9.140625" style="734"/>
    <col min="7681" max="7681" width="32.7109375" style="734" customWidth="1"/>
    <col min="7682" max="7682" width="9" style="734" customWidth="1"/>
    <col min="7683" max="7683" width="8.140625" style="734" customWidth="1"/>
    <col min="7684" max="7684" width="8.7109375" style="734" customWidth="1"/>
    <col min="7685" max="7685" width="6.7109375" style="734" customWidth="1"/>
    <col min="7686" max="7686" width="9.5703125" style="734" customWidth="1"/>
    <col min="7687" max="7687" width="10.5703125" style="734" customWidth="1"/>
    <col min="7688" max="7688" width="8" style="734" customWidth="1"/>
    <col min="7689" max="7689" width="8.42578125" style="734" customWidth="1"/>
    <col min="7690" max="7690" width="8.5703125" style="734" bestFit="1" customWidth="1"/>
    <col min="7691" max="7692" width="8.140625" style="734" customWidth="1"/>
    <col min="7693" max="7693" width="9" style="734" customWidth="1"/>
    <col min="7694" max="7694" width="7.5703125" style="734" customWidth="1"/>
    <col min="7695" max="7695" width="7.28515625" style="734" customWidth="1"/>
    <col min="7696" max="7936" width="9.140625" style="734"/>
    <col min="7937" max="7937" width="32.7109375" style="734" customWidth="1"/>
    <col min="7938" max="7938" width="9" style="734" customWidth="1"/>
    <col min="7939" max="7939" width="8.140625" style="734" customWidth="1"/>
    <col min="7940" max="7940" width="8.7109375" style="734" customWidth="1"/>
    <col min="7941" max="7941" width="6.7109375" style="734" customWidth="1"/>
    <col min="7942" max="7942" width="9.5703125" style="734" customWidth="1"/>
    <col min="7943" max="7943" width="10.5703125" style="734" customWidth="1"/>
    <col min="7944" max="7944" width="8" style="734" customWidth="1"/>
    <col min="7945" max="7945" width="8.42578125" style="734" customWidth="1"/>
    <col min="7946" max="7946" width="8.5703125" style="734" bestFit="1" customWidth="1"/>
    <col min="7947" max="7948" width="8.140625" style="734" customWidth="1"/>
    <col min="7949" max="7949" width="9" style="734" customWidth="1"/>
    <col min="7950" max="7950" width="7.5703125" style="734" customWidth="1"/>
    <col min="7951" max="7951" width="7.28515625" style="734" customWidth="1"/>
    <col min="7952" max="8192" width="9.140625" style="734"/>
    <col min="8193" max="8193" width="32.7109375" style="734" customWidth="1"/>
    <col min="8194" max="8194" width="9" style="734" customWidth="1"/>
    <col min="8195" max="8195" width="8.140625" style="734" customWidth="1"/>
    <col min="8196" max="8196" width="8.7109375" style="734" customWidth="1"/>
    <col min="8197" max="8197" width="6.7109375" style="734" customWidth="1"/>
    <col min="8198" max="8198" width="9.5703125" style="734" customWidth="1"/>
    <col min="8199" max="8199" width="10.5703125" style="734" customWidth="1"/>
    <col min="8200" max="8200" width="8" style="734" customWidth="1"/>
    <col min="8201" max="8201" width="8.42578125" style="734" customWidth="1"/>
    <col min="8202" max="8202" width="8.5703125" style="734" bestFit="1" customWidth="1"/>
    <col min="8203" max="8204" width="8.140625" style="734" customWidth="1"/>
    <col min="8205" max="8205" width="9" style="734" customWidth="1"/>
    <col min="8206" max="8206" width="7.5703125" style="734" customWidth="1"/>
    <col min="8207" max="8207" width="7.28515625" style="734" customWidth="1"/>
    <col min="8208" max="8448" width="9.140625" style="734"/>
    <col min="8449" max="8449" width="32.7109375" style="734" customWidth="1"/>
    <col min="8450" max="8450" width="9" style="734" customWidth="1"/>
    <col min="8451" max="8451" width="8.140625" style="734" customWidth="1"/>
    <col min="8452" max="8452" width="8.7109375" style="734" customWidth="1"/>
    <col min="8453" max="8453" width="6.7109375" style="734" customWidth="1"/>
    <col min="8454" max="8454" width="9.5703125" style="734" customWidth="1"/>
    <col min="8455" max="8455" width="10.5703125" style="734" customWidth="1"/>
    <col min="8456" max="8456" width="8" style="734" customWidth="1"/>
    <col min="8457" max="8457" width="8.42578125" style="734" customWidth="1"/>
    <col min="8458" max="8458" width="8.5703125" style="734" bestFit="1" customWidth="1"/>
    <col min="8459" max="8460" width="8.140625" style="734" customWidth="1"/>
    <col min="8461" max="8461" width="9" style="734" customWidth="1"/>
    <col min="8462" max="8462" width="7.5703125" style="734" customWidth="1"/>
    <col min="8463" max="8463" width="7.28515625" style="734" customWidth="1"/>
    <col min="8464" max="8704" width="9.140625" style="734"/>
    <col min="8705" max="8705" width="32.7109375" style="734" customWidth="1"/>
    <col min="8706" max="8706" width="9" style="734" customWidth="1"/>
    <col min="8707" max="8707" width="8.140625" style="734" customWidth="1"/>
    <col min="8708" max="8708" width="8.7109375" style="734" customWidth="1"/>
    <col min="8709" max="8709" width="6.7109375" style="734" customWidth="1"/>
    <col min="8710" max="8710" width="9.5703125" style="734" customWidth="1"/>
    <col min="8711" max="8711" width="10.5703125" style="734" customWidth="1"/>
    <col min="8712" max="8712" width="8" style="734" customWidth="1"/>
    <col min="8713" max="8713" width="8.42578125" style="734" customWidth="1"/>
    <col min="8714" max="8714" width="8.5703125" style="734" bestFit="1" customWidth="1"/>
    <col min="8715" max="8716" width="8.140625" style="734" customWidth="1"/>
    <col min="8717" max="8717" width="9" style="734" customWidth="1"/>
    <col min="8718" max="8718" width="7.5703125" style="734" customWidth="1"/>
    <col min="8719" max="8719" width="7.28515625" style="734" customWidth="1"/>
    <col min="8720" max="8960" width="9.140625" style="734"/>
    <col min="8961" max="8961" width="32.7109375" style="734" customWidth="1"/>
    <col min="8962" max="8962" width="9" style="734" customWidth="1"/>
    <col min="8963" max="8963" width="8.140625" style="734" customWidth="1"/>
    <col min="8964" max="8964" width="8.7109375" style="734" customWidth="1"/>
    <col min="8965" max="8965" width="6.7109375" style="734" customWidth="1"/>
    <col min="8966" max="8966" width="9.5703125" style="734" customWidth="1"/>
    <col min="8967" max="8967" width="10.5703125" style="734" customWidth="1"/>
    <col min="8968" max="8968" width="8" style="734" customWidth="1"/>
    <col min="8969" max="8969" width="8.42578125" style="734" customWidth="1"/>
    <col min="8970" max="8970" width="8.5703125" style="734" bestFit="1" customWidth="1"/>
    <col min="8971" max="8972" width="8.140625" style="734" customWidth="1"/>
    <col min="8973" max="8973" width="9" style="734" customWidth="1"/>
    <col min="8974" max="8974" width="7.5703125" style="734" customWidth="1"/>
    <col min="8975" max="8975" width="7.28515625" style="734" customWidth="1"/>
    <col min="8976" max="9216" width="9.140625" style="734"/>
    <col min="9217" max="9217" width="32.7109375" style="734" customWidth="1"/>
    <col min="9218" max="9218" width="9" style="734" customWidth="1"/>
    <col min="9219" max="9219" width="8.140625" style="734" customWidth="1"/>
    <col min="9220" max="9220" width="8.7109375" style="734" customWidth="1"/>
    <col min="9221" max="9221" width="6.7109375" style="734" customWidth="1"/>
    <col min="9222" max="9222" width="9.5703125" style="734" customWidth="1"/>
    <col min="9223" max="9223" width="10.5703125" style="734" customWidth="1"/>
    <col min="9224" max="9224" width="8" style="734" customWidth="1"/>
    <col min="9225" max="9225" width="8.42578125" style="734" customWidth="1"/>
    <col min="9226" max="9226" width="8.5703125" style="734" bestFit="1" customWidth="1"/>
    <col min="9227" max="9228" width="8.140625" style="734" customWidth="1"/>
    <col min="9229" max="9229" width="9" style="734" customWidth="1"/>
    <col min="9230" max="9230" width="7.5703125" style="734" customWidth="1"/>
    <col min="9231" max="9231" width="7.28515625" style="734" customWidth="1"/>
    <col min="9232" max="9472" width="9.140625" style="734"/>
    <col min="9473" max="9473" width="32.7109375" style="734" customWidth="1"/>
    <col min="9474" max="9474" width="9" style="734" customWidth="1"/>
    <col min="9475" max="9475" width="8.140625" style="734" customWidth="1"/>
    <col min="9476" max="9476" width="8.7109375" style="734" customWidth="1"/>
    <col min="9477" max="9477" width="6.7109375" style="734" customWidth="1"/>
    <col min="9478" max="9478" width="9.5703125" style="734" customWidth="1"/>
    <col min="9479" max="9479" width="10.5703125" style="734" customWidth="1"/>
    <col min="9480" max="9480" width="8" style="734" customWidth="1"/>
    <col min="9481" max="9481" width="8.42578125" style="734" customWidth="1"/>
    <col min="9482" max="9482" width="8.5703125" style="734" bestFit="1" customWidth="1"/>
    <col min="9483" max="9484" width="8.140625" style="734" customWidth="1"/>
    <col min="9485" max="9485" width="9" style="734" customWidth="1"/>
    <col min="9486" max="9486" width="7.5703125" style="734" customWidth="1"/>
    <col min="9487" max="9487" width="7.28515625" style="734" customWidth="1"/>
    <col min="9488" max="9728" width="9.140625" style="734"/>
    <col min="9729" max="9729" width="32.7109375" style="734" customWidth="1"/>
    <col min="9730" max="9730" width="9" style="734" customWidth="1"/>
    <col min="9731" max="9731" width="8.140625" style="734" customWidth="1"/>
    <col min="9732" max="9732" width="8.7109375" style="734" customWidth="1"/>
    <col min="9733" max="9733" width="6.7109375" style="734" customWidth="1"/>
    <col min="9734" max="9734" width="9.5703125" style="734" customWidth="1"/>
    <col min="9735" max="9735" width="10.5703125" style="734" customWidth="1"/>
    <col min="9736" max="9736" width="8" style="734" customWidth="1"/>
    <col min="9737" max="9737" width="8.42578125" style="734" customWidth="1"/>
    <col min="9738" max="9738" width="8.5703125" style="734" bestFit="1" customWidth="1"/>
    <col min="9739" max="9740" width="8.140625" style="734" customWidth="1"/>
    <col min="9741" max="9741" width="9" style="734" customWidth="1"/>
    <col min="9742" max="9742" width="7.5703125" style="734" customWidth="1"/>
    <col min="9743" max="9743" width="7.28515625" style="734" customWidth="1"/>
    <col min="9744" max="9984" width="9.140625" style="734"/>
    <col min="9985" max="9985" width="32.7109375" style="734" customWidth="1"/>
    <col min="9986" max="9986" width="9" style="734" customWidth="1"/>
    <col min="9987" max="9987" width="8.140625" style="734" customWidth="1"/>
    <col min="9988" max="9988" width="8.7109375" style="734" customWidth="1"/>
    <col min="9989" max="9989" width="6.7109375" style="734" customWidth="1"/>
    <col min="9990" max="9990" width="9.5703125" style="734" customWidth="1"/>
    <col min="9991" max="9991" width="10.5703125" style="734" customWidth="1"/>
    <col min="9992" max="9992" width="8" style="734" customWidth="1"/>
    <col min="9993" max="9993" width="8.42578125" style="734" customWidth="1"/>
    <col min="9994" max="9994" width="8.5703125" style="734" bestFit="1" customWidth="1"/>
    <col min="9995" max="9996" width="8.140625" style="734" customWidth="1"/>
    <col min="9997" max="9997" width="9" style="734" customWidth="1"/>
    <col min="9998" max="9998" width="7.5703125" style="734" customWidth="1"/>
    <col min="9999" max="9999" width="7.28515625" style="734" customWidth="1"/>
    <col min="10000" max="10240" width="9.140625" style="734"/>
    <col min="10241" max="10241" width="32.7109375" style="734" customWidth="1"/>
    <col min="10242" max="10242" width="9" style="734" customWidth="1"/>
    <col min="10243" max="10243" width="8.140625" style="734" customWidth="1"/>
    <col min="10244" max="10244" width="8.7109375" style="734" customWidth="1"/>
    <col min="10245" max="10245" width="6.7109375" style="734" customWidth="1"/>
    <col min="10246" max="10246" width="9.5703125" style="734" customWidth="1"/>
    <col min="10247" max="10247" width="10.5703125" style="734" customWidth="1"/>
    <col min="10248" max="10248" width="8" style="734" customWidth="1"/>
    <col min="10249" max="10249" width="8.42578125" style="734" customWidth="1"/>
    <col min="10250" max="10250" width="8.5703125" style="734" bestFit="1" customWidth="1"/>
    <col min="10251" max="10252" width="8.140625" style="734" customWidth="1"/>
    <col min="10253" max="10253" width="9" style="734" customWidth="1"/>
    <col min="10254" max="10254" width="7.5703125" style="734" customWidth="1"/>
    <col min="10255" max="10255" width="7.28515625" style="734" customWidth="1"/>
    <col min="10256" max="10496" width="9.140625" style="734"/>
    <col min="10497" max="10497" width="32.7109375" style="734" customWidth="1"/>
    <col min="10498" max="10498" width="9" style="734" customWidth="1"/>
    <col min="10499" max="10499" width="8.140625" style="734" customWidth="1"/>
    <col min="10500" max="10500" width="8.7109375" style="734" customWidth="1"/>
    <col min="10501" max="10501" width="6.7109375" style="734" customWidth="1"/>
    <col min="10502" max="10502" width="9.5703125" style="734" customWidth="1"/>
    <col min="10503" max="10503" width="10.5703125" style="734" customWidth="1"/>
    <col min="10504" max="10504" width="8" style="734" customWidth="1"/>
    <col min="10505" max="10505" width="8.42578125" style="734" customWidth="1"/>
    <col min="10506" max="10506" width="8.5703125" style="734" bestFit="1" customWidth="1"/>
    <col min="10507" max="10508" width="8.140625" style="734" customWidth="1"/>
    <col min="10509" max="10509" width="9" style="734" customWidth="1"/>
    <col min="10510" max="10510" width="7.5703125" style="734" customWidth="1"/>
    <col min="10511" max="10511" width="7.28515625" style="734" customWidth="1"/>
    <col min="10512" max="10752" width="9.140625" style="734"/>
    <col min="10753" max="10753" width="32.7109375" style="734" customWidth="1"/>
    <col min="10754" max="10754" width="9" style="734" customWidth="1"/>
    <col min="10755" max="10755" width="8.140625" style="734" customWidth="1"/>
    <col min="10756" max="10756" width="8.7109375" style="734" customWidth="1"/>
    <col min="10757" max="10757" width="6.7109375" style="734" customWidth="1"/>
    <col min="10758" max="10758" width="9.5703125" style="734" customWidth="1"/>
    <col min="10759" max="10759" width="10.5703125" style="734" customWidth="1"/>
    <col min="10760" max="10760" width="8" style="734" customWidth="1"/>
    <col min="10761" max="10761" width="8.42578125" style="734" customWidth="1"/>
    <col min="10762" max="10762" width="8.5703125" style="734" bestFit="1" customWidth="1"/>
    <col min="10763" max="10764" width="8.140625" style="734" customWidth="1"/>
    <col min="10765" max="10765" width="9" style="734" customWidth="1"/>
    <col min="10766" max="10766" width="7.5703125" style="734" customWidth="1"/>
    <col min="10767" max="10767" width="7.28515625" style="734" customWidth="1"/>
    <col min="10768" max="11008" width="9.140625" style="734"/>
    <col min="11009" max="11009" width="32.7109375" style="734" customWidth="1"/>
    <col min="11010" max="11010" width="9" style="734" customWidth="1"/>
    <col min="11011" max="11011" width="8.140625" style="734" customWidth="1"/>
    <col min="11012" max="11012" width="8.7109375" style="734" customWidth="1"/>
    <col min="11013" max="11013" width="6.7109375" style="734" customWidth="1"/>
    <col min="11014" max="11014" width="9.5703125" style="734" customWidth="1"/>
    <col min="11015" max="11015" width="10.5703125" style="734" customWidth="1"/>
    <col min="11016" max="11016" width="8" style="734" customWidth="1"/>
    <col min="11017" max="11017" width="8.42578125" style="734" customWidth="1"/>
    <col min="11018" max="11018" width="8.5703125" style="734" bestFit="1" customWidth="1"/>
    <col min="11019" max="11020" width="8.140625" style="734" customWidth="1"/>
    <col min="11021" max="11021" width="9" style="734" customWidth="1"/>
    <col min="11022" max="11022" width="7.5703125" style="734" customWidth="1"/>
    <col min="11023" max="11023" width="7.28515625" style="734" customWidth="1"/>
    <col min="11024" max="11264" width="9.140625" style="734"/>
    <col min="11265" max="11265" width="32.7109375" style="734" customWidth="1"/>
    <col min="11266" max="11266" width="9" style="734" customWidth="1"/>
    <col min="11267" max="11267" width="8.140625" style="734" customWidth="1"/>
    <col min="11268" max="11268" width="8.7109375" style="734" customWidth="1"/>
    <col min="11269" max="11269" width="6.7109375" style="734" customWidth="1"/>
    <col min="11270" max="11270" width="9.5703125" style="734" customWidth="1"/>
    <col min="11271" max="11271" width="10.5703125" style="734" customWidth="1"/>
    <col min="11272" max="11272" width="8" style="734" customWidth="1"/>
    <col min="11273" max="11273" width="8.42578125" style="734" customWidth="1"/>
    <col min="11274" max="11274" width="8.5703125" style="734" bestFit="1" customWidth="1"/>
    <col min="11275" max="11276" width="8.140625" style="734" customWidth="1"/>
    <col min="11277" max="11277" width="9" style="734" customWidth="1"/>
    <col min="11278" max="11278" width="7.5703125" style="734" customWidth="1"/>
    <col min="11279" max="11279" width="7.28515625" style="734" customWidth="1"/>
    <col min="11280" max="11520" width="9.140625" style="734"/>
    <col min="11521" max="11521" width="32.7109375" style="734" customWidth="1"/>
    <col min="11522" max="11522" width="9" style="734" customWidth="1"/>
    <col min="11523" max="11523" width="8.140625" style="734" customWidth="1"/>
    <col min="11524" max="11524" width="8.7109375" style="734" customWidth="1"/>
    <col min="11525" max="11525" width="6.7109375" style="734" customWidth="1"/>
    <col min="11526" max="11526" width="9.5703125" style="734" customWidth="1"/>
    <col min="11527" max="11527" width="10.5703125" style="734" customWidth="1"/>
    <col min="11528" max="11528" width="8" style="734" customWidth="1"/>
    <col min="11529" max="11529" width="8.42578125" style="734" customWidth="1"/>
    <col min="11530" max="11530" width="8.5703125" style="734" bestFit="1" customWidth="1"/>
    <col min="11531" max="11532" width="8.140625" style="734" customWidth="1"/>
    <col min="11533" max="11533" width="9" style="734" customWidth="1"/>
    <col min="11534" max="11534" width="7.5703125" style="734" customWidth="1"/>
    <col min="11535" max="11535" width="7.28515625" style="734" customWidth="1"/>
    <col min="11536" max="11776" width="9.140625" style="734"/>
    <col min="11777" max="11777" width="32.7109375" style="734" customWidth="1"/>
    <col min="11778" max="11778" width="9" style="734" customWidth="1"/>
    <col min="11779" max="11779" width="8.140625" style="734" customWidth="1"/>
    <col min="11780" max="11780" width="8.7109375" style="734" customWidth="1"/>
    <col min="11781" max="11781" width="6.7109375" style="734" customWidth="1"/>
    <col min="11782" max="11782" width="9.5703125" style="734" customWidth="1"/>
    <col min="11783" max="11783" width="10.5703125" style="734" customWidth="1"/>
    <col min="11784" max="11784" width="8" style="734" customWidth="1"/>
    <col min="11785" max="11785" width="8.42578125" style="734" customWidth="1"/>
    <col min="11786" max="11786" width="8.5703125" style="734" bestFit="1" customWidth="1"/>
    <col min="11787" max="11788" width="8.140625" style="734" customWidth="1"/>
    <col min="11789" max="11789" width="9" style="734" customWidth="1"/>
    <col min="11790" max="11790" width="7.5703125" style="734" customWidth="1"/>
    <col min="11791" max="11791" width="7.28515625" style="734" customWidth="1"/>
    <col min="11792" max="12032" width="9.140625" style="734"/>
    <col min="12033" max="12033" width="32.7109375" style="734" customWidth="1"/>
    <col min="12034" max="12034" width="9" style="734" customWidth="1"/>
    <col min="12035" max="12035" width="8.140625" style="734" customWidth="1"/>
    <col min="12036" max="12036" width="8.7109375" style="734" customWidth="1"/>
    <col min="12037" max="12037" width="6.7109375" style="734" customWidth="1"/>
    <col min="12038" max="12038" width="9.5703125" style="734" customWidth="1"/>
    <col min="12039" max="12039" width="10.5703125" style="734" customWidth="1"/>
    <col min="12040" max="12040" width="8" style="734" customWidth="1"/>
    <col min="12041" max="12041" width="8.42578125" style="734" customWidth="1"/>
    <col min="12042" max="12042" width="8.5703125" style="734" bestFit="1" customWidth="1"/>
    <col min="12043" max="12044" width="8.140625" style="734" customWidth="1"/>
    <col min="12045" max="12045" width="9" style="734" customWidth="1"/>
    <col min="12046" max="12046" width="7.5703125" style="734" customWidth="1"/>
    <col min="12047" max="12047" width="7.28515625" style="734" customWidth="1"/>
    <col min="12048" max="12288" width="9.140625" style="734"/>
    <col min="12289" max="12289" width="32.7109375" style="734" customWidth="1"/>
    <col min="12290" max="12290" width="9" style="734" customWidth="1"/>
    <col min="12291" max="12291" width="8.140625" style="734" customWidth="1"/>
    <col min="12292" max="12292" width="8.7109375" style="734" customWidth="1"/>
    <col min="12293" max="12293" width="6.7109375" style="734" customWidth="1"/>
    <col min="12294" max="12294" width="9.5703125" style="734" customWidth="1"/>
    <col min="12295" max="12295" width="10.5703125" style="734" customWidth="1"/>
    <col min="12296" max="12296" width="8" style="734" customWidth="1"/>
    <col min="12297" max="12297" width="8.42578125" style="734" customWidth="1"/>
    <col min="12298" max="12298" width="8.5703125" style="734" bestFit="1" customWidth="1"/>
    <col min="12299" max="12300" width="8.140625" style="734" customWidth="1"/>
    <col min="12301" max="12301" width="9" style="734" customWidth="1"/>
    <col min="12302" max="12302" width="7.5703125" style="734" customWidth="1"/>
    <col min="12303" max="12303" width="7.28515625" style="734" customWidth="1"/>
    <col min="12304" max="12544" width="9.140625" style="734"/>
    <col min="12545" max="12545" width="32.7109375" style="734" customWidth="1"/>
    <col min="12546" max="12546" width="9" style="734" customWidth="1"/>
    <col min="12547" max="12547" width="8.140625" style="734" customWidth="1"/>
    <col min="12548" max="12548" width="8.7109375" style="734" customWidth="1"/>
    <col min="12549" max="12549" width="6.7109375" style="734" customWidth="1"/>
    <col min="12550" max="12550" width="9.5703125" style="734" customWidth="1"/>
    <col min="12551" max="12551" width="10.5703125" style="734" customWidth="1"/>
    <col min="12552" max="12552" width="8" style="734" customWidth="1"/>
    <col min="12553" max="12553" width="8.42578125" style="734" customWidth="1"/>
    <col min="12554" max="12554" width="8.5703125" style="734" bestFit="1" customWidth="1"/>
    <col min="12555" max="12556" width="8.140625" style="734" customWidth="1"/>
    <col min="12557" max="12557" width="9" style="734" customWidth="1"/>
    <col min="12558" max="12558" width="7.5703125" style="734" customWidth="1"/>
    <col min="12559" max="12559" width="7.28515625" style="734" customWidth="1"/>
    <col min="12560" max="12800" width="9.140625" style="734"/>
    <col min="12801" max="12801" width="32.7109375" style="734" customWidth="1"/>
    <col min="12802" max="12802" width="9" style="734" customWidth="1"/>
    <col min="12803" max="12803" width="8.140625" style="734" customWidth="1"/>
    <col min="12804" max="12804" width="8.7109375" style="734" customWidth="1"/>
    <col min="12805" max="12805" width="6.7109375" style="734" customWidth="1"/>
    <col min="12806" max="12806" width="9.5703125" style="734" customWidth="1"/>
    <col min="12807" max="12807" width="10.5703125" style="734" customWidth="1"/>
    <col min="12808" max="12808" width="8" style="734" customWidth="1"/>
    <col min="12809" max="12809" width="8.42578125" style="734" customWidth="1"/>
    <col min="12810" max="12810" width="8.5703125" style="734" bestFit="1" customWidth="1"/>
    <col min="12811" max="12812" width="8.140625" style="734" customWidth="1"/>
    <col min="12813" max="12813" width="9" style="734" customWidth="1"/>
    <col min="12814" max="12814" width="7.5703125" style="734" customWidth="1"/>
    <col min="12815" max="12815" width="7.28515625" style="734" customWidth="1"/>
    <col min="12816" max="13056" width="9.140625" style="734"/>
    <col min="13057" max="13057" width="32.7109375" style="734" customWidth="1"/>
    <col min="13058" max="13058" width="9" style="734" customWidth="1"/>
    <col min="13059" max="13059" width="8.140625" style="734" customWidth="1"/>
    <col min="13060" max="13060" width="8.7109375" style="734" customWidth="1"/>
    <col min="13061" max="13061" width="6.7109375" style="734" customWidth="1"/>
    <col min="13062" max="13062" width="9.5703125" style="734" customWidth="1"/>
    <col min="13063" max="13063" width="10.5703125" style="734" customWidth="1"/>
    <col min="13064" max="13064" width="8" style="734" customWidth="1"/>
    <col min="13065" max="13065" width="8.42578125" style="734" customWidth="1"/>
    <col min="13066" max="13066" width="8.5703125" style="734" bestFit="1" customWidth="1"/>
    <col min="13067" max="13068" width="8.140625" style="734" customWidth="1"/>
    <col min="13069" max="13069" width="9" style="734" customWidth="1"/>
    <col min="13070" max="13070" width="7.5703125" style="734" customWidth="1"/>
    <col min="13071" max="13071" width="7.28515625" style="734" customWidth="1"/>
    <col min="13072" max="13312" width="9.140625" style="734"/>
    <col min="13313" max="13313" width="32.7109375" style="734" customWidth="1"/>
    <col min="13314" max="13314" width="9" style="734" customWidth="1"/>
    <col min="13315" max="13315" width="8.140625" style="734" customWidth="1"/>
    <col min="13316" max="13316" width="8.7109375" style="734" customWidth="1"/>
    <col min="13317" max="13317" width="6.7109375" style="734" customWidth="1"/>
    <col min="13318" max="13318" width="9.5703125" style="734" customWidth="1"/>
    <col min="13319" max="13319" width="10.5703125" style="734" customWidth="1"/>
    <col min="13320" max="13320" width="8" style="734" customWidth="1"/>
    <col min="13321" max="13321" width="8.42578125" style="734" customWidth="1"/>
    <col min="13322" max="13322" width="8.5703125" style="734" bestFit="1" customWidth="1"/>
    <col min="13323" max="13324" width="8.140625" style="734" customWidth="1"/>
    <col min="13325" max="13325" width="9" style="734" customWidth="1"/>
    <col min="13326" max="13326" width="7.5703125" style="734" customWidth="1"/>
    <col min="13327" max="13327" width="7.28515625" style="734" customWidth="1"/>
    <col min="13328" max="13568" width="9.140625" style="734"/>
    <col min="13569" max="13569" width="32.7109375" style="734" customWidth="1"/>
    <col min="13570" max="13570" width="9" style="734" customWidth="1"/>
    <col min="13571" max="13571" width="8.140625" style="734" customWidth="1"/>
    <col min="13572" max="13572" width="8.7109375" style="734" customWidth="1"/>
    <col min="13573" max="13573" width="6.7109375" style="734" customWidth="1"/>
    <col min="13574" max="13574" width="9.5703125" style="734" customWidth="1"/>
    <col min="13575" max="13575" width="10.5703125" style="734" customWidth="1"/>
    <col min="13576" max="13576" width="8" style="734" customWidth="1"/>
    <col min="13577" max="13577" width="8.42578125" style="734" customWidth="1"/>
    <col min="13578" max="13578" width="8.5703125" style="734" bestFit="1" customWidth="1"/>
    <col min="13579" max="13580" width="8.140625" style="734" customWidth="1"/>
    <col min="13581" max="13581" width="9" style="734" customWidth="1"/>
    <col min="13582" max="13582" width="7.5703125" style="734" customWidth="1"/>
    <col min="13583" max="13583" width="7.28515625" style="734" customWidth="1"/>
    <col min="13584" max="13824" width="9.140625" style="734"/>
    <col min="13825" max="13825" width="32.7109375" style="734" customWidth="1"/>
    <col min="13826" max="13826" width="9" style="734" customWidth="1"/>
    <col min="13827" max="13827" width="8.140625" style="734" customWidth="1"/>
    <col min="13828" max="13828" width="8.7109375" style="734" customWidth="1"/>
    <col min="13829" max="13829" width="6.7109375" style="734" customWidth="1"/>
    <col min="13830" max="13830" width="9.5703125" style="734" customWidth="1"/>
    <col min="13831" max="13831" width="10.5703125" style="734" customWidth="1"/>
    <col min="13832" max="13832" width="8" style="734" customWidth="1"/>
    <col min="13833" max="13833" width="8.42578125" style="734" customWidth="1"/>
    <col min="13834" max="13834" width="8.5703125" style="734" bestFit="1" customWidth="1"/>
    <col min="13835" max="13836" width="8.140625" style="734" customWidth="1"/>
    <col min="13837" max="13837" width="9" style="734" customWidth="1"/>
    <col min="13838" max="13838" width="7.5703125" style="734" customWidth="1"/>
    <col min="13839" max="13839" width="7.28515625" style="734" customWidth="1"/>
    <col min="13840" max="14080" width="9.140625" style="734"/>
    <col min="14081" max="14081" width="32.7109375" style="734" customWidth="1"/>
    <col min="14082" max="14082" width="9" style="734" customWidth="1"/>
    <col min="14083" max="14083" width="8.140625" style="734" customWidth="1"/>
    <col min="14084" max="14084" width="8.7109375" style="734" customWidth="1"/>
    <col min="14085" max="14085" width="6.7109375" style="734" customWidth="1"/>
    <col min="14086" max="14086" width="9.5703125" style="734" customWidth="1"/>
    <col min="14087" max="14087" width="10.5703125" style="734" customWidth="1"/>
    <col min="14088" max="14088" width="8" style="734" customWidth="1"/>
    <col min="14089" max="14089" width="8.42578125" style="734" customWidth="1"/>
    <col min="14090" max="14090" width="8.5703125" style="734" bestFit="1" customWidth="1"/>
    <col min="14091" max="14092" width="8.140625" style="734" customWidth="1"/>
    <col min="14093" max="14093" width="9" style="734" customWidth="1"/>
    <col min="14094" max="14094" width="7.5703125" style="734" customWidth="1"/>
    <col min="14095" max="14095" width="7.28515625" style="734" customWidth="1"/>
    <col min="14096" max="14336" width="9.140625" style="734"/>
    <col min="14337" max="14337" width="32.7109375" style="734" customWidth="1"/>
    <col min="14338" max="14338" width="9" style="734" customWidth="1"/>
    <col min="14339" max="14339" width="8.140625" style="734" customWidth="1"/>
    <col min="14340" max="14340" width="8.7109375" style="734" customWidth="1"/>
    <col min="14341" max="14341" width="6.7109375" style="734" customWidth="1"/>
    <col min="14342" max="14342" width="9.5703125" style="734" customWidth="1"/>
    <col min="14343" max="14343" width="10.5703125" style="734" customWidth="1"/>
    <col min="14344" max="14344" width="8" style="734" customWidth="1"/>
    <col min="14345" max="14345" width="8.42578125" style="734" customWidth="1"/>
    <col min="14346" max="14346" width="8.5703125" style="734" bestFit="1" customWidth="1"/>
    <col min="14347" max="14348" width="8.140625" style="734" customWidth="1"/>
    <col min="14349" max="14349" width="9" style="734" customWidth="1"/>
    <col min="14350" max="14350" width="7.5703125" style="734" customWidth="1"/>
    <col min="14351" max="14351" width="7.28515625" style="734" customWidth="1"/>
    <col min="14352" max="14592" width="9.140625" style="734"/>
    <col min="14593" max="14593" width="32.7109375" style="734" customWidth="1"/>
    <col min="14594" max="14594" width="9" style="734" customWidth="1"/>
    <col min="14595" max="14595" width="8.140625" style="734" customWidth="1"/>
    <col min="14596" max="14596" width="8.7109375" style="734" customWidth="1"/>
    <col min="14597" max="14597" width="6.7109375" style="734" customWidth="1"/>
    <col min="14598" max="14598" width="9.5703125" style="734" customWidth="1"/>
    <col min="14599" max="14599" width="10.5703125" style="734" customWidth="1"/>
    <col min="14600" max="14600" width="8" style="734" customWidth="1"/>
    <col min="14601" max="14601" width="8.42578125" style="734" customWidth="1"/>
    <col min="14602" max="14602" width="8.5703125" style="734" bestFit="1" customWidth="1"/>
    <col min="14603" max="14604" width="8.140625" style="734" customWidth="1"/>
    <col min="14605" max="14605" width="9" style="734" customWidth="1"/>
    <col min="14606" max="14606" width="7.5703125" style="734" customWidth="1"/>
    <col min="14607" max="14607" width="7.28515625" style="734" customWidth="1"/>
    <col min="14608" max="14848" width="9.140625" style="734"/>
    <col min="14849" max="14849" width="32.7109375" style="734" customWidth="1"/>
    <col min="14850" max="14850" width="9" style="734" customWidth="1"/>
    <col min="14851" max="14851" width="8.140625" style="734" customWidth="1"/>
    <col min="14852" max="14852" width="8.7109375" style="734" customWidth="1"/>
    <col min="14853" max="14853" width="6.7109375" style="734" customWidth="1"/>
    <col min="14854" max="14854" width="9.5703125" style="734" customWidth="1"/>
    <col min="14855" max="14855" width="10.5703125" style="734" customWidth="1"/>
    <col min="14856" max="14856" width="8" style="734" customWidth="1"/>
    <col min="14857" max="14857" width="8.42578125" style="734" customWidth="1"/>
    <col min="14858" max="14858" width="8.5703125" style="734" bestFit="1" customWidth="1"/>
    <col min="14859" max="14860" width="8.140625" style="734" customWidth="1"/>
    <col min="14861" max="14861" width="9" style="734" customWidth="1"/>
    <col min="14862" max="14862" width="7.5703125" style="734" customWidth="1"/>
    <col min="14863" max="14863" width="7.28515625" style="734" customWidth="1"/>
    <col min="14864" max="15104" width="9.140625" style="734"/>
    <col min="15105" max="15105" width="32.7109375" style="734" customWidth="1"/>
    <col min="15106" max="15106" width="9" style="734" customWidth="1"/>
    <col min="15107" max="15107" width="8.140625" style="734" customWidth="1"/>
    <col min="15108" max="15108" width="8.7109375" style="734" customWidth="1"/>
    <col min="15109" max="15109" width="6.7109375" style="734" customWidth="1"/>
    <col min="15110" max="15110" width="9.5703125" style="734" customWidth="1"/>
    <col min="15111" max="15111" width="10.5703125" style="734" customWidth="1"/>
    <col min="15112" max="15112" width="8" style="734" customWidth="1"/>
    <col min="15113" max="15113" width="8.42578125" style="734" customWidth="1"/>
    <col min="15114" max="15114" width="8.5703125" style="734" bestFit="1" customWidth="1"/>
    <col min="15115" max="15116" width="8.140625" style="734" customWidth="1"/>
    <col min="15117" max="15117" width="9" style="734" customWidth="1"/>
    <col min="15118" max="15118" width="7.5703125" style="734" customWidth="1"/>
    <col min="15119" max="15119" width="7.28515625" style="734" customWidth="1"/>
    <col min="15120" max="15360" width="9.140625" style="734"/>
    <col min="15361" max="15361" width="32.7109375" style="734" customWidth="1"/>
    <col min="15362" max="15362" width="9" style="734" customWidth="1"/>
    <col min="15363" max="15363" width="8.140625" style="734" customWidth="1"/>
    <col min="15364" max="15364" width="8.7109375" style="734" customWidth="1"/>
    <col min="15365" max="15365" width="6.7109375" style="734" customWidth="1"/>
    <col min="15366" max="15366" width="9.5703125" style="734" customWidth="1"/>
    <col min="15367" max="15367" width="10.5703125" style="734" customWidth="1"/>
    <col min="15368" max="15368" width="8" style="734" customWidth="1"/>
    <col min="15369" max="15369" width="8.42578125" style="734" customWidth="1"/>
    <col min="15370" max="15370" width="8.5703125" style="734" bestFit="1" customWidth="1"/>
    <col min="15371" max="15372" width="8.140625" style="734" customWidth="1"/>
    <col min="15373" max="15373" width="9" style="734" customWidth="1"/>
    <col min="15374" max="15374" width="7.5703125" style="734" customWidth="1"/>
    <col min="15375" max="15375" width="7.28515625" style="734" customWidth="1"/>
    <col min="15376" max="15616" width="9.140625" style="734"/>
    <col min="15617" max="15617" width="32.7109375" style="734" customWidth="1"/>
    <col min="15618" max="15618" width="9" style="734" customWidth="1"/>
    <col min="15619" max="15619" width="8.140625" style="734" customWidth="1"/>
    <col min="15620" max="15620" width="8.7109375" style="734" customWidth="1"/>
    <col min="15621" max="15621" width="6.7109375" style="734" customWidth="1"/>
    <col min="15622" max="15622" width="9.5703125" style="734" customWidth="1"/>
    <col min="15623" max="15623" width="10.5703125" style="734" customWidth="1"/>
    <col min="15624" max="15624" width="8" style="734" customWidth="1"/>
    <col min="15625" max="15625" width="8.42578125" style="734" customWidth="1"/>
    <col min="15626" max="15626" width="8.5703125" style="734" bestFit="1" customWidth="1"/>
    <col min="15627" max="15628" width="8.140625" style="734" customWidth="1"/>
    <col min="15629" max="15629" width="9" style="734" customWidth="1"/>
    <col min="15630" max="15630" width="7.5703125" style="734" customWidth="1"/>
    <col min="15631" max="15631" width="7.28515625" style="734" customWidth="1"/>
    <col min="15632" max="15872" width="9.140625" style="734"/>
    <col min="15873" max="15873" width="32.7109375" style="734" customWidth="1"/>
    <col min="15874" max="15874" width="9" style="734" customWidth="1"/>
    <col min="15875" max="15875" width="8.140625" style="734" customWidth="1"/>
    <col min="15876" max="15876" width="8.7109375" style="734" customWidth="1"/>
    <col min="15877" max="15877" width="6.7109375" style="734" customWidth="1"/>
    <col min="15878" max="15878" width="9.5703125" style="734" customWidth="1"/>
    <col min="15879" max="15879" width="10.5703125" style="734" customWidth="1"/>
    <col min="15880" max="15880" width="8" style="734" customWidth="1"/>
    <col min="15881" max="15881" width="8.42578125" style="734" customWidth="1"/>
    <col min="15882" max="15882" width="8.5703125" style="734" bestFit="1" customWidth="1"/>
    <col min="15883" max="15884" width="8.140625" style="734" customWidth="1"/>
    <col min="15885" max="15885" width="9" style="734" customWidth="1"/>
    <col min="15886" max="15886" width="7.5703125" style="734" customWidth="1"/>
    <col min="15887" max="15887" width="7.28515625" style="734" customWidth="1"/>
    <col min="15888" max="16128" width="9.140625" style="734"/>
    <col min="16129" max="16129" width="32.7109375" style="734" customWidth="1"/>
    <col min="16130" max="16130" width="9" style="734" customWidth="1"/>
    <col min="16131" max="16131" width="8.140625" style="734" customWidth="1"/>
    <col min="16132" max="16132" width="8.7109375" style="734" customWidth="1"/>
    <col min="16133" max="16133" width="6.7109375" style="734" customWidth="1"/>
    <col min="16134" max="16134" width="9.5703125" style="734" customWidth="1"/>
    <col min="16135" max="16135" width="10.5703125" style="734" customWidth="1"/>
    <col min="16136" max="16136" width="8" style="734" customWidth="1"/>
    <col min="16137" max="16137" width="8.42578125" style="734" customWidth="1"/>
    <col min="16138" max="16138" width="8.5703125" style="734" bestFit="1" customWidth="1"/>
    <col min="16139" max="16140" width="8.140625" style="734" customWidth="1"/>
    <col min="16141" max="16141" width="9" style="734" customWidth="1"/>
    <col min="16142" max="16142" width="7.5703125" style="734" customWidth="1"/>
    <col min="16143" max="16143" width="7.28515625" style="734" customWidth="1"/>
    <col min="16144" max="16384" width="9.140625" style="734"/>
  </cols>
  <sheetData>
    <row r="1" spans="1:15">
      <c r="A1" s="1546" t="s">
        <v>4177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</row>
    <row r="2" spans="1:15">
      <c r="E2" s="1546" t="s">
        <v>4178</v>
      </c>
      <c r="F2" s="1546"/>
      <c r="G2" s="1546"/>
    </row>
    <row r="3" spans="1:15" ht="23.25" customHeight="1">
      <c r="A3" s="735" t="s">
        <v>4176</v>
      </c>
      <c r="E3" s="736"/>
      <c r="F3" s="736"/>
      <c r="G3" s="736"/>
    </row>
    <row r="4" spans="1:15" ht="26.25" customHeight="1">
      <c r="A4" s="737" t="s">
        <v>169</v>
      </c>
      <c r="B4" s="1576" t="s">
        <v>4279</v>
      </c>
      <c r="C4" s="1576"/>
      <c r="D4" s="1576"/>
      <c r="E4" s="1548" t="s">
        <v>4180</v>
      </c>
      <c r="F4" s="1548"/>
      <c r="G4" s="1549">
        <v>405010304180203</v>
      </c>
      <c r="H4" s="1549"/>
      <c r="I4" s="1548" t="s">
        <v>172</v>
      </c>
      <c r="J4" s="1548"/>
      <c r="K4" s="738" t="s">
        <v>4280</v>
      </c>
      <c r="L4" s="1548" t="s">
        <v>4183</v>
      </c>
      <c r="M4" s="1548"/>
      <c r="N4" s="738" t="s">
        <v>4184</v>
      </c>
    </row>
    <row r="5" spans="1:15">
      <c r="A5" s="773"/>
      <c r="C5" s="736"/>
      <c r="D5" s="736"/>
      <c r="E5" s="736"/>
      <c r="F5" s="774"/>
      <c r="G5" s="774"/>
      <c r="I5" s="347"/>
      <c r="K5" s="775"/>
      <c r="L5" s="775"/>
      <c r="M5" s="347"/>
    </row>
    <row r="6" spans="1:15" ht="26.25" customHeight="1">
      <c r="A6" s="740" t="s">
        <v>174</v>
      </c>
      <c r="B6" s="1551" t="s">
        <v>4281</v>
      </c>
      <c r="C6" s="1552"/>
      <c r="D6" s="1552"/>
      <c r="E6" s="1553"/>
      <c r="F6" s="1554" t="s">
        <v>176</v>
      </c>
      <c r="G6" s="1555"/>
      <c r="H6" s="1556"/>
      <c r="I6" s="1547" t="s">
        <v>4282</v>
      </c>
      <c r="J6" s="1547"/>
      <c r="K6" s="1547"/>
      <c r="L6" s="1547"/>
      <c r="M6" s="1547"/>
    </row>
    <row r="7" spans="1:15">
      <c r="B7" s="736"/>
      <c r="C7" s="736"/>
      <c r="D7" s="736"/>
      <c r="E7" s="736"/>
      <c r="I7" s="736"/>
      <c r="J7" s="736"/>
      <c r="K7" s="736"/>
      <c r="L7" s="736"/>
      <c r="M7" s="736"/>
    </row>
    <row r="8" spans="1:15" ht="26.25" customHeight="1">
      <c r="A8" s="741" t="s">
        <v>178</v>
      </c>
      <c r="B8" s="1547" t="s">
        <v>4283</v>
      </c>
      <c r="C8" s="1547"/>
      <c r="D8" s="1547"/>
      <c r="E8" s="746"/>
      <c r="F8" s="740" t="s">
        <v>4188</v>
      </c>
      <c r="G8" s="740"/>
      <c r="H8" s="740"/>
      <c r="I8" s="740"/>
      <c r="J8" s="740"/>
      <c r="K8" s="1558" t="s">
        <v>4284</v>
      </c>
      <c r="L8" s="1558"/>
      <c r="M8" s="1558"/>
      <c r="N8" s="1558"/>
    </row>
    <row r="9" spans="1:15" ht="26.25" customHeight="1">
      <c r="A9" s="743" t="s">
        <v>4189</v>
      </c>
      <c r="B9" s="1547" t="s">
        <v>4285</v>
      </c>
      <c r="C9" s="1547"/>
      <c r="D9" s="1547"/>
      <c r="E9" s="1547" t="s">
        <v>4286</v>
      </c>
      <c r="F9" s="1551"/>
      <c r="G9" s="1547"/>
      <c r="H9" s="1547" t="s">
        <v>4287</v>
      </c>
      <c r="I9" s="1547"/>
      <c r="J9" s="1553"/>
      <c r="K9" s="1560"/>
      <c r="L9" s="1560"/>
      <c r="M9" s="1560"/>
      <c r="N9" s="1560"/>
    </row>
    <row r="10" spans="1:15" ht="26.25" customHeight="1">
      <c r="A10" s="744" t="s">
        <v>187</v>
      </c>
      <c r="B10" s="1547" t="s">
        <v>4288</v>
      </c>
      <c r="C10" s="1547"/>
      <c r="D10" s="1547"/>
      <c r="E10" s="1547" t="s">
        <v>4281</v>
      </c>
      <c r="F10" s="1547"/>
      <c r="G10" s="1550"/>
      <c r="H10" s="1550" t="s">
        <v>4289</v>
      </c>
      <c r="I10" s="1550"/>
      <c r="J10" s="1547"/>
      <c r="K10" s="1560"/>
      <c r="L10" s="1560"/>
      <c r="M10" s="1560"/>
      <c r="N10" s="1560"/>
    </row>
    <row r="11" spans="1:15" ht="26.25" customHeight="1">
      <c r="A11" s="745" t="s">
        <v>192</v>
      </c>
      <c r="B11" s="1558" t="s">
        <v>5794</v>
      </c>
      <c r="C11" s="1558"/>
      <c r="D11" s="1558" t="s">
        <v>5795</v>
      </c>
      <c r="E11" s="1558"/>
      <c r="F11" s="1551" t="s">
        <v>4290</v>
      </c>
      <c r="G11" s="1547"/>
      <c r="H11" s="1558" t="s">
        <v>5796</v>
      </c>
      <c r="I11" s="1558"/>
      <c r="J11" s="1578"/>
      <c r="K11" s="1547" t="s">
        <v>5797</v>
      </c>
      <c r="L11" s="1547"/>
      <c r="M11" s="1547"/>
      <c r="N11" s="746"/>
    </row>
    <row r="12" spans="1:15" ht="26.25" customHeight="1">
      <c r="A12" s="743" t="s">
        <v>197</v>
      </c>
      <c r="B12" s="1568" t="s">
        <v>4283</v>
      </c>
      <c r="C12" s="1568"/>
      <c r="D12" s="1568"/>
      <c r="E12" s="1560"/>
      <c r="F12" s="1560"/>
      <c r="G12" s="1560"/>
      <c r="H12" s="1560"/>
      <c r="I12" s="1560"/>
      <c r="J12" s="1560"/>
      <c r="K12" s="1560"/>
      <c r="L12" s="1560"/>
      <c r="M12" s="1560"/>
      <c r="N12" s="1560"/>
    </row>
    <row r="13" spans="1:15">
      <c r="A13" s="347"/>
      <c r="B13" s="736"/>
      <c r="C13" s="736"/>
      <c r="D13" s="736"/>
      <c r="E13" s="736"/>
      <c r="F13" s="736"/>
      <c r="G13" s="736"/>
      <c r="H13" s="736"/>
      <c r="I13" s="736"/>
      <c r="J13" s="736"/>
      <c r="K13" s="736"/>
      <c r="L13" s="736"/>
      <c r="M13" s="736"/>
      <c r="N13" s="736"/>
    </row>
    <row r="14" spans="1:15" ht="26.25" customHeight="1">
      <c r="A14" s="743" t="s">
        <v>198</v>
      </c>
      <c r="B14" s="747">
        <v>3</v>
      </c>
      <c r="C14" s="1562" t="s">
        <v>199</v>
      </c>
      <c r="D14" s="1562"/>
      <c r="E14" s="1562"/>
      <c r="F14" s="748">
        <v>3</v>
      </c>
      <c r="G14" s="744" t="s">
        <v>200</v>
      </c>
      <c r="H14" s="748">
        <v>9</v>
      </c>
      <c r="I14" s="749" t="s">
        <v>4196</v>
      </c>
      <c r="J14" s="748">
        <v>3</v>
      </c>
      <c r="K14" s="749" t="s">
        <v>202</v>
      </c>
      <c r="L14" s="747">
        <v>7</v>
      </c>
    </row>
    <row r="15" spans="1:15">
      <c r="A15" s="347"/>
      <c r="C15" s="750"/>
      <c r="D15" s="750"/>
      <c r="E15" s="750"/>
      <c r="F15" s="751"/>
      <c r="G15" s="751"/>
      <c r="H15" s="751"/>
      <c r="I15" s="751"/>
      <c r="J15" s="751"/>
      <c r="K15" s="751"/>
    </row>
    <row r="16" spans="1:15" ht="26.25" customHeight="1">
      <c r="A16" s="752" t="s">
        <v>203</v>
      </c>
      <c r="B16" s="753" t="s">
        <v>4197</v>
      </c>
      <c r="C16" s="747">
        <v>104</v>
      </c>
      <c r="D16" s="753" t="s">
        <v>4198</v>
      </c>
      <c r="E16" s="754">
        <v>2</v>
      </c>
      <c r="F16" s="755" t="s">
        <v>4199</v>
      </c>
      <c r="G16" s="754">
        <v>0</v>
      </c>
      <c r="H16" s="753" t="s">
        <v>4200</v>
      </c>
      <c r="I16" s="754">
        <v>106</v>
      </c>
      <c r="J16" s="755" t="s">
        <v>414</v>
      </c>
      <c r="K16" s="747">
        <v>19</v>
      </c>
      <c r="L16" s="1575" t="s">
        <v>4201</v>
      </c>
      <c r="M16" s="1575"/>
      <c r="N16" s="1575"/>
      <c r="O16" s="747">
        <v>6</v>
      </c>
    </row>
    <row r="17" spans="1:14" ht="26.25" customHeight="1">
      <c r="A17" s="752" t="s">
        <v>1029</v>
      </c>
      <c r="B17" s="741" t="s">
        <v>4202</v>
      </c>
      <c r="C17" s="747">
        <v>214</v>
      </c>
      <c r="D17" s="741" t="s">
        <v>4203</v>
      </c>
      <c r="E17" s="747">
        <v>3</v>
      </c>
      <c r="F17" s="741" t="s">
        <v>4204</v>
      </c>
      <c r="G17" s="747">
        <v>0</v>
      </c>
      <c r="H17" s="757" t="s">
        <v>5781</v>
      </c>
      <c r="I17" s="747">
        <v>217</v>
      </c>
    </row>
    <row r="18" spans="1:14" ht="26.25" customHeight="1">
      <c r="B18" s="741" t="s">
        <v>4205</v>
      </c>
      <c r="C18" s="747">
        <v>204</v>
      </c>
      <c r="D18" s="741" t="s">
        <v>214</v>
      </c>
      <c r="E18" s="747">
        <v>4</v>
      </c>
      <c r="F18" s="741" t="s">
        <v>1494</v>
      </c>
      <c r="G18" s="747">
        <v>0</v>
      </c>
      <c r="H18" s="757" t="s">
        <v>5782</v>
      </c>
      <c r="I18" s="747">
        <v>208</v>
      </c>
    </row>
    <row r="19" spans="1:14" ht="26.25" customHeight="1">
      <c r="A19" s="758" t="s">
        <v>216</v>
      </c>
    </row>
    <row r="20" spans="1:14" ht="26.25" customHeight="1">
      <c r="A20" s="1565" t="s">
        <v>4206</v>
      </c>
      <c r="B20" s="1566" t="s">
        <v>408</v>
      </c>
      <c r="C20" s="1566" t="s">
        <v>219</v>
      </c>
      <c r="D20" s="1566" t="s">
        <v>4207</v>
      </c>
      <c r="E20" s="1566" t="s">
        <v>1713</v>
      </c>
      <c r="F20" s="1567" t="s">
        <v>4208</v>
      </c>
      <c r="G20" s="1567"/>
      <c r="H20" s="1567"/>
      <c r="I20" s="1567"/>
      <c r="J20" s="1567"/>
      <c r="K20" s="1567"/>
      <c r="L20" s="1567"/>
      <c r="M20" s="1567"/>
      <c r="N20" s="1567"/>
    </row>
    <row r="21" spans="1:14" ht="26.25" customHeight="1">
      <c r="A21" s="1565"/>
      <c r="B21" s="1566"/>
      <c r="C21" s="1566"/>
      <c r="D21" s="1566"/>
      <c r="E21" s="1566"/>
      <c r="F21" s="759">
        <v>1</v>
      </c>
      <c r="G21" s="759">
        <v>2</v>
      </c>
      <c r="H21" s="759">
        <v>3</v>
      </c>
      <c r="I21" s="759">
        <v>4</v>
      </c>
      <c r="J21" s="759">
        <v>5</v>
      </c>
      <c r="K21" s="759">
        <v>6</v>
      </c>
      <c r="L21" s="759">
        <v>7</v>
      </c>
      <c r="M21" s="759" t="s">
        <v>230</v>
      </c>
      <c r="N21" s="760" t="s">
        <v>231</v>
      </c>
    </row>
    <row r="22" spans="1:14" ht="26.25" customHeight="1">
      <c r="A22" s="744" t="s">
        <v>232</v>
      </c>
      <c r="B22" s="761">
        <v>8000</v>
      </c>
      <c r="C22" s="761" t="s">
        <v>4209</v>
      </c>
      <c r="D22" s="762">
        <f>B22*548/100000</f>
        <v>43.84</v>
      </c>
      <c r="E22" s="779">
        <v>6.4909999999999997</v>
      </c>
      <c r="F22" s="764">
        <v>0</v>
      </c>
      <c r="G22" s="764">
        <v>0</v>
      </c>
      <c r="H22" s="764">
        <v>1.9273100000000001</v>
      </c>
      <c r="I22" s="764"/>
      <c r="J22" s="764"/>
      <c r="K22" s="764"/>
      <c r="L22" s="764"/>
      <c r="M22" s="764">
        <f>L22+K22+J22+I22+H22+G22+F22</f>
        <v>1.9273100000000001</v>
      </c>
      <c r="N22" s="766">
        <f>M22/E22*100</f>
        <v>29.692035125558469</v>
      </c>
    </row>
    <row r="23" spans="1:14" ht="26.25" customHeight="1">
      <c r="A23" s="743" t="s">
        <v>4210</v>
      </c>
      <c r="B23" s="739">
        <v>7000</v>
      </c>
      <c r="C23" s="761" t="s">
        <v>4209</v>
      </c>
      <c r="D23" s="762">
        <f>B23*548/100000</f>
        <v>38.36</v>
      </c>
      <c r="E23" s="767">
        <v>0</v>
      </c>
      <c r="F23" s="764">
        <v>0</v>
      </c>
      <c r="G23" s="764">
        <v>0</v>
      </c>
      <c r="H23" s="771">
        <v>0</v>
      </c>
      <c r="I23" s="771"/>
      <c r="J23" s="771"/>
      <c r="K23" s="771"/>
      <c r="L23" s="771"/>
      <c r="M23" s="764">
        <f t="shared" ref="M23:M30" si="0">L23+K23+J23+I23+H23+G23+F23</f>
        <v>0</v>
      </c>
      <c r="N23" s="766">
        <v>0</v>
      </c>
    </row>
    <row r="24" spans="1:14" ht="26.25" customHeight="1">
      <c r="A24" s="743" t="s">
        <v>4211</v>
      </c>
      <c r="B24" s="747">
        <v>43000</v>
      </c>
      <c r="C24" s="747" t="s">
        <v>236</v>
      </c>
      <c r="D24" s="770">
        <v>0.43</v>
      </c>
      <c r="E24" s="769">
        <v>0.18</v>
      </c>
      <c r="F24" s="764">
        <v>0</v>
      </c>
      <c r="G24" s="764">
        <v>0</v>
      </c>
      <c r="H24" s="771">
        <v>0</v>
      </c>
      <c r="I24" s="771"/>
      <c r="J24" s="771"/>
      <c r="K24" s="771"/>
      <c r="L24" s="771"/>
      <c r="M24" s="764">
        <f t="shared" si="0"/>
        <v>0</v>
      </c>
      <c r="N24" s="766">
        <f t="shared" ref="N24:N29" si="1">M24/E24*100</f>
        <v>0</v>
      </c>
    </row>
    <row r="25" spans="1:14" ht="26.25" customHeight="1">
      <c r="A25" s="743" t="s">
        <v>4212</v>
      </c>
      <c r="B25" s="747">
        <v>37000</v>
      </c>
      <c r="C25" s="747" t="s">
        <v>236</v>
      </c>
      <c r="D25" s="770">
        <v>0.37</v>
      </c>
      <c r="E25" s="769">
        <v>0.16</v>
      </c>
      <c r="F25" s="764">
        <v>0</v>
      </c>
      <c r="G25" s="764">
        <v>0</v>
      </c>
      <c r="H25" s="771">
        <v>0</v>
      </c>
      <c r="I25" s="771"/>
      <c r="J25" s="771"/>
      <c r="K25" s="771"/>
      <c r="L25" s="771"/>
      <c r="M25" s="764">
        <f t="shared" si="0"/>
        <v>0</v>
      </c>
      <c r="N25" s="766">
        <f t="shared" si="1"/>
        <v>0</v>
      </c>
    </row>
    <row r="26" spans="1:14" ht="26.25" customHeight="1">
      <c r="A26" s="743" t="s">
        <v>4213</v>
      </c>
      <c r="B26" s="747">
        <v>1200</v>
      </c>
      <c r="C26" s="747" t="s">
        <v>4209</v>
      </c>
      <c r="D26" s="770">
        <f>B26*548/100000</f>
        <v>6.5759999999999996</v>
      </c>
      <c r="E26" s="769">
        <v>2</v>
      </c>
      <c r="F26" s="764">
        <v>0</v>
      </c>
      <c r="G26" s="764">
        <v>0</v>
      </c>
      <c r="H26" s="771">
        <v>1.9996100000000001</v>
      </c>
      <c r="I26" s="771"/>
      <c r="J26" s="771"/>
      <c r="K26" s="771"/>
      <c r="L26" s="771"/>
      <c r="M26" s="764">
        <f t="shared" si="0"/>
        <v>1.9996100000000001</v>
      </c>
      <c r="N26" s="766">
        <f t="shared" si="1"/>
        <v>99.980500000000006</v>
      </c>
    </row>
    <row r="27" spans="1:14" ht="26.25" customHeight="1">
      <c r="A27" s="741" t="s">
        <v>4214</v>
      </c>
      <c r="B27" s="747">
        <v>565</v>
      </c>
      <c r="C27" s="747" t="s">
        <v>4209</v>
      </c>
      <c r="D27" s="770">
        <f>B27*548/100000</f>
        <v>3.0962000000000001</v>
      </c>
      <c r="E27" s="769">
        <v>0.54800000000000004</v>
      </c>
      <c r="F27" s="764">
        <v>0</v>
      </c>
      <c r="G27" s="764">
        <v>0</v>
      </c>
      <c r="H27" s="771">
        <v>0.54</v>
      </c>
      <c r="I27" s="771"/>
      <c r="J27" s="771"/>
      <c r="K27" s="771"/>
      <c r="L27" s="771"/>
      <c r="M27" s="764">
        <f t="shared" si="0"/>
        <v>0.54</v>
      </c>
      <c r="N27" s="766">
        <f t="shared" si="1"/>
        <v>98.540145985401466</v>
      </c>
    </row>
    <row r="28" spans="1:14" ht="26.25" customHeight="1">
      <c r="A28" s="743" t="s">
        <v>240</v>
      </c>
      <c r="B28" s="747">
        <v>1000</v>
      </c>
      <c r="C28" s="747" t="s">
        <v>4209</v>
      </c>
      <c r="D28" s="770">
        <f>B28*548/100000</f>
        <v>5.48</v>
      </c>
      <c r="E28" s="769">
        <v>0</v>
      </c>
      <c r="F28" s="764">
        <v>0</v>
      </c>
      <c r="G28" s="764">
        <v>0</v>
      </c>
      <c r="H28" s="771">
        <v>0</v>
      </c>
      <c r="I28" s="771"/>
      <c r="J28" s="771"/>
      <c r="K28" s="771"/>
      <c r="L28" s="771"/>
      <c r="M28" s="764">
        <f t="shared" si="0"/>
        <v>0</v>
      </c>
      <c r="N28" s="766">
        <v>0</v>
      </c>
    </row>
    <row r="29" spans="1:14" ht="26.25" customHeight="1">
      <c r="A29" s="743" t="s">
        <v>4215</v>
      </c>
      <c r="B29" s="747">
        <v>2750</v>
      </c>
      <c r="C29" s="747" t="s">
        <v>242</v>
      </c>
      <c r="D29" s="770">
        <v>2.31</v>
      </c>
      <c r="E29" s="769">
        <v>0.33</v>
      </c>
      <c r="F29" s="764">
        <v>0</v>
      </c>
      <c r="G29" s="764">
        <v>0</v>
      </c>
      <c r="H29" s="771">
        <v>0.33</v>
      </c>
      <c r="I29" s="771"/>
      <c r="J29" s="771"/>
      <c r="K29" s="771"/>
      <c r="L29" s="771"/>
      <c r="M29" s="764">
        <f t="shared" si="0"/>
        <v>0.33</v>
      </c>
      <c r="N29" s="766">
        <f t="shared" si="1"/>
        <v>100</v>
      </c>
    </row>
    <row r="30" spans="1:14" ht="26.25" customHeight="1">
      <c r="A30" s="741" t="s">
        <v>4216</v>
      </c>
      <c r="B30" s="747">
        <v>10000</v>
      </c>
      <c r="C30" s="747" t="s">
        <v>244</v>
      </c>
      <c r="D30" s="770">
        <v>0.1</v>
      </c>
      <c r="E30" s="769">
        <v>0</v>
      </c>
      <c r="F30" s="764">
        <v>0</v>
      </c>
      <c r="G30" s="764">
        <v>0</v>
      </c>
      <c r="H30" s="771">
        <v>0</v>
      </c>
      <c r="I30" s="771"/>
      <c r="J30" s="771"/>
      <c r="K30" s="771"/>
      <c r="L30" s="771"/>
      <c r="M30" s="764">
        <f t="shared" si="0"/>
        <v>0</v>
      </c>
      <c r="N30" s="766">
        <v>0</v>
      </c>
    </row>
    <row r="31" spans="1:14" ht="26.25" customHeight="1">
      <c r="A31" s="741" t="s">
        <v>245</v>
      </c>
      <c r="B31" s="747">
        <f>SUM(B22:B30)</f>
        <v>110515</v>
      </c>
      <c r="C31" s="747"/>
      <c r="D31" s="771">
        <f>SUM(D22:D30)</f>
        <v>100.5622</v>
      </c>
      <c r="E31" s="780">
        <f>SUM(E22:E30)</f>
        <v>9.7089999999999996</v>
      </c>
      <c r="F31" s="771">
        <f>SUM(F22:F30)</f>
        <v>0</v>
      </c>
      <c r="G31" s="771">
        <f t="shared" ref="G31:M31" si="2">SUM(G22:G30)</f>
        <v>0</v>
      </c>
      <c r="H31" s="771">
        <f t="shared" si="2"/>
        <v>4.7969200000000001</v>
      </c>
      <c r="I31" s="771">
        <f t="shared" si="2"/>
        <v>0</v>
      </c>
      <c r="J31" s="771">
        <f t="shared" si="2"/>
        <v>0</v>
      </c>
      <c r="K31" s="771">
        <f t="shared" si="2"/>
        <v>0</v>
      </c>
      <c r="L31" s="771">
        <f t="shared" si="2"/>
        <v>0</v>
      </c>
      <c r="M31" s="771">
        <f t="shared" si="2"/>
        <v>4.7969200000000001</v>
      </c>
      <c r="N31" s="766"/>
    </row>
  </sheetData>
  <mergeCells count="37">
    <mergeCell ref="A20:A21"/>
    <mergeCell ref="B20:B21"/>
    <mergeCell ref="C20:C21"/>
    <mergeCell ref="D20:D21"/>
    <mergeCell ref="E20:E21"/>
    <mergeCell ref="F20:N20"/>
    <mergeCell ref="B12:D12"/>
    <mergeCell ref="E12:G12"/>
    <mergeCell ref="H12:J12"/>
    <mergeCell ref="K12:N12"/>
    <mergeCell ref="C14:E14"/>
    <mergeCell ref="L16:N16"/>
    <mergeCell ref="B10:D10"/>
    <mergeCell ref="E10:G10"/>
    <mergeCell ref="H10:J10"/>
    <mergeCell ref="K10:N10"/>
    <mergeCell ref="B11:C11"/>
    <mergeCell ref="D11:E11"/>
    <mergeCell ref="F11:G11"/>
    <mergeCell ref="H11:J11"/>
    <mergeCell ref="K11:M11"/>
    <mergeCell ref="B9:D9"/>
    <mergeCell ref="E9:G9"/>
    <mergeCell ref="H9:J9"/>
    <mergeCell ref="K9:N9"/>
    <mergeCell ref="A1:N1"/>
    <mergeCell ref="E2:G2"/>
    <mergeCell ref="B4:D4"/>
    <mergeCell ref="E4:F4"/>
    <mergeCell ref="G4:H4"/>
    <mergeCell ref="I4:J4"/>
    <mergeCell ref="L4:M4"/>
    <mergeCell ref="B6:E6"/>
    <mergeCell ref="F6:H6"/>
    <mergeCell ref="I6:M6"/>
    <mergeCell ref="B8:D8"/>
    <mergeCell ref="K8:N8"/>
  </mergeCells>
  <hyperlinks>
    <hyperlink ref="A3" location="'Fact Sheet of VDC'!A1" display="&lt;&lt;Back"/>
  </hyperlinks>
  <printOptions horizontalCentered="1" verticalCentered="1"/>
  <pageMargins left="0.6692913385826772" right="0.15748031496062992" top="0.39370078740157483" bottom="0.35433070866141736" header="0.31496062992125984" footer="0.31496062992125984"/>
  <pageSetup scale="79" orientation="landscape" r:id="rId1"/>
</worksheet>
</file>

<file path=xl/worksheets/sheet30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1"/>
  <sheetViews>
    <sheetView workbookViewId="0">
      <selection activeCell="A3" sqref="A3"/>
    </sheetView>
  </sheetViews>
  <sheetFormatPr defaultRowHeight="12"/>
  <cols>
    <col min="1" max="1" width="25.5703125" style="734" customWidth="1"/>
    <col min="2" max="2" width="9" style="734" customWidth="1"/>
    <col min="3" max="3" width="8.140625" style="734" customWidth="1"/>
    <col min="4" max="4" width="8.7109375" style="734" customWidth="1"/>
    <col min="5" max="5" width="6.7109375" style="734" customWidth="1"/>
    <col min="6" max="6" width="9.5703125" style="734" customWidth="1"/>
    <col min="7" max="7" width="10.5703125" style="734" customWidth="1"/>
    <col min="8" max="8" width="8" style="734" customWidth="1"/>
    <col min="9" max="9" width="8.42578125" style="734" customWidth="1"/>
    <col min="10" max="10" width="6" style="734" customWidth="1"/>
    <col min="11" max="12" width="8.140625" style="734" customWidth="1"/>
    <col min="13" max="13" width="9" style="734" customWidth="1"/>
    <col min="14" max="14" width="7.5703125" style="734" customWidth="1"/>
    <col min="15" max="15" width="7.28515625" style="734" customWidth="1"/>
    <col min="16" max="256" width="9.140625" style="734"/>
    <col min="257" max="257" width="25.5703125" style="734" customWidth="1"/>
    <col min="258" max="258" width="9" style="734" customWidth="1"/>
    <col min="259" max="259" width="8.140625" style="734" customWidth="1"/>
    <col min="260" max="260" width="8.7109375" style="734" customWidth="1"/>
    <col min="261" max="261" width="6.7109375" style="734" customWidth="1"/>
    <col min="262" max="262" width="9.5703125" style="734" customWidth="1"/>
    <col min="263" max="263" width="10.5703125" style="734" customWidth="1"/>
    <col min="264" max="264" width="8" style="734" customWidth="1"/>
    <col min="265" max="265" width="8.42578125" style="734" customWidth="1"/>
    <col min="266" max="266" width="6" style="734" customWidth="1"/>
    <col min="267" max="268" width="8.140625" style="734" customWidth="1"/>
    <col min="269" max="269" width="9" style="734" customWidth="1"/>
    <col min="270" max="270" width="7.5703125" style="734" customWidth="1"/>
    <col min="271" max="271" width="7.28515625" style="734" customWidth="1"/>
    <col min="272" max="512" width="9.140625" style="734"/>
    <col min="513" max="513" width="25.5703125" style="734" customWidth="1"/>
    <col min="514" max="514" width="9" style="734" customWidth="1"/>
    <col min="515" max="515" width="8.140625" style="734" customWidth="1"/>
    <col min="516" max="516" width="8.7109375" style="734" customWidth="1"/>
    <col min="517" max="517" width="6.7109375" style="734" customWidth="1"/>
    <col min="518" max="518" width="9.5703125" style="734" customWidth="1"/>
    <col min="519" max="519" width="10.5703125" style="734" customWidth="1"/>
    <col min="520" max="520" width="8" style="734" customWidth="1"/>
    <col min="521" max="521" width="8.42578125" style="734" customWidth="1"/>
    <col min="522" max="522" width="6" style="734" customWidth="1"/>
    <col min="523" max="524" width="8.140625" style="734" customWidth="1"/>
    <col min="525" max="525" width="9" style="734" customWidth="1"/>
    <col min="526" max="526" width="7.5703125" style="734" customWidth="1"/>
    <col min="527" max="527" width="7.28515625" style="734" customWidth="1"/>
    <col min="528" max="768" width="9.140625" style="734"/>
    <col min="769" max="769" width="25.5703125" style="734" customWidth="1"/>
    <col min="770" max="770" width="9" style="734" customWidth="1"/>
    <col min="771" max="771" width="8.140625" style="734" customWidth="1"/>
    <col min="772" max="772" width="8.7109375" style="734" customWidth="1"/>
    <col min="773" max="773" width="6.7109375" style="734" customWidth="1"/>
    <col min="774" max="774" width="9.5703125" style="734" customWidth="1"/>
    <col min="775" max="775" width="10.5703125" style="734" customWidth="1"/>
    <col min="776" max="776" width="8" style="734" customWidth="1"/>
    <col min="777" max="777" width="8.42578125" style="734" customWidth="1"/>
    <col min="778" max="778" width="6" style="734" customWidth="1"/>
    <col min="779" max="780" width="8.140625" style="734" customWidth="1"/>
    <col min="781" max="781" width="9" style="734" customWidth="1"/>
    <col min="782" max="782" width="7.5703125" style="734" customWidth="1"/>
    <col min="783" max="783" width="7.28515625" style="734" customWidth="1"/>
    <col min="784" max="1024" width="9.140625" style="734"/>
    <col min="1025" max="1025" width="25.5703125" style="734" customWidth="1"/>
    <col min="1026" max="1026" width="9" style="734" customWidth="1"/>
    <col min="1027" max="1027" width="8.140625" style="734" customWidth="1"/>
    <col min="1028" max="1028" width="8.7109375" style="734" customWidth="1"/>
    <col min="1029" max="1029" width="6.7109375" style="734" customWidth="1"/>
    <col min="1030" max="1030" width="9.5703125" style="734" customWidth="1"/>
    <col min="1031" max="1031" width="10.5703125" style="734" customWidth="1"/>
    <col min="1032" max="1032" width="8" style="734" customWidth="1"/>
    <col min="1033" max="1033" width="8.42578125" style="734" customWidth="1"/>
    <col min="1034" max="1034" width="6" style="734" customWidth="1"/>
    <col min="1035" max="1036" width="8.140625" style="734" customWidth="1"/>
    <col min="1037" max="1037" width="9" style="734" customWidth="1"/>
    <col min="1038" max="1038" width="7.5703125" style="734" customWidth="1"/>
    <col min="1039" max="1039" width="7.28515625" style="734" customWidth="1"/>
    <col min="1040" max="1280" width="9.140625" style="734"/>
    <col min="1281" max="1281" width="25.5703125" style="734" customWidth="1"/>
    <col min="1282" max="1282" width="9" style="734" customWidth="1"/>
    <col min="1283" max="1283" width="8.140625" style="734" customWidth="1"/>
    <col min="1284" max="1284" width="8.7109375" style="734" customWidth="1"/>
    <col min="1285" max="1285" width="6.7109375" style="734" customWidth="1"/>
    <col min="1286" max="1286" width="9.5703125" style="734" customWidth="1"/>
    <col min="1287" max="1287" width="10.5703125" style="734" customWidth="1"/>
    <col min="1288" max="1288" width="8" style="734" customWidth="1"/>
    <col min="1289" max="1289" width="8.42578125" style="734" customWidth="1"/>
    <col min="1290" max="1290" width="6" style="734" customWidth="1"/>
    <col min="1291" max="1292" width="8.140625" style="734" customWidth="1"/>
    <col min="1293" max="1293" width="9" style="734" customWidth="1"/>
    <col min="1294" max="1294" width="7.5703125" style="734" customWidth="1"/>
    <col min="1295" max="1295" width="7.28515625" style="734" customWidth="1"/>
    <col min="1296" max="1536" width="9.140625" style="734"/>
    <col min="1537" max="1537" width="25.5703125" style="734" customWidth="1"/>
    <col min="1538" max="1538" width="9" style="734" customWidth="1"/>
    <col min="1539" max="1539" width="8.140625" style="734" customWidth="1"/>
    <col min="1540" max="1540" width="8.7109375" style="734" customWidth="1"/>
    <col min="1541" max="1541" width="6.7109375" style="734" customWidth="1"/>
    <col min="1542" max="1542" width="9.5703125" style="734" customWidth="1"/>
    <col min="1543" max="1543" width="10.5703125" style="734" customWidth="1"/>
    <col min="1544" max="1544" width="8" style="734" customWidth="1"/>
    <col min="1545" max="1545" width="8.42578125" style="734" customWidth="1"/>
    <col min="1546" max="1546" width="6" style="734" customWidth="1"/>
    <col min="1547" max="1548" width="8.140625" style="734" customWidth="1"/>
    <col min="1549" max="1549" width="9" style="734" customWidth="1"/>
    <col min="1550" max="1550" width="7.5703125" style="734" customWidth="1"/>
    <col min="1551" max="1551" width="7.28515625" style="734" customWidth="1"/>
    <col min="1552" max="1792" width="9.140625" style="734"/>
    <col min="1793" max="1793" width="25.5703125" style="734" customWidth="1"/>
    <col min="1794" max="1794" width="9" style="734" customWidth="1"/>
    <col min="1795" max="1795" width="8.140625" style="734" customWidth="1"/>
    <col min="1796" max="1796" width="8.7109375" style="734" customWidth="1"/>
    <col min="1797" max="1797" width="6.7109375" style="734" customWidth="1"/>
    <col min="1798" max="1798" width="9.5703125" style="734" customWidth="1"/>
    <col min="1799" max="1799" width="10.5703125" style="734" customWidth="1"/>
    <col min="1800" max="1800" width="8" style="734" customWidth="1"/>
    <col min="1801" max="1801" width="8.42578125" style="734" customWidth="1"/>
    <col min="1802" max="1802" width="6" style="734" customWidth="1"/>
    <col min="1803" max="1804" width="8.140625" style="734" customWidth="1"/>
    <col min="1805" max="1805" width="9" style="734" customWidth="1"/>
    <col min="1806" max="1806" width="7.5703125" style="734" customWidth="1"/>
    <col min="1807" max="1807" width="7.28515625" style="734" customWidth="1"/>
    <col min="1808" max="2048" width="9.140625" style="734"/>
    <col min="2049" max="2049" width="25.5703125" style="734" customWidth="1"/>
    <col min="2050" max="2050" width="9" style="734" customWidth="1"/>
    <col min="2051" max="2051" width="8.140625" style="734" customWidth="1"/>
    <col min="2052" max="2052" width="8.7109375" style="734" customWidth="1"/>
    <col min="2053" max="2053" width="6.7109375" style="734" customWidth="1"/>
    <col min="2054" max="2054" width="9.5703125" style="734" customWidth="1"/>
    <col min="2055" max="2055" width="10.5703125" style="734" customWidth="1"/>
    <col min="2056" max="2056" width="8" style="734" customWidth="1"/>
    <col min="2057" max="2057" width="8.42578125" style="734" customWidth="1"/>
    <col min="2058" max="2058" width="6" style="734" customWidth="1"/>
    <col min="2059" max="2060" width="8.140625" style="734" customWidth="1"/>
    <col min="2061" max="2061" width="9" style="734" customWidth="1"/>
    <col min="2062" max="2062" width="7.5703125" style="734" customWidth="1"/>
    <col min="2063" max="2063" width="7.28515625" style="734" customWidth="1"/>
    <col min="2064" max="2304" width="9.140625" style="734"/>
    <col min="2305" max="2305" width="25.5703125" style="734" customWidth="1"/>
    <col min="2306" max="2306" width="9" style="734" customWidth="1"/>
    <col min="2307" max="2307" width="8.140625" style="734" customWidth="1"/>
    <col min="2308" max="2308" width="8.7109375" style="734" customWidth="1"/>
    <col min="2309" max="2309" width="6.7109375" style="734" customWidth="1"/>
    <col min="2310" max="2310" width="9.5703125" style="734" customWidth="1"/>
    <col min="2311" max="2311" width="10.5703125" style="734" customWidth="1"/>
    <col min="2312" max="2312" width="8" style="734" customWidth="1"/>
    <col min="2313" max="2313" width="8.42578125" style="734" customWidth="1"/>
    <col min="2314" max="2314" width="6" style="734" customWidth="1"/>
    <col min="2315" max="2316" width="8.140625" style="734" customWidth="1"/>
    <col min="2317" max="2317" width="9" style="734" customWidth="1"/>
    <col min="2318" max="2318" width="7.5703125" style="734" customWidth="1"/>
    <col min="2319" max="2319" width="7.28515625" style="734" customWidth="1"/>
    <col min="2320" max="2560" width="9.140625" style="734"/>
    <col min="2561" max="2561" width="25.5703125" style="734" customWidth="1"/>
    <col min="2562" max="2562" width="9" style="734" customWidth="1"/>
    <col min="2563" max="2563" width="8.140625" style="734" customWidth="1"/>
    <col min="2564" max="2564" width="8.7109375" style="734" customWidth="1"/>
    <col min="2565" max="2565" width="6.7109375" style="734" customWidth="1"/>
    <col min="2566" max="2566" width="9.5703125" style="734" customWidth="1"/>
    <col min="2567" max="2567" width="10.5703125" style="734" customWidth="1"/>
    <col min="2568" max="2568" width="8" style="734" customWidth="1"/>
    <col min="2569" max="2569" width="8.42578125" style="734" customWidth="1"/>
    <col min="2570" max="2570" width="6" style="734" customWidth="1"/>
    <col min="2571" max="2572" width="8.140625" style="734" customWidth="1"/>
    <col min="2573" max="2573" width="9" style="734" customWidth="1"/>
    <col min="2574" max="2574" width="7.5703125" style="734" customWidth="1"/>
    <col min="2575" max="2575" width="7.28515625" style="734" customWidth="1"/>
    <col min="2576" max="2816" width="9.140625" style="734"/>
    <col min="2817" max="2817" width="25.5703125" style="734" customWidth="1"/>
    <col min="2818" max="2818" width="9" style="734" customWidth="1"/>
    <col min="2819" max="2819" width="8.140625" style="734" customWidth="1"/>
    <col min="2820" max="2820" width="8.7109375" style="734" customWidth="1"/>
    <col min="2821" max="2821" width="6.7109375" style="734" customWidth="1"/>
    <col min="2822" max="2822" width="9.5703125" style="734" customWidth="1"/>
    <col min="2823" max="2823" width="10.5703125" style="734" customWidth="1"/>
    <col min="2824" max="2824" width="8" style="734" customWidth="1"/>
    <col min="2825" max="2825" width="8.42578125" style="734" customWidth="1"/>
    <col min="2826" max="2826" width="6" style="734" customWidth="1"/>
    <col min="2827" max="2828" width="8.140625" style="734" customWidth="1"/>
    <col min="2829" max="2829" width="9" style="734" customWidth="1"/>
    <col min="2830" max="2830" width="7.5703125" style="734" customWidth="1"/>
    <col min="2831" max="2831" width="7.28515625" style="734" customWidth="1"/>
    <col min="2832" max="3072" width="9.140625" style="734"/>
    <col min="3073" max="3073" width="25.5703125" style="734" customWidth="1"/>
    <col min="3074" max="3074" width="9" style="734" customWidth="1"/>
    <col min="3075" max="3075" width="8.140625" style="734" customWidth="1"/>
    <col min="3076" max="3076" width="8.7109375" style="734" customWidth="1"/>
    <col min="3077" max="3077" width="6.7109375" style="734" customWidth="1"/>
    <col min="3078" max="3078" width="9.5703125" style="734" customWidth="1"/>
    <col min="3079" max="3079" width="10.5703125" style="734" customWidth="1"/>
    <col min="3080" max="3080" width="8" style="734" customWidth="1"/>
    <col min="3081" max="3081" width="8.42578125" style="734" customWidth="1"/>
    <col min="3082" max="3082" width="6" style="734" customWidth="1"/>
    <col min="3083" max="3084" width="8.140625" style="734" customWidth="1"/>
    <col min="3085" max="3085" width="9" style="734" customWidth="1"/>
    <col min="3086" max="3086" width="7.5703125" style="734" customWidth="1"/>
    <col min="3087" max="3087" width="7.28515625" style="734" customWidth="1"/>
    <col min="3088" max="3328" width="9.140625" style="734"/>
    <col min="3329" max="3329" width="25.5703125" style="734" customWidth="1"/>
    <col min="3330" max="3330" width="9" style="734" customWidth="1"/>
    <col min="3331" max="3331" width="8.140625" style="734" customWidth="1"/>
    <col min="3332" max="3332" width="8.7109375" style="734" customWidth="1"/>
    <col min="3333" max="3333" width="6.7109375" style="734" customWidth="1"/>
    <col min="3334" max="3334" width="9.5703125" style="734" customWidth="1"/>
    <col min="3335" max="3335" width="10.5703125" style="734" customWidth="1"/>
    <col min="3336" max="3336" width="8" style="734" customWidth="1"/>
    <col min="3337" max="3337" width="8.42578125" style="734" customWidth="1"/>
    <col min="3338" max="3338" width="6" style="734" customWidth="1"/>
    <col min="3339" max="3340" width="8.140625" style="734" customWidth="1"/>
    <col min="3341" max="3341" width="9" style="734" customWidth="1"/>
    <col min="3342" max="3342" width="7.5703125" style="734" customWidth="1"/>
    <col min="3343" max="3343" width="7.28515625" style="734" customWidth="1"/>
    <col min="3344" max="3584" width="9.140625" style="734"/>
    <col min="3585" max="3585" width="25.5703125" style="734" customWidth="1"/>
    <col min="3586" max="3586" width="9" style="734" customWidth="1"/>
    <col min="3587" max="3587" width="8.140625" style="734" customWidth="1"/>
    <col min="3588" max="3588" width="8.7109375" style="734" customWidth="1"/>
    <col min="3589" max="3589" width="6.7109375" style="734" customWidth="1"/>
    <col min="3590" max="3590" width="9.5703125" style="734" customWidth="1"/>
    <col min="3591" max="3591" width="10.5703125" style="734" customWidth="1"/>
    <col min="3592" max="3592" width="8" style="734" customWidth="1"/>
    <col min="3593" max="3593" width="8.42578125" style="734" customWidth="1"/>
    <col min="3594" max="3594" width="6" style="734" customWidth="1"/>
    <col min="3595" max="3596" width="8.140625" style="734" customWidth="1"/>
    <col min="3597" max="3597" width="9" style="734" customWidth="1"/>
    <col min="3598" max="3598" width="7.5703125" style="734" customWidth="1"/>
    <col min="3599" max="3599" width="7.28515625" style="734" customWidth="1"/>
    <col min="3600" max="3840" width="9.140625" style="734"/>
    <col min="3841" max="3841" width="25.5703125" style="734" customWidth="1"/>
    <col min="3842" max="3842" width="9" style="734" customWidth="1"/>
    <col min="3843" max="3843" width="8.140625" style="734" customWidth="1"/>
    <col min="3844" max="3844" width="8.7109375" style="734" customWidth="1"/>
    <col min="3845" max="3845" width="6.7109375" style="734" customWidth="1"/>
    <col min="3846" max="3846" width="9.5703125" style="734" customWidth="1"/>
    <col min="3847" max="3847" width="10.5703125" style="734" customWidth="1"/>
    <col min="3848" max="3848" width="8" style="734" customWidth="1"/>
    <col min="3849" max="3849" width="8.42578125" style="734" customWidth="1"/>
    <col min="3850" max="3850" width="6" style="734" customWidth="1"/>
    <col min="3851" max="3852" width="8.140625" style="734" customWidth="1"/>
    <col min="3853" max="3853" width="9" style="734" customWidth="1"/>
    <col min="3854" max="3854" width="7.5703125" style="734" customWidth="1"/>
    <col min="3855" max="3855" width="7.28515625" style="734" customWidth="1"/>
    <col min="3856" max="4096" width="9.140625" style="734"/>
    <col min="4097" max="4097" width="25.5703125" style="734" customWidth="1"/>
    <col min="4098" max="4098" width="9" style="734" customWidth="1"/>
    <col min="4099" max="4099" width="8.140625" style="734" customWidth="1"/>
    <col min="4100" max="4100" width="8.7109375" style="734" customWidth="1"/>
    <col min="4101" max="4101" width="6.7109375" style="734" customWidth="1"/>
    <col min="4102" max="4102" width="9.5703125" style="734" customWidth="1"/>
    <col min="4103" max="4103" width="10.5703125" style="734" customWidth="1"/>
    <col min="4104" max="4104" width="8" style="734" customWidth="1"/>
    <col min="4105" max="4105" width="8.42578125" style="734" customWidth="1"/>
    <col min="4106" max="4106" width="6" style="734" customWidth="1"/>
    <col min="4107" max="4108" width="8.140625" style="734" customWidth="1"/>
    <col min="4109" max="4109" width="9" style="734" customWidth="1"/>
    <col min="4110" max="4110" width="7.5703125" style="734" customWidth="1"/>
    <col min="4111" max="4111" width="7.28515625" style="734" customWidth="1"/>
    <col min="4112" max="4352" width="9.140625" style="734"/>
    <col min="4353" max="4353" width="25.5703125" style="734" customWidth="1"/>
    <col min="4354" max="4354" width="9" style="734" customWidth="1"/>
    <col min="4355" max="4355" width="8.140625" style="734" customWidth="1"/>
    <col min="4356" max="4356" width="8.7109375" style="734" customWidth="1"/>
    <col min="4357" max="4357" width="6.7109375" style="734" customWidth="1"/>
    <col min="4358" max="4358" width="9.5703125" style="734" customWidth="1"/>
    <col min="4359" max="4359" width="10.5703125" style="734" customWidth="1"/>
    <col min="4360" max="4360" width="8" style="734" customWidth="1"/>
    <col min="4361" max="4361" width="8.42578125" style="734" customWidth="1"/>
    <col min="4362" max="4362" width="6" style="734" customWidth="1"/>
    <col min="4363" max="4364" width="8.140625" style="734" customWidth="1"/>
    <col min="4365" max="4365" width="9" style="734" customWidth="1"/>
    <col min="4366" max="4366" width="7.5703125" style="734" customWidth="1"/>
    <col min="4367" max="4367" width="7.28515625" style="734" customWidth="1"/>
    <col min="4368" max="4608" width="9.140625" style="734"/>
    <col min="4609" max="4609" width="25.5703125" style="734" customWidth="1"/>
    <col min="4610" max="4610" width="9" style="734" customWidth="1"/>
    <col min="4611" max="4611" width="8.140625" style="734" customWidth="1"/>
    <col min="4612" max="4612" width="8.7109375" style="734" customWidth="1"/>
    <col min="4613" max="4613" width="6.7109375" style="734" customWidth="1"/>
    <col min="4614" max="4614" width="9.5703125" style="734" customWidth="1"/>
    <col min="4615" max="4615" width="10.5703125" style="734" customWidth="1"/>
    <col min="4616" max="4616" width="8" style="734" customWidth="1"/>
    <col min="4617" max="4617" width="8.42578125" style="734" customWidth="1"/>
    <col min="4618" max="4618" width="6" style="734" customWidth="1"/>
    <col min="4619" max="4620" width="8.140625" style="734" customWidth="1"/>
    <col min="4621" max="4621" width="9" style="734" customWidth="1"/>
    <col min="4622" max="4622" width="7.5703125" style="734" customWidth="1"/>
    <col min="4623" max="4623" width="7.28515625" style="734" customWidth="1"/>
    <col min="4624" max="4864" width="9.140625" style="734"/>
    <col min="4865" max="4865" width="25.5703125" style="734" customWidth="1"/>
    <col min="4866" max="4866" width="9" style="734" customWidth="1"/>
    <col min="4867" max="4867" width="8.140625" style="734" customWidth="1"/>
    <col min="4868" max="4868" width="8.7109375" style="734" customWidth="1"/>
    <col min="4869" max="4869" width="6.7109375" style="734" customWidth="1"/>
    <col min="4870" max="4870" width="9.5703125" style="734" customWidth="1"/>
    <col min="4871" max="4871" width="10.5703125" style="734" customWidth="1"/>
    <col min="4872" max="4872" width="8" style="734" customWidth="1"/>
    <col min="4873" max="4873" width="8.42578125" style="734" customWidth="1"/>
    <col min="4874" max="4874" width="6" style="734" customWidth="1"/>
    <col min="4875" max="4876" width="8.140625" style="734" customWidth="1"/>
    <col min="4877" max="4877" width="9" style="734" customWidth="1"/>
    <col min="4878" max="4878" width="7.5703125" style="734" customWidth="1"/>
    <col min="4879" max="4879" width="7.28515625" style="734" customWidth="1"/>
    <col min="4880" max="5120" width="9.140625" style="734"/>
    <col min="5121" max="5121" width="25.5703125" style="734" customWidth="1"/>
    <col min="5122" max="5122" width="9" style="734" customWidth="1"/>
    <col min="5123" max="5123" width="8.140625" style="734" customWidth="1"/>
    <col min="5124" max="5124" width="8.7109375" style="734" customWidth="1"/>
    <col min="5125" max="5125" width="6.7109375" style="734" customWidth="1"/>
    <col min="5126" max="5126" width="9.5703125" style="734" customWidth="1"/>
    <col min="5127" max="5127" width="10.5703125" style="734" customWidth="1"/>
    <col min="5128" max="5128" width="8" style="734" customWidth="1"/>
    <col min="5129" max="5129" width="8.42578125" style="734" customWidth="1"/>
    <col min="5130" max="5130" width="6" style="734" customWidth="1"/>
    <col min="5131" max="5132" width="8.140625" style="734" customWidth="1"/>
    <col min="5133" max="5133" width="9" style="734" customWidth="1"/>
    <col min="5134" max="5134" width="7.5703125" style="734" customWidth="1"/>
    <col min="5135" max="5135" width="7.28515625" style="734" customWidth="1"/>
    <col min="5136" max="5376" width="9.140625" style="734"/>
    <col min="5377" max="5377" width="25.5703125" style="734" customWidth="1"/>
    <col min="5378" max="5378" width="9" style="734" customWidth="1"/>
    <col min="5379" max="5379" width="8.140625" style="734" customWidth="1"/>
    <col min="5380" max="5380" width="8.7109375" style="734" customWidth="1"/>
    <col min="5381" max="5381" width="6.7109375" style="734" customWidth="1"/>
    <col min="5382" max="5382" width="9.5703125" style="734" customWidth="1"/>
    <col min="5383" max="5383" width="10.5703125" style="734" customWidth="1"/>
    <col min="5384" max="5384" width="8" style="734" customWidth="1"/>
    <col min="5385" max="5385" width="8.42578125" style="734" customWidth="1"/>
    <col min="5386" max="5386" width="6" style="734" customWidth="1"/>
    <col min="5387" max="5388" width="8.140625" style="734" customWidth="1"/>
    <col min="5389" max="5389" width="9" style="734" customWidth="1"/>
    <col min="5390" max="5390" width="7.5703125" style="734" customWidth="1"/>
    <col min="5391" max="5391" width="7.28515625" style="734" customWidth="1"/>
    <col min="5392" max="5632" width="9.140625" style="734"/>
    <col min="5633" max="5633" width="25.5703125" style="734" customWidth="1"/>
    <col min="5634" max="5634" width="9" style="734" customWidth="1"/>
    <col min="5635" max="5635" width="8.140625" style="734" customWidth="1"/>
    <col min="5636" max="5636" width="8.7109375" style="734" customWidth="1"/>
    <col min="5637" max="5637" width="6.7109375" style="734" customWidth="1"/>
    <col min="5638" max="5638" width="9.5703125" style="734" customWidth="1"/>
    <col min="5639" max="5639" width="10.5703125" style="734" customWidth="1"/>
    <col min="5640" max="5640" width="8" style="734" customWidth="1"/>
    <col min="5641" max="5641" width="8.42578125" style="734" customWidth="1"/>
    <col min="5642" max="5642" width="6" style="734" customWidth="1"/>
    <col min="5643" max="5644" width="8.140625" style="734" customWidth="1"/>
    <col min="5645" max="5645" width="9" style="734" customWidth="1"/>
    <col min="5646" max="5646" width="7.5703125" style="734" customWidth="1"/>
    <col min="5647" max="5647" width="7.28515625" style="734" customWidth="1"/>
    <col min="5648" max="5888" width="9.140625" style="734"/>
    <col min="5889" max="5889" width="25.5703125" style="734" customWidth="1"/>
    <col min="5890" max="5890" width="9" style="734" customWidth="1"/>
    <col min="5891" max="5891" width="8.140625" style="734" customWidth="1"/>
    <col min="5892" max="5892" width="8.7109375" style="734" customWidth="1"/>
    <col min="5893" max="5893" width="6.7109375" style="734" customWidth="1"/>
    <col min="5894" max="5894" width="9.5703125" style="734" customWidth="1"/>
    <col min="5895" max="5895" width="10.5703125" style="734" customWidth="1"/>
    <col min="5896" max="5896" width="8" style="734" customWidth="1"/>
    <col min="5897" max="5897" width="8.42578125" style="734" customWidth="1"/>
    <col min="5898" max="5898" width="6" style="734" customWidth="1"/>
    <col min="5899" max="5900" width="8.140625" style="734" customWidth="1"/>
    <col min="5901" max="5901" width="9" style="734" customWidth="1"/>
    <col min="5902" max="5902" width="7.5703125" style="734" customWidth="1"/>
    <col min="5903" max="5903" width="7.28515625" style="734" customWidth="1"/>
    <col min="5904" max="6144" width="9.140625" style="734"/>
    <col min="6145" max="6145" width="25.5703125" style="734" customWidth="1"/>
    <col min="6146" max="6146" width="9" style="734" customWidth="1"/>
    <col min="6147" max="6147" width="8.140625" style="734" customWidth="1"/>
    <col min="6148" max="6148" width="8.7109375" style="734" customWidth="1"/>
    <col min="6149" max="6149" width="6.7109375" style="734" customWidth="1"/>
    <col min="6150" max="6150" width="9.5703125" style="734" customWidth="1"/>
    <col min="6151" max="6151" width="10.5703125" style="734" customWidth="1"/>
    <col min="6152" max="6152" width="8" style="734" customWidth="1"/>
    <col min="6153" max="6153" width="8.42578125" style="734" customWidth="1"/>
    <col min="6154" max="6154" width="6" style="734" customWidth="1"/>
    <col min="6155" max="6156" width="8.140625" style="734" customWidth="1"/>
    <col min="6157" max="6157" width="9" style="734" customWidth="1"/>
    <col min="6158" max="6158" width="7.5703125" style="734" customWidth="1"/>
    <col min="6159" max="6159" width="7.28515625" style="734" customWidth="1"/>
    <col min="6160" max="6400" width="9.140625" style="734"/>
    <col min="6401" max="6401" width="25.5703125" style="734" customWidth="1"/>
    <col min="6402" max="6402" width="9" style="734" customWidth="1"/>
    <col min="6403" max="6403" width="8.140625" style="734" customWidth="1"/>
    <col min="6404" max="6404" width="8.7109375" style="734" customWidth="1"/>
    <col min="6405" max="6405" width="6.7109375" style="734" customWidth="1"/>
    <col min="6406" max="6406" width="9.5703125" style="734" customWidth="1"/>
    <col min="6407" max="6407" width="10.5703125" style="734" customWidth="1"/>
    <col min="6408" max="6408" width="8" style="734" customWidth="1"/>
    <col min="6409" max="6409" width="8.42578125" style="734" customWidth="1"/>
    <col min="6410" max="6410" width="6" style="734" customWidth="1"/>
    <col min="6411" max="6412" width="8.140625" style="734" customWidth="1"/>
    <col min="6413" max="6413" width="9" style="734" customWidth="1"/>
    <col min="6414" max="6414" width="7.5703125" style="734" customWidth="1"/>
    <col min="6415" max="6415" width="7.28515625" style="734" customWidth="1"/>
    <col min="6416" max="6656" width="9.140625" style="734"/>
    <col min="6657" max="6657" width="25.5703125" style="734" customWidth="1"/>
    <col min="6658" max="6658" width="9" style="734" customWidth="1"/>
    <col min="6659" max="6659" width="8.140625" style="734" customWidth="1"/>
    <col min="6660" max="6660" width="8.7109375" style="734" customWidth="1"/>
    <col min="6661" max="6661" width="6.7109375" style="734" customWidth="1"/>
    <col min="6662" max="6662" width="9.5703125" style="734" customWidth="1"/>
    <col min="6663" max="6663" width="10.5703125" style="734" customWidth="1"/>
    <col min="6664" max="6664" width="8" style="734" customWidth="1"/>
    <col min="6665" max="6665" width="8.42578125" style="734" customWidth="1"/>
    <col min="6666" max="6666" width="6" style="734" customWidth="1"/>
    <col min="6667" max="6668" width="8.140625" style="734" customWidth="1"/>
    <col min="6669" max="6669" width="9" style="734" customWidth="1"/>
    <col min="6670" max="6670" width="7.5703125" style="734" customWidth="1"/>
    <col min="6671" max="6671" width="7.28515625" style="734" customWidth="1"/>
    <col min="6672" max="6912" width="9.140625" style="734"/>
    <col min="6913" max="6913" width="25.5703125" style="734" customWidth="1"/>
    <col min="6914" max="6914" width="9" style="734" customWidth="1"/>
    <col min="6915" max="6915" width="8.140625" style="734" customWidth="1"/>
    <col min="6916" max="6916" width="8.7109375" style="734" customWidth="1"/>
    <col min="6917" max="6917" width="6.7109375" style="734" customWidth="1"/>
    <col min="6918" max="6918" width="9.5703125" style="734" customWidth="1"/>
    <col min="6919" max="6919" width="10.5703125" style="734" customWidth="1"/>
    <col min="6920" max="6920" width="8" style="734" customWidth="1"/>
    <col min="6921" max="6921" width="8.42578125" style="734" customWidth="1"/>
    <col min="6922" max="6922" width="6" style="734" customWidth="1"/>
    <col min="6923" max="6924" width="8.140625" style="734" customWidth="1"/>
    <col min="6925" max="6925" width="9" style="734" customWidth="1"/>
    <col min="6926" max="6926" width="7.5703125" style="734" customWidth="1"/>
    <col min="6927" max="6927" width="7.28515625" style="734" customWidth="1"/>
    <col min="6928" max="7168" width="9.140625" style="734"/>
    <col min="7169" max="7169" width="25.5703125" style="734" customWidth="1"/>
    <col min="7170" max="7170" width="9" style="734" customWidth="1"/>
    <col min="7171" max="7171" width="8.140625" style="734" customWidth="1"/>
    <col min="7172" max="7172" width="8.7109375" style="734" customWidth="1"/>
    <col min="7173" max="7173" width="6.7109375" style="734" customWidth="1"/>
    <col min="7174" max="7174" width="9.5703125" style="734" customWidth="1"/>
    <col min="7175" max="7175" width="10.5703125" style="734" customWidth="1"/>
    <col min="7176" max="7176" width="8" style="734" customWidth="1"/>
    <col min="7177" max="7177" width="8.42578125" style="734" customWidth="1"/>
    <col min="7178" max="7178" width="6" style="734" customWidth="1"/>
    <col min="7179" max="7180" width="8.140625" style="734" customWidth="1"/>
    <col min="7181" max="7181" width="9" style="734" customWidth="1"/>
    <col min="7182" max="7182" width="7.5703125" style="734" customWidth="1"/>
    <col min="7183" max="7183" width="7.28515625" style="734" customWidth="1"/>
    <col min="7184" max="7424" width="9.140625" style="734"/>
    <col min="7425" max="7425" width="25.5703125" style="734" customWidth="1"/>
    <col min="7426" max="7426" width="9" style="734" customWidth="1"/>
    <col min="7427" max="7427" width="8.140625" style="734" customWidth="1"/>
    <col min="7428" max="7428" width="8.7109375" style="734" customWidth="1"/>
    <col min="7429" max="7429" width="6.7109375" style="734" customWidth="1"/>
    <col min="7430" max="7430" width="9.5703125" style="734" customWidth="1"/>
    <col min="7431" max="7431" width="10.5703125" style="734" customWidth="1"/>
    <col min="7432" max="7432" width="8" style="734" customWidth="1"/>
    <col min="7433" max="7433" width="8.42578125" style="734" customWidth="1"/>
    <col min="7434" max="7434" width="6" style="734" customWidth="1"/>
    <col min="7435" max="7436" width="8.140625" style="734" customWidth="1"/>
    <col min="7437" max="7437" width="9" style="734" customWidth="1"/>
    <col min="7438" max="7438" width="7.5703125" style="734" customWidth="1"/>
    <col min="7439" max="7439" width="7.28515625" style="734" customWidth="1"/>
    <col min="7440" max="7680" width="9.140625" style="734"/>
    <col min="7681" max="7681" width="25.5703125" style="734" customWidth="1"/>
    <col min="7682" max="7682" width="9" style="734" customWidth="1"/>
    <col min="7683" max="7683" width="8.140625" style="734" customWidth="1"/>
    <col min="7684" max="7684" width="8.7109375" style="734" customWidth="1"/>
    <col min="7685" max="7685" width="6.7109375" style="734" customWidth="1"/>
    <col min="7686" max="7686" width="9.5703125" style="734" customWidth="1"/>
    <col min="7687" max="7687" width="10.5703125" style="734" customWidth="1"/>
    <col min="7688" max="7688" width="8" style="734" customWidth="1"/>
    <col min="7689" max="7689" width="8.42578125" style="734" customWidth="1"/>
    <col min="7690" max="7690" width="6" style="734" customWidth="1"/>
    <col min="7691" max="7692" width="8.140625" style="734" customWidth="1"/>
    <col min="7693" max="7693" width="9" style="734" customWidth="1"/>
    <col min="7694" max="7694" width="7.5703125" style="734" customWidth="1"/>
    <col min="7695" max="7695" width="7.28515625" style="734" customWidth="1"/>
    <col min="7696" max="7936" width="9.140625" style="734"/>
    <col min="7937" max="7937" width="25.5703125" style="734" customWidth="1"/>
    <col min="7938" max="7938" width="9" style="734" customWidth="1"/>
    <col min="7939" max="7939" width="8.140625" style="734" customWidth="1"/>
    <col min="7940" max="7940" width="8.7109375" style="734" customWidth="1"/>
    <col min="7941" max="7941" width="6.7109375" style="734" customWidth="1"/>
    <col min="7942" max="7942" width="9.5703125" style="734" customWidth="1"/>
    <col min="7943" max="7943" width="10.5703125" style="734" customWidth="1"/>
    <col min="7944" max="7944" width="8" style="734" customWidth="1"/>
    <col min="7945" max="7945" width="8.42578125" style="734" customWidth="1"/>
    <col min="7946" max="7946" width="6" style="734" customWidth="1"/>
    <col min="7947" max="7948" width="8.140625" style="734" customWidth="1"/>
    <col min="7949" max="7949" width="9" style="734" customWidth="1"/>
    <col min="7950" max="7950" width="7.5703125" style="734" customWidth="1"/>
    <col min="7951" max="7951" width="7.28515625" style="734" customWidth="1"/>
    <col min="7952" max="8192" width="9.140625" style="734"/>
    <col min="8193" max="8193" width="25.5703125" style="734" customWidth="1"/>
    <col min="8194" max="8194" width="9" style="734" customWidth="1"/>
    <col min="8195" max="8195" width="8.140625" style="734" customWidth="1"/>
    <col min="8196" max="8196" width="8.7109375" style="734" customWidth="1"/>
    <col min="8197" max="8197" width="6.7109375" style="734" customWidth="1"/>
    <col min="8198" max="8198" width="9.5703125" style="734" customWidth="1"/>
    <col min="8199" max="8199" width="10.5703125" style="734" customWidth="1"/>
    <col min="8200" max="8200" width="8" style="734" customWidth="1"/>
    <col min="8201" max="8201" width="8.42578125" style="734" customWidth="1"/>
    <col min="8202" max="8202" width="6" style="734" customWidth="1"/>
    <col min="8203" max="8204" width="8.140625" style="734" customWidth="1"/>
    <col min="8205" max="8205" width="9" style="734" customWidth="1"/>
    <col min="8206" max="8206" width="7.5703125" style="734" customWidth="1"/>
    <col min="8207" max="8207" width="7.28515625" style="734" customWidth="1"/>
    <col min="8208" max="8448" width="9.140625" style="734"/>
    <col min="8449" max="8449" width="25.5703125" style="734" customWidth="1"/>
    <col min="8450" max="8450" width="9" style="734" customWidth="1"/>
    <col min="8451" max="8451" width="8.140625" style="734" customWidth="1"/>
    <col min="8452" max="8452" width="8.7109375" style="734" customWidth="1"/>
    <col min="8453" max="8453" width="6.7109375" style="734" customWidth="1"/>
    <col min="8454" max="8454" width="9.5703125" style="734" customWidth="1"/>
    <col min="8455" max="8455" width="10.5703125" style="734" customWidth="1"/>
    <col min="8456" max="8456" width="8" style="734" customWidth="1"/>
    <col min="8457" max="8457" width="8.42578125" style="734" customWidth="1"/>
    <col min="8458" max="8458" width="6" style="734" customWidth="1"/>
    <col min="8459" max="8460" width="8.140625" style="734" customWidth="1"/>
    <col min="8461" max="8461" width="9" style="734" customWidth="1"/>
    <col min="8462" max="8462" width="7.5703125" style="734" customWidth="1"/>
    <col min="8463" max="8463" width="7.28515625" style="734" customWidth="1"/>
    <col min="8464" max="8704" width="9.140625" style="734"/>
    <col min="8705" max="8705" width="25.5703125" style="734" customWidth="1"/>
    <col min="8706" max="8706" width="9" style="734" customWidth="1"/>
    <col min="8707" max="8707" width="8.140625" style="734" customWidth="1"/>
    <col min="8708" max="8708" width="8.7109375" style="734" customWidth="1"/>
    <col min="8709" max="8709" width="6.7109375" style="734" customWidth="1"/>
    <col min="8710" max="8710" width="9.5703125" style="734" customWidth="1"/>
    <col min="8711" max="8711" width="10.5703125" style="734" customWidth="1"/>
    <col min="8712" max="8712" width="8" style="734" customWidth="1"/>
    <col min="8713" max="8713" width="8.42578125" style="734" customWidth="1"/>
    <col min="8714" max="8714" width="6" style="734" customWidth="1"/>
    <col min="8715" max="8716" width="8.140625" style="734" customWidth="1"/>
    <col min="8717" max="8717" width="9" style="734" customWidth="1"/>
    <col min="8718" max="8718" width="7.5703125" style="734" customWidth="1"/>
    <col min="8719" max="8719" width="7.28515625" style="734" customWidth="1"/>
    <col min="8720" max="8960" width="9.140625" style="734"/>
    <col min="8961" max="8961" width="25.5703125" style="734" customWidth="1"/>
    <col min="8962" max="8962" width="9" style="734" customWidth="1"/>
    <col min="8963" max="8963" width="8.140625" style="734" customWidth="1"/>
    <col min="8964" max="8964" width="8.7109375" style="734" customWidth="1"/>
    <col min="8965" max="8965" width="6.7109375" style="734" customWidth="1"/>
    <col min="8966" max="8966" width="9.5703125" style="734" customWidth="1"/>
    <col min="8967" max="8967" width="10.5703125" style="734" customWidth="1"/>
    <col min="8968" max="8968" width="8" style="734" customWidth="1"/>
    <col min="8969" max="8969" width="8.42578125" style="734" customWidth="1"/>
    <col min="8970" max="8970" width="6" style="734" customWidth="1"/>
    <col min="8971" max="8972" width="8.140625" style="734" customWidth="1"/>
    <col min="8973" max="8973" width="9" style="734" customWidth="1"/>
    <col min="8974" max="8974" width="7.5703125" style="734" customWidth="1"/>
    <col min="8975" max="8975" width="7.28515625" style="734" customWidth="1"/>
    <col min="8976" max="9216" width="9.140625" style="734"/>
    <col min="9217" max="9217" width="25.5703125" style="734" customWidth="1"/>
    <col min="9218" max="9218" width="9" style="734" customWidth="1"/>
    <col min="9219" max="9219" width="8.140625" style="734" customWidth="1"/>
    <col min="9220" max="9220" width="8.7109375" style="734" customWidth="1"/>
    <col min="9221" max="9221" width="6.7109375" style="734" customWidth="1"/>
    <col min="9222" max="9222" width="9.5703125" style="734" customWidth="1"/>
    <col min="9223" max="9223" width="10.5703125" style="734" customWidth="1"/>
    <col min="9224" max="9224" width="8" style="734" customWidth="1"/>
    <col min="9225" max="9225" width="8.42578125" style="734" customWidth="1"/>
    <col min="9226" max="9226" width="6" style="734" customWidth="1"/>
    <col min="9227" max="9228" width="8.140625" style="734" customWidth="1"/>
    <col min="9229" max="9229" width="9" style="734" customWidth="1"/>
    <col min="9230" max="9230" width="7.5703125" style="734" customWidth="1"/>
    <col min="9231" max="9231" width="7.28515625" style="734" customWidth="1"/>
    <col min="9232" max="9472" width="9.140625" style="734"/>
    <col min="9473" max="9473" width="25.5703125" style="734" customWidth="1"/>
    <col min="9474" max="9474" width="9" style="734" customWidth="1"/>
    <col min="9475" max="9475" width="8.140625" style="734" customWidth="1"/>
    <col min="9476" max="9476" width="8.7109375" style="734" customWidth="1"/>
    <col min="9477" max="9477" width="6.7109375" style="734" customWidth="1"/>
    <col min="9478" max="9478" width="9.5703125" style="734" customWidth="1"/>
    <col min="9479" max="9479" width="10.5703125" style="734" customWidth="1"/>
    <col min="9480" max="9480" width="8" style="734" customWidth="1"/>
    <col min="9481" max="9481" width="8.42578125" style="734" customWidth="1"/>
    <col min="9482" max="9482" width="6" style="734" customWidth="1"/>
    <col min="9483" max="9484" width="8.140625" style="734" customWidth="1"/>
    <col min="9485" max="9485" width="9" style="734" customWidth="1"/>
    <col min="9486" max="9486" width="7.5703125" style="734" customWidth="1"/>
    <col min="9487" max="9487" width="7.28515625" style="734" customWidth="1"/>
    <col min="9488" max="9728" width="9.140625" style="734"/>
    <col min="9729" max="9729" width="25.5703125" style="734" customWidth="1"/>
    <col min="9730" max="9730" width="9" style="734" customWidth="1"/>
    <col min="9731" max="9731" width="8.140625" style="734" customWidth="1"/>
    <col min="9732" max="9732" width="8.7109375" style="734" customWidth="1"/>
    <col min="9733" max="9733" width="6.7109375" style="734" customWidth="1"/>
    <col min="9734" max="9734" width="9.5703125" style="734" customWidth="1"/>
    <col min="9735" max="9735" width="10.5703125" style="734" customWidth="1"/>
    <col min="9736" max="9736" width="8" style="734" customWidth="1"/>
    <col min="9737" max="9737" width="8.42578125" style="734" customWidth="1"/>
    <col min="9738" max="9738" width="6" style="734" customWidth="1"/>
    <col min="9739" max="9740" width="8.140625" style="734" customWidth="1"/>
    <col min="9741" max="9741" width="9" style="734" customWidth="1"/>
    <col min="9742" max="9742" width="7.5703125" style="734" customWidth="1"/>
    <col min="9743" max="9743" width="7.28515625" style="734" customWidth="1"/>
    <col min="9744" max="9984" width="9.140625" style="734"/>
    <col min="9985" max="9985" width="25.5703125" style="734" customWidth="1"/>
    <col min="9986" max="9986" width="9" style="734" customWidth="1"/>
    <col min="9987" max="9987" width="8.140625" style="734" customWidth="1"/>
    <col min="9988" max="9988" width="8.7109375" style="734" customWidth="1"/>
    <col min="9989" max="9989" width="6.7109375" style="734" customWidth="1"/>
    <col min="9990" max="9990" width="9.5703125" style="734" customWidth="1"/>
    <col min="9991" max="9991" width="10.5703125" style="734" customWidth="1"/>
    <col min="9992" max="9992" width="8" style="734" customWidth="1"/>
    <col min="9993" max="9993" width="8.42578125" style="734" customWidth="1"/>
    <col min="9994" max="9994" width="6" style="734" customWidth="1"/>
    <col min="9995" max="9996" width="8.140625" style="734" customWidth="1"/>
    <col min="9997" max="9997" width="9" style="734" customWidth="1"/>
    <col min="9998" max="9998" width="7.5703125" style="734" customWidth="1"/>
    <col min="9999" max="9999" width="7.28515625" style="734" customWidth="1"/>
    <col min="10000" max="10240" width="9.140625" style="734"/>
    <col min="10241" max="10241" width="25.5703125" style="734" customWidth="1"/>
    <col min="10242" max="10242" width="9" style="734" customWidth="1"/>
    <col min="10243" max="10243" width="8.140625" style="734" customWidth="1"/>
    <col min="10244" max="10244" width="8.7109375" style="734" customWidth="1"/>
    <col min="10245" max="10245" width="6.7109375" style="734" customWidth="1"/>
    <col min="10246" max="10246" width="9.5703125" style="734" customWidth="1"/>
    <col min="10247" max="10247" width="10.5703125" style="734" customWidth="1"/>
    <col min="10248" max="10248" width="8" style="734" customWidth="1"/>
    <col min="10249" max="10249" width="8.42578125" style="734" customWidth="1"/>
    <col min="10250" max="10250" width="6" style="734" customWidth="1"/>
    <col min="10251" max="10252" width="8.140625" style="734" customWidth="1"/>
    <col min="10253" max="10253" width="9" style="734" customWidth="1"/>
    <col min="10254" max="10254" width="7.5703125" style="734" customWidth="1"/>
    <col min="10255" max="10255" width="7.28515625" style="734" customWidth="1"/>
    <col min="10256" max="10496" width="9.140625" style="734"/>
    <col min="10497" max="10497" width="25.5703125" style="734" customWidth="1"/>
    <col min="10498" max="10498" width="9" style="734" customWidth="1"/>
    <col min="10499" max="10499" width="8.140625" style="734" customWidth="1"/>
    <col min="10500" max="10500" width="8.7109375" style="734" customWidth="1"/>
    <col min="10501" max="10501" width="6.7109375" style="734" customWidth="1"/>
    <col min="10502" max="10502" width="9.5703125" style="734" customWidth="1"/>
    <col min="10503" max="10503" width="10.5703125" style="734" customWidth="1"/>
    <col min="10504" max="10504" width="8" style="734" customWidth="1"/>
    <col min="10505" max="10505" width="8.42578125" style="734" customWidth="1"/>
    <col min="10506" max="10506" width="6" style="734" customWidth="1"/>
    <col min="10507" max="10508" width="8.140625" style="734" customWidth="1"/>
    <col min="10509" max="10509" width="9" style="734" customWidth="1"/>
    <col min="10510" max="10510" width="7.5703125" style="734" customWidth="1"/>
    <col min="10511" max="10511" width="7.28515625" style="734" customWidth="1"/>
    <col min="10512" max="10752" width="9.140625" style="734"/>
    <col min="10753" max="10753" width="25.5703125" style="734" customWidth="1"/>
    <col min="10754" max="10754" width="9" style="734" customWidth="1"/>
    <col min="10755" max="10755" width="8.140625" style="734" customWidth="1"/>
    <col min="10756" max="10756" width="8.7109375" style="734" customWidth="1"/>
    <col min="10757" max="10757" width="6.7109375" style="734" customWidth="1"/>
    <col min="10758" max="10758" width="9.5703125" style="734" customWidth="1"/>
    <col min="10759" max="10759" width="10.5703125" style="734" customWidth="1"/>
    <col min="10760" max="10760" width="8" style="734" customWidth="1"/>
    <col min="10761" max="10761" width="8.42578125" style="734" customWidth="1"/>
    <col min="10762" max="10762" width="6" style="734" customWidth="1"/>
    <col min="10763" max="10764" width="8.140625" style="734" customWidth="1"/>
    <col min="10765" max="10765" width="9" style="734" customWidth="1"/>
    <col min="10766" max="10766" width="7.5703125" style="734" customWidth="1"/>
    <col min="10767" max="10767" width="7.28515625" style="734" customWidth="1"/>
    <col min="10768" max="11008" width="9.140625" style="734"/>
    <col min="11009" max="11009" width="25.5703125" style="734" customWidth="1"/>
    <col min="11010" max="11010" width="9" style="734" customWidth="1"/>
    <col min="11011" max="11011" width="8.140625" style="734" customWidth="1"/>
    <col min="11012" max="11012" width="8.7109375" style="734" customWidth="1"/>
    <col min="11013" max="11013" width="6.7109375" style="734" customWidth="1"/>
    <col min="11014" max="11014" width="9.5703125" style="734" customWidth="1"/>
    <col min="11015" max="11015" width="10.5703125" style="734" customWidth="1"/>
    <col min="11016" max="11016" width="8" style="734" customWidth="1"/>
    <col min="11017" max="11017" width="8.42578125" style="734" customWidth="1"/>
    <col min="11018" max="11018" width="6" style="734" customWidth="1"/>
    <col min="11019" max="11020" width="8.140625" style="734" customWidth="1"/>
    <col min="11021" max="11021" width="9" style="734" customWidth="1"/>
    <col min="11022" max="11022" width="7.5703125" style="734" customWidth="1"/>
    <col min="11023" max="11023" width="7.28515625" style="734" customWidth="1"/>
    <col min="11024" max="11264" width="9.140625" style="734"/>
    <col min="11265" max="11265" width="25.5703125" style="734" customWidth="1"/>
    <col min="11266" max="11266" width="9" style="734" customWidth="1"/>
    <col min="11267" max="11267" width="8.140625" style="734" customWidth="1"/>
    <col min="11268" max="11268" width="8.7109375" style="734" customWidth="1"/>
    <col min="11269" max="11269" width="6.7109375" style="734" customWidth="1"/>
    <col min="11270" max="11270" width="9.5703125" style="734" customWidth="1"/>
    <col min="11271" max="11271" width="10.5703125" style="734" customWidth="1"/>
    <col min="11272" max="11272" width="8" style="734" customWidth="1"/>
    <col min="11273" max="11273" width="8.42578125" style="734" customWidth="1"/>
    <col min="11274" max="11274" width="6" style="734" customWidth="1"/>
    <col min="11275" max="11276" width="8.140625" style="734" customWidth="1"/>
    <col min="11277" max="11277" width="9" style="734" customWidth="1"/>
    <col min="11278" max="11278" width="7.5703125" style="734" customWidth="1"/>
    <col min="11279" max="11279" width="7.28515625" style="734" customWidth="1"/>
    <col min="11280" max="11520" width="9.140625" style="734"/>
    <col min="11521" max="11521" width="25.5703125" style="734" customWidth="1"/>
    <col min="11522" max="11522" width="9" style="734" customWidth="1"/>
    <col min="11523" max="11523" width="8.140625" style="734" customWidth="1"/>
    <col min="11524" max="11524" width="8.7109375" style="734" customWidth="1"/>
    <col min="11525" max="11525" width="6.7109375" style="734" customWidth="1"/>
    <col min="11526" max="11526" width="9.5703125" style="734" customWidth="1"/>
    <col min="11527" max="11527" width="10.5703125" style="734" customWidth="1"/>
    <col min="11528" max="11528" width="8" style="734" customWidth="1"/>
    <col min="11529" max="11529" width="8.42578125" style="734" customWidth="1"/>
    <col min="11530" max="11530" width="6" style="734" customWidth="1"/>
    <col min="11531" max="11532" width="8.140625" style="734" customWidth="1"/>
    <col min="11533" max="11533" width="9" style="734" customWidth="1"/>
    <col min="11534" max="11534" width="7.5703125" style="734" customWidth="1"/>
    <col min="11535" max="11535" width="7.28515625" style="734" customWidth="1"/>
    <col min="11536" max="11776" width="9.140625" style="734"/>
    <col min="11777" max="11777" width="25.5703125" style="734" customWidth="1"/>
    <col min="11778" max="11778" width="9" style="734" customWidth="1"/>
    <col min="11779" max="11779" width="8.140625" style="734" customWidth="1"/>
    <col min="11780" max="11780" width="8.7109375" style="734" customWidth="1"/>
    <col min="11781" max="11781" width="6.7109375" style="734" customWidth="1"/>
    <col min="11782" max="11782" width="9.5703125" style="734" customWidth="1"/>
    <col min="11783" max="11783" width="10.5703125" style="734" customWidth="1"/>
    <col min="11784" max="11784" width="8" style="734" customWidth="1"/>
    <col min="11785" max="11785" width="8.42578125" style="734" customWidth="1"/>
    <col min="11786" max="11786" width="6" style="734" customWidth="1"/>
    <col min="11787" max="11788" width="8.140625" style="734" customWidth="1"/>
    <col min="11789" max="11789" width="9" style="734" customWidth="1"/>
    <col min="11790" max="11790" width="7.5703125" style="734" customWidth="1"/>
    <col min="11791" max="11791" width="7.28515625" style="734" customWidth="1"/>
    <col min="11792" max="12032" width="9.140625" style="734"/>
    <col min="12033" max="12033" width="25.5703125" style="734" customWidth="1"/>
    <col min="12034" max="12034" width="9" style="734" customWidth="1"/>
    <col min="12035" max="12035" width="8.140625" style="734" customWidth="1"/>
    <col min="12036" max="12036" width="8.7109375" style="734" customWidth="1"/>
    <col min="12037" max="12037" width="6.7109375" style="734" customWidth="1"/>
    <col min="12038" max="12038" width="9.5703125" style="734" customWidth="1"/>
    <col min="12039" max="12039" width="10.5703125" style="734" customWidth="1"/>
    <col min="12040" max="12040" width="8" style="734" customWidth="1"/>
    <col min="12041" max="12041" width="8.42578125" style="734" customWidth="1"/>
    <col min="12042" max="12042" width="6" style="734" customWidth="1"/>
    <col min="12043" max="12044" width="8.140625" style="734" customWidth="1"/>
    <col min="12045" max="12045" width="9" style="734" customWidth="1"/>
    <col min="12046" max="12046" width="7.5703125" style="734" customWidth="1"/>
    <col min="12047" max="12047" width="7.28515625" style="734" customWidth="1"/>
    <col min="12048" max="12288" width="9.140625" style="734"/>
    <col min="12289" max="12289" width="25.5703125" style="734" customWidth="1"/>
    <col min="12290" max="12290" width="9" style="734" customWidth="1"/>
    <col min="12291" max="12291" width="8.140625" style="734" customWidth="1"/>
    <col min="12292" max="12292" width="8.7109375" style="734" customWidth="1"/>
    <col min="12293" max="12293" width="6.7109375" style="734" customWidth="1"/>
    <col min="12294" max="12294" width="9.5703125" style="734" customWidth="1"/>
    <col min="12295" max="12295" width="10.5703125" style="734" customWidth="1"/>
    <col min="12296" max="12296" width="8" style="734" customWidth="1"/>
    <col min="12297" max="12297" width="8.42578125" style="734" customWidth="1"/>
    <col min="12298" max="12298" width="6" style="734" customWidth="1"/>
    <col min="12299" max="12300" width="8.140625" style="734" customWidth="1"/>
    <col min="12301" max="12301" width="9" style="734" customWidth="1"/>
    <col min="12302" max="12302" width="7.5703125" style="734" customWidth="1"/>
    <col min="12303" max="12303" width="7.28515625" style="734" customWidth="1"/>
    <col min="12304" max="12544" width="9.140625" style="734"/>
    <col min="12545" max="12545" width="25.5703125" style="734" customWidth="1"/>
    <col min="12546" max="12546" width="9" style="734" customWidth="1"/>
    <col min="12547" max="12547" width="8.140625" style="734" customWidth="1"/>
    <col min="12548" max="12548" width="8.7109375" style="734" customWidth="1"/>
    <col min="12549" max="12549" width="6.7109375" style="734" customWidth="1"/>
    <col min="12550" max="12550" width="9.5703125" style="734" customWidth="1"/>
    <col min="12551" max="12551" width="10.5703125" style="734" customWidth="1"/>
    <col min="12552" max="12552" width="8" style="734" customWidth="1"/>
    <col min="12553" max="12553" width="8.42578125" style="734" customWidth="1"/>
    <col min="12554" max="12554" width="6" style="734" customWidth="1"/>
    <col min="12555" max="12556" width="8.140625" style="734" customWidth="1"/>
    <col min="12557" max="12557" width="9" style="734" customWidth="1"/>
    <col min="12558" max="12558" width="7.5703125" style="734" customWidth="1"/>
    <col min="12559" max="12559" width="7.28515625" style="734" customWidth="1"/>
    <col min="12560" max="12800" width="9.140625" style="734"/>
    <col min="12801" max="12801" width="25.5703125" style="734" customWidth="1"/>
    <col min="12802" max="12802" width="9" style="734" customWidth="1"/>
    <col min="12803" max="12803" width="8.140625" style="734" customWidth="1"/>
    <col min="12804" max="12804" width="8.7109375" style="734" customWidth="1"/>
    <col min="12805" max="12805" width="6.7109375" style="734" customWidth="1"/>
    <col min="12806" max="12806" width="9.5703125" style="734" customWidth="1"/>
    <col min="12807" max="12807" width="10.5703125" style="734" customWidth="1"/>
    <col min="12808" max="12808" width="8" style="734" customWidth="1"/>
    <col min="12809" max="12809" width="8.42578125" style="734" customWidth="1"/>
    <col min="12810" max="12810" width="6" style="734" customWidth="1"/>
    <col min="12811" max="12812" width="8.140625" style="734" customWidth="1"/>
    <col min="12813" max="12813" width="9" style="734" customWidth="1"/>
    <col min="12814" max="12814" width="7.5703125" style="734" customWidth="1"/>
    <col min="12815" max="12815" width="7.28515625" style="734" customWidth="1"/>
    <col min="12816" max="13056" width="9.140625" style="734"/>
    <col min="13057" max="13057" width="25.5703125" style="734" customWidth="1"/>
    <col min="13058" max="13058" width="9" style="734" customWidth="1"/>
    <col min="13059" max="13059" width="8.140625" style="734" customWidth="1"/>
    <col min="13060" max="13060" width="8.7109375" style="734" customWidth="1"/>
    <col min="13061" max="13061" width="6.7109375" style="734" customWidth="1"/>
    <col min="13062" max="13062" width="9.5703125" style="734" customWidth="1"/>
    <col min="13063" max="13063" width="10.5703125" style="734" customWidth="1"/>
    <col min="13064" max="13064" width="8" style="734" customWidth="1"/>
    <col min="13065" max="13065" width="8.42578125" style="734" customWidth="1"/>
    <col min="13066" max="13066" width="6" style="734" customWidth="1"/>
    <col min="13067" max="13068" width="8.140625" style="734" customWidth="1"/>
    <col min="13069" max="13069" width="9" style="734" customWidth="1"/>
    <col min="13070" max="13070" width="7.5703125" style="734" customWidth="1"/>
    <col min="13071" max="13071" width="7.28515625" style="734" customWidth="1"/>
    <col min="13072" max="13312" width="9.140625" style="734"/>
    <col min="13313" max="13313" width="25.5703125" style="734" customWidth="1"/>
    <col min="13314" max="13314" width="9" style="734" customWidth="1"/>
    <col min="13315" max="13315" width="8.140625" style="734" customWidth="1"/>
    <col min="13316" max="13316" width="8.7109375" style="734" customWidth="1"/>
    <col min="13317" max="13317" width="6.7109375" style="734" customWidth="1"/>
    <col min="13318" max="13318" width="9.5703125" style="734" customWidth="1"/>
    <col min="13319" max="13319" width="10.5703125" style="734" customWidth="1"/>
    <col min="13320" max="13320" width="8" style="734" customWidth="1"/>
    <col min="13321" max="13321" width="8.42578125" style="734" customWidth="1"/>
    <col min="13322" max="13322" width="6" style="734" customWidth="1"/>
    <col min="13323" max="13324" width="8.140625" style="734" customWidth="1"/>
    <col min="13325" max="13325" width="9" style="734" customWidth="1"/>
    <col min="13326" max="13326" width="7.5703125" style="734" customWidth="1"/>
    <col min="13327" max="13327" width="7.28515625" style="734" customWidth="1"/>
    <col min="13328" max="13568" width="9.140625" style="734"/>
    <col min="13569" max="13569" width="25.5703125" style="734" customWidth="1"/>
    <col min="13570" max="13570" width="9" style="734" customWidth="1"/>
    <col min="13571" max="13571" width="8.140625" style="734" customWidth="1"/>
    <col min="13572" max="13572" width="8.7109375" style="734" customWidth="1"/>
    <col min="13573" max="13573" width="6.7109375" style="734" customWidth="1"/>
    <col min="13574" max="13574" width="9.5703125" style="734" customWidth="1"/>
    <col min="13575" max="13575" width="10.5703125" style="734" customWidth="1"/>
    <col min="13576" max="13576" width="8" style="734" customWidth="1"/>
    <col min="13577" max="13577" width="8.42578125" style="734" customWidth="1"/>
    <col min="13578" max="13578" width="6" style="734" customWidth="1"/>
    <col min="13579" max="13580" width="8.140625" style="734" customWidth="1"/>
    <col min="13581" max="13581" width="9" style="734" customWidth="1"/>
    <col min="13582" max="13582" width="7.5703125" style="734" customWidth="1"/>
    <col min="13583" max="13583" width="7.28515625" style="734" customWidth="1"/>
    <col min="13584" max="13824" width="9.140625" style="734"/>
    <col min="13825" max="13825" width="25.5703125" style="734" customWidth="1"/>
    <col min="13826" max="13826" width="9" style="734" customWidth="1"/>
    <col min="13827" max="13827" width="8.140625" style="734" customWidth="1"/>
    <col min="13828" max="13828" width="8.7109375" style="734" customWidth="1"/>
    <col min="13829" max="13829" width="6.7109375" style="734" customWidth="1"/>
    <col min="13830" max="13830" width="9.5703125" style="734" customWidth="1"/>
    <col min="13831" max="13831" width="10.5703125" style="734" customWidth="1"/>
    <col min="13832" max="13832" width="8" style="734" customWidth="1"/>
    <col min="13833" max="13833" width="8.42578125" style="734" customWidth="1"/>
    <col min="13834" max="13834" width="6" style="734" customWidth="1"/>
    <col min="13835" max="13836" width="8.140625" style="734" customWidth="1"/>
    <col min="13837" max="13837" width="9" style="734" customWidth="1"/>
    <col min="13838" max="13838" width="7.5703125" style="734" customWidth="1"/>
    <col min="13839" max="13839" width="7.28515625" style="734" customWidth="1"/>
    <col min="13840" max="14080" width="9.140625" style="734"/>
    <col min="14081" max="14081" width="25.5703125" style="734" customWidth="1"/>
    <col min="14082" max="14082" width="9" style="734" customWidth="1"/>
    <col min="14083" max="14083" width="8.140625" style="734" customWidth="1"/>
    <col min="14084" max="14084" width="8.7109375" style="734" customWidth="1"/>
    <col min="14085" max="14085" width="6.7109375" style="734" customWidth="1"/>
    <col min="14086" max="14086" width="9.5703125" style="734" customWidth="1"/>
    <col min="14087" max="14087" width="10.5703125" style="734" customWidth="1"/>
    <col min="14088" max="14088" width="8" style="734" customWidth="1"/>
    <col min="14089" max="14089" width="8.42578125" style="734" customWidth="1"/>
    <col min="14090" max="14090" width="6" style="734" customWidth="1"/>
    <col min="14091" max="14092" width="8.140625" style="734" customWidth="1"/>
    <col min="14093" max="14093" width="9" style="734" customWidth="1"/>
    <col min="14094" max="14094" width="7.5703125" style="734" customWidth="1"/>
    <col min="14095" max="14095" width="7.28515625" style="734" customWidth="1"/>
    <col min="14096" max="14336" width="9.140625" style="734"/>
    <col min="14337" max="14337" width="25.5703125" style="734" customWidth="1"/>
    <col min="14338" max="14338" width="9" style="734" customWidth="1"/>
    <col min="14339" max="14339" width="8.140625" style="734" customWidth="1"/>
    <col min="14340" max="14340" width="8.7109375" style="734" customWidth="1"/>
    <col min="14341" max="14341" width="6.7109375" style="734" customWidth="1"/>
    <col min="14342" max="14342" width="9.5703125" style="734" customWidth="1"/>
    <col min="14343" max="14343" width="10.5703125" style="734" customWidth="1"/>
    <col min="14344" max="14344" width="8" style="734" customWidth="1"/>
    <col min="14345" max="14345" width="8.42578125" style="734" customWidth="1"/>
    <col min="14346" max="14346" width="6" style="734" customWidth="1"/>
    <col min="14347" max="14348" width="8.140625" style="734" customWidth="1"/>
    <col min="14349" max="14349" width="9" style="734" customWidth="1"/>
    <col min="14350" max="14350" width="7.5703125" style="734" customWidth="1"/>
    <col min="14351" max="14351" width="7.28515625" style="734" customWidth="1"/>
    <col min="14352" max="14592" width="9.140625" style="734"/>
    <col min="14593" max="14593" width="25.5703125" style="734" customWidth="1"/>
    <col min="14594" max="14594" width="9" style="734" customWidth="1"/>
    <col min="14595" max="14595" width="8.140625" style="734" customWidth="1"/>
    <col min="14596" max="14596" width="8.7109375" style="734" customWidth="1"/>
    <col min="14597" max="14597" width="6.7109375" style="734" customWidth="1"/>
    <col min="14598" max="14598" width="9.5703125" style="734" customWidth="1"/>
    <col min="14599" max="14599" width="10.5703125" style="734" customWidth="1"/>
    <col min="14600" max="14600" width="8" style="734" customWidth="1"/>
    <col min="14601" max="14601" width="8.42578125" style="734" customWidth="1"/>
    <col min="14602" max="14602" width="6" style="734" customWidth="1"/>
    <col min="14603" max="14604" width="8.140625" style="734" customWidth="1"/>
    <col min="14605" max="14605" width="9" style="734" customWidth="1"/>
    <col min="14606" max="14606" width="7.5703125" style="734" customWidth="1"/>
    <col min="14607" max="14607" width="7.28515625" style="734" customWidth="1"/>
    <col min="14608" max="14848" width="9.140625" style="734"/>
    <col min="14849" max="14849" width="25.5703125" style="734" customWidth="1"/>
    <col min="14850" max="14850" width="9" style="734" customWidth="1"/>
    <col min="14851" max="14851" width="8.140625" style="734" customWidth="1"/>
    <col min="14852" max="14852" width="8.7109375" style="734" customWidth="1"/>
    <col min="14853" max="14853" width="6.7109375" style="734" customWidth="1"/>
    <col min="14854" max="14854" width="9.5703125" style="734" customWidth="1"/>
    <col min="14855" max="14855" width="10.5703125" style="734" customWidth="1"/>
    <col min="14856" max="14856" width="8" style="734" customWidth="1"/>
    <col min="14857" max="14857" width="8.42578125" style="734" customWidth="1"/>
    <col min="14858" max="14858" width="6" style="734" customWidth="1"/>
    <col min="14859" max="14860" width="8.140625" style="734" customWidth="1"/>
    <col min="14861" max="14861" width="9" style="734" customWidth="1"/>
    <col min="14862" max="14862" width="7.5703125" style="734" customWidth="1"/>
    <col min="14863" max="14863" width="7.28515625" style="734" customWidth="1"/>
    <col min="14864" max="15104" width="9.140625" style="734"/>
    <col min="15105" max="15105" width="25.5703125" style="734" customWidth="1"/>
    <col min="15106" max="15106" width="9" style="734" customWidth="1"/>
    <col min="15107" max="15107" width="8.140625" style="734" customWidth="1"/>
    <col min="15108" max="15108" width="8.7109375" style="734" customWidth="1"/>
    <col min="15109" max="15109" width="6.7109375" style="734" customWidth="1"/>
    <col min="15110" max="15110" width="9.5703125" style="734" customWidth="1"/>
    <col min="15111" max="15111" width="10.5703125" style="734" customWidth="1"/>
    <col min="15112" max="15112" width="8" style="734" customWidth="1"/>
    <col min="15113" max="15113" width="8.42578125" style="734" customWidth="1"/>
    <col min="15114" max="15114" width="6" style="734" customWidth="1"/>
    <col min="15115" max="15116" width="8.140625" style="734" customWidth="1"/>
    <col min="15117" max="15117" width="9" style="734" customWidth="1"/>
    <col min="15118" max="15118" width="7.5703125" style="734" customWidth="1"/>
    <col min="15119" max="15119" width="7.28515625" style="734" customWidth="1"/>
    <col min="15120" max="15360" width="9.140625" style="734"/>
    <col min="15361" max="15361" width="25.5703125" style="734" customWidth="1"/>
    <col min="15362" max="15362" width="9" style="734" customWidth="1"/>
    <col min="15363" max="15363" width="8.140625" style="734" customWidth="1"/>
    <col min="15364" max="15364" width="8.7109375" style="734" customWidth="1"/>
    <col min="15365" max="15365" width="6.7109375" style="734" customWidth="1"/>
    <col min="15366" max="15366" width="9.5703125" style="734" customWidth="1"/>
    <col min="15367" max="15367" width="10.5703125" style="734" customWidth="1"/>
    <col min="15368" max="15368" width="8" style="734" customWidth="1"/>
    <col min="15369" max="15369" width="8.42578125" style="734" customWidth="1"/>
    <col min="15370" max="15370" width="6" style="734" customWidth="1"/>
    <col min="15371" max="15372" width="8.140625" style="734" customWidth="1"/>
    <col min="15373" max="15373" width="9" style="734" customWidth="1"/>
    <col min="15374" max="15374" width="7.5703125" style="734" customWidth="1"/>
    <col min="15375" max="15375" width="7.28515625" style="734" customWidth="1"/>
    <col min="15376" max="15616" width="9.140625" style="734"/>
    <col min="15617" max="15617" width="25.5703125" style="734" customWidth="1"/>
    <col min="15618" max="15618" width="9" style="734" customWidth="1"/>
    <col min="15619" max="15619" width="8.140625" style="734" customWidth="1"/>
    <col min="15620" max="15620" width="8.7109375" style="734" customWidth="1"/>
    <col min="15621" max="15621" width="6.7109375" style="734" customWidth="1"/>
    <col min="15622" max="15622" width="9.5703125" style="734" customWidth="1"/>
    <col min="15623" max="15623" width="10.5703125" style="734" customWidth="1"/>
    <col min="15624" max="15624" width="8" style="734" customWidth="1"/>
    <col min="15625" max="15625" width="8.42578125" style="734" customWidth="1"/>
    <col min="15626" max="15626" width="6" style="734" customWidth="1"/>
    <col min="15627" max="15628" width="8.140625" style="734" customWidth="1"/>
    <col min="15629" max="15629" width="9" style="734" customWidth="1"/>
    <col min="15630" max="15630" width="7.5703125" style="734" customWidth="1"/>
    <col min="15631" max="15631" width="7.28515625" style="734" customWidth="1"/>
    <col min="15632" max="15872" width="9.140625" style="734"/>
    <col min="15873" max="15873" width="25.5703125" style="734" customWidth="1"/>
    <col min="15874" max="15874" width="9" style="734" customWidth="1"/>
    <col min="15875" max="15875" width="8.140625" style="734" customWidth="1"/>
    <col min="15876" max="15876" width="8.7109375" style="734" customWidth="1"/>
    <col min="15877" max="15877" width="6.7109375" style="734" customWidth="1"/>
    <col min="15878" max="15878" width="9.5703125" style="734" customWidth="1"/>
    <col min="15879" max="15879" width="10.5703125" style="734" customWidth="1"/>
    <col min="15880" max="15880" width="8" style="734" customWidth="1"/>
    <col min="15881" max="15881" width="8.42578125" style="734" customWidth="1"/>
    <col min="15882" max="15882" width="6" style="734" customWidth="1"/>
    <col min="15883" max="15884" width="8.140625" style="734" customWidth="1"/>
    <col min="15885" max="15885" width="9" style="734" customWidth="1"/>
    <col min="15886" max="15886" width="7.5703125" style="734" customWidth="1"/>
    <col min="15887" max="15887" width="7.28515625" style="734" customWidth="1"/>
    <col min="15888" max="16128" width="9.140625" style="734"/>
    <col min="16129" max="16129" width="25.5703125" style="734" customWidth="1"/>
    <col min="16130" max="16130" width="9" style="734" customWidth="1"/>
    <col min="16131" max="16131" width="8.140625" style="734" customWidth="1"/>
    <col min="16132" max="16132" width="8.7109375" style="734" customWidth="1"/>
    <col min="16133" max="16133" width="6.7109375" style="734" customWidth="1"/>
    <col min="16134" max="16134" width="9.5703125" style="734" customWidth="1"/>
    <col min="16135" max="16135" width="10.5703125" style="734" customWidth="1"/>
    <col min="16136" max="16136" width="8" style="734" customWidth="1"/>
    <col min="16137" max="16137" width="8.42578125" style="734" customWidth="1"/>
    <col min="16138" max="16138" width="6" style="734" customWidth="1"/>
    <col min="16139" max="16140" width="8.140625" style="734" customWidth="1"/>
    <col min="16141" max="16141" width="9" style="734" customWidth="1"/>
    <col min="16142" max="16142" width="7.5703125" style="734" customWidth="1"/>
    <col min="16143" max="16143" width="7.28515625" style="734" customWidth="1"/>
    <col min="16144" max="16384" width="9.140625" style="734"/>
  </cols>
  <sheetData>
    <row r="1" spans="1:15">
      <c r="A1" s="1546" t="s">
        <v>4177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</row>
    <row r="2" spans="1:15">
      <c r="E2" s="1546" t="s">
        <v>4178</v>
      </c>
      <c r="F2" s="1546"/>
      <c r="G2" s="1546"/>
    </row>
    <row r="3" spans="1:15" ht="18.75" customHeight="1">
      <c r="A3" s="735" t="s">
        <v>4176</v>
      </c>
      <c r="E3" s="736"/>
      <c r="F3" s="736"/>
      <c r="G3" s="736"/>
    </row>
    <row r="4" spans="1:15" ht="26.25" customHeight="1">
      <c r="A4" s="737" t="s">
        <v>169</v>
      </c>
      <c r="B4" s="1547" t="s">
        <v>4291</v>
      </c>
      <c r="C4" s="1547"/>
      <c r="D4" s="1547"/>
      <c r="E4" s="1548" t="s">
        <v>4180</v>
      </c>
      <c r="F4" s="1548"/>
      <c r="G4" s="1549">
        <v>405010304190103</v>
      </c>
      <c r="H4" s="1549"/>
      <c r="I4" s="1548" t="s">
        <v>172</v>
      </c>
      <c r="J4" s="1548"/>
      <c r="K4" s="738" t="s">
        <v>4292</v>
      </c>
      <c r="L4" s="1548" t="s">
        <v>4183</v>
      </c>
      <c r="M4" s="1548"/>
      <c r="N4" s="739" t="s">
        <v>4184</v>
      </c>
    </row>
    <row r="5" spans="1:15">
      <c r="A5" s="773"/>
      <c r="C5" s="736"/>
      <c r="D5" s="736"/>
      <c r="E5" s="736"/>
      <c r="F5" s="774"/>
      <c r="G5" s="774"/>
      <c r="I5" s="347"/>
      <c r="K5" s="775"/>
      <c r="L5" s="775"/>
      <c r="M5" s="347"/>
    </row>
    <row r="6" spans="1:15" ht="26.25" customHeight="1">
      <c r="A6" s="740" t="s">
        <v>174</v>
      </c>
      <c r="B6" s="1551" t="s">
        <v>4293</v>
      </c>
      <c r="C6" s="1552"/>
      <c r="D6" s="1552"/>
      <c r="E6" s="1553"/>
      <c r="F6" s="1554" t="s">
        <v>176</v>
      </c>
      <c r="G6" s="1555"/>
      <c r="H6" s="1556"/>
      <c r="I6" s="1547" t="s">
        <v>4294</v>
      </c>
      <c r="J6" s="1547"/>
      <c r="K6" s="1547"/>
      <c r="L6" s="1547"/>
      <c r="M6" s="1547"/>
    </row>
    <row r="7" spans="1:15">
      <c r="B7" s="736"/>
      <c r="C7" s="736"/>
      <c r="D7" s="736"/>
      <c r="E7" s="736"/>
      <c r="I7" s="736"/>
      <c r="J7" s="736"/>
      <c r="K7" s="736"/>
      <c r="L7" s="736"/>
      <c r="M7" s="736"/>
    </row>
    <row r="8" spans="1:15" ht="26.25" customHeight="1">
      <c r="A8" s="741" t="s">
        <v>178</v>
      </c>
      <c r="B8" s="1547" t="s">
        <v>4294</v>
      </c>
      <c r="C8" s="1547"/>
      <c r="D8" s="1547"/>
      <c r="E8" s="1547"/>
      <c r="F8" s="741" t="s">
        <v>4188</v>
      </c>
      <c r="G8" s="776"/>
      <c r="H8" s="776"/>
      <c r="I8" s="776"/>
      <c r="J8" s="741"/>
      <c r="K8" s="1558" t="s">
        <v>4295</v>
      </c>
      <c r="L8" s="1558"/>
      <c r="M8" s="1558"/>
      <c r="N8" s="1558"/>
    </row>
    <row r="9" spans="1:15" ht="26.25" customHeight="1">
      <c r="A9" s="743" t="s">
        <v>4189</v>
      </c>
      <c r="B9" s="1568" t="s">
        <v>4296</v>
      </c>
      <c r="C9" s="1568"/>
      <c r="D9" s="1568"/>
      <c r="E9" s="1547" t="s">
        <v>4297</v>
      </c>
      <c r="F9" s="1551"/>
      <c r="G9" s="1547"/>
      <c r="H9" s="1547" t="s">
        <v>4298</v>
      </c>
      <c r="I9" s="1547"/>
      <c r="J9" s="1579"/>
      <c r="K9" s="1547" t="s">
        <v>4299</v>
      </c>
      <c r="L9" s="1547"/>
      <c r="M9" s="1547"/>
      <c r="N9" s="1547"/>
    </row>
    <row r="10" spans="1:15" ht="26.25" customHeight="1">
      <c r="A10" s="744" t="s">
        <v>187</v>
      </c>
      <c r="B10" s="1559" t="s">
        <v>4300</v>
      </c>
      <c r="C10" s="1559"/>
      <c r="D10" s="1559"/>
      <c r="E10" s="1560"/>
      <c r="F10" s="1560"/>
      <c r="G10" s="1560"/>
      <c r="H10" s="1560"/>
      <c r="I10" s="1560"/>
      <c r="J10" s="1560"/>
      <c r="K10" s="1560"/>
      <c r="L10" s="1560"/>
      <c r="M10" s="1560"/>
      <c r="N10" s="1560"/>
    </row>
    <row r="11" spans="1:15" ht="26.25" customHeight="1">
      <c r="A11" s="745" t="s">
        <v>192</v>
      </c>
      <c r="B11" s="1558" t="s">
        <v>5798</v>
      </c>
      <c r="C11" s="1558"/>
      <c r="D11" s="1558" t="s">
        <v>5799</v>
      </c>
      <c r="E11" s="1558"/>
      <c r="F11" s="1551" t="s">
        <v>4301</v>
      </c>
      <c r="G11" s="1547"/>
      <c r="H11" s="1547" t="s">
        <v>5800</v>
      </c>
      <c r="I11" s="1547"/>
      <c r="J11" s="1553" t="s">
        <v>5801</v>
      </c>
      <c r="K11" s="1547"/>
      <c r="L11" s="746"/>
      <c r="M11" s="746"/>
      <c r="N11" s="746"/>
    </row>
    <row r="12" spans="1:15" ht="26.25" customHeight="1">
      <c r="A12" s="743" t="s">
        <v>197</v>
      </c>
      <c r="B12" s="1568" t="s">
        <v>4294</v>
      </c>
      <c r="C12" s="1568"/>
      <c r="D12" s="1568"/>
      <c r="E12" s="1568" t="s">
        <v>4302</v>
      </c>
      <c r="F12" s="1568"/>
      <c r="G12" s="1568"/>
      <c r="H12" s="1560"/>
      <c r="I12" s="1560"/>
      <c r="J12" s="1560"/>
      <c r="K12" s="1560"/>
      <c r="L12" s="1560"/>
      <c r="M12" s="1560"/>
      <c r="N12" s="1560"/>
    </row>
    <row r="13" spans="1:15">
      <c r="A13" s="347"/>
      <c r="B13" s="736"/>
      <c r="C13" s="736"/>
      <c r="D13" s="736"/>
      <c r="E13" s="736"/>
      <c r="F13" s="736"/>
      <c r="G13" s="736"/>
      <c r="H13" s="736"/>
      <c r="I13" s="736"/>
      <c r="J13" s="736"/>
      <c r="K13" s="736"/>
      <c r="L13" s="736"/>
      <c r="M13" s="736"/>
      <c r="N13" s="736"/>
    </row>
    <row r="14" spans="1:15" ht="26.25" customHeight="1">
      <c r="A14" s="743" t="s">
        <v>198</v>
      </c>
      <c r="B14" s="747">
        <v>4</v>
      </c>
      <c r="C14" s="1562" t="s">
        <v>199</v>
      </c>
      <c r="D14" s="1562"/>
      <c r="E14" s="1562"/>
      <c r="F14" s="748">
        <v>2</v>
      </c>
      <c r="G14" s="744" t="s">
        <v>200</v>
      </c>
      <c r="H14" s="748">
        <v>5</v>
      </c>
      <c r="I14" s="749" t="s">
        <v>4196</v>
      </c>
      <c r="J14" s="748">
        <v>2</v>
      </c>
      <c r="K14" s="749" t="s">
        <v>202</v>
      </c>
      <c r="L14" s="747">
        <v>3</v>
      </c>
    </row>
    <row r="15" spans="1:15">
      <c r="A15" s="347"/>
      <c r="C15" s="750"/>
      <c r="D15" s="750"/>
      <c r="E15" s="750"/>
      <c r="F15" s="751"/>
      <c r="G15" s="751"/>
      <c r="H15" s="751"/>
      <c r="I15" s="751"/>
      <c r="J15" s="751"/>
      <c r="K15" s="751"/>
    </row>
    <row r="16" spans="1:15" ht="26.25" customHeight="1">
      <c r="A16" s="752" t="s">
        <v>203</v>
      </c>
      <c r="B16" s="753" t="s">
        <v>4197</v>
      </c>
      <c r="C16" s="747">
        <v>49</v>
      </c>
      <c r="D16" s="753" t="s">
        <v>4198</v>
      </c>
      <c r="E16" s="754">
        <v>0</v>
      </c>
      <c r="F16" s="755" t="s">
        <v>4199</v>
      </c>
      <c r="G16" s="754">
        <v>0</v>
      </c>
      <c r="H16" s="753" t="s">
        <v>4200</v>
      </c>
      <c r="I16" s="754">
        <v>49</v>
      </c>
      <c r="J16" s="755" t="s">
        <v>414</v>
      </c>
      <c r="K16" s="747">
        <v>45</v>
      </c>
      <c r="L16" s="1575" t="s">
        <v>4201</v>
      </c>
      <c r="M16" s="1575"/>
      <c r="N16" s="1575"/>
      <c r="O16" s="747">
        <v>4</v>
      </c>
    </row>
    <row r="17" spans="1:14" ht="26.25" customHeight="1">
      <c r="A17" s="752" t="s">
        <v>1029</v>
      </c>
      <c r="B17" s="741" t="s">
        <v>4202</v>
      </c>
      <c r="C17" s="747">
        <v>85</v>
      </c>
      <c r="D17" s="741" t="s">
        <v>4203</v>
      </c>
      <c r="E17" s="747">
        <v>0</v>
      </c>
      <c r="F17" s="741" t="s">
        <v>4204</v>
      </c>
      <c r="G17" s="747">
        <v>0</v>
      </c>
      <c r="H17" s="757" t="s">
        <v>5781</v>
      </c>
      <c r="I17" s="747">
        <v>85</v>
      </c>
    </row>
    <row r="18" spans="1:14" ht="26.25" customHeight="1">
      <c r="B18" s="741" t="s">
        <v>4205</v>
      </c>
      <c r="C18" s="747">
        <v>91</v>
      </c>
      <c r="D18" s="741" t="s">
        <v>214</v>
      </c>
      <c r="E18" s="747">
        <v>0</v>
      </c>
      <c r="F18" s="741" t="s">
        <v>1494</v>
      </c>
      <c r="G18" s="747">
        <v>0</v>
      </c>
      <c r="H18" s="757" t="s">
        <v>5782</v>
      </c>
      <c r="I18" s="747">
        <v>91</v>
      </c>
    </row>
    <row r="19" spans="1:14" ht="26.25" customHeight="1">
      <c r="A19" s="758" t="s">
        <v>216</v>
      </c>
    </row>
    <row r="20" spans="1:14" ht="26.25" customHeight="1">
      <c r="A20" s="1565" t="s">
        <v>4206</v>
      </c>
      <c r="B20" s="1566" t="s">
        <v>408</v>
      </c>
      <c r="C20" s="1566" t="s">
        <v>219</v>
      </c>
      <c r="D20" s="1566" t="s">
        <v>4207</v>
      </c>
      <c r="E20" s="1566" t="s">
        <v>1713</v>
      </c>
      <c r="F20" s="1567" t="s">
        <v>4208</v>
      </c>
      <c r="G20" s="1567"/>
      <c r="H20" s="1567"/>
      <c r="I20" s="1567"/>
      <c r="J20" s="1567"/>
      <c r="K20" s="1567"/>
      <c r="L20" s="1567"/>
      <c r="M20" s="1567"/>
      <c r="N20" s="1567"/>
    </row>
    <row r="21" spans="1:14" ht="26.25" customHeight="1">
      <c r="A21" s="1565"/>
      <c r="B21" s="1566"/>
      <c r="C21" s="1566"/>
      <c r="D21" s="1566"/>
      <c r="E21" s="1566"/>
      <c r="F21" s="759">
        <v>1</v>
      </c>
      <c r="G21" s="759">
        <v>2</v>
      </c>
      <c r="H21" s="759">
        <v>3</v>
      </c>
      <c r="I21" s="759">
        <v>4</v>
      </c>
      <c r="J21" s="759">
        <v>5</v>
      </c>
      <c r="K21" s="759">
        <v>6</v>
      </c>
      <c r="L21" s="759">
        <v>7</v>
      </c>
      <c r="M21" s="759" t="s">
        <v>230</v>
      </c>
      <c r="N21" s="760" t="s">
        <v>231</v>
      </c>
    </row>
    <row r="22" spans="1:14" ht="26.25" customHeight="1">
      <c r="A22" s="744" t="s">
        <v>232</v>
      </c>
      <c r="B22" s="761">
        <v>8000</v>
      </c>
      <c r="C22" s="761" t="s">
        <v>4209</v>
      </c>
      <c r="D22" s="762">
        <f>B22*360/100000</f>
        <v>28.8</v>
      </c>
      <c r="E22" s="777">
        <v>3.8475999999999999</v>
      </c>
      <c r="F22" s="764">
        <v>0</v>
      </c>
      <c r="G22" s="764">
        <v>0</v>
      </c>
      <c r="H22" s="764">
        <v>0.98714999999999997</v>
      </c>
      <c r="I22" s="764"/>
      <c r="J22" s="764"/>
      <c r="K22" s="764"/>
      <c r="L22" s="764"/>
      <c r="M22" s="764">
        <f>+L22+K22+J22+I22+H22+G22</f>
        <v>0.98714999999999997</v>
      </c>
      <c r="N22" s="766">
        <f>M22/E22*100</f>
        <v>25.656253248778459</v>
      </c>
    </row>
    <row r="23" spans="1:14" ht="26.25" customHeight="1">
      <c r="A23" s="743" t="s">
        <v>4210</v>
      </c>
      <c r="B23" s="739">
        <v>7000</v>
      </c>
      <c r="C23" s="761" t="s">
        <v>4209</v>
      </c>
      <c r="D23" s="762">
        <f>B23*360/100000</f>
        <v>25.2</v>
      </c>
      <c r="E23" s="767">
        <v>0</v>
      </c>
      <c r="F23" s="764">
        <v>0</v>
      </c>
      <c r="G23" s="764">
        <v>0</v>
      </c>
      <c r="H23" s="771">
        <v>0</v>
      </c>
      <c r="I23" s="771"/>
      <c r="J23" s="771"/>
      <c r="K23" s="771"/>
      <c r="L23" s="771"/>
      <c r="M23" s="764">
        <f t="shared" ref="M23:M30" si="0">+L23+K23+J23+I23+H23+G23</f>
        <v>0</v>
      </c>
      <c r="N23" s="766">
        <v>0</v>
      </c>
    </row>
    <row r="24" spans="1:14" ht="26.25" customHeight="1">
      <c r="A24" s="743" t="s">
        <v>4211</v>
      </c>
      <c r="B24" s="747">
        <v>43000</v>
      </c>
      <c r="C24" s="747" t="s">
        <v>236</v>
      </c>
      <c r="D24" s="770">
        <v>0.43</v>
      </c>
      <c r="E24" s="769">
        <v>0.18</v>
      </c>
      <c r="F24" s="764">
        <v>0</v>
      </c>
      <c r="G24" s="764">
        <v>0</v>
      </c>
      <c r="H24" s="771">
        <v>0</v>
      </c>
      <c r="I24" s="771"/>
      <c r="J24" s="771"/>
      <c r="K24" s="771"/>
      <c r="L24" s="771"/>
      <c r="M24" s="764">
        <f t="shared" si="0"/>
        <v>0</v>
      </c>
      <c r="N24" s="766">
        <f t="shared" ref="N24:N29" si="1">M24/E24*100</f>
        <v>0</v>
      </c>
    </row>
    <row r="25" spans="1:14" ht="26.25" customHeight="1">
      <c r="A25" s="743" t="s">
        <v>4212</v>
      </c>
      <c r="B25" s="747">
        <v>37000</v>
      </c>
      <c r="C25" s="747" t="s">
        <v>236</v>
      </c>
      <c r="D25" s="770">
        <v>0.37</v>
      </c>
      <c r="E25" s="769">
        <v>0.16</v>
      </c>
      <c r="F25" s="764">
        <v>0</v>
      </c>
      <c r="G25" s="764">
        <v>0</v>
      </c>
      <c r="H25" s="771">
        <v>0</v>
      </c>
      <c r="I25" s="771"/>
      <c r="J25" s="771"/>
      <c r="K25" s="771"/>
      <c r="L25" s="771"/>
      <c r="M25" s="764">
        <f t="shared" si="0"/>
        <v>0</v>
      </c>
      <c r="N25" s="766">
        <f t="shared" si="1"/>
        <v>0</v>
      </c>
    </row>
    <row r="26" spans="1:14" ht="26.25" customHeight="1">
      <c r="A26" s="743" t="s">
        <v>4213</v>
      </c>
      <c r="B26" s="747">
        <v>1200</v>
      </c>
      <c r="C26" s="747" t="s">
        <v>4209</v>
      </c>
      <c r="D26" s="770">
        <f>1200*360/100000</f>
        <v>4.32</v>
      </c>
      <c r="E26" s="769">
        <v>2</v>
      </c>
      <c r="F26" s="764">
        <v>0</v>
      </c>
      <c r="G26" s="764">
        <v>0</v>
      </c>
      <c r="H26" s="771">
        <v>1.79216</v>
      </c>
      <c r="I26" s="771"/>
      <c r="J26" s="771"/>
      <c r="K26" s="771"/>
      <c r="L26" s="771"/>
      <c r="M26" s="764">
        <f t="shared" si="0"/>
        <v>1.79216</v>
      </c>
      <c r="N26" s="766">
        <f t="shared" si="1"/>
        <v>89.608000000000004</v>
      </c>
    </row>
    <row r="27" spans="1:14" ht="26.25" customHeight="1">
      <c r="A27" s="741" t="s">
        <v>4214</v>
      </c>
      <c r="B27" s="747">
        <v>565</v>
      </c>
      <c r="C27" s="747" t="s">
        <v>4209</v>
      </c>
      <c r="D27" s="770">
        <f>565*360/100000</f>
        <v>2.0339999999999998</v>
      </c>
      <c r="E27" s="769">
        <v>0.36</v>
      </c>
      <c r="F27" s="764">
        <v>0</v>
      </c>
      <c r="G27" s="764">
        <v>0</v>
      </c>
      <c r="H27" s="771">
        <v>0.25</v>
      </c>
      <c r="I27" s="771"/>
      <c r="J27" s="771"/>
      <c r="K27" s="771"/>
      <c r="L27" s="771"/>
      <c r="M27" s="764">
        <f t="shared" si="0"/>
        <v>0.25</v>
      </c>
      <c r="N27" s="766">
        <f t="shared" si="1"/>
        <v>69.444444444444443</v>
      </c>
    </row>
    <row r="28" spans="1:14" ht="26.25" customHeight="1">
      <c r="A28" s="743" t="s">
        <v>240</v>
      </c>
      <c r="B28" s="747">
        <v>1000</v>
      </c>
      <c r="C28" s="747" t="s">
        <v>4209</v>
      </c>
      <c r="D28" s="770">
        <f>1000*360/100000</f>
        <v>3.6</v>
      </c>
      <c r="E28" s="769">
        <v>0</v>
      </c>
      <c r="F28" s="764">
        <v>0</v>
      </c>
      <c r="G28" s="764">
        <v>0</v>
      </c>
      <c r="H28" s="771">
        <v>0</v>
      </c>
      <c r="I28" s="771"/>
      <c r="J28" s="771"/>
      <c r="K28" s="771"/>
      <c r="L28" s="771"/>
      <c r="M28" s="764">
        <f t="shared" si="0"/>
        <v>0</v>
      </c>
      <c r="N28" s="766">
        <v>0</v>
      </c>
    </row>
    <row r="29" spans="1:14" ht="26.25" customHeight="1">
      <c r="A29" s="743" t="s">
        <v>4215</v>
      </c>
      <c r="B29" s="747">
        <v>2750</v>
      </c>
      <c r="C29" s="747" t="s">
        <v>242</v>
      </c>
      <c r="D29" s="770">
        <v>2.31</v>
      </c>
      <c r="E29" s="769">
        <v>0.33</v>
      </c>
      <c r="F29" s="764">
        <v>0</v>
      </c>
      <c r="G29" s="764">
        <v>0</v>
      </c>
      <c r="H29" s="771">
        <v>0.33</v>
      </c>
      <c r="I29" s="771"/>
      <c r="J29" s="771"/>
      <c r="K29" s="771"/>
      <c r="L29" s="771"/>
      <c r="M29" s="764">
        <f t="shared" si="0"/>
        <v>0.33</v>
      </c>
      <c r="N29" s="766">
        <f t="shared" si="1"/>
        <v>100</v>
      </c>
    </row>
    <row r="30" spans="1:14" ht="26.25" customHeight="1">
      <c r="A30" s="741" t="s">
        <v>4216</v>
      </c>
      <c r="B30" s="747">
        <v>10000</v>
      </c>
      <c r="C30" s="747" t="s">
        <v>244</v>
      </c>
      <c r="D30" s="770">
        <v>0.1</v>
      </c>
      <c r="E30" s="769">
        <v>0</v>
      </c>
      <c r="F30" s="764">
        <v>0</v>
      </c>
      <c r="G30" s="764">
        <v>0</v>
      </c>
      <c r="H30" s="771">
        <v>0</v>
      </c>
      <c r="I30" s="771"/>
      <c r="J30" s="771"/>
      <c r="K30" s="771"/>
      <c r="L30" s="771"/>
      <c r="M30" s="764">
        <f t="shared" si="0"/>
        <v>0</v>
      </c>
      <c r="N30" s="766">
        <v>0</v>
      </c>
    </row>
    <row r="31" spans="1:14" ht="26.25" customHeight="1">
      <c r="A31" s="741" t="s">
        <v>245</v>
      </c>
      <c r="B31" s="747">
        <f>SUM(B22:B30)</f>
        <v>110515</v>
      </c>
      <c r="C31" s="747"/>
      <c r="D31" s="771">
        <f>SUM(D22:D30)</f>
        <v>67.163999999999987</v>
      </c>
      <c r="E31" s="769">
        <f>SUM(E22:E30)</f>
        <v>6.8776000000000002</v>
      </c>
      <c r="F31" s="771">
        <f>SUM(F22:F30)</f>
        <v>0</v>
      </c>
      <c r="G31" s="771">
        <f t="shared" ref="G31:M31" si="2">SUM(G22:G30)</f>
        <v>0</v>
      </c>
      <c r="H31" s="771">
        <f t="shared" si="2"/>
        <v>3.3593099999999998</v>
      </c>
      <c r="I31" s="771">
        <f t="shared" si="2"/>
        <v>0</v>
      </c>
      <c r="J31" s="771">
        <f t="shared" si="2"/>
        <v>0</v>
      </c>
      <c r="K31" s="771">
        <f t="shared" si="2"/>
        <v>0</v>
      </c>
      <c r="L31" s="771">
        <f t="shared" si="2"/>
        <v>0</v>
      </c>
      <c r="M31" s="771">
        <f t="shared" si="2"/>
        <v>3.3593099999999998</v>
      </c>
      <c r="N31" s="766"/>
    </row>
  </sheetData>
  <mergeCells count="37">
    <mergeCell ref="A20:A21"/>
    <mergeCell ref="B20:B21"/>
    <mergeCell ref="C20:C21"/>
    <mergeCell ref="D20:D21"/>
    <mergeCell ref="E20:E21"/>
    <mergeCell ref="F20:N20"/>
    <mergeCell ref="B12:D12"/>
    <mergeCell ref="E12:G12"/>
    <mergeCell ref="H12:J12"/>
    <mergeCell ref="K12:N12"/>
    <mergeCell ref="C14:E14"/>
    <mergeCell ref="L16:N16"/>
    <mergeCell ref="B10:D10"/>
    <mergeCell ref="E10:G10"/>
    <mergeCell ref="H10:J10"/>
    <mergeCell ref="K10:N10"/>
    <mergeCell ref="B11:C11"/>
    <mergeCell ref="D11:E11"/>
    <mergeCell ref="F11:G11"/>
    <mergeCell ref="H11:I11"/>
    <mergeCell ref="J11:K11"/>
    <mergeCell ref="B9:D9"/>
    <mergeCell ref="E9:G9"/>
    <mergeCell ref="H9:J9"/>
    <mergeCell ref="K9:N9"/>
    <mergeCell ref="A1:N1"/>
    <mergeCell ref="E2:G2"/>
    <mergeCell ref="B4:D4"/>
    <mergeCell ref="E4:F4"/>
    <mergeCell ref="G4:H4"/>
    <mergeCell ref="I4:J4"/>
    <mergeCell ref="L4:M4"/>
    <mergeCell ref="B6:E6"/>
    <mergeCell ref="F6:H6"/>
    <mergeCell ref="I6:M6"/>
    <mergeCell ref="B8:E8"/>
    <mergeCell ref="K8:N8"/>
  </mergeCells>
  <hyperlinks>
    <hyperlink ref="A3" location="'Fact Sheet of VDC'!A1" display="&lt;&lt;Back"/>
  </hyperlinks>
  <printOptions horizontalCentered="1" verticalCentered="1"/>
  <pageMargins left="0.51181102362204722" right="0.15748031496062992" top="0.39370078740157483" bottom="0.35433070866141736" header="0.31496062992125984" footer="0.31496062992125984"/>
  <pageSetup scale="80" orientation="landscape" r:id="rId1"/>
</worksheet>
</file>

<file path=xl/worksheets/sheet30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2"/>
  <sheetViews>
    <sheetView workbookViewId="0">
      <selection activeCell="A3" sqref="A3"/>
    </sheetView>
  </sheetViews>
  <sheetFormatPr defaultRowHeight="12"/>
  <cols>
    <col min="1" max="1" width="34.28515625" style="734" customWidth="1"/>
    <col min="2" max="2" width="9" style="734" customWidth="1"/>
    <col min="3" max="3" width="8.140625" style="734" customWidth="1"/>
    <col min="4" max="4" width="8.7109375" style="734" customWidth="1"/>
    <col min="5" max="5" width="6.7109375" style="734" customWidth="1"/>
    <col min="6" max="6" width="9.5703125" style="734" customWidth="1"/>
    <col min="7" max="7" width="10.5703125" style="734" customWidth="1"/>
    <col min="8" max="8" width="8" style="734" customWidth="1"/>
    <col min="9" max="9" width="8.42578125" style="734" customWidth="1"/>
    <col min="10" max="10" width="9" style="734" customWidth="1"/>
    <col min="11" max="12" width="8.140625" style="734" customWidth="1"/>
    <col min="13" max="13" width="9" style="734" customWidth="1"/>
    <col min="14" max="14" width="7.5703125" style="734" customWidth="1"/>
    <col min="15" max="15" width="7.28515625" style="734" customWidth="1"/>
    <col min="16" max="256" width="9.140625" style="734"/>
    <col min="257" max="257" width="34.28515625" style="734" customWidth="1"/>
    <col min="258" max="258" width="9" style="734" customWidth="1"/>
    <col min="259" max="259" width="8.140625" style="734" customWidth="1"/>
    <col min="260" max="260" width="8.7109375" style="734" customWidth="1"/>
    <col min="261" max="261" width="6.7109375" style="734" customWidth="1"/>
    <col min="262" max="262" width="9.5703125" style="734" customWidth="1"/>
    <col min="263" max="263" width="10.5703125" style="734" customWidth="1"/>
    <col min="264" max="264" width="8" style="734" customWidth="1"/>
    <col min="265" max="265" width="8.42578125" style="734" customWidth="1"/>
    <col min="266" max="266" width="9" style="734" customWidth="1"/>
    <col min="267" max="268" width="8.140625" style="734" customWidth="1"/>
    <col min="269" max="269" width="9" style="734" customWidth="1"/>
    <col min="270" max="270" width="7.5703125" style="734" customWidth="1"/>
    <col min="271" max="271" width="7.28515625" style="734" customWidth="1"/>
    <col min="272" max="512" width="9.140625" style="734"/>
    <col min="513" max="513" width="34.28515625" style="734" customWidth="1"/>
    <col min="514" max="514" width="9" style="734" customWidth="1"/>
    <col min="515" max="515" width="8.140625" style="734" customWidth="1"/>
    <col min="516" max="516" width="8.7109375" style="734" customWidth="1"/>
    <col min="517" max="517" width="6.7109375" style="734" customWidth="1"/>
    <col min="518" max="518" width="9.5703125" style="734" customWidth="1"/>
    <col min="519" max="519" width="10.5703125" style="734" customWidth="1"/>
    <col min="520" max="520" width="8" style="734" customWidth="1"/>
    <col min="521" max="521" width="8.42578125" style="734" customWidth="1"/>
    <col min="522" max="522" width="9" style="734" customWidth="1"/>
    <col min="523" max="524" width="8.140625" style="734" customWidth="1"/>
    <col min="525" max="525" width="9" style="734" customWidth="1"/>
    <col min="526" max="526" width="7.5703125" style="734" customWidth="1"/>
    <col min="527" max="527" width="7.28515625" style="734" customWidth="1"/>
    <col min="528" max="768" width="9.140625" style="734"/>
    <col min="769" max="769" width="34.28515625" style="734" customWidth="1"/>
    <col min="770" max="770" width="9" style="734" customWidth="1"/>
    <col min="771" max="771" width="8.140625" style="734" customWidth="1"/>
    <col min="772" max="772" width="8.7109375" style="734" customWidth="1"/>
    <col min="773" max="773" width="6.7109375" style="734" customWidth="1"/>
    <col min="774" max="774" width="9.5703125" style="734" customWidth="1"/>
    <col min="775" max="775" width="10.5703125" style="734" customWidth="1"/>
    <col min="776" max="776" width="8" style="734" customWidth="1"/>
    <col min="777" max="777" width="8.42578125" style="734" customWidth="1"/>
    <col min="778" max="778" width="9" style="734" customWidth="1"/>
    <col min="779" max="780" width="8.140625" style="734" customWidth="1"/>
    <col min="781" max="781" width="9" style="734" customWidth="1"/>
    <col min="782" max="782" width="7.5703125" style="734" customWidth="1"/>
    <col min="783" max="783" width="7.28515625" style="734" customWidth="1"/>
    <col min="784" max="1024" width="9.140625" style="734"/>
    <col min="1025" max="1025" width="34.28515625" style="734" customWidth="1"/>
    <col min="1026" max="1026" width="9" style="734" customWidth="1"/>
    <col min="1027" max="1027" width="8.140625" style="734" customWidth="1"/>
    <col min="1028" max="1028" width="8.7109375" style="734" customWidth="1"/>
    <col min="1029" max="1029" width="6.7109375" style="734" customWidth="1"/>
    <col min="1030" max="1030" width="9.5703125" style="734" customWidth="1"/>
    <col min="1031" max="1031" width="10.5703125" style="734" customWidth="1"/>
    <col min="1032" max="1032" width="8" style="734" customWidth="1"/>
    <col min="1033" max="1033" width="8.42578125" style="734" customWidth="1"/>
    <col min="1034" max="1034" width="9" style="734" customWidth="1"/>
    <col min="1035" max="1036" width="8.140625" style="734" customWidth="1"/>
    <col min="1037" max="1037" width="9" style="734" customWidth="1"/>
    <col min="1038" max="1038" width="7.5703125" style="734" customWidth="1"/>
    <col min="1039" max="1039" width="7.28515625" style="734" customWidth="1"/>
    <col min="1040" max="1280" width="9.140625" style="734"/>
    <col min="1281" max="1281" width="34.28515625" style="734" customWidth="1"/>
    <col min="1282" max="1282" width="9" style="734" customWidth="1"/>
    <col min="1283" max="1283" width="8.140625" style="734" customWidth="1"/>
    <col min="1284" max="1284" width="8.7109375" style="734" customWidth="1"/>
    <col min="1285" max="1285" width="6.7109375" style="734" customWidth="1"/>
    <col min="1286" max="1286" width="9.5703125" style="734" customWidth="1"/>
    <col min="1287" max="1287" width="10.5703125" style="734" customWidth="1"/>
    <col min="1288" max="1288" width="8" style="734" customWidth="1"/>
    <col min="1289" max="1289" width="8.42578125" style="734" customWidth="1"/>
    <col min="1290" max="1290" width="9" style="734" customWidth="1"/>
    <col min="1291" max="1292" width="8.140625" style="734" customWidth="1"/>
    <col min="1293" max="1293" width="9" style="734" customWidth="1"/>
    <col min="1294" max="1294" width="7.5703125" style="734" customWidth="1"/>
    <col min="1295" max="1295" width="7.28515625" style="734" customWidth="1"/>
    <col min="1296" max="1536" width="9.140625" style="734"/>
    <col min="1537" max="1537" width="34.28515625" style="734" customWidth="1"/>
    <col min="1538" max="1538" width="9" style="734" customWidth="1"/>
    <col min="1539" max="1539" width="8.140625" style="734" customWidth="1"/>
    <col min="1540" max="1540" width="8.7109375" style="734" customWidth="1"/>
    <col min="1541" max="1541" width="6.7109375" style="734" customWidth="1"/>
    <col min="1542" max="1542" width="9.5703125" style="734" customWidth="1"/>
    <col min="1543" max="1543" width="10.5703125" style="734" customWidth="1"/>
    <col min="1544" max="1544" width="8" style="734" customWidth="1"/>
    <col min="1545" max="1545" width="8.42578125" style="734" customWidth="1"/>
    <col min="1546" max="1546" width="9" style="734" customWidth="1"/>
    <col min="1547" max="1548" width="8.140625" style="734" customWidth="1"/>
    <col min="1549" max="1549" width="9" style="734" customWidth="1"/>
    <col min="1550" max="1550" width="7.5703125" style="734" customWidth="1"/>
    <col min="1551" max="1551" width="7.28515625" style="734" customWidth="1"/>
    <col min="1552" max="1792" width="9.140625" style="734"/>
    <col min="1793" max="1793" width="34.28515625" style="734" customWidth="1"/>
    <col min="1794" max="1794" width="9" style="734" customWidth="1"/>
    <col min="1795" max="1795" width="8.140625" style="734" customWidth="1"/>
    <col min="1796" max="1796" width="8.7109375" style="734" customWidth="1"/>
    <col min="1797" max="1797" width="6.7109375" style="734" customWidth="1"/>
    <col min="1798" max="1798" width="9.5703125" style="734" customWidth="1"/>
    <col min="1799" max="1799" width="10.5703125" style="734" customWidth="1"/>
    <col min="1800" max="1800" width="8" style="734" customWidth="1"/>
    <col min="1801" max="1801" width="8.42578125" style="734" customWidth="1"/>
    <col min="1802" max="1802" width="9" style="734" customWidth="1"/>
    <col min="1803" max="1804" width="8.140625" style="734" customWidth="1"/>
    <col min="1805" max="1805" width="9" style="734" customWidth="1"/>
    <col min="1806" max="1806" width="7.5703125" style="734" customWidth="1"/>
    <col min="1807" max="1807" width="7.28515625" style="734" customWidth="1"/>
    <col min="1808" max="2048" width="9.140625" style="734"/>
    <col min="2049" max="2049" width="34.28515625" style="734" customWidth="1"/>
    <col min="2050" max="2050" width="9" style="734" customWidth="1"/>
    <col min="2051" max="2051" width="8.140625" style="734" customWidth="1"/>
    <col min="2052" max="2052" width="8.7109375" style="734" customWidth="1"/>
    <col min="2053" max="2053" width="6.7109375" style="734" customWidth="1"/>
    <col min="2054" max="2054" width="9.5703125" style="734" customWidth="1"/>
    <col min="2055" max="2055" width="10.5703125" style="734" customWidth="1"/>
    <col min="2056" max="2056" width="8" style="734" customWidth="1"/>
    <col min="2057" max="2057" width="8.42578125" style="734" customWidth="1"/>
    <col min="2058" max="2058" width="9" style="734" customWidth="1"/>
    <col min="2059" max="2060" width="8.140625" style="734" customWidth="1"/>
    <col min="2061" max="2061" width="9" style="734" customWidth="1"/>
    <col min="2062" max="2062" width="7.5703125" style="734" customWidth="1"/>
    <col min="2063" max="2063" width="7.28515625" style="734" customWidth="1"/>
    <col min="2064" max="2304" width="9.140625" style="734"/>
    <col min="2305" max="2305" width="34.28515625" style="734" customWidth="1"/>
    <col min="2306" max="2306" width="9" style="734" customWidth="1"/>
    <col min="2307" max="2307" width="8.140625" style="734" customWidth="1"/>
    <col min="2308" max="2308" width="8.7109375" style="734" customWidth="1"/>
    <col min="2309" max="2309" width="6.7109375" style="734" customWidth="1"/>
    <col min="2310" max="2310" width="9.5703125" style="734" customWidth="1"/>
    <col min="2311" max="2311" width="10.5703125" style="734" customWidth="1"/>
    <col min="2312" max="2312" width="8" style="734" customWidth="1"/>
    <col min="2313" max="2313" width="8.42578125" style="734" customWidth="1"/>
    <col min="2314" max="2314" width="9" style="734" customWidth="1"/>
    <col min="2315" max="2316" width="8.140625" style="734" customWidth="1"/>
    <col min="2317" max="2317" width="9" style="734" customWidth="1"/>
    <col min="2318" max="2318" width="7.5703125" style="734" customWidth="1"/>
    <col min="2319" max="2319" width="7.28515625" style="734" customWidth="1"/>
    <col min="2320" max="2560" width="9.140625" style="734"/>
    <col min="2561" max="2561" width="34.28515625" style="734" customWidth="1"/>
    <col min="2562" max="2562" width="9" style="734" customWidth="1"/>
    <col min="2563" max="2563" width="8.140625" style="734" customWidth="1"/>
    <col min="2564" max="2564" width="8.7109375" style="734" customWidth="1"/>
    <col min="2565" max="2565" width="6.7109375" style="734" customWidth="1"/>
    <col min="2566" max="2566" width="9.5703125" style="734" customWidth="1"/>
    <col min="2567" max="2567" width="10.5703125" style="734" customWidth="1"/>
    <col min="2568" max="2568" width="8" style="734" customWidth="1"/>
    <col min="2569" max="2569" width="8.42578125" style="734" customWidth="1"/>
    <col min="2570" max="2570" width="9" style="734" customWidth="1"/>
    <col min="2571" max="2572" width="8.140625" style="734" customWidth="1"/>
    <col min="2573" max="2573" width="9" style="734" customWidth="1"/>
    <col min="2574" max="2574" width="7.5703125" style="734" customWidth="1"/>
    <col min="2575" max="2575" width="7.28515625" style="734" customWidth="1"/>
    <col min="2576" max="2816" width="9.140625" style="734"/>
    <col min="2817" max="2817" width="34.28515625" style="734" customWidth="1"/>
    <col min="2818" max="2818" width="9" style="734" customWidth="1"/>
    <col min="2819" max="2819" width="8.140625" style="734" customWidth="1"/>
    <col min="2820" max="2820" width="8.7109375" style="734" customWidth="1"/>
    <col min="2821" max="2821" width="6.7109375" style="734" customWidth="1"/>
    <col min="2822" max="2822" width="9.5703125" style="734" customWidth="1"/>
    <col min="2823" max="2823" width="10.5703125" style="734" customWidth="1"/>
    <col min="2824" max="2824" width="8" style="734" customWidth="1"/>
    <col min="2825" max="2825" width="8.42578125" style="734" customWidth="1"/>
    <col min="2826" max="2826" width="9" style="734" customWidth="1"/>
    <col min="2827" max="2828" width="8.140625" style="734" customWidth="1"/>
    <col min="2829" max="2829" width="9" style="734" customWidth="1"/>
    <col min="2830" max="2830" width="7.5703125" style="734" customWidth="1"/>
    <col min="2831" max="2831" width="7.28515625" style="734" customWidth="1"/>
    <col min="2832" max="3072" width="9.140625" style="734"/>
    <col min="3073" max="3073" width="34.28515625" style="734" customWidth="1"/>
    <col min="3074" max="3074" width="9" style="734" customWidth="1"/>
    <col min="3075" max="3075" width="8.140625" style="734" customWidth="1"/>
    <col min="3076" max="3076" width="8.7109375" style="734" customWidth="1"/>
    <col min="3077" max="3077" width="6.7109375" style="734" customWidth="1"/>
    <col min="3078" max="3078" width="9.5703125" style="734" customWidth="1"/>
    <col min="3079" max="3079" width="10.5703125" style="734" customWidth="1"/>
    <col min="3080" max="3080" width="8" style="734" customWidth="1"/>
    <col min="3081" max="3081" width="8.42578125" style="734" customWidth="1"/>
    <col min="3082" max="3082" width="9" style="734" customWidth="1"/>
    <col min="3083" max="3084" width="8.140625" style="734" customWidth="1"/>
    <col min="3085" max="3085" width="9" style="734" customWidth="1"/>
    <col min="3086" max="3086" width="7.5703125" style="734" customWidth="1"/>
    <col min="3087" max="3087" width="7.28515625" style="734" customWidth="1"/>
    <col min="3088" max="3328" width="9.140625" style="734"/>
    <col min="3329" max="3329" width="34.28515625" style="734" customWidth="1"/>
    <col min="3330" max="3330" width="9" style="734" customWidth="1"/>
    <col min="3331" max="3331" width="8.140625" style="734" customWidth="1"/>
    <col min="3332" max="3332" width="8.7109375" style="734" customWidth="1"/>
    <col min="3333" max="3333" width="6.7109375" style="734" customWidth="1"/>
    <col min="3334" max="3334" width="9.5703125" style="734" customWidth="1"/>
    <col min="3335" max="3335" width="10.5703125" style="734" customWidth="1"/>
    <col min="3336" max="3336" width="8" style="734" customWidth="1"/>
    <col min="3337" max="3337" width="8.42578125" style="734" customWidth="1"/>
    <col min="3338" max="3338" width="9" style="734" customWidth="1"/>
    <col min="3339" max="3340" width="8.140625" style="734" customWidth="1"/>
    <col min="3341" max="3341" width="9" style="734" customWidth="1"/>
    <col min="3342" max="3342" width="7.5703125" style="734" customWidth="1"/>
    <col min="3343" max="3343" width="7.28515625" style="734" customWidth="1"/>
    <col min="3344" max="3584" width="9.140625" style="734"/>
    <col min="3585" max="3585" width="34.28515625" style="734" customWidth="1"/>
    <col min="3586" max="3586" width="9" style="734" customWidth="1"/>
    <col min="3587" max="3587" width="8.140625" style="734" customWidth="1"/>
    <col min="3588" max="3588" width="8.7109375" style="734" customWidth="1"/>
    <col min="3589" max="3589" width="6.7109375" style="734" customWidth="1"/>
    <col min="3590" max="3590" width="9.5703125" style="734" customWidth="1"/>
    <col min="3591" max="3591" width="10.5703125" style="734" customWidth="1"/>
    <col min="3592" max="3592" width="8" style="734" customWidth="1"/>
    <col min="3593" max="3593" width="8.42578125" style="734" customWidth="1"/>
    <col min="3594" max="3594" width="9" style="734" customWidth="1"/>
    <col min="3595" max="3596" width="8.140625" style="734" customWidth="1"/>
    <col min="3597" max="3597" width="9" style="734" customWidth="1"/>
    <col min="3598" max="3598" width="7.5703125" style="734" customWidth="1"/>
    <col min="3599" max="3599" width="7.28515625" style="734" customWidth="1"/>
    <col min="3600" max="3840" width="9.140625" style="734"/>
    <col min="3841" max="3841" width="34.28515625" style="734" customWidth="1"/>
    <col min="3842" max="3842" width="9" style="734" customWidth="1"/>
    <col min="3843" max="3843" width="8.140625" style="734" customWidth="1"/>
    <col min="3844" max="3844" width="8.7109375" style="734" customWidth="1"/>
    <col min="3845" max="3845" width="6.7109375" style="734" customWidth="1"/>
    <col min="3846" max="3846" width="9.5703125" style="734" customWidth="1"/>
    <col min="3847" max="3847" width="10.5703125" style="734" customWidth="1"/>
    <col min="3848" max="3848" width="8" style="734" customWidth="1"/>
    <col min="3849" max="3849" width="8.42578125" style="734" customWidth="1"/>
    <col min="3850" max="3850" width="9" style="734" customWidth="1"/>
    <col min="3851" max="3852" width="8.140625" style="734" customWidth="1"/>
    <col min="3853" max="3853" width="9" style="734" customWidth="1"/>
    <col min="3854" max="3854" width="7.5703125" style="734" customWidth="1"/>
    <col min="3855" max="3855" width="7.28515625" style="734" customWidth="1"/>
    <col min="3856" max="4096" width="9.140625" style="734"/>
    <col min="4097" max="4097" width="34.28515625" style="734" customWidth="1"/>
    <col min="4098" max="4098" width="9" style="734" customWidth="1"/>
    <col min="4099" max="4099" width="8.140625" style="734" customWidth="1"/>
    <col min="4100" max="4100" width="8.7109375" style="734" customWidth="1"/>
    <col min="4101" max="4101" width="6.7109375" style="734" customWidth="1"/>
    <col min="4102" max="4102" width="9.5703125" style="734" customWidth="1"/>
    <col min="4103" max="4103" width="10.5703125" style="734" customWidth="1"/>
    <col min="4104" max="4104" width="8" style="734" customWidth="1"/>
    <col min="4105" max="4105" width="8.42578125" style="734" customWidth="1"/>
    <col min="4106" max="4106" width="9" style="734" customWidth="1"/>
    <col min="4107" max="4108" width="8.140625" style="734" customWidth="1"/>
    <col min="4109" max="4109" width="9" style="734" customWidth="1"/>
    <col min="4110" max="4110" width="7.5703125" style="734" customWidth="1"/>
    <col min="4111" max="4111" width="7.28515625" style="734" customWidth="1"/>
    <col min="4112" max="4352" width="9.140625" style="734"/>
    <col min="4353" max="4353" width="34.28515625" style="734" customWidth="1"/>
    <col min="4354" max="4354" width="9" style="734" customWidth="1"/>
    <col min="4355" max="4355" width="8.140625" style="734" customWidth="1"/>
    <col min="4356" max="4356" width="8.7109375" style="734" customWidth="1"/>
    <col min="4357" max="4357" width="6.7109375" style="734" customWidth="1"/>
    <col min="4358" max="4358" width="9.5703125" style="734" customWidth="1"/>
    <col min="4359" max="4359" width="10.5703125" style="734" customWidth="1"/>
    <col min="4360" max="4360" width="8" style="734" customWidth="1"/>
    <col min="4361" max="4361" width="8.42578125" style="734" customWidth="1"/>
    <col min="4362" max="4362" width="9" style="734" customWidth="1"/>
    <col min="4363" max="4364" width="8.140625" style="734" customWidth="1"/>
    <col min="4365" max="4365" width="9" style="734" customWidth="1"/>
    <col min="4366" max="4366" width="7.5703125" style="734" customWidth="1"/>
    <col min="4367" max="4367" width="7.28515625" style="734" customWidth="1"/>
    <col min="4368" max="4608" width="9.140625" style="734"/>
    <col min="4609" max="4609" width="34.28515625" style="734" customWidth="1"/>
    <col min="4610" max="4610" width="9" style="734" customWidth="1"/>
    <col min="4611" max="4611" width="8.140625" style="734" customWidth="1"/>
    <col min="4612" max="4612" width="8.7109375" style="734" customWidth="1"/>
    <col min="4613" max="4613" width="6.7109375" style="734" customWidth="1"/>
    <col min="4614" max="4614" width="9.5703125" style="734" customWidth="1"/>
    <col min="4615" max="4615" width="10.5703125" style="734" customWidth="1"/>
    <col min="4616" max="4616" width="8" style="734" customWidth="1"/>
    <col min="4617" max="4617" width="8.42578125" style="734" customWidth="1"/>
    <col min="4618" max="4618" width="9" style="734" customWidth="1"/>
    <col min="4619" max="4620" width="8.140625" style="734" customWidth="1"/>
    <col min="4621" max="4621" width="9" style="734" customWidth="1"/>
    <col min="4622" max="4622" width="7.5703125" style="734" customWidth="1"/>
    <col min="4623" max="4623" width="7.28515625" style="734" customWidth="1"/>
    <col min="4624" max="4864" width="9.140625" style="734"/>
    <col min="4865" max="4865" width="34.28515625" style="734" customWidth="1"/>
    <col min="4866" max="4866" width="9" style="734" customWidth="1"/>
    <col min="4867" max="4867" width="8.140625" style="734" customWidth="1"/>
    <col min="4868" max="4868" width="8.7109375" style="734" customWidth="1"/>
    <col min="4869" max="4869" width="6.7109375" style="734" customWidth="1"/>
    <col min="4870" max="4870" width="9.5703125" style="734" customWidth="1"/>
    <col min="4871" max="4871" width="10.5703125" style="734" customWidth="1"/>
    <col min="4872" max="4872" width="8" style="734" customWidth="1"/>
    <col min="4873" max="4873" width="8.42578125" style="734" customWidth="1"/>
    <col min="4874" max="4874" width="9" style="734" customWidth="1"/>
    <col min="4875" max="4876" width="8.140625" style="734" customWidth="1"/>
    <col min="4877" max="4877" width="9" style="734" customWidth="1"/>
    <col min="4878" max="4878" width="7.5703125" style="734" customWidth="1"/>
    <col min="4879" max="4879" width="7.28515625" style="734" customWidth="1"/>
    <col min="4880" max="5120" width="9.140625" style="734"/>
    <col min="5121" max="5121" width="34.28515625" style="734" customWidth="1"/>
    <col min="5122" max="5122" width="9" style="734" customWidth="1"/>
    <col min="5123" max="5123" width="8.140625" style="734" customWidth="1"/>
    <col min="5124" max="5124" width="8.7109375" style="734" customWidth="1"/>
    <col min="5125" max="5125" width="6.7109375" style="734" customWidth="1"/>
    <col min="5126" max="5126" width="9.5703125" style="734" customWidth="1"/>
    <col min="5127" max="5127" width="10.5703125" style="734" customWidth="1"/>
    <col min="5128" max="5128" width="8" style="734" customWidth="1"/>
    <col min="5129" max="5129" width="8.42578125" style="734" customWidth="1"/>
    <col min="5130" max="5130" width="9" style="734" customWidth="1"/>
    <col min="5131" max="5132" width="8.140625" style="734" customWidth="1"/>
    <col min="5133" max="5133" width="9" style="734" customWidth="1"/>
    <col min="5134" max="5134" width="7.5703125" style="734" customWidth="1"/>
    <col min="5135" max="5135" width="7.28515625" style="734" customWidth="1"/>
    <col min="5136" max="5376" width="9.140625" style="734"/>
    <col min="5377" max="5377" width="34.28515625" style="734" customWidth="1"/>
    <col min="5378" max="5378" width="9" style="734" customWidth="1"/>
    <col min="5379" max="5379" width="8.140625" style="734" customWidth="1"/>
    <col min="5380" max="5380" width="8.7109375" style="734" customWidth="1"/>
    <col min="5381" max="5381" width="6.7109375" style="734" customWidth="1"/>
    <col min="5382" max="5382" width="9.5703125" style="734" customWidth="1"/>
    <col min="5383" max="5383" width="10.5703125" style="734" customWidth="1"/>
    <col min="5384" max="5384" width="8" style="734" customWidth="1"/>
    <col min="5385" max="5385" width="8.42578125" style="734" customWidth="1"/>
    <col min="5386" max="5386" width="9" style="734" customWidth="1"/>
    <col min="5387" max="5388" width="8.140625" style="734" customWidth="1"/>
    <col min="5389" max="5389" width="9" style="734" customWidth="1"/>
    <col min="5390" max="5390" width="7.5703125" style="734" customWidth="1"/>
    <col min="5391" max="5391" width="7.28515625" style="734" customWidth="1"/>
    <col min="5392" max="5632" width="9.140625" style="734"/>
    <col min="5633" max="5633" width="34.28515625" style="734" customWidth="1"/>
    <col min="5634" max="5634" width="9" style="734" customWidth="1"/>
    <col min="5635" max="5635" width="8.140625" style="734" customWidth="1"/>
    <col min="5636" max="5636" width="8.7109375" style="734" customWidth="1"/>
    <col min="5637" max="5637" width="6.7109375" style="734" customWidth="1"/>
    <col min="5638" max="5638" width="9.5703125" style="734" customWidth="1"/>
    <col min="5639" max="5639" width="10.5703125" style="734" customWidth="1"/>
    <col min="5640" max="5640" width="8" style="734" customWidth="1"/>
    <col min="5641" max="5641" width="8.42578125" style="734" customWidth="1"/>
    <col min="5642" max="5642" width="9" style="734" customWidth="1"/>
    <col min="5643" max="5644" width="8.140625" style="734" customWidth="1"/>
    <col min="5645" max="5645" width="9" style="734" customWidth="1"/>
    <col min="5646" max="5646" width="7.5703125" style="734" customWidth="1"/>
    <col min="5647" max="5647" width="7.28515625" style="734" customWidth="1"/>
    <col min="5648" max="5888" width="9.140625" style="734"/>
    <col min="5889" max="5889" width="34.28515625" style="734" customWidth="1"/>
    <col min="5890" max="5890" width="9" style="734" customWidth="1"/>
    <col min="5891" max="5891" width="8.140625" style="734" customWidth="1"/>
    <col min="5892" max="5892" width="8.7109375" style="734" customWidth="1"/>
    <col min="5893" max="5893" width="6.7109375" style="734" customWidth="1"/>
    <col min="5894" max="5894" width="9.5703125" style="734" customWidth="1"/>
    <col min="5895" max="5895" width="10.5703125" style="734" customWidth="1"/>
    <col min="5896" max="5896" width="8" style="734" customWidth="1"/>
    <col min="5897" max="5897" width="8.42578125" style="734" customWidth="1"/>
    <col min="5898" max="5898" width="9" style="734" customWidth="1"/>
    <col min="5899" max="5900" width="8.140625" style="734" customWidth="1"/>
    <col min="5901" max="5901" width="9" style="734" customWidth="1"/>
    <col min="5902" max="5902" width="7.5703125" style="734" customWidth="1"/>
    <col min="5903" max="5903" width="7.28515625" style="734" customWidth="1"/>
    <col min="5904" max="6144" width="9.140625" style="734"/>
    <col min="6145" max="6145" width="34.28515625" style="734" customWidth="1"/>
    <col min="6146" max="6146" width="9" style="734" customWidth="1"/>
    <col min="6147" max="6147" width="8.140625" style="734" customWidth="1"/>
    <col min="6148" max="6148" width="8.7109375" style="734" customWidth="1"/>
    <col min="6149" max="6149" width="6.7109375" style="734" customWidth="1"/>
    <col min="6150" max="6150" width="9.5703125" style="734" customWidth="1"/>
    <col min="6151" max="6151" width="10.5703125" style="734" customWidth="1"/>
    <col min="6152" max="6152" width="8" style="734" customWidth="1"/>
    <col min="6153" max="6153" width="8.42578125" style="734" customWidth="1"/>
    <col min="6154" max="6154" width="9" style="734" customWidth="1"/>
    <col min="6155" max="6156" width="8.140625" style="734" customWidth="1"/>
    <col min="6157" max="6157" width="9" style="734" customWidth="1"/>
    <col min="6158" max="6158" width="7.5703125" style="734" customWidth="1"/>
    <col min="6159" max="6159" width="7.28515625" style="734" customWidth="1"/>
    <col min="6160" max="6400" width="9.140625" style="734"/>
    <col min="6401" max="6401" width="34.28515625" style="734" customWidth="1"/>
    <col min="6402" max="6402" width="9" style="734" customWidth="1"/>
    <col min="6403" max="6403" width="8.140625" style="734" customWidth="1"/>
    <col min="6404" max="6404" width="8.7109375" style="734" customWidth="1"/>
    <col min="6405" max="6405" width="6.7109375" style="734" customWidth="1"/>
    <col min="6406" max="6406" width="9.5703125" style="734" customWidth="1"/>
    <col min="6407" max="6407" width="10.5703125" style="734" customWidth="1"/>
    <col min="6408" max="6408" width="8" style="734" customWidth="1"/>
    <col min="6409" max="6409" width="8.42578125" style="734" customWidth="1"/>
    <col min="6410" max="6410" width="9" style="734" customWidth="1"/>
    <col min="6411" max="6412" width="8.140625" style="734" customWidth="1"/>
    <col min="6413" max="6413" width="9" style="734" customWidth="1"/>
    <col min="6414" max="6414" width="7.5703125" style="734" customWidth="1"/>
    <col min="6415" max="6415" width="7.28515625" style="734" customWidth="1"/>
    <col min="6416" max="6656" width="9.140625" style="734"/>
    <col min="6657" max="6657" width="34.28515625" style="734" customWidth="1"/>
    <col min="6658" max="6658" width="9" style="734" customWidth="1"/>
    <col min="6659" max="6659" width="8.140625" style="734" customWidth="1"/>
    <col min="6660" max="6660" width="8.7109375" style="734" customWidth="1"/>
    <col min="6661" max="6661" width="6.7109375" style="734" customWidth="1"/>
    <col min="6662" max="6662" width="9.5703125" style="734" customWidth="1"/>
    <col min="6663" max="6663" width="10.5703125" style="734" customWidth="1"/>
    <col min="6664" max="6664" width="8" style="734" customWidth="1"/>
    <col min="6665" max="6665" width="8.42578125" style="734" customWidth="1"/>
    <col min="6666" max="6666" width="9" style="734" customWidth="1"/>
    <col min="6667" max="6668" width="8.140625" style="734" customWidth="1"/>
    <col min="6669" max="6669" width="9" style="734" customWidth="1"/>
    <col min="6670" max="6670" width="7.5703125" style="734" customWidth="1"/>
    <col min="6671" max="6671" width="7.28515625" style="734" customWidth="1"/>
    <col min="6672" max="6912" width="9.140625" style="734"/>
    <col min="6913" max="6913" width="34.28515625" style="734" customWidth="1"/>
    <col min="6914" max="6914" width="9" style="734" customWidth="1"/>
    <col min="6915" max="6915" width="8.140625" style="734" customWidth="1"/>
    <col min="6916" max="6916" width="8.7109375" style="734" customWidth="1"/>
    <col min="6917" max="6917" width="6.7109375" style="734" customWidth="1"/>
    <col min="6918" max="6918" width="9.5703125" style="734" customWidth="1"/>
    <col min="6919" max="6919" width="10.5703125" style="734" customWidth="1"/>
    <col min="6920" max="6920" width="8" style="734" customWidth="1"/>
    <col min="6921" max="6921" width="8.42578125" style="734" customWidth="1"/>
    <col min="6922" max="6922" width="9" style="734" customWidth="1"/>
    <col min="6923" max="6924" width="8.140625" style="734" customWidth="1"/>
    <col min="6925" max="6925" width="9" style="734" customWidth="1"/>
    <col min="6926" max="6926" width="7.5703125" style="734" customWidth="1"/>
    <col min="6927" max="6927" width="7.28515625" style="734" customWidth="1"/>
    <col min="6928" max="7168" width="9.140625" style="734"/>
    <col min="7169" max="7169" width="34.28515625" style="734" customWidth="1"/>
    <col min="7170" max="7170" width="9" style="734" customWidth="1"/>
    <col min="7171" max="7171" width="8.140625" style="734" customWidth="1"/>
    <col min="7172" max="7172" width="8.7109375" style="734" customWidth="1"/>
    <col min="7173" max="7173" width="6.7109375" style="734" customWidth="1"/>
    <col min="7174" max="7174" width="9.5703125" style="734" customWidth="1"/>
    <col min="7175" max="7175" width="10.5703125" style="734" customWidth="1"/>
    <col min="7176" max="7176" width="8" style="734" customWidth="1"/>
    <col min="7177" max="7177" width="8.42578125" style="734" customWidth="1"/>
    <col min="7178" max="7178" width="9" style="734" customWidth="1"/>
    <col min="7179" max="7180" width="8.140625" style="734" customWidth="1"/>
    <col min="7181" max="7181" width="9" style="734" customWidth="1"/>
    <col min="7182" max="7182" width="7.5703125" style="734" customWidth="1"/>
    <col min="7183" max="7183" width="7.28515625" style="734" customWidth="1"/>
    <col min="7184" max="7424" width="9.140625" style="734"/>
    <col min="7425" max="7425" width="34.28515625" style="734" customWidth="1"/>
    <col min="7426" max="7426" width="9" style="734" customWidth="1"/>
    <col min="7427" max="7427" width="8.140625" style="734" customWidth="1"/>
    <col min="7428" max="7428" width="8.7109375" style="734" customWidth="1"/>
    <col min="7429" max="7429" width="6.7109375" style="734" customWidth="1"/>
    <col min="7430" max="7430" width="9.5703125" style="734" customWidth="1"/>
    <col min="7431" max="7431" width="10.5703125" style="734" customWidth="1"/>
    <col min="7432" max="7432" width="8" style="734" customWidth="1"/>
    <col min="7433" max="7433" width="8.42578125" style="734" customWidth="1"/>
    <col min="7434" max="7434" width="9" style="734" customWidth="1"/>
    <col min="7435" max="7436" width="8.140625" style="734" customWidth="1"/>
    <col min="7437" max="7437" width="9" style="734" customWidth="1"/>
    <col min="7438" max="7438" width="7.5703125" style="734" customWidth="1"/>
    <col min="7439" max="7439" width="7.28515625" style="734" customWidth="1"/>
    <col min="7440" max="7680" width="9.140625" style="734"/>
    <col min="7681" max="7681" width="34.28515625" style="734" customWidth="1"/>
    <col min="7682" max="7682" width="9" style="734" customWidth="1"/>
    <col min="7683" max="7683" width="8.140625" style="734" customWidth="1"/>
    <col min="7684" max="7684" width="8.7109375" style="734" customWidth="1"/>
    <col min="7685" max="7685" width="6.7109375" style="734" customWidth="1"/>
    <col min="7686" max="7686" width="9.5703125" style="734" customWidth="1"/>
    <col min="7687" max="7687" width="10.5703125" style="734" customWidth="1"/>
    <col min="7688" max="7688" width="8" style="734" customWidth="1"/>
    <col min="7689" max="7689" width="8.42578125" style="734" customWidth="1"/>
    <col min="7690" max="7690" width="9" style="734" customWidth="1"/>
    <col min="7691" max="7692" width="8.140625" style="734" customWidth="1"/>
    <col min="7693" max="7693" width="9" style="734" customWidth="1"/>
    <col min="7694" max="7694" width="7.5703125" style="734" customWidth="1"/>
    <col min="7695" max="7695" width="7.28515625" style="734" customWidth="1"/>
    <col min="7696" max="7936" width="9.140625" style="734"/>
    <col min="7937" max="7937" width="34.28515625" style="734" customWidth="1"/>
    <col min="7938" max="7938" width="9" style="734" customWidth="1"/>
    <col min="7939" max="7939" width="8.140625" style="734" customWidth="1"/>
    <col min="7940" max="7940" width="8.7109375" style="734" customWidth="1"/>
    <col min="7941" max="7941" width="6.7109375" style="734" customWidth="1"/>
    <col min="7942" max="7942" width="9.5703125" style="734" customWidth="1"/>
    <col min="7943" max="7943" width="10.5703125" style="734" customWidth="1"/>
    <col min="7944" max="7944" width="8" style="734" customWidth="1"/>
    <col min="7945" max="7945" width="8.42578125" style="734" customWidth="1"/>
    <col min="7946" max="7946" width="9" style="734" customWidth="1"/>
    <col min="7947" max="7948" width="8.140625" style="734" customWidth="1"/>
    <col min="7949" max="7949" width="9" style="734" customWidth="1"/>
    <col min="7950" max="7950" width="7.5703125" style="734" customWidth="1"/>
    <col min="7951" max="7951" width="7.28515625" style="734" customWidth="1"/>
    <col min="7952" max="8192" width="9.140625" style="734"/>
    <col min="8193" max="8193" width="34.28515625" style="734" customWidth="1"/>
    <col min="8194" max="8194" width="9" style="734" customWidth="1"/>
    <col min="8195" max="8195" width="8.140625" style="734" customWidth="1"/>
    <col min="8196" max="8196" width="8.7109375" style="734" customWidth="1"/>
    <col min="8197" max="8197" width="6.7109375" style="734" customWidth="1"/>
    <col min="8198" max="8198" width="9.5703125" style="734" customWidth="1"/>
    <col min="8199" max="8199" width="10.5703125" style="734" customWidth="1"/>
    <col min="8200" max="8200" width="8" style="734" customWidth="1"/>
    <col min="8201" max="8201" width="8.42578125" style="734" customWidth="1"/>
    <col min="8202" max="8202" width="9" style="734" customWidth="1"/>
    <col min="8203" max="8204" width="8.140625" style="734" customWidth="1"/>
    <col min="8205" max="8205" width="9" style="734" customWidth="1"/>
    <col min="8206" max="8206" width="7.5703125" style="734" customWidth="1"/>
    <col min="8207" max="8207" width="7.28515625" style="734" customWidth="1"/>
    <col min="8208" max="8448" width="9.140625" style="734"/>
    <col min="8449" max="8449" width="34.28515625" style="734" customWidth="1"/>
    <col min="8450" max="8450" width="9" style="734" customWidth="1"/>
    <col min="8451" max="8451" width="8.140625" style="734" customWidth="1"/>
    <col min="8452" max="8452" width="8.7109375" style="734" customWidth="1"/>
    <col min="8453" max="8453" width="6.7109375" style="734" customWidth="1"/>
    <col min="8454" max="8454" width="9.5703125" style="734" customWidth="1"/>
    <col min="8455" max="8455" width="10.5703125" style="734" customWidth="1"/>
    <col min="8456" max="8456" width="8" style="734" customWidth="1"/>
    <col min="8457" max="8457" width="8.42578125" style="734" customWidth="1"/>
    <col min="8458" max="8458" width="9" style="734" customWidth="1"/>
    <col min="8459" max="8460" width="8.140625" style="734" customWidth="1"/>
    <col min="8461" max="8461" width="9" style="734" customWidth="1"/>
    <col min="8462" max="8462" width="7.5703125" style="734" customWidth="1"/>
    <col min="8463" max="8463" width="7.28515625" style="734" customWidth="1"/>
    <col min="8464" max="8704" width="9.140625" style="734"/>
    <col min="8705" max="8705" width="34.28515625" style="734" customWidth="1"/>
    <col min="8706" max="8706" width="9" style="734" customWidth="1"/>
    <col min="8707" max="8707" width="8.140625" style="734" customWidth="1"/>
    <col min="8708" max="8708" width="8.7109375" style="734" customWidth="1"/>
    <col min="8709" max="8709" width="6.7109375" style="734" customWidth="1"/>
    <col min="8710" max="8710" width="9.5703125" style="734" customWidth="1"/>
    <col min="8711" max="8711" width="10.5703125" style="734" customWidth="1"/>
    <col min="8712" max="8712" width="8" style="734" customWidth="1"/>
    <col min="8713" max="8713" width="8.42578125" style="734" customWidth="1"/>
    <col min="8714" max="8714" width="9" style="734" customWidth="1"/>
    <col min="8715" max="8716" width="8.140625" style="734" customWidth="1"/>
    <col min="8717" max="8717" width="9" style="734" customWidth="1"/>
    <col min="8718" max="8718" width="7.5703125" style="734" customWidth="1"/>
    <col min="8719" max="8719" width="7.28515625" style="734" customWidth="1"/>
    <col min="8720" max="8960" width="9.140625" style="734"/>
    <col min="8961" max="8961" width="34.28515625" style="734" customWidth="1"/>
    <col min="8962" max="8962" width="9" style="734" customWidth="1"/>
    <col min="8963" max="8963" width="8.140625" style="734" customWidth="1"/>
    <col min="8964" max="8964" width="8.7109375" style="734" customWidth="1"/>
    <col min="8965" max="8965" width="6.7109375" style="734" customWidth="1"/>
    <col min="8966" max="8966" width="9.5703125" style="734" customWidth="1"/>
    <col min="8967" max="8967" width="10.5703125" style="734" customWidth="1"/>
    <col min="8968" max="8968" width="8" style="734" customWidth="1"/>
    <col min="8969" max="8969" width="8.42578125" style="734" customWidth="1"/>
    <col min="8970" max="8970" width="9" style="734" customWidth="1"/>
    <col min="8971" max="8972" width="8.140625" style="734" customWidth="1"/>
    <col min="8973" max="8973" width="9" style="734" customWidth="1"/>
    <col min="8974" max="8974" width="7.5703125" style="734" customWidth="1"/>
    <col min="8975" max="8975" width="7.28515625" style="734" customWidth="1"/>
    <col min="8976" max="9216" width="9.140625" style="734"/>
    <col min="9217" max="9217" width="34.28515625" style="734" customWidth="1"/>
    <col min="9218" max="9218" width="9" style="734" customWidth="1"/>
    <col min="9219" max="9219" width="8.140625" style="734" customWidth="1"/>
    <col min="9220" max="9220" width="8.7109375" style="734" customWidth="1"/>
    <col min="9221" max="9221" width="6.7109375" style="734" customWidth="1"/>
    <col min="9222" max="9222" width="9.5703125" style="734" customWidth="1"/>
    <col min="9223" max="9223" width="10.5703125" style="734" customWidth="1"/>
    <col min="9224" max="9224" width="8" style="734" customWidth="1"/>
    <col min="9225" max="9225" width="8.42578125" style="734" customWidth="1"/>
    <col min="9226" max="9226" width="9" style="734" customWidth="1"/>
    <col min="9227" max="9228" width="8.140625" style="734" customWidth="1"/>
    <col min="9229" max="9229" width="9" style="734" customWidth="1"/>
    <col min="9230" max="9230" width="7.5703125" style="734" customWidth="1"/>
    <col min="9231" max="9231" width="7.28515625" style="734" customWidth="1"/>
    <col min="9232" max="9472" width="9.140625" style="734"/>
    <col min="9473" max="9473" width="34.28515625" style="734" customWidth="1"/>
    <col min="9474" max="9474" width="9" style="734" customWidth="1"/>
    <col min="9475" max="9475" width="8.140625" style="734" customWidth="1"/>
    <col min="9476" max="9476" width="8.7109375" style="734" customWidth="1"/>
    <col min="9477" max="9477" width="6.7109375" style="734" customWidth="1"/>
    <col min="9478" max="9478" width="9.5703125" style="734" customWidth="1"/>
    <col min="9479" max="9479" width="10.5703125" style="734" customWidth="1"/>
    <col min="9480" max="9480" width="8" style="734" customWidth="1"/>
    <col min="9481" max="9481" width="8.42578125" style="734" customWidth="1"/>
    <col min="9482" max="9482" width="9" style="734" customWidth="1"/>
    <col min="9483" max="9484" width="8.140625" style="734" customWidth="1"/>
    <col min="9485" max="9485" width="9" style="734" customWidth="1"/>
    <col min="9486" max="9486" width="7.5703125" style="734" customWidth="1"/>
    <col min="9487" max="9487" width="7.28515625" style="734" customWidth="1"/>
    <col min="9488" max="9728" width="9.140625" style="734"/>
    <col min="9729" max="9729" width="34.28515625" style="734" customWidth="1"/>
    <col min="9730" max="9730" width="9" style="734" customWidth="1"/>
    <col min="9731" max="9731" width="8.140625" style="734" customWidth="1"/>
    <col min="9732" max="9732" width="8.7109375" style="734" customWidth="1"/>
    <col min="9733" max="9733" width="6.7109375" style="734" customWidth="1"/>
    <col min="9734" max="9734" width="9.5703125" style="734" customWidth="1"/>
    <col min="9735" max="9735" width="10.5703125" style="734" customWidth="1"/>
    <col min="9736" max="9736" width="8" style="734" customWidth="1"/>
    <col min="9737" max="9737" width="8.42578125" style="734" customWidth="1"/>
    <col min="9738" max="9738" width="9" style="734" customWidth="1"/>
    <col min="9739" max="9740" width="8.140625" style="734" customWidth="1"/>
    <col min="9741" max="9741" width="9" style="734" customWidth="1"/>
    <col min="9742" max="9742" width="7.5703125" style="734" customWidth="1"/>
    <col min="9743" max="9743" width="7.28515625" style="734" customWidth="1"/>
    <col min="9744" max="9984" width="9.140625" style="734"/>
    <col min="9985" max="9985" width="34.28515625" style="734" customWidth="1"/>
    <col min="9986" max="9986" width="9" style="734" customWidth="1"/>
    <col min="9987" max="9987" width="8.140625" style="734" customWidth="1"/>
    <col min="9988" max="9988" width="8.7109375" style="734" customWidth="1"/>
    <col min="9989" max="9989" width="6.7109375" style="734" customWidth="1"/>
    <col min="9990" max="9990" width="9.5703125" style="734" customWidth="1"/>
    <col min="9991" max="9991" width="10.5703125" style="734" customWidth="1"/>
    <col min="9992" max="9992" width="8" style="734" customWidth="1"/>
    <col min="9993" max="9993" width="8.42578125" style="734" customWidth="1"/>
    <col min="9994" max="9994" width="9" style="734" customWidth="1"/>
    <col min="9995" max="9996" width="8.140625" style="734" customWidth="1"/>
    <col min="9997" max="9997" width="9" style="734" customWidth="1"/>
    <col min="9998" max="9998" width="7.5703125" style="734" customWidth="1"/>
    <col min="9999" max="9999" width="7.28515625" style="734" customWidth="1"/>
    <col min="10000" max="10240" width="9.140625" style="734"/>
    <col min="10241" max="10241" width="34.28515625" style="734" customWidth="1"/>
    <col min="10242" max="10242" width="9" style="734" customWidth="1"/>
    <col min="10243" max="10243" width="8.140625" style="734" customWidth="1"/>
    <col min="10244" max="10244" width="8.7109375" style="734" customWidth="1"/>
    <col min="10245" max="10245" width="6.7109375" style="734" customWidth="1"/>
    <col min="10246" max="10246" width="9.5703125" style="734" customWidth="1"/>
    <col min="10247" max="10247" width="10.5703125" style="734" customWidth="1"/>
    <col min="10248" max="10248" width="8" style="734" customWidth="1"/>
    <col min="10249" max="10249" width="8.42578125" style="734" customWidth="1"/>
    <col min="10250" max="10250" width="9" style="734" customWidth="1"/>
    <col min="10251" max="10252" width="8.140625" style="734" customWidth="1"/>
    <col min="10253" max="10253" width="9" style="734" customWidth="1"/>
    <col min="10254" max="10254" width="7.5703125" style="734" customWidth="1"/>
    <col min="10255" max="10255" width="7.28515625" style="734" customWidth="1"/>
    <col min="10256" max="10496" width="9.140625" style="734"/>
    <col min="10497" max="10497" width="34.28515625" style="734" customWidth="1"/>
    <col min="10498" max="10498" width="9" style="734" customWidth="1"/>
    <col min="10499" max="10499" width="8.140625" style="734" customWidth="1"/>
    <col min="10500" max="10500" width="8.7109375" style="734" customWidth="1"/>
    <col min="10501" max="10501" width="6.7109375" style="734" customWidth="1"/>
    <col min="10502" max="10502" width="9.5703125" style="734" customWidth="1"/>
    <col min="10503" max="10503" width="10.5703125" style="734" customWidth="1"/>
    <col min="10504" max="10504" width="8" style="734" customWidth="1"/>
    <col min="10505" max="10505" width="8.42578125" style="734" customWidth="1"/>
    <col min="10506" max="10506" width="9" style="734" customWidth="1"/>
    <col min="10507" max="10508" width="8.140625" style="734" customWidth="1"/>
    <col min="10509" max="10509" width="9" style="734" customWidth="1"/>
    <col min="10510" max="10510" width="7.5703125" style="734" customWidth="1"/>
    <col min="10511" max="10511" width="7.28515625" style="734" customWidth="1"/>
    <col min="10512" max="10752" width="9.140625" style="734"/>
    <col min="10753" max="10753" width="34.28515625" style="734" customWidth="1"/>
    <col min="10754" max="10754" width="9" style="734" customWidth="1"/>
    <col min="10755" max="10755" width="8.140625" style="734" customWidth="1"/>
    <col min="10756" max="10756" width="8.7109375" style="734" customWidth="1"/>
    <col min="10757" max="10757" width="6.7109375" style="734" customWidth="1"/>
    <col min="10758" max="10758" width="9.5703125" style="734" customWidth="1"/>
    <col min="10759" max="10759" width="10.5703125" style="734" customWidth="1"/>
    <col min="10760" max="10760" width="8" style="734" customWidth="1"/>
    <col min="10761" max="10761" width="8.42578125" style="734" customWidth="1"/>
    <col min="10762" max="10762" width="9" style="734" customWidth="1"/>
    <col min="10763" max="10764" width="8.140625" style="734" customWidth="1"/>
    <col min="10765" max="10765" width="9" style="734" customWidth="1"/>
    <col min="10766" max="10766" width="7.5703125" style="734" customWidth="1"/>
    <col min="10767" max="10767" width="7.28515625" style="734" customWidth="1"/>
    <col min="10768" max="11008" width="9.140625" style="734"/>
    <col min="11009" max="11009" width="34.28515625" style="734" customWidth="1"/>
    <col min="11010" max="11010" width="9" style="734" customWidth="1"/>
    <col min="11011" max="11011" width="8.140625" style="734" customWidth="1"/>
    <col min="11012" max="11012" width="8.7109375" style="734" customWidth="1"/>
    <col min="11013" max="11013" width="6.7109375" style="734" customWidth="1"/>
    <col min="11014" max="11014" width="9.5703125" style="734" customWidth="1"/>
    <col min="11015" max="11015" width="10.5703125" style="734" customWidth="1"/>
    <col min="11016" max="11016" width="8" style="734" customWidth="1"/>
    <col min="11017" max="11017" width="8.42578125" style="734" customWidth="1"/>
    <col min="11018" max="11018" width="9" style="734" customWidth="1"/>
    <col min="11019" max="11020" width="8.140625" style="734" customWidth="1"/>
    <col min="11021" max="11021" width="9" style="734" customWidth="1"/>
    <col min="11022" max="11022" width="7.5703125" style="734" customWidth="1"/>
    <col min="11023" max="11023" width="7.28515625" style="734" customWidth="1"/>
    <col min="11024" max="11264" width="9.140625" style="734"/>
    <col min="11265" max="11265" width="34.28515625" style="734" customWidth="1"/>
    <col min="11266" max="11266" width="9" style="734" customWidth="1"/>
    <col min="11267" max="11267" width="8.140625" style="734" customWidth="1"/>
    <col min="11268" max="11268" width="8.7109375" style="734" customWidth="1"/>
    <col min="11269" max="11269" width="6.7109375" style="734" customWidth="1"/>
    <col min="11270" max="11270" width="9.5703125" style="734" customWidth="1"/>
    <col min="11271" max="11271" width="10.5703125" style="734" customWidth="1"/>
    <col min="11272" max="11272" width="8" style="734" customWidth="1"/>
    <col min="11273" max="11273" width="8.42578125" style="734" customWidth="1"/>
    <col min="11274" max="11274" width="9" style="734" customWidth="1"/>
    <col min="11275" max="11276" width="8.140625" style="734" customWidth="1"/>
    <col min="11277" max="11277" width="9" style="734" customWidth="1"/>
    <col min="11278" max="11278" width="7.5703125" style="734" customWidth="1"/>
    <col min="11279" max="11279" width="7.28515625" style="734" customWidth="1"/>
    <col min="11280" max="11520" width="9.140625" style="734"/>
    <col min="11521" max="11521" width="34.28515625" style="734" customWidth="1"/>
    <col min="11522" max="11522" width="9" style="734" customWidth="1"/>
    <col min="11523" max="11523" width="8.140625" style="734" customWidth="1"/>
    <col min="11524" max="11524" width="8.7109375" style="734" customWidth="1"/>
    <col min="11525" max="11525" width="6.7109375" style="734" customWidth="1"/>
    <col min="11526" max="11526" width="9.5703125" style="734" customWidth="1"/>
    <col min="11527" max="11527" width="10.5703125" style="734" customWidth="1"/>
    <col min="11528" max="11528" width="8" style="734" customWidth="1"/>
    <col min="11529" max="11529" width="8.42578125" style="734" customWidth="1"/>
    <col min="11530" max="11530" width="9" style="734" customWidth="1"/>
    <col min="11531" max="11532" width="8.140625" style="734" customWidth="1"/>
    <col min="11533" max="11533" width="9" style="734" customWidth="1"/>
    <col min="11534" max="11534" width="7.5703125" style="734" customWidth="1"/>
    <col min="11535" max="11535" width="7.28515625" style="734" customWidth="1"/>
    <col min="11536" max="11776" width="9.140625" style="734"/>
    <col min="11777" max="11777" width="34.28515625" style="734" customWidth="1"/>
    <col min="11778" max="11778" width="9" style="734" customWidth="1"/>
    <col min="11779" max="11779" width="8.140625" style="734" customWidth="1"/>
    <col min="11780" max="11780" width="8.7109375" style="734" customWidth="1"/>
    <col min="11781" max="11781" width="6.7109375" style="734" customWidth="1"/>
    <col min="11782" max="11782" width="9.5703125" style="734" customWidth="1"/>
    <col min="11783" max="11783" width="10.5703125" style="734" customWidth="1"/>
    <col min="11784" max="11784" width="8" style="734" customWidth="1"/>
    <col min="11785" max="11785" width="8.42578125" style="734" customWidth="1"/>
    <col min="11786" max="11786" width="9" style="734" customWidth="1"/>
    <col min="11787" max="11788" width="8.140625" style="734" customWidth="1"/>
    <col min="11789" max="11789" width="9" style="734" customWidth="1"/>
    <col min="11790" max="11790" width="7.5703125" style="734" customWidth="1"/>
    <col min="11791" max="11791" width="7.28515625" style="734" customWidth="1"/>
    <col min="11792" max="12032" width="9.140625" style="734"/>
    <col min="12033" max="12033" width="34.28515625" style="734" customWidth="1"/>
    <col min="12034" max="12034" width="9" style="734" customWidth="1"/>
    <col min="12035" max="12035" width="8.140625" style="734" customWidth="1"/>
    <col min="12036" max="12036" width="8.7109375" style="734" customWidth="1"/>
    <col min="12037" max="12037" width="6.7109375" style="734" customWidth="1"/>
    <col min="12038" max="12038" width="9.5703125" style="734" customWidth="1"/>
    <col min="12039" max="12039" width="10.5703125" style="734" customWidth="1"/>
    <col min="12040" max="12040" width="8" style="734" customWidth="1"/>
    <col min="12041" max="12041" width="8.42578125" style="734" customWidth="1"/>
    <col min="12042" max="12042" width="9" style="734" customWidth="1"/>
    <col min="12043" max="12044" width="8.140625" style="734" customWidth="1"/>
    <col min="12045" max="12045" width="9" style="734" customWidth="1"/>
    <col min="12046" max="12046" width="7.5703125" style="734" customWidth="1"/>
    <col min="12047" max="12047" width="7.28515625" style="734" customWidth="1"/>
    <col min="12048" max="12288" width="9.140625" style="734"/>
    <col min="12289" max="12289" width="34.28515625" style="734" customWidth="1"/>
    <col min="12290" max="12290" width="9" style="734" customWidth="1"/>
    <col min="12291" max="12291" width="8.140625" style="734" customWidth="1"/>
    <col min="12292" max="12292" width="8.7109375" style="734" customWidth="1"/>
    <col min="12293" max="12293" width="6.7109375" style="734" customWidth="1"/>
    <col min="12294" max="12294" width="9.5703125" style="734" customWidth="1"/>
    <col min="12295" max="12295" width="10.5703125" style="734" customWidth="1"/>
    <col min="12296" max="12296" width="8" style="734" customWidth="1"/>
    <col min="12297" max="12297" width="8.42578125" style="734" customWidth="1"/>
    <col min="12298" max="12298" width="9" style="734" customWidth="1"/>
    <col min="12299" max="12300" width="8.140625" style="734" customWidth="1"/>
    <col min="12301" max="12301" width="9" style="734" customWidth="1"/>
    <col min="12302" max="12302" width="7.5703125" style="734" customWidth="1"/>
    <col min="12303" max="12303" width="7.28515625" style="734" customWidth="1"/>
    <col min="12304" max="12544" width="9.140625" style="734"/>
    <col min="12545" max="12545" width="34.28515625" style="734" customWidth="1"/>
    <col min="12546" max="12546" width="9" style="734" customWidth="1"/>
    <col min="12547" max="12547" width="8.140625" style="734" customWidth="1"/>
    <col min="12548" max="12548" width="8.7109375" style="734" customWidth="1"/>
    <col min="12549" max="12549" width="6.7109375" style="734" customWidth="1"/>
    <col min="12550" max="12550" width="9.5703125" style="734" customWidth="1"/>
    <col min="12551" max="12551" width="10.5703125" style="734" customWidth="1"/>
    <col min="12552" max="12552" width="8" style="734" customWidth="1"/>
    <col min="12553" max="12553" width="8.42578125" style="734" customWidth="1"/>
    <col min="12554" max="12554" width="9" style="734" customWidth="1"/>
    <col min="12555" max="12556" width="8.140625" style="734" customWidth="1"/>
    <col min="12557" max="12557" width="9" style="734" customWidth="1"/>
    <col min="12558" max="12558" width="7.5703125" style="734" customWidth="1"/>
    <col min="12559" max="12559" width="7.28515625" style="734" customWidth="1"/>
    <col min="12560" max="12800" width="9.140625" style="734"/>
    <col min="12801" max="12801" width="34.28515625" style="734" customWidth="1"/>
    <col min="12802" max="12802" width="9" style="734" customWidth="1"/>
    <col min="12803" max="12803" width="8.140625" style="734" customWidth="1"/>
    <col min="12804" max="12804" width="8.7109375" style="734" customWidth="1"/>
    <col min="12805" max="12805" width="6.7109375" style="734" customWidth="1"/>
    <col min="12806" max="12806" width="9.5703125" style="734" customWidth="1"/>
    <col min="12807" max="12807" width="10.5703125" style="734" customWidth="1"/>
    <col min="12808" max="12808" width="8" style="734" customWidth="1"/>
    <col min="12809" max="12809" width="8.42578125" style="734" customWidth="1"/>
    <col min="12810" max="12810" width="9" style="734" customWidth="1"/>
    <col min="12811" max="12812" width="8.140625" style="734" customWidth="1"/>
    <col min="12813" max="12813" width="9" style="734" customWidth="1"/>
    <col min="12814" max="12814" width="7.5703125" style="734" customWidth="1"/>
    <col min="12815" max="12815" width="7.28515625" style="734" customWidth="1"/>
    <col min="12816" max="13056" width="9.140625" style="734"/>
    <col min="13057" max="13057" width="34.28515625" style="734" customWidth="1"/>
    <col min="13058" max="13058" width="9" style="734" customWidth="1"/>
    <col min="13059" max="13059" width="8.140625" style="734" customWidth="1"/>
    <col min="13060" max="13060" width="8.7109375" style="734" customWidth="1"/>
    <col min="13061" max="13061" width="6.7109375" style="734" customWidth="1"/>
    <col min="13062" max="13062" width="9.5703125" style="734" customWidth="1"/>
    <col min="13063" max="13063" width="10.5703125" style="734" customWidth="1"/>
    <col min="13064" max="13064" width="8" style="734" customWidth="1"/>
    <col min="13065" max="13065" width="8.42578125" style="734" customWidth="1"/>
    <col min="13066" max="13066" width="9" style="734" customWidth="1"/>
    <col min="13067" max="13068" width="8.140625" style="734" customWidth="1"/>
    <col min="13069" max="13069" width="9" style="734" customWidth="1"/>
    <col min="13070" max="13070" width="7.5703125" style="734" customWidth="1"/>
    <col min="13071" max="13071" width="7.28515625" style="734" customWidth="1"/>
    <col min="13072" max="13312" width="9.140625" style="734"/>
    <col min="13313" max="13313" width="34.28515625" style="734" customWidth="1"/>
    <col min="13314" max="13314" width="9" style="734" customWidth="1"/>
    <col min="13315" max="13315" width="8.140625" style="734" customWidth="1"/>
    <col min="13316" max="13316" width="8.7109375" style="734" customWidth="1"/>
    <col min="13317" max="13317" width="6.7109375" style="734" customWidth="1"/>
    <col min="13318" max="13318" width="9.5703125" style="734" customWidth="1"/>
    <col min="13319" max="13319" width="10.5703125" style="734" customWidth="1"/>
    <col min="13320" max="13320" width="8" style="734" customWidth="1"/>
    <col min="13321" max="13321" width="8.42578125" style="734" customWidth="1"/>
    <col min="13322" max="13322" width="9" style="734" customWidth="1"/>
    <col min="13323" max="13324" width="8.140625" style="734" customWidth="1"/>
    <col min="13325" max="13325" width="9" style="734" customWidth="1"/>
    <col min="13326" max="13326" width="7.5703125" style="734" customWidth="1"/>
    <col min="13327" max="13327" width="7.28515625" style="734" customWidth="1"/>
    <col min="13328" max="13568" width="9.140625" style="734"/>
    <col min="13569" max="13569" width="34.28515625" style="734" customWidth="1"/>
    <col min="13570" max="13570" width="9" style="734" customWidth="1"/>
    <col min="13571" max="13571" width="8.140625" style="734" customWidth="1"/>
    <col min="13572" max="13572" width="8.7109375" style="734" customWidth="1"/>
    <col min="13573" max="13573" width="6.7109375" style="734" customWidth="1"/>
    <col min="13574" max="13574" width="9.5703125" style="734" customWidth="1"/>
    <col min="13575" max="13575" width="10.5703125" style="734" customWidth="1"/>
    <col min="13576" max="13576" width="8" style="734" customWidth="1"/>
    <col min="13577" max="13577" width="8.42578125" style="734" customWidth="1"/>
    <col min="13578" max="13578" width="9" style="734" customWidth="1"/>
    <col min="13579" max="13580" width="8.140625" style="734" customWidth="1"/>
    <col min="13581" max="13581" width="9" style="734" customWidth="1"/>
    <col min="13582" max="13582" width="7.5703125" style="734" customWidth="1"/>
    <col min="13583" max="13583" width="7.28515625" style="734" customWidth="1"/>
    <col min="13584" max="13824" width="9.140625" style="734"/>
    <col min="13825" max="13825" width="34.28515625" style="734" customWidth="1"/>
    <col min="13826" max="13826" width="9" style="734" customWidth="1"/>
    <col min="13827" max="13827" width="8.140625" style="734" customWidth="1"/>
    <col min="13828" max="13828" width="8.7109375" style="734" customWidth="1"/>
    <col min="13829" max="13829" width="6.7109375" style="734" customWidth="1"/>
    <col min="13830" max="13830" width="9.5703125" style="734" customWidth="1"/>
    <col min="13831" max="13831" width="10.5703125" style="734" customWidth="1"/>
    <col min="13832" max="13832" width="8" style="734" customWidth="1"/>
    <col min="13833" max="13833" width="8.42578125" style="734" customWidth="1"/>
    <col min="13834" max="13834" width="9" style="734" customWidth="1"/>
    <col min="13835" max="13836" width="8.140625" style="734" customWidth="1"/>
    <col min="13837" max="13837" width="9" style="734" customWidth="1"/>
    <col min="13838" max="13838" width="7.5703125" style="734" customWidth="1"/>
    <col min="13839" max="13839" width="7.28515625" style="734" customWidth="1"/>
    <col min="13840" max="14080" width="9.140625" style="734"/>
    <col min="14081" max="14081" width="34.28515625" style="734" customWidth="1"/>
    <col min="14082" max="14082" width="9" style="734" customWidth="1"/>
    <col min="14083" max="14083" width="8.140625" style="734" customWidth="1"/>
    <col min="14084" max="14084" width="8.7109375" style="734" customWidth="1"/>
    <col min="14085" max="14085" width="6.7109375" style="734" customWidth="1"/>
    <col min="14086" max="14086" width="9.5703125" style="734" customWidth="1"/>
    <col min="14087" max="14087" width="10.5703125" style="734" customWidth="1"/>
    <col min="14088" max="14088" width="8" style="734" customWidth="1"/>
    <col min="14089" max="14089" width="8.42578125" style="734" customWidth="1"/>
    <col min="14090" max="14090" width="9" style="734" customWidth="1"/>
    <col min="14091" max="14092" width="8.140625" style="734" customWidth="1"/>
    <col min="14093" max="14093" width="9" style="734" customWidth="1"/>
    <col min="14094" max="14094" width="7.5703125" style="734" customWidth="1"/>
    <col min="14095" max="14095" width="7.28515625" style="734" customWidth="1"/>
    <col min="14096" max="14336" width="9.140625" style="734"/>
    <col min="14337" max="14337" width="34.28515625" style="734" customWidth="1"/>
    <col min="14338" max="14338" width="9" style="734" customWidth="1"/>
    <col min="14339" max="14339" width="8.140625" style="734" customWidth="1"/>
    <col min="14340" max="14340" width="8.7109375" style="734" customWidth="1"/>
    <col min="14341" max="14341" width="6.7109375" style="734" customWidth="1"/>
    <col min="14342" max="14342" width="9.5703125" style="734" customWidth="1"/>
    <col min="14343" max="14343" width="10.5703125" style="734" customWidth="1"/>
    <col min="14344" max="14344" width="8" style="734" customWidth="1"/>
    <col min="14345" max="14345" width="8.42578125" style="734" customWidth="1"/>
    <col min="14346" max="14346" width="9" style="734" customWidth="1"/>
    <col min="14347" max="14348" width="8.140625" style="734" customWidth="1"/>
    <col min="14349" max="14349" width="9" style="734" customWidth="1"/>
    <col min="14350" max="14350" width="7.5703125" style="734" customWidth="1"/>
    <col min="14351" max="14351" width="7.28515625" style="734" customWidth="1"/>
    <col min="14352" max="14592" width="9.140625" style="734"/>
    <col min="14593" max="14593" width="34.28515625" style="734" customWidth="1"/>
    <col min="14594" max="14594" width="9" style="734" customWidth="1"/>
    <col min="14595" max="14595" width="8.140625" style="734" customWidth="1"/>
    <col min="14596" max="14596" width="8.7109375" style="734" customWidth="1"/>
    <col min="14597" max="14597" width="6.7109375" style="734" customWidth="1"/>
    <col min="14598" max="14598" width="9.5703125" style="734" customWidth="1"/>
    <col min="14599" max="14599" width="10.5703125" style="734" customWidth="1"/>
    <col min="14600" max="14600" width="8" style="734" customWidth="1"/>
    <col min="14601" max="14601" width="8.42578125" style="734" customWidth="1"/>
    <col min="14602" max="14602" width="9" style="734" customWidth="1"/>
    <col min="14603" max="14604" width="8.140625" style="734" customWidth="1"/>
    <col min="14605" max="14605" width="9" style="734" customWidth="1"/>
    <col min="14606" max="14606" width="7.5703125" style="734" customWidth="1"/>
    <col min="14607" max="14607" width="7.28515625" style="734" customWidth="1"/>
    <col min="14608" max="14848" width="9.140625" style="734"/>
    <col min="14849" max="14849" width="34.28515625" style="734" customWidth="1"/>
    <col min="14850" max="14850" width="9" style="734" customWidth="1"/>
    <col min="14851" max="14851" width="8.140625" style="734" customWidth="1"/>
    <col min="14852" max="14852" width="8.7109375" style="734" customWidth="1"/>
    <col min="14853" max="14853" width="6.7109375" style="734" customWidth="1"/>
    <col min="14854" max="14854" width="9.5703125" style="734" customWidth="1"/>
    <col min="14855" max="14855" width="10.5703125" style="734" customWidth="1"/>
    <col min="14856" max="14856" width="8" style="734" customWidth="1"/>
    <col min="14857" max="14857" width="8.42578125" style="734" customWidth="1"/>
    <col min="14858" max="14858" width="9" style="734" customWidth="1"/>
    <col min="14859" max="14860" width="8.140625" style="734" customWidth="1"/>
    <col min="14861" max="14861" width="9" style="734" customWidth="1"/>
    <col min="14862" max="14862" width="7.5703125" style="734" customWidth="1"/>
    <col min="14863" max="14863" width="7.28515625" style="734" customWidth="1"/>
    <col min="14864" max="15104" width="9.140625" style="734"/>
    <col min="15105" max="15105" width="34.28515625" style="734" customWidth="1"/>
    <col min="15106" max="15106" width="9" style="734" customWidth="1"/>
    <col min="15107" max="15107" width="8.140625" style="734" customWidth="1"/>
    <col min="15108" max="15108" width="8.7109375" style="734" customWidth="1"/>
    <col min="15109" max="15109" width="6.7109375" style="734" customWidth="1"/>
    <col min="15110" max="15110" width="9.5703125" style="734" customWidth="1"/>
    <col min="15111" max="15111" width="10.5703125" style="734" customWidth="1"/>
    <col min="15112" max="15112" width="8" style="734" customWidth="1"/>
    <col min="15113" max="15113" width="8.42578125" style="734" customWidth="1"/>
    <col min="15114" max="15114" width="9" style="734" customWidth="1"/>
    <col min="15115" max="15116" width="8.140625" style="734" customWidth="1"/>
    <col min="15117" max="15117" width="9" style="734" customWidth="1"/>
    <col min="15118" max="15118" width="7.5703125" style="734" customWidth="1"/>
    <col min="15119" max="15119" width="7.28515625" style="734" customWidth="1"/>
    <col min="15120" max="15360" width="9.140625" style="734"/>
    <col min="15361" max="15361" width="34.28515625" style="734" customWidth="1"/>
    <col min="15362" max="15362" width="9" style="734" customWidth="1"/>
    <col min="15363" max="15363" width="8.140625" style="734" customWidth="1"/>
    <col min="15364" max="15364" width="8.7109375" style="734" customWidth="1"/>
    <col min="15365" max="15365" width="6.7109375" style="734" customWidth="1"/>
    <col min="15366" max="15366" width="9.5703125" style="734" customWidth="1"/>
    <col min="15367" max="15367" width="10.5703125" style="734" customWidth="1"/>
    <col min="15368" max="15368" width="8" style="734" customWidth="1"/>
    <col min="15369" max="15369" width="8.42578125" style="734" customWidth="1"/>
    <col min="15370" max="15370" width="9" style="734" customWidth="1"/>
    <col min="15371" max="15372" width="8.140625" style="734" customWidth="1"/>
    <col min="15373" max="15373" width="9" style="734" customWidth="1"/>
    <col min="15374" max="15374" width="7.5703125" style="734" customWidth="1"/>
    <col min="15375" max="15375" width="7.28515625" style="734" customWidth="1"/>
    <col min="15376" max="15616" width="9.140625" style="734"/>
    <col min="15617" max="15617" width="34.28515625" style="734" customWidth="1"/>
    <col min="15618" max="15618" width="9" style="734" customWidth="1"/>
    <col min="15619" max="15619" width="8.140625" style="734" customWidth="1"/>
    <col min="15620" max="15620" width="8.7109375" style="734" customWidth="1"/>
    <col min="15621" max="15621" width="6.7109375" style="734" customWidth="1"/>
    <col min="15622" max="15622" width="9.5703125" style="734" customWidth="1"/>
    <col min="15623" max="15623" width="10.5703125" style="734" customWidth="1"/>
    <col min="15624" max="15624" width="8" style="734" customWidth="1"/>
    <col min="15625" max="15625" width="8.42578125" style="734" customWidth="1"/>
    <col min="15626" max="15626" width="9" style="734" customWidth="1"/>
    <col min="15627" max="15628" width="8.140625" style="734" customWidth="1"/>
    <col min="15629" max="15629" width="9" style="734" customWidth="1"/>
    <col min="15630" max="15630" width="7.5703125" style="734" customWidth="1"/>
    <col min="15631" max="15631" width="7.28515625" style="734" customWidth="1"/>
    <col min="15632" max="15872" width="9.140625" style="734"/>
    <col min="15873" max="15873" width="34.28515625" style="734" customWidth="1"/>
    <col min="15874" max="15874" width="9" style="734" customWidth="1"/>
    <col min="15875" max="15875" width="8.140625" style="734" customWidth="1"/>
    <col min="15876" max="15876" width="8.7109375" style="734" customWidth="1"/>
    <col min="15877" max="15877" width="6.7109375" style="734" customWidth="1"/>
    <col min="15878" max="15878" width="9.5703125" style="734" customWidth="1"/>
    <col min="15879" max="15879" width="10.5703125" style="734" customWidth="1"/>
    <col min="15880" max="15880" width="8" style="734" customWidth="1"/>
    <col min="15881" max="15881" width="8.42578125" style="734" customWidth="1"/>
    <col min="15882" max="15882" width="9" style="734" customWidth="1"/>
    <col min="15883" max="15884" width="8.140625" style="734" customWidth="1"/>
    <col min="15885" max="15885" width="9" style="734" customWidth="1"/>
    <col min="15886" max="15886" width="7.5703125" style="734" customWidth="1"/>
    <col min="15887" max="15887" width="7.28515625" style="734" customWidth="1"/>
    <col min="15888" max="16128" width="9.140625" style="734"/>
    <col min="16129" max="16129" width="34.28515625" style="734" customWidth="1"/>
    <col min="16130" max="16130" width="9" style="734" customWidth="1"/>
    <col min="16131" max="16131" width="8.140625" style="734" customWidth="1"/>
    <col min="16132" max="16132" width="8.7109375" style="734" customWidth="1"/>
    <col min="16133" max="16133" width="6.7109375" style="734" customWidth="1"/>
    <col min="16134" max="16134" width="9.5703125" style="734" customWidth="1"/>
    <col min="16135" max="16135" width="10.5703125" style="734" customWidth="1"/>
    <col min="16136" max="16136" width="8" style="734" customWidth="1"/>
    <col min="16137" max="16137" width="8.42578125" style="734" customWidth="1"/>
    <col min="16138" max="16138" width="9" style="734" customWidth="1"/>
    <col min="16139" max="16140" width="8.140625" style="734" customWidth="1"/>
    <col min="16141" max="16141" width="9" style="734" customWidth="1"/>
    <col min="16142" max="16142" width="7.5703125" style="734" customWidth="1"/>
    <col min="16143" max="16143" width="7.28515625" style="734" customWidth="1"/>
    <col min="16144" max="16384" width="9.140625" style="734"/>
  </cols>
  <sheetData>
    <row r="1" spans="1:14">
      <c r="A1" s="1546" t="s">
        <v>4177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</row>
    <row r="2" spans="1:14">
      <c r="E2" s="1546" t="s">
        <v>4178</v>
      </c>
      <c r="F2" s="1546"/>
      <c r="G2" s="1546"/>
    </row>
    <row r="3" spans="1:14" ht="20.25" customHeight="1">
      <c r="A3" s="735" t="s">
        <v>4176</v>
      </c>
      <c r="E3" s="736"/>
      <c r="F3" s="736"/>
      <c r="G3" s="736"/>
    </row>
    <row r="4" spans="1:14" ht="26.25" customHeight="1">
      <c r="A4" s="737" t="s">
        <v>169</v>
      </c>
      <c r="B4" s="1547" t="s">
        <v>4303</v>
      </c>
      <c r="C4" s="1547"/>
      <c r="D4" s="1547"/>
      <c r="E4" s="1548" t="s">
        <v>4180</v>
      </c>
      <c r="F4" s="1548"/>
      <c r="G4" s="1549">
        <v>405010304200101</v>
      </c>
      <c r="H4" s="1549"/>
      <c r="I4" s="1548" t="s">
        <v>172</v>
      </c>
      <c r="J4" s="1548"/>
      <c r="K4" s="738" t="s">
        <v>4304</v>
      </c>
      <c r="L4" s="1548" t="s">
        <v>4183</v>
      </c>
      <c r="M4" s="1548"/>
      <c r="N4" s="739" t="s">
        <v>4305</v>
      </c>
    </row>
    <row r="5" spans="1:14">
      <c r="A5" s="773"/>
      <c r="C5" s="736"/>
      <c r="D5" s="736"/>
      <c r="E5" s="736"/>
      <c r="F5" s="774"/>
      <c r="G5" s="774"/>
      <c r="I5" s="347"/>
      <c r="K5" s="775"/>
      <c r="L5" s="775"/>
      <c r="M5" s="347"/>
    </row>
    <row r="6" spans="1:14" ht="26.25" customHeight="1">
      <c r="A6" s="740" t="s">
        <v>174</v>
      </c>
      <c r="B6" s="1551" t="s">
        <v>4306</v>
      </c>
      <c r="C6" s="1552"/>
      <c r="D6" s="1552"/>
      <c r="E6" s="1553"/>
      <c r="F6" s="1554" t="s">
        <v>176</v>
      </c>
      <c r="G6" s="1555"/>
      <c r="H6" s="1556"/>
      <c r="I6" s="1547" t="s">
        <v>4307</v>
      </c>
      <c r="J6" s="1547"/>
      <c r="K6" s="1547"/>
      <c r="L6" s="1547"/>
      <c r="M6" s="1547"/>
    </row>
    <row r="7" spans="1:14" ht="15.75" customHeight="1">
      <c r="B7" s="736"/>
      <c r="C7" s="736"/>
      <c r="D7" s="736"/>
      <c r="E7" s="736"/>
      <c r="I7" s="736"/>
      <c r="J7" s="736"/>
      <c r="K7" s="736"/>
      <c r="L7" s="736"/>
      <c r="M7" s="736"/>
    </row>
    <row r="8" spans="1:14" ht="26.25" customHeight="1">
      <c r="A8" s="741" t="s">
        <v>178</v>
      </c>
      <c r="B8" s="1547" t="s">
        <v>4308</v>
      </c>
      <c r="C8" s="1547"/>
      <c r="D8" s="1547"/>
      <c r="E8" s="1547"/>
      <c r="F8" s="1564" t="s">
        <v>4188</v>
      </c>
      <c r="G8" s="1577"/>
      <c r="H8" s="1577"/>
      <c r="I8" s="1577"/>
      <c r="J8" s="1564"/>
      <c r="K8" s="1558" t="s">
        <v>4309</v>
      </c>
      <c r="L8" s="1558"/>
      <c r="M8" s="1558"/>
      <c r="N8" s="1558"/>
    </row>
    <row r="9" spans="1:14">
      <c r="C9" s="736"/>
      <c r="D9" s="736"/>
      <c r="E9" s="736"/>
      <c r="G9" s="747"/>
      <c r="H9" s="747"/>
      <c r="I9" s="747"/>
      <c r="K9" s="347"/>
      <c r="L9" s="347"/>
      <c r="M9" s="347"/>
      <c r="N9" s="347"/>
    </row>
    <row r="10" spans="1:14" ht="26.25" customHeight="1">
      <c r="A10" s="743" t="s">
        <v>4189</v>
      </c>
      <c r="B10" s="1547" t="s">
        <v>4310</v>
      </c>
      <c r="C10" s="1547"/>
      <c r="D10" s="1547"/>
      <c r="E10" s="1547" t="s">
        <v>4311</v>
      </c>
      <c r="F10" s="1547"/>
      <c r="G10" s="1550"/>
      <c r="H10" s="1550" t="s">
        <v>4312</v>
      </c>
      <c r="I10" s="1550"/>
      <c r="J10" s="1547"/>
      <c r="K10" s="1560"/>
      <c r="L10" s="1560"/>
      <c r="M10" s="1560"/>
      <c r="N10" s="1560"/>
    </row>
    <row r="11" spans="1:14" ht="26.25" customHeight="1">
      <c r="A11" s="744" t="s">
        <v>187</v>
      </c>
      <c r="B11" s="1559" t="s">
        <v>4313</v>
      </c>
      <c r="C11" s="1559"/>
      <c r="D11" s="1559"/>
      <c r="E11" s="1559" t="s">
        <v>4314</v>
      </c>
      <c r="F11" s="1561"/>
      <c r="G11" s="1547"/>
      <c r="H11" s="1547" t="s">
        <v>4315</v>
      </c>
      <c r="I11" s="1547"/>
      <c r="J11" s="1581"/>
      <c r="K11" s="1560"/>
      <c r="L11" s="1560"/>
      <c r="M11" s="1560"/>
      <c r="N11" s="1560"/>
    </row>
    <row r="12" spans="1:14" ht="26.25" customHeight="1">
      <c r="A12" s="745" t="s">
        <v>192</v>
      </c>
      <c r="B12" s="1558" t="s">
        <v>5802</v>
      </c>
      <c r="C12" s="1558"/>
      <c r="D12" s="1558" t="s">
        <v>5803</v>
      </c>
      <c r="E12" s="1558"/>
      <c r="F12" s="1558" t="s">
        <v>5804</v>
      </c>
      <c r="G12" s="1580"/>
      <c r="H12" s="1580" t="s">
        <v>4316</v>
      </c>
      <c r="I12" s="1580"/>
      <c r="J12" s="1558" t="s">
        <v>5805</v>
      </c>
      <c r="K12" s="1558"/>
      <c r="L12" s="347"/>
      <c r="M12" s="347"/>
      <c r="N12" s="347"/>
    </row>
    <row r="13" spans="1:14" ht="26.25" customHeight="1">
      <c r="A13" s="743" t="s">
        <v>197</v>
      </c>
      <c r="B13" s="1568" t="s">
        <v>4308</v>
      </c>
      <c r="C13" s="1568"/>
      <c r="D13" s="1568"/>
      <c r="E13" s="1568" t="s">
        <v>4317</v>
      </c>
      <c r="F13" s="1568"/>
      <c r="G13" s="1568"/>
      <c r="H13" s="1568" t="s">
        <v>4318</v>
      </c>
      <c r="I13" s="1568"/>
      <c r="J13" s="1568"/>
      <c r="K13" s="1560"/>
      <c r="L13" s="1560"/>
      <c r="M13" s="1560"/>
      <c r="N13" s="1560"/>
    </row>
    <row r="14" spans="1:14">
      <c r="A14" s="347"/>
      <c r="B14" s="736"/>
      <c r="C14" s="736"/>
      <c r="D14" s="736"/>
      <c r="E14" s="736"/>
      <c r="F14" s="736"/>
      <c r="G14" s="736"/>
      <c r="H14" s="736"/>
      <c r="I14" s="736"/>
      <c r="J14" s="736"/>
      <c r="K14" s="736"/>
      <c r="L14" s="736"/>
      <c r="M14" s="736"/>
      <c r="N14" s="736"/>
    </row>
    <row r="15" spans="1:14" ht="26.25" customHeight="1">
      <c r="A15" s="743" t="s">
        <v>198</v>
      </c>
      <c r="B15" s="747">
        <v>4</v>
      </c>
      <c r="C15" s="1562" t="s">
        <v>199</v>
      </c>
      <c r="D15" s="1562"/>
      <c r="E15" s="1562"/>
      <c r="F15" s="748">
        <v>3</v>
      </c>
      <c r="G15" s="744" t="s">
        <v>200</v>
      </c>
      <c r="H15" s="748">
        <v>10</v>
      </c>
      <c r="I15" s="749" t="s">
        <v>4196</v>
      </c>
      <c r="J15" s="748">
        <v>3</v>
      </c>
      <c r="K15" s="749" t="s">
        <v>202</v>
      </c>
      <c r="L15" s="747">
        <v>6</v>
      </c>
    </row>
    <row r="16" spans="1:14">
      <c r="A16" s="347"/>
      <c r="C16" s="750"/>
      <c r="D16" s="750"/>
      <c r="E16" s="750"/>
      <c r="F16" s="751"/>
      <c r="G16" s="751"/>
      <c r="H16" s="751"/>
      <c r="I16" s="751"/>
      <c r="J16" s="751"/>
      <c r="K16" s="751"/>
    </row>
    <row r="17" spans="1:15" ht="26.25" customHeight="1">
      <c r="A17" s="752" t="s">
        <v>203</v>
      </c>
      <c r="B17" s="753" t="s">
        <v>4197</v>
      </c>
      <c r="C17" s="747">
        <v>101</v>
      </c>
      <c r="D17" s="753" t="s">
        <v>4198</v>
      </c>
      <c r="E17" s="754">
        <v>26</v>
      </c>
      <c r="F17" s="755" t="s">
        <v>4199</v>
      </c>
      <c r="G17" s="754">
        <v>0</v>
      </c>
      <c r="H17" s="753" t="s">
        <v>4200</v>
      </c>
      <c r="I17" s="754">
        <v>127</v>
      </c>
      <c r="J17" s="755" t="s">
        <v>414</v>
      </c>
      <c r="K17" s="747">
        <v>113</v>
      </c>
      <c r="L17" s="1575" t="s">
        <v>4201</v>
      </c>
      <c r="M17" s="1575"/>
      <c r="N17" s="1575"/>
      <c r="O17" s="747">
        <v>2</v>
      </c>
    </row>
    <row r="18" spans="1:15" ht="26.25" customHeight="1">
      <c r="A18" s="752" t="s">
        <v>1029</v>
      </c>
      <c r="B18" s="741" t="s">
        <v>4202</v>
      </c>
      <c r="C18" s="747">
        <v>212</v>
      </c>
      <c r="D18" s="741" t="s">
        <v>4203</v>
      </c>
      <c r="E18" s="747">
        <v>56</v>
      </c>
      <c r="F18" s="741" t="s">
        <v>4204</v>
      </c>
      <c r="G18" s="747">
        <v>0</v>
      </c>
      <c r="H18" s="757" t="s">
        <v>5781</v>
      </c>
      <c r="I18" s="747">
        <v>268</v>
      </c>
    </row>
    <row r="19" spans="1:15" ht="26.25" customHeight="1">
      <c r="B19" s="741" t="s">
        <v>4205</v>
      </c>
      <c r="C19" s="747">
        <v>266</v>
      </c>
      <c r="D19" s="741" t="s">
        <v>214</v>
      </c>
      <c r="E19" s="747">
        <v>42</v>
      </c>
      <c r="F19" s="741" t="s">
        <v>1494</v>
      </c>
      <c r="G19" s="747">
        <v>0</v>
      </c>
      <c r="H19" s="757" t="s">
        <v>5782</v>
      </c>
      <c r="I19" s="747">
        <v>308</v>
      </c>
    </row>
    <row r="20" spans="1:15" ht="26.25" customHeight="1">
      <c r="A20" s="758" t="s">
        <v>216</v>
      </c>
    </row>
    <row r="21" spans="1:15" ht="26.25" customHeight="1">
      <c r="A21" s="1565" t="s">
        <v>4206</v>
      </c>
      <c r="B21" s="1566" t="s">
        <v>408</v>
      </c>
      <c r="C21" s="1566" t="s">
        <v>219</v>
      </c>
      <c r="D21" s="1566" t="s">
        <v>4207</v>
      </c>
      <c r="E21" s="1566" t="s">
        <v>1713</v>
      </c>
      <c r="F21" s="1567" t="s">
        <v>4208</v>
      </c>
      <c r="G21" s="1567"/>
      <c r="H21" s="1567"/>
      <c r="I21" s="1567"/>
      <c r="J21" s="1567"/>
      <c r="K21" s="1567"/>
      <c r="L21" s="1567"/>
      <c r="M21" s="1567"/>
      <c r="N21" s="1567"/>
    </row>
    <row r="22" spans="1:15" ht="26.25" customHeight="1">
      <c r="A22" s="1565"/>
      <c r="B22" s="1566"/>
      <c r="C22" s="1570"/>
      <c r="D22" s="1566"/>
      <c r="E22" s="1566"/>
      <c r="F22" s="781">
        <v>1</v>
      </c>
      <c r="G22" s="781">
        <v>2</v>
      </c>
      <c r="H22" s="781">
        <v>3</v>
      </c>
      <c r="I22" s="781">
        <v>4</v>
      </c>
      <c r="J22" s="781">
        <v>5</v>
      </c>
      <c r="K22" s="781">
        <v>6</v>
      </c>
      <c r="L22" s="781">
        <v>7</v>
      </c>
      <c r="M22" s="781" t="s">
        <v>230</v>
      </c>
      <c r="N22" s="782" t="s">
        <v>231</v>
      </c>
    </row>
    <row r="23" spans="1:15" ht="26.25" customHeight="1">
      <c r="A23" s="744" t="s">
        <v>232</v>
      </c>
      <c r="B23" s="761">
        <v>8000</v>
      </c>
      <c r="C23" s="761" t="s">
        <v>4209</v>
      </c>
      <c r="D23" s="762">
        <f>B23*484/100000</f>
        <v>38.72</v>
      </c>
      <c r="E23" s="777">
        <v>5.4317000000000002</v>
      </c>
      <c r="F23" s="764">
        <v>0</v>
      </c>
      <c r="G23" s="764">
        <v>0</v>
      </c>
      <c r="H23" s="764">
        <v>1.5381100000000001</v>
      </c>
      <c r="I23" s="764"/>
      <c r="J23" s="764"/>
      <c r="K23" s="764"/>
      <c r="L23" s="764"/>
      <c r="M23" s="764">
        <f>L23+K23+J23+I23+H23+G23+F23</f>
        <v>1.5381100000000001</v>
      </c>
      <c r="N23" s="766">
        <f>M23/E23*100</f>
        <v>28.317285564372114</v>
      </c>
    </row>
    <row r="24" spans="1:15" ht="26.25" customHeight="1">
      <c r="A24" s="743" t="s">
        <v>4210</v>
      </c>
      <c r="B24" s="739">
        <v>7000</v>
      </c>
      <c r="C24" s="761" t="s">
        <v>4209</v>
      </c>
      <c r="D24" s="762">
        <v>33.880000000000003</v>
      </c>
      <c r="E24" s="767">
        <v>0</v>
      </c>
      <c r="F24" s="764">
        <v>0</v>
      </c>
      <c r="G24" s="764">
        <v>0</v>
      </c>
      <c r="H24" s="771">
        <v>0</v>
      </c>
      <c r="I24" s="771"/>
      <c r="J24" s="771"/>
      <c r="K24" s="771"/>
      <c r="L24" s="771"/>
      <c r="M24" s="764">
        <f t="shared" ref="M24:M31" si="0">L24+K24+J24+I24+H24+G24+F24</f>
        <v>0</v>
      </c>
      <c r="N24" s="766">
        <v>0</v>
      </c>
    </row>
    <row r="25" spans="1:15" ht="26.25" customHeight="1">
      <c r="A25" s="743" t="s">
        <v>4211</v>
      </c>
      <c r="B25" s="747">
        <v>43000</v>
      </c>
      <c r="C25" s="747" t="s">
        <v>236</v>
      </c>
      <c r="D25" s="770">
        <v>0.43</v>
      </c>
      <c r="E25" s="769">
        <v>0.18</v>
      </c>
      <c r="F25" s="764">
        <v>0</v>
      </c>
      <c r="G25" s="764">
        <v>0</v>
      </c>
      <c r="H25" s="771">
        <v>0</v>
      </c>
      <c r="I25" s="771"/>
      <c r="J25" s="771"/>
      <c r="K25" s="771"/>
      <c r="L25" s="771"/>
      <c r="M25" s="764">
        <f t="shared" si="0"/>
        <v>0</v>
      </c>
      <c r="N25" s="766">
        <f t="shared" ref="N25:N30" si="1">M25/E25*100</f>
        <v>0</v>
      </c>
    </row>
    <row r="26" spans="1:15" ht="26.25" customHeight="1">
      <c r="A26" s="743" t="s">
        <v>4212</v>
      </c>
      <c r="B26" s="747">
        <v>37000</v>
      </c>
      <c r="C26" s="747" t="s">
        <v>236</v>
      </c>
      <c r="D26" s="770">
        <v>0.37</v>
      </c>
      <c r="E26" s="769">
        <v>0.16</v>
      </c>
      <c r="F26" s="764">
        <v>0</v>
      </c>
      <c r="G26" s="764">
        <v>0</v>
      </c>
      <c r="H26" s="771">
        <v>0</v>
      </c>
      <c r="I26" s="771"/>
      <c r="J26" s="771"/>
      <c r="K26" s="771"/>
      <c r="L26" s="771"/>
      <c r="M26" s="764">
        <f t="shared" si="0"/>
        <v>0</v>
      </c>
      <c r="N26" s="766">
        <f t="shared" si="1"/>
        <v>0</v>
      </c>
    </row>
    <row r="27" spans="1:15" ht="26.25" customHeight="1">
      <c r="A27" s="743" t="s">
        <v>4213</v>
      </c>
      <c r="B27" s="747">
        <v>1200</v>
      </c>
      <c r="C27" s="747" t="s">
        <v>4209</v>
      </c>
      <c r="D27" s="770">
        <v>5.8</v>
      </c>
      <c r="E27" s="769">
        <v>1.9970000000000001</v>
      </c>
      <c r="F27" s="764">
        <v>0</v>
      </c>
      <c r="G27" s="764">
        <v>0</v>
      </c>
      <c r="H27" s="771">
        <v>1.9970399999999999</v>
      </c>
      <c r="I27" s="771"/>
      <c r="J27" s="771"/>
      <c r="K27" s="771"/>
      <c r="L27" s="771"/>
      <c r="M27" s="764">
        <f t="shared" si="0"/>
        <v>1.9970399999999999</v>
      </c>
      <c r="N27" s="766">
        <f t="shared" si="1"/>
        <v>100.00200300450675</v>
      </c>
    </row>
    <row r="28" spans="1:15" ht="26.25" customHeight="1">
      <c r="A28" s="741" t="s">
        <v>4214</v>
      </c>
      <c r="B28" s="747">
        <v>565</v>
      </c>
      <c r="C28" s="747" t="s">
        <v>4209</v>
      </c>
      <c r="D28" s="770">
        <v>2.73</v>
      </c>
      <c r="E28" s="769">
        <v>0.48399999999999999</v>
      </c>
      <c r="F28" s="764">
        <v>0</v>
      </c>
      <c r="G28" s="764">
        <v>0</v>
      </c>
      <c r="H28" s="771">
        <v>0.35</v>
      </c>
      <c r="I28" s="771"/>
      <c r="J28" s="771"/>
      <c r="K28" s="771"/>
      <c r="L28" s="771"/>
      <c r="M28" s="764">
        <f t="shared" si="0"/>
        <v>0.35</v>
      </c>
      <c r="N28" s="766">
        <f t="shared" si="1"/>
        <v>72.314049586776846</v>
      </c>
    </row>
    <row r="29" spans="1:15" ht="26.25" customHeight="1">
      <c r="A29" s="743" t="s">
        <v>240</v>
      </c>
      <c r="B29" s="747">
        <v>1000</v>
      </c>
      <c r="C29" s="747" t="s">
        <v>4209</v>
      </c>
      <c r="D29" s="770">
        <v>4.84</v>
      </c>
      <c r="E29" s="769">
        <v>0</v>
      </c>
      <c r="F29" s="764">
        <v>0</v>
      </c>
      <c r="G29" s="764">
        <v>0</v>
      </c>
      <c r="H29" s="771">
        <v>0</v>
      </c>
      <c r="I29" s="771"/>
      <c r="J29" s="771"/>
      <c r="K29" s="771"/>
      <c r="L29" s="771"/>
      <c r="M29" s="764">
        <f t="shared" si="0"/>
        <v>0</v>
      </c>
      <c r="N29" s="766">
        <v>0</v>
      </c>
    </row>
    <row r="30" spans="1:15" ht="26.25" customHeight="1">
      <c r="A30" s="743" t="s">
        <v>4215</v>
      </c>
      <c r="B30" s="747">
        <v>2750</v>
      </c>
      <c r="C30" s="747" t="s">
        <v>242</v>
      </c>
      <c r="D30" s="770">
        <v>2.31</v>
      </c>
      <c r="E30" s="769">
        <v>0.33</v>
      </c>
      <c r="F30" s="764">
        <v>0</v>
      </c>
      <c r="G30" s="764">
        <v>0</v>
      </c>
      <c r="H30" s="771">
        <v>0.33</v>
      </c>
      <c r="I30" s="771"/>
      <c r="J30" s="771"/>
      <c r="K30" s="771"/>
      <c r="L30" s="771"/>
      <c r="M30" s="764">
        <f t="shared" si="0"/>
        <v>0.33</v>
      </c>
      <c r="N30" s="766">
        <f t="shared" si="1"/>
        <v>100</v>
      </c>
    </row>
    <row r="31" spans="1:15" ht="26.25" customHeight="1">
      <c r="A31" s="741" t="s">
        <v>4216</v>
      </c>
      <c r="B31" s="747">
        <v>10000</v>
      </c>
      <c r="C31" s="747" t="s">
        <v>244</v>
      </c>
      <c r="D31" s="770">
        <v>0.1</v>
      </c>
      <c r="E31" s="769">
        <v>0</v>
      </c>
      <c r="F31" s="764">
        <v>0</v>
      </c>
      <c r="G31" s="764">
        <v>0</v>
      </c>
      <c r="H31" s="771">
        <v>0</v>
      </c>
      <c r="I31" s="771"/>
      <c r="J31" s="771"/>
      <c r="K31" s="771"/>
      <c r="L31" s="771"/>
      <c r="M31" s="764">
        <f t="shared" si="0"/>
        <v>0</v>
      </c>
      <c r="N31" s="766">
        <v>0</v>
      </c>
    </row>
    <row r="32" spans="1:15" ht="26.25" customHeight="1">
      <c r="A32" s="741" t="s">
        <v>245</v>
      </c>
      <c r="B32" s="747">
        <f>SUM(B23:B31)</f>
        <v>110515</v>
      </c>
      <c r="C32" s="747"/>
      <c r="D32" s="783">
        <f>SUM(D23:D31)</f>
        <v>89.18</v>
      </c>
      <c r="E32" s="769">
        <f>SUM(E23:E31)</f>
        <v>8.5827000000000009</v>
      </c>
      <c r="F32" s="771">
        <f>SUM(F23:F31)</f>
        <v>0</v>
      </c>
      <c r="G32" s="771">
        <f t="shared" ref="G32:M32" si="2">SUM(G23:G31)</f>
        <v>0</v>
      </c>
      <c r="H32" s="771">
        <f t="shared" si="2"/>
        <v>4.2151499999999995</v>
      </c>
      <c r="I32" s="771">
        <f t="shared" si="2"/>
        <v>0</v>
      </c>
      <c r="J32" s="771">
        <f t="shared" si="2"/>
        <v>0</v>
      </c>
      <c r="K32" s="771">
        <f t="shared" si="2"/>
        <v>0</v>
      </c>
      <c r="L32" s="771">
        <f t="shared" si="2"/>
        <v>0</v>
      </c>
      <c r="M32" s="771">
        <f t="shared" si="2"/>
        <v>4.2151499999999995</v>
      </c>
      <c r="N32" s="766"/>
    </row>
  </sheetData>
  <mergeCells count="38">
    <mergeCell ref="B13:D13"/>
    <mergeCell ref="E13:G13"/>
    <mergeCell ref="H13:J13"/>
    <mergeCell ref="K13:N13"/>
    <mergeCell ref="B12:C12"/>
    <mergeCell ref="D12:E12"/>
    <mergeCell ref="F12:G12"/>
    <mergeCell ref="C15:E15"/>
    <mergeCell ref="L17:N17"/>
    <mergeCell ref="A21:A22"/>
    <mergeCell ref="B21:B22"/>
    <mergeCell ref="C21:C22"/>
    <mergeCell ref="D21:D22"/>
    <mergeCell ref="E21:E22"/>
    <mergeCell ref="F21:N21"/>
    <mergeCell ref="H12:I12"/>
    <mergeCell ref="B6:E6"/>
    <mergeCell ref="F6:H6"/>
    <mergeCell ref="I6:M6"/>
    <mergeCell ref="B8:E8"/>
    <mergeCell ref="F8:J8"/>
    <mergeCell ref="K8:N8"/>
    <mergeCell ref="B10:D10"/>
    <mergeCell ref="E10:G10"/>
    <mergeCell ref="H10:J10"/>
    <mergeCell ref="K10:N10"/>
    <mergeCell ref="B11:D11"/>
    <mergeCell ref="E11:G11"/>
    <mergeCell ref="H11:J11"/>
    <mergeCell ref="K11:N11"/>
    <mergeCell ref="J12:K12"/>
    <mergeCell ref="A1:N1"/>
    <mergeCell ref="E2:G2"/>
    <mergeCell ref="B4:D4"/>
    <mergeCell ref="E4:F4"/>
    <mergeCell ref="G4:H4"/>
    <mergeCell ref="I4:J4"/>
    <mergeCell ref="L4:M4"/>
  </mergeCells>
  <hyperlinks>
    <hyperlink ref="A3" location="'Fact Sheet of VDC'!A1" display="&lt;&lt;Back"/>
  </hyperlinks>
  <printOptions horizontalCentered="1"/>
  <pageMargins left="0.86614173228346458" right="0.15748031496062992" top="0.39370078740157483" bottom="0.35433070866141736" header="0.31496062992125984" footer="0.31496062992125984"/>
  <pageSetup scale="78" orientation="landscape" r:id="rId1"/>
</worksheet>
</file>

<file path=xl/worksheets/sheet309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33"/>
  <sheetViews>
    <sheetView workbookViewId="0">
      <selection activeCell="A4" sqref="A4"/>
    </sheetView>
  </sheetViews>
  <sheetFormatPr defaultRowHeight="12"/>
  <cols>
    <col min="1" max="1" width="31.85546875" style="734" customWidth="1"/>
    <col min="2" max="2" width="9" style="734" customWidth="1"/>
    <col min="3" max="3" width="8.140625" style="734" customWidth="1"/>
    <col min="4" max="4" width="8.7109375" style="734" customWidth="1"/>
    <col min="5" max="5" width="6.7109375" style="734" customWidth="1"/>
    <col min="6" max="6" width="12.7109375" style="734" customWidth="1"/>
    <col min="7" max="7" width="10.5703125" style="734" customWidth="1"/>
    <col min="8" max="8" width="8" style="734" customWidth="1"/>
    <col min="9" max="9" width="8.42578125" style="734" customWidth="1"/>
    <col min="10" max="10" width="8.5703125" style="734" bestFit="1" customWidth="1"/>
    <col min="11" max="11" width="8.140625" style="734" customWidth="1"/>
    <col min="12" max="12" width="7.85546875" style="734" customWidth="1"/>
    <col min="13" max="13" width="12.28515625" style="734" customWidth="1"/>
    <col min="14" max="14" width="8.85546875" style="734" customWidth="1"/>
    <col min="15" max="15" width="7.28515625" style="734" customWidth="1"/>
    <col min="16" max="256" width="9.140625" style="734"/>
    <col min="257" max="257" width="31.85546875" style="734" customWidth="1"/>
    <col min="258" max="258" width="9" style="734" customWidth="1"/>
    <col min="259" max="259" width="8.140625" style="734" customWidth="1"/>
    <col min="260" max="260" width="8.7109375" style="734" customWidth="1"/>
    <col min="261" max="261" width="6.7109375" style="734" customWidth="1"/>
    <col min="262" max="262" width="12.7109375" style="734" customWidth="1"/>
    <col min="263" max="263" width="10.5703125" style="734" customWidth="1"/>
    <col min="264" max="264" width="8" style="734" customWidth="1"/>
    <col min="265" max="265" width="8.42578125" style="734" customWidth="1"/>
    <col min="266" max="266" width="8.5703125" style="734" bestFit="1" customWidth="1"/>
    <col min="267" max="267" width="8.140625" style="734" customWidth="1"/>
    <col min="268" max="268" width="7.85546875" style="734" customWidth="1"/>
    <col min="269" max="269" width="12.28515625" style="734" customWidth="1"/>
    <col min="270" max="270" width="8.85546875" style="734" customWidth="1"/>
    <col min="271" max="271" width="7.28515625" style="734" customWidth="1"/>
    <col min="272" max="512" width="9.140625" style="734"/>
    <col min="513" max="513" width="31.85546875" style="734" customWidth="1"/>
    <col min="514" max="514" width="9" style="734" customWidth="1"/>
    <col min="515" max="515" width="8.140625" style="734" customWidth="1"/>
    <col min="516" max="516" width="8.7109375" style="734" customWidth="1"/>
    <col min="517" max="517" width="6.7109375" style="734" customWidth="1"/>
    <col min="518" max="518" width="12.7109375" style="734" customWidth="1"/>
    <col min="519" max="519" width="10.5703125" style="734" customWidth="1"/>
    <col min="520" max="520" width="8" style="734" customWidth="1"/>
    <col min="521" max="521" width="8.42578125" style="734" customWidth="1"/>
    <col min="522" max="522" width="8.5703125" style="734" bestFit="1" customWidth="1"/>
    <col min="523" max="523" width="8.140625" style="734" customWidth="1"/>
    <col min="524" max="524" width="7.85546875" style="734" customWidth="1"/>
    <col min="525" max="525" width="12.28515625" style="734" customWidth="1"/>
    <col min="526" max="526" width="8.85546875" style="734" customWidth="1"/>
    <col min="527" max="527" width="7.28515625" style="734" customWidth="1"/>
    <col min="528" max="768" width="9.140625" style="734"/>
    <col min="769" max="769" width="31.85546875" style="734" customWidth="1"/>
    <col min="770" max="770" width="9" style="734" customWidth="1"/>
    <col min="771" max="771" width="8.140625" style="734" customWidth="1"/>
    <col min="772" max="772" width="8.7109375" style="734" customWidth="1"/>
    <col min="773" max="773" width="6.7109375" style="734" customWidth="1"/>
    <col min="774" max="774" width="12.7109375" style="734" customWidth="1"/>
    <col min="775" max="775" width="10.5703125" style="734" customWidth="1"/>
    <col min="776" max="776" width="8" style="734" customWidth="1"/>
    <col min="777" max="777" width="8.42578125" style="734" customWidth="1"/>
    <col min="778" max="778" width="8.5703125" style="734" bestFit="1" customWidth="1"/>
    <col min="779" max="779" width="8.140625" style="734" customWidth="1"/>
    <col min="780" max="780" width="7.85546875" style="734" customWidth="1"/>
    <col min="781" max="781" width="12.28515625" style="734" customWidth="1"/>
    <col min="782" max="782" width="8.85546875" style="734" customWidth="1"/>
    <col min="783" max="783" width="7.28515625" style="734" customWidth="1"/>
    <col min="784" max="1024" width="9.140625" style="734"/>
    <col min="1025" max="1025" width="31.85546875" style="734" customWidth="1"/>
    <col min="1026" max="1026" width="9" style="734" customWidth="1"/>
    <col min="1027" max="1027" width="8.140625" style="734" customWidth="1"/>
    <col min="1028" max="1028" width="8.7109375" style="734" customWidth="1"/>
    <col min="1029" max="1029" width="6.7109375" style="734" customWidth="1"/>
    <col min="1030" max="1030" width="12.7109375" style="734" customWidth="1"/>
    <col min="1031" max="1031" width="10.5703125" style="734" customWidth="1"/>
    <col min="1032" max="1032" width="8" style="734" customWidth="1"/>
    <col min="1033" max="1033" width="8.42578125" style="734" customWidth="1"/>
    <col min="1034" max="1034" width="8.5703125" style="734" bestFit="1" customWidth="1"/>
    <col min="1035" max="1035" width="8.140625" style="734" customWidth="1"/>
    <col min="1036" max="1036" width="7.85546875" style="734" customWidth="1"/>
    <col min="1037" max="1037" width="12.28515625" style="734" customWidth="1"/>
    <col min="1038" max="1038" width="8.85546875" style="734" customWidth="1"/>
    <col min="1039" max="1039" width="7.28515625" style="734" customWidth="1"/>
    <col min="1040" max="1280" width="9.140625" style="734"/>
    <col min="1281" max="1281" width="31.85546875" style="734" customWidth="1"/>
    <col min="1282" max="1282" width="9" style="734" customWidth="1"/>
    <col min="1283" max="1283" width="8.140625" style="734" customWidth="1"/>
    <col min="1284" max="1284" width="8.7109375" style="734" customWidth="1"/>
    <col min="1285" max="1285" width="6.7109375" style="734" customWidth="1"/>
    <col min="1286" max="1286" width="12.7109375" style="734" customWidth="1"/>
    <col min="1287" max="1287" width="10.5703125" style="734" customWidth="1"/>
    <col min="1288" max="1288" width="8" style="734" customWidth="1"/>
    <col min="1289" max="1289" width="8.42578125" style="734" customWidth="1"/>
    <col min="1290" max="1290" width="8.5703125" style="734" bestFit="1" customWidth="1"/>
    <col min="1291" max="1291" width="8.140625" style="734" customWidth="1"/>
    <col min="1292" max="1292" width="7.85546875" style="734" customWidth="1"/>
    <col min="1293" max="1293" width="12.28515625" style="734" customWidth="1"/>
    <col min="1294" max="1294" width="8.85546875" style="734" customWidth="1"/>
    <col min="1295" max="1295" width="7.28515625" style="734" customWidth="1"/>
    <col min="1296" max="1536" width="9.140625" style="734"/>
    <col min="1537" max="1537" width="31.85546875" style="734" customWidth="1"/>
    <col min="1538" max="1538" width="9" style="734" customWidth="1"/>
    <col min="1539" max="1539" width="8.140625" style="734" customWidth="1"/>
    <col min="1540" max="1540" width="8.7109375" style="734" customWidth="1"/>
    <col min="1541" max="1541" width="6.7109375" style="734" customWidth="1"/>
    <col min="1542" max="1542" width="12.7109375" style="734" customWidth="1"/>
    <col min="1543" max="1543" width="10.5703125" style="734" customWidth="1"/>
    <col min="1544" max="1544" width="8" style="734" customWidth="1"/>
    <col min="1545" max="1545" width="8.42578125" style="734" customWidth="1"/>
    <col min="1546" max="1546" width="8.5703125" style="734" bestFit="1" customWidth="1"/>
    <col min="1547" max="1547" width="8.140625" style="734" customWidth="1"/>
    <col min="1548" max="1548" width="7.85546875" style="734" customWidth="1"/>
    <col min="1549" max="1549" width="12.28515625" style="734" customWidth="1"/>
    <col min="1550" max="1550" width="8.85546875" style="734" customWidth="1"/>
    <col min="1551" max="1551" width="7.28515625" style="734" customWidth="1"/>
    <col min="1552" max="1792" width="9.140625" style="734"/>
    <col min="1793" max="1793" width="31.85546875" style="734" customWidth="1"/>
    <col min="1794" max="1794" width="9" style="734" customWidth="1"/>
    <col min="1795" max="1795" width="8.140625" style="734" customWidth="1"/>
    <col min="1796" max="1796" width="8.7109375" style="734" customWidth="1"/>
    <col min="1797" max="1797" width="6.7109375" style="734" customWidth="1"/>
    <col min="1798" max="1798" width="12.7109375" style="734" customWidth="1"/>
    <col min="1799" max="1799" width="10.5703125" style="734" customWidth="1"/>
    <col min="1800" max="1800" width="8" style="734" customWidth="1"/>
    <col min="1801" max="1801" width="8.42578125" style="734" customWidth="1"/>
    <col min="1802" max="1802" width="8.5703125" style="734" bestFit="1" customWidth="1"/>
    <col min="1803" max="1803" width="8.140625" style="734" customWidth="1"/>
    <col min="1804" max="1804" width="7.85546875" style="734" customWidth="1"/>
    <col min="1805" max="1805" width="12.28515625" style="734" customWidth="1"/>
    <col min="1806" max="1806" width="8.85546875" style="734" customWidth="1"/>
    <col min="1807" max="1807" width="7.28515625" style="734" customWidth="1"/>
    <col min="1808" max="2048" width="9.140625" style="734"/>
    <col min="2049" max="2049" width="31.85546875" style="734" customWidth="1"/>
    <col min="2050" max="2050" width="9" style="734" customWidth="1"/>
    <col min="2051" max="2051" width="8.140625" style="734" customWidth="1"/>
    <col min="2052" max="2052" width="8.7109375" style="734" customWidth="1"/>
    <col min="2053" max="2053" width="6.7109375" style="734" customWidth="1"/>
    <col min="2054" max="2054" width="12.7109375" style="734" customWidth="1"/>
    <col min="2055" max="2055" width="10.5703125" style="734" customWidth="1"/>
    <col min="2056" max="2056" width="8" style="734" customWidth="1"/>
    <col min="2057" max="2057" width="8.42578125" style="734" customWidth="1"/>
    <col min="2058" max="2058" width="8.5703125" style="734" bestFit="1" customWidth="1"/>
    <col min="2059" max="2059" width="8.140625" style="734" customWidth="1"/>
    <col min="2060" max="2060" width="7.85546875" style="734" customWidth="1"/>
    <col min="2061" max="2061" width="12.28515625" style="734" customWidth="1"/>
    <col min="2062" max="2062" width="8.85546875" style="734" customWidth="1"/>
    <col min="2063" max="2063" width="7.28515625" style="734" customWidth="1"/>
    <col min="2064" max="2304" width="9.140625" style="734"/>
    <col min="2305" max="2305" width="31.85546875" style="734" customWidth="1"/>
    <col min="2306" max="2306" width="9" style="734" customWidth="1"/>
    <col min="2307" max="2307" width="8.140625" style="734" customWidth="1"/>
    <col min="2308" max="2308" width="8.7109375" style="734" customWidth="1"/>
    <col min="2309" max="2309" width="6.7109375" style="734" customWidth="1"/>
    <col min="2310" max="2310" width="12.7109375" style="734" customWidth="1"/>
    <col min="2311" max="2311" width="10.5703125" style="734" customWidth="1"/>
    <col min="2312" max="2312" width="8" style="734" customWidth="1"/>
    <col min="2313" max="2313" width="8.42578125" style="734" customWidth="1"/>
    <col min="2314" max="2314" width="8.5703125" style="734" bestFit="1" customWidth="1"/>
    <col min="2315" max="2315" width="8.140625" style="734" customWidth="1"/>
    <col min="2316" max="2316" width="7.85546875" style="734" customWidth="1"/>
    <col min="2317" max="2317" width="12.28515625" style="734" customWidth="1"/>
    <col min="2318" max="2318" width="8.85546875" style="734" customWidth="1"/>
    <col min="2319" max="2319" width="7.28515625" style="734" customWidth="1"/>
    <col min="2320" max="2560" width="9.140625" style="734"/>
    <col min="2561" max="2561" width="31.85546875" style="734" customWidth="1"/>
    <col min="2562" max="2562" width="9" style="734" customWidth="1"/>
    <col min="2563" max="2563" width="8.140625" style="734" customWidth="1"/>
    <col min="2564" max="2564" width="8.7109375" style="734" customWidth="1"/>
    <col min="2565" max="2565" width="6.7109375" style="734" customWidth="1"/>
    <col min="2566" max="2566" width="12.7109375" style="734" customWidth="1"/>
    <col min="2567" max="2567" width="10.5703125" style="734" customWidth="1"/>
    <col min="2568" max="2568" width="8" style="734" customWidth="1"/>
    <col min="2569" max="2569" width="8.42578125" style="734" customWidth="1"/>
    <col min="2570" max="2570" width="8.5703125" style="734" bestFit="1" customWidth="1"/>
    <col min="2571" max="2571" width="8.140625" style="734" customWidth="1"/>
    <col min="2572" max="2572" width="7.85546875" style="734" customWidth="1"/>
    <col min="2573" max="2573" width="12.28515625" style="734" customWidth="1"/>
    <col min="2574" max="2574" width="8.85546875" style="734" customWidth="1"/>
    <col min="2575" max="2575" width="7.28515625" style="734" customWidth="1"/>
    <col min="2576" max="2816" width="9.140625" style="734"/>
    <col min="2817" max="2817" width="31.85546875" style="734" customWidth="1"/>
    <col min="2818" max="2818" width="9" style="734" customWidth="1"/>
    <col min="2819" max="2819" width="8.140625" style="734" customWidth="1"/>
    <col min="2820" max="2820" width="8.7109375" style="734" customWidth="1"/>
    <col min="2821" max="2821" width="6.7109375" style="734" customWidth="1"/>
    <col min="2822" max="2822" width="12.7109375" style="734" customWidth="1"/>
    <col min="2823" max="2823" width="10.5703125" style="734" customWidth="1"/>
    <col min="2824" max="2824" width="8" style="734" customWidth="1"/>
    <col min="2825" max="2825" width="8.42578125" style="734" customWidth="1"/>
    <col min="2826" max="2826" width="8.5703125" style="734" bestFit="1" customWidth="1"/>
    <col min="2827" max="2827" width="8.140625" style="734" customWidth="1"/>
    <col min="2828" max="2828" width="7.85546875" style="734" customWidth="1"/>
    <col min="2829" max="2829" width="12.28515625" style="734" customWidth="1"/>
    <col min="2830" max="2830" width="8.85546875" style="734" customWidth="1"/>
    <col min="2831" max="2831" width="7.28515625" style="734" customWidth="1"/>
    <col min="2832" max="3072" width="9.140625" style="734"/>
    <col min="3073" max="3073" width="31.85546875" style="734" customWidth="1"/>
    <col min="3074" max="3074" width="9" style="734" customWidth="1"/>
    <col min="3075" max="3075" width="8.140625" style="734" customWidth="1"/>
    <col min="3076" max="3076" width="8.7109375" style="734" customWidth="1"/>
    <col min="3077" max="3077" width="6.7109375" style="734" customWidth="1"/>
    <col min="3078" max="3078" width="12.7109375" style="734" customWidth="1"/>
    <col min="3079" max="3079" width="10.5703125" style="734" customWidth="1"/>
    <col min="3080" max="3080" width="8" style="734" customWidth="1"/>
    <col min="3081" max="3081" width="8.42578125" style="734" customWidth="1"/>
    <col min="3082" max="3082" width="8.5703125" style="734" bestFit="1" customWidth="1"/>
    <col min="3083" max="3083" width="8.140625" style="734" customWidth="1"/>
    <col min="3084" max="3084" width="7.85546875" style="734" customWidth="1"/>
    <col min="3085" max="3085" width="12.28515625" style="734" customWidth="1"/>
    <col min="3086" max="3086" width="8.85546875" style="734" customWidth="1"/>
    <col min="3087" max="3087" width="7.28515625" style="734" customWidth="1"/>
    <col min="3088" max="3328" width="9.140625" style="734"/>
    <col min="3329" max="3329" width="31.85546875" style="734" customWidth="1"/>
    <col min="3330" max="3330" width="9" style="734" customWidth="1"/>
    <col min="3331" max="3331" width="8.140625" style="734" customWidth="1"/>
    <col min="3332" max="3332" width="8.7109375" style="734" customWidth="1"/>
    <col min="3333" max="3333" width="6.7109375" style="734" customWidth="1"/>
    <col min="3334" max="3334" width="12.7109375" style="734" customWidth="1"/>
    <col min="3335" max="3335" width="10.5703125" style="734" customWidth="1"/>
    <col min="3336" max="3336" width="8" style="734" customWidth="1"/>
    <col min="3337" max="3337" width="8.42578125" style="734" customWidth="1"/>
    <col min="3338" max="3338" width="8.5703125" style="734" bestFit="1" customWidth="1"/>
    <col min="3339" max="3339" width="8.140625" style="734" customWidth="1"/>
    <col min="3340" max="3340" width="7.85546875" style="734" customWidth="1"/>
    <col min="3341" max="3341" width="12.28515625" style="734" customWidth="1"/>
    <col min="3342" max="3342" width="8.85546875" style="734" customWidth="1"/>
    <col min="3343" max="3343" width="7.28515625" style="734" customWidth="1"/>
    <col min="3344" max="3584" width="9.140625" style="734"/>
    <col min="3585" max="3585" width="31.85546875" style="734" customWidth="1"/>
    <col min="3586" max="3586" width="9" style="734" customWidth="1"/>
    <col min="3587" max="3587" width="8.140625" style="734" customWidth="1"/>
    <col min="3588" max="3588" width="8.7109375" style="734" customWidth="1"/>
    <col min="3589" max="3589" width="6.7109375" style="734" customWidth="1"/>
    <col min="3590" max="3590" width="12.7109375" style="734" customWidth="1"/>
    <col min="3591" max="3591" width="10.5703125" style="734" customWidth="1"/>
    <col min="3592" max="3592" width="8" style="734" customWidth="1"/>
    <col min="3593" max="3593" width="8.42578125" style="734" customWidth="1"/>
    <col min="3594" max="3594" width="8.5703125" style="734" bestFit="1" customWidth="1"/>
    <col min="3595" max="3595" width="8.140625" style="734" customWidth="1"/>
    <col min="3596" max="3596" width="7.85546875" style="734" customWidth="1"/>
    <col min="3597" max="3597" width="12.28515625" style="734" customWidth="1"/>
    <col min="3598" max="3598" width="8.85546875" style="734" customWidth="1"/>
    <col min="3599" max="3599" width="7.28515625" style="734" customWidth="1"/>
    <col min="3600" max="3840" width="9.140625" style="734"/>
    <col min="3841" max="3841" width="31.85546875" style="734" customWidth="1"/>
    <col min="3842" max="3842" width="9" style="734" customWidth="1"/>
    <col min="3843" max="3843" width="8.140625" style="734" customWidth="1"/>
    <col min="3844" max="3844" width="8.7109375" style="734" customWidth="1"/>
    <col min="3845" max="3845" width="6.7109375" style="734" customWidth="1"/>
    <col min="3846" max="3846" width="12.7109375" style="734" customWidth="1"/>
    <col min="3847" max="3847" width="10.5703125" style="734" customWidth="1"/>
    <col min="3848" max="3848" width="8" style="734" customWidth="1"/>
    <col min="3849" max="3849" width="8.42578125" style="734" customWidth="1"/>
    <col min="3850" max="3850" width="8.5703125" style="734" bestFit="1" customWidth="1"/>
    <col min="3851" max="3851" width="8.140625" style="734" customWidth="1"/>
    <col min="3852" max="3852" width="7.85546875" style="734" customWidth="1"/>
    <col min="3853" max="3853" width="12.28515625" style="734" customWidth="1"/>
    <col min="3854" max="3854" width="8.85546875" style="734" customWidth="1"/>
    <col min="3855" max="3855" width="7.28515625" style="734" customWidth="1"/>
    <col min="3856" max="4096" width="9.140625" style="734"/>
    <col min="4097" max="4097" width="31.85546875" style="734" customWidth="1"/>
    <col min="4098" max="4098" width="9" style="734" customWidth="1"/>
    <col min="4099" max="4099" width="8.140625" style="734" customWidth="1"/>
    <col min="4100" max="4100" width="8.7109375" style="734" customWidth="1"/>
    <col min="4101" max="4101" width="6.7109375" style="734" customWidth="1"/>
    <col min="4102" max="4102" width="12.7109375" style="734" customWidth="1"/>
    <col min="4103" max="4103" width="10.5703125" style="734" customWidth="1"/>
    <col min="4104" max="4104" width="8" style="734" customWidth="1"/>
    <col min="4105" max="4105" width="8.42578125" style="734" customWidth="1"/>
    <col min="4106" max="4106" width="8.5703125" style="734" bestFit="1" customWidth="1"/>
    <col min="4107" max="4107" width="8.140625" style="734" customWidth="1"/>
    <col min="4108" max="4108" width="7.85546875" style="734" customWidth="1"/>
    <col min="4109" max="4109" width="12.28515625" style="734" customWidth="1"/>
    <col min="4110" max="4110" width="8.85546875" style="734" customWidth="1"/>
    <col min="4111" max="4111" width="7.28515625" style="734" customWidth="1"/>
    <col min="4112" max="4352" width="9.140625" style="734"/>
    <col min="4353" max="4353" width="31.85546875" style="734" customWidth="1"/>
    <col min="4354" max="4354" width="9" style="734" customWidth="1"/>
    <col min="4355" max="4355" width="8.140625" style="734" customWidth="1"/>
    <col min="4356" max="4356" width="8.7109375" style="734" customWidth="1"/>
    <col min="4357" max="4357" width="6.7109375" style="734" customWidth="1"/>
    <col min="4358" max="4358" width="12.7109375" style="734" customWidth="1"/>
    <col min="4359" max="4359" width="10.5703125" style="734" customWidth="1"/>
    <col min="4360" max="4360" width="8" style="734" customWidth="1"/>
    <col min="4361" max="4361" width="8.42578125" style="734" customWidth="1"/>
    <col min="4362" max="4362" width="8.5703125" style="734" bestFit="1" customWidth="1"/>
    <col min="4363" max="4363" width="8.140625" style="734" customWidth="1"/>
    <col min="4364" max="4364" width="7.85546875" style="734" customWidth="1"/>
    <col min="4365" max="4365" width="12.28515625" style="734" customWidth="1"/>
    <col min="4366" max="4366" width="8.85546875" style="734" customWidth="1"/>
    <col min="4367" max="4367" width="7.28515625" style="734" customWidth="1"/>
    <col min="4368" max="4608" width="9.140625" style="734"/>
    <col min="4609" max="4609" width="31.85546875" style="734" customWidth="1"/>
    <col min="4610" max="4610" width="9" style="734" customWidth="1"/>
    <col min="4611" max="4611" width="8.140625" style="734" customWidth="1"/>
    <col min="4612" max="4612" width="8.7109375" style="734" customWidth="1"/>
    <col min="4613" max="4613" width="6.7109375" style="734" customWidth="1"/>
    <col min="4614" max="4614" width="12.7109375" style="734" customWidth="1"/>
    <col min="4615" max="4615" width="10.5703125" style="734" customWidth="1"/>
    <col min="4616" max="4616" width="8" style="734" customWidth="1"/>
    <col min="4617" max="4617" width="8.42578125" style="734" customWidth="1"/>
    <col min="4618" max="4618" width="8.5703125" style="734" bestFit="1" customWidth="1"/>
    <col min="4619" max="4619" width="8.140625" style="734" customWidth="1"/>
    <col min="4620" max="4620" width="7.85546875" style="734" customWidth="1"/>
    <col min="4621" max="4621" width="12.28515625" style="734" customWidth="1"/>
    <col min="4622" max="4622" width="8.85546875" style="734" customWidth="1"/>
    <col min="4623" max="4623" width="7.28515625" style="734" customWidth="1"/>
    <col min="4624" max="4864" width="9.140625" style="734"/>
    <col min="4865" max="4865" width="31.85546875" style="734" customWidth="1"/>
    <col min="4866" max="4866" width="9" style="734" customWidth="1"/>
    <col min="4867" max="4867" width="8.140625" style="734" customWidth="1"/>
    <col min="4868" max="4868" width="8.7109375" style="734" customWidth="1"/>
    <col min="4869" max="4869" width="6.7109375" style="734" customWidth="1"/>
    <col min="4870" max="4870" width="12.7109375" style="734" customWidth="1"/>
    <col min="4871" max="4871" width="10.5703125" style="734" customWidth="1"/>
    <col min="4872" max="4872" width="8" style="734" customWidth="1"/>
    <col min="4873" max="4873" width="8.42578125" style="734" customWidth="1"/>
    <col min="4874" max="4874" width="8.5703125" style="734" bestFit="1" customWidth="1"/>
    <col min="4875" max="4875" width="8.140625" style="734" customWidth="1"/>
    <col min="4876" max="4876" width="7.85546875" style="734" customWidth="1"/>
    <col min="4877" max="4877" width="12.28515625" style="734" customWidth="1"/>
    <col min="4878" max="4878" width="8.85546875" style="734" customWidth="1"/>
    <col min="4879" max="4879" width="7.28515625" style="734" customWidth="1"/>
    <col min="4880" max="5120" width="9.140625" style="734"/>
    <col min="5121" max="5121" width="31.85546875" style="734" customWidth="1"/>
    <col min="5122" max="5122" width="9" style="734" customWidth="1"/>
    <col min="5123" max="5123" width="8.140625" style="734" customWidth="1"/>
    <col min="5124" max="5124" width="8.7109375" style="734" customWidth="1"/>
    <col min="5125" max="5125" width="6.7109375" style="734" customWidth="1"/>
    <col min="5126" max="5126" width="12.7109375" style="734" customWidth="1"/>
    <col min="5127" max="5127" width="10.5703125" style="734" customWidth="1"/>
    <col min="5128" max="5128" width="8" style="734" customWidth="1"/>
    <col min="5129" max="5129" width="8.42578125" style="734" customWidth="1"/>
    <col min="5130" max="5130" width="8.5703125" style="734" bestFit="1" customWidth="1"/>
    <col min="5131" max="5131" width="8.140625" style="734" customWidth="1"/>
    <col min="5132" max="5132" width="7.85546875" style="734" customWidth="1"/>
    <col min="5133" max="5133" width="12.28515625" style="734" customWidth="1"/>
    <col min="5134" max="5134" width="8.85546875" style="734" customWidth="1"/>
    <col min="5135" max="5135" width="7.28515625" style="734" customWidth="1"/>
    <col min="5136" max="5376" width="9.140625" style="734"/>
    <col min="5377" max="5377" width="31.85546875" style="734" customWidth="1"/>
    <col min="5378" max="5378" width="9" style="734" customWidth="1"/>
    <col min="5379" max="5379" width="8.140625" style="734" customWidth="1"/>
    <col min="5380" max="5380" width="8.7109375" style="734" customWidth="1"/>
    <col min="5381" max="5381" width="6.7109375" style="734" customWidth="1"/>
    <col min="5382" max="5382" width="12.7109375" style="734" customWidth="1"/>
    <col min="5383" max="5383" width="10.5703125" style="734" customWidth="1"/>
    <col min="5384" max="5384" width="8" style="734" customWidth="1"/>
    <col min="5385" max="5385" width="8.42578125" style="734" customWidth="1"/>
    <col min="5386" max="5386" width="8.5703125" style="734" bestFit="1" customWidth="1"/>
    <col min="5387" max="5387" width="8.140625" style="734" customWidth="1"/>
    <col min="5388" max="5388" width="7.85546875" style="734" customWidth="1"/>
    <col min="5389" max="5389" width="12.28515625" style="734" customWidth="1"/>
    <col min="5390" max="5390" width="8.85546875" style="734" customWidth="1"/>
    <col min="5391" max="5391" width="7.28515625" style="734" customWidth="1"/>
    <col min="5392" max="5632" width="9.140625" style="734"/>
    <col min="5633" max="5633" width="31.85546875" style="734" customWidth="1"/>
    <col min="5634" max="5634" width="9" style="734" customWidth="1"/>
    <col min="5635" max="5635" width="8.140625" style="734" customWidth="1"/>
    <col min="5636" max="5636" width="8.7109375" style="734" customWidth="1"/>
    <col min="5637" max="5637" width="6.7109375" style="734" customWidth="1"/>
    <col min="5638" max="5638" width="12.7109375" style="734" customWidth="1"/>
    <col min="5639" max="5639" width="10.5703125" style="734" customWidth="1"/>
    <col min="5640" max="5640" width="8" style="734" customWidth="1"/>
    <col min="5641" max="5641" width="8.42578125" style="734" customWidth="1"/>
    <col min="5642" max="5642" width="8.5703125" style="734" bestFit="1" customWidth="1"/>
    <col min="5643" max="5643" width="8.140625" style="734" customWidth="1"/>
    <col min="5644" max="5644" width="7.85546875" style="734" customWidth="1"/>
    <col min="5645" max="5645" width="12.28515625" style="734" customWidth="1"/>
    <col min="5646" max="5646" width="8.85546875" style="734" customWidth="1"/>
    <col min="5647" max="5647" width="7.28515625" style="734" customWidth="1"/>
    <col min="5648" max="5888" width="9.140625" style="734"/>
    <col min="5889" max="5889" width="31.85546875" style="734" customWidth="1"/>
    <col min="5890" max="5890" width="9" style="734" customWidth="1"/>
    <col min="5891" max="5891" width="8.140625" style="734" customWidth="1"/>
    <col min="5892" max="5892" width="8.7109375" style="734" customWidth="1"/>
    <col min="5893" max="5893" width="6.7109375" style="734" customWidth="1"/>
    <col min="5894" max="5894" width="12.7109375" style="734" customWidth="1"/>
    <col min="5895" max="5895" width="10.5703125" style="734" customWidth="1"/>
    <col min="5896" max="5896" width="8" style="734" customWidth="1"/>
    <col min="5897" max="5897" width="8.42578125" style="734" customWidth="1"/>
    <col min="5898" max="5898" width="8.5703125" style="734" bestFit="1" customWidth="1"/>
    <col min="5899" max="5899" width="8.140625" style="734" customWidth="1"/>
    <col min="5900" max="5900" width="7.85546875" style="734" customWidth="1"/>
    <col min="5901" max="5901" width="12.28515625" style="734" customWidth="1"/>
    <col min="5902" max="5902" width="8.85546875" style="734" customWidth="1"/>
    <col min="5903" max="5903" width="7.28515625" style="734" customWidth="1"/>
    <col min="5904" max="6144" width="9.140625" style="734"/>
    <col min="6145" max="6145" width="31.85546875" style="734" customWidth="1"/>
    <col min="6146" max="6146" width="9" style="734" customWidth="1"/>
    <col min="6147" max="6147" width="8.140625" style="734" customWidth="1"/>
    <col min="6148" max="6148" width="8.7109375" style="734" customWidth="1"/>
    <col min="6149" max="6149" width="6.7109375" style="734" customWidth="1"/>
    <col min="6150" max="6150" width="12.7109375" style="734" customWidth="1"/>
    <col min="6151" max="6151" width="10.5703125" style="734" customWidth="1"/>
    <col min="6152" max="6152" width="8" style="734" customWidth="1"/>
    <col min="6153" max="6153" width="8.42578125" style="734" customWidth="1"/>
    <col min="6154" max="6154" width="8.5703125" style="734" bestFit="1" customWidth="1"/>
    <col min="6155" max="6155" width="8.140625" style="734" customWidth="1"/>
    <col min="6156" max="6156" width="7.85546875" style="734" customWidth="1"/>
    <col min="6157" max="6157" width="12.28515625" style="734" customWidth="1"/>
    <col min="6158" max="6158" width="8.85546875" style="734" customWidth="1"/>
    <col min="6159" max="6159" width="7.28515625" style="734" customWidth="1"/>
    <col min="6160" max="6400" width="9.140625" style="734"/>
    <col min="6401" max="6401" width="31.85546875" style="734" customWidth="1"/>
    <col min="6402" max="6402" width="9" style="734" customWidth="1"/>
    <col min="6403" max="6403" width="8.140625" style="734" customWidth="1"/>
    <col min="6404" max="6404" width="8.7109375" style="734" customWidth="1"/>
    <col min="6405" max="6405" width="6.7109375" style="734" customWidth="1"/>
    <col min="6406" max="6406" width="12.7109375" style="734" customWidth="1"/>
    <col min="6407" max="6407" width="10.5703125" style="734" customWidth="1"/>
    <col min="6408" max="6408" width="8" style="734" customWidth="1"/>
    <col min="6409" max="6409" width="8.42578125" style="734" customWidth="1"/>
    <col min="6410" max="6410" width="8.5703125" style="734" bestFit="1" customWidth="1"/>
    <col min="6411" max="6411" width="8.140625" style="734" customWidth="1"/>
    <col min="6412" max="6412" width="7.85546875" style="734" customWidth="1"/>
    <col min="6413" max="6413" width="12.28515625" style="734" customWidth="1"/>
    <col min="6414" max="6414" width="8.85546875" style="734" customWidth="1"/>
    <col min="6415" max="6415" width="7.28515625" style="734" customWidth="1"/>
    <col min="6416" max="6656" width="9.140625" style="734"/>
    <col min="6657" max="6657" width="31.85546875" style="734" customWidth="1"/>
    <col min="6658" max="6658" width="9" style="734" customWidth="1"/>
    <col min="6659" max="6659" width="8.140625" style="734" customWidth="1"/>
    <col min="6660" max="6660" width="8.7109375" style="734" customWidth="1"/>
    <col min="6661" max="6661" width="6.7109375" style="734" customWidth="1"/>
    <col min="6662" max="6662" width="12.7109375" style="734" customWidth="1"/>
    <col min="6663" max="6663" width="10.5703125" style="734" customWidth="1"/>
    <col min="6664" max="6664" width="8" style="734" customWidth="1"/>
    <col min="6665" max="6665" width="8.42578125" style="734" customWidth="1"/>
    <col min="6666" max="6666" width="8.5703125" style="734" bestFit="1" customWidth="1"/>
    <col min="6667" max="6667" width="8.140625" style="734" customWidth="1"/>
    <col min="6668" max="6668" width="7.85546875" style="734" customWidth="1"/>
    <col min="6669" max="6669" width="12.28515625" style="734" customWidth="1"/>
    <col min="6670" max="6670" width="8.85546875" style="734" customWidth="1"/>
    <col min="6671" max="6671" width="7.28515625" style="734" customWidth="1"/>
    <col min="6672" max="6912" width="9.140625" style="734"/>
    <col min="6913" max="6913" width="31.85546875" style="734" customWidth="1"/>
    <col min="6914" max="6914" width="9" style="734" customWidth="1"/>
    <col min="6915" max="6915" width="8.140625" style="734" customWidth="1"/>
    <col min="6916" max="6916" width="8.7109375" style="734" customWidth="1"/>
    <col min="6917" max="6917" width="6.7109375" style="734" customWidth="1"/>
    <col min="6918" max="6918" width="12.7109375" style="734" customWidth="1"/>
    <col min="6919" max="6919" width="10.5703125" style="734" customWidth="1"/>
    <col min="6920" max="6920" width="8" style="734" customWidth="1"/>
    <col min="6921" max="6921" width="8.42578125" style="734" customWidth="1"/>
    <col min="6922" max="6922" width="8.5703125" style="734" bestFit="1" customWidth="1"/>
    <col min="6923" max="6923" width="8.140625" style="734" customWidth="1"/>
    <col min="6924" max="6924" width="7.85546875" style="734" customWidth="1"/>
    <col min="6925" max="6925" width="12.28515625" style="734" customWidth="1"/>
    <col min="6926" max="6926" width="8.85546875" style="734" customWidth="1"/>
    <col min="6927" max="6927" width="7.28515625" style="734" customWidth="1"/>
    <col min="6928" max="7168" width="9.140625" style="734"/>
    <col min="7169" max="7169" width="31.85546875" style="734" customWidth="1"/>
    <col min="7170" max="7170" width="9" style="734" customWidth="1"/>
    <col min="7171" max="7171" width="8.140625" style="734" customWidth="1"/>
    <col min="7172" max="7172" width="8.7109375" style="734" customWidth="1"/>
    <col min="7173" max="7173" width="6.7109375" style="734" customWidth="1"/>
    <col min="7174" max="7174" width="12.7109375" style="734" customWidth="1"/>
    <col min="7175" max="7175" width="10.5703125" style="734" customWidth="1"/>
    <col min="7176" max="7176" width="8" style="734" customWidth="1"/>
    <col min="7177" max="7177" width="8.42578125" style="734" customWidth="1"/>
    <col min="7178" max="7178" width="8.5703125" style="734" bestFit="1" customWidth="1"/>
    <col min="7179" max="7179" width="8.140625" style="734" customWidth="1"/>
    <col min="7180" max="7180" width="7.85546875" style="734" customWidth="1"/>
    <col min="7181" max="7181" width="12.28515625" style="734" customWidth="1"/>
    <col min="7182" max="7182" width="8.85546875" style="734" customWidth="1"/>
    <col min="7183" max="7183" width="7.28515625" style="734" customWidth="1"/>
    <col min="7184" max="7424" width="9.140625" style="734"/>
    <col min="7425" max="7425" width="31.85546875" style="734" customWidth="1"/>
    <col min="7426" max="7426" width="9" style="734" customWidth="1"/>
    <col min="7427" max="7427" width="8.140625" style="734" customWidth="1"/>
    <col min="7428" max="7428" width="8.7109375" style="734" customWidth="1"/>
    <col min="7429" max="7429" width="6.7109375" style="734" customWidth="1"/>
    <col min="7430" max="7430" width="12.7109375" style="734" customWidth="1"/>
    <col min="7431" max="7431" width="10.5703125" style="734" customWidth="1"/>
    <col min="7432" max="7432" width="8" style="734" customWidth="1"/>
    <col min="7433" max="7433" width="8.42578125" style="734" customWidth="1"/>
    <col min="7434" max="7434" width="8.5703125" style="734" bestFit="1" customWidth="1"/>
    <col min="7435" max="7435" width="8.140625" style="734" customWidth="1"/>
    <col min="7436" max="7436" width="7.85546875" style="734" customWidth="1"/>
    <col min="7437" max="7437" width="12.28515625" style="734" customWidth="1"/>
    <col min="7438" max="7438" width="8.85546875" style="734" customWidth="1"/>
    <col min="7439" max="7439" width="7.28515625" style="734" customWidth="1"/>
    <col min="7440" max="7680" width="9.140625" style="734"/>
    <col min="7681" max="7681" width="31.85546875" style="734" customWidth="1"/>
    <col min="7682" max="7682" width="9" style="734" customWidth="1"/>
    <col min="7683" max="7683" width="8.140625" style="734" customWidth="1"/>
    <col min="7684" max="7684" width="8.7109375" style="734" customWidth="1"/>
    <col min="7685" max="7685" width="6.7109375" style="734" customWidth="1"/>
    <col min="7686" max="7686" width="12.7109375" style="734" customWidth="1"/>
    <col min="7687" max="7687" width="10.5703125" style="734" customWidth="1"/>
    <col min="7688" max="7688" width="8" style="734" customWidth="1"/>
    <col min="7689" max="7689" width="8.42578125" style="734" customWidth="1"/>
    <col min="7690" max="7690" width="8.5703125" style="734" bestFit="1" customWidth="1"/>
    <col min="7691" max="7691" width="8.140625" style="734" customWidth="1"/>
    <col min="7692" max="7692" width="7.85546875" style="734" customWidth="1"/>
    <col min="7693" max="7693" width="12.28515625" style="734" customWidth="1"/>
    <col min="7694" max="7694" width="8.85546875" style="734" customWidth="1"/>
    <col min="7695" max="7695" width="7.28515625" style="734" customWidth="1"/>
    <col min="7696" max="7936" width="9.140625" style="734"/>
    <col min="7937" max="7937" width="31.85546875" style="734" customWidth="1"/>
    <col min="7938" max="7938" width="9" style="734" customWidth="1"/>
    <col min="7939" max="7939" width="8.140625" style="734" customWidth="1"/>
    <col min="7940" max="7940" width="8.7109375" style="734" customWidth="1"/>
    <col min="7941" max="7941" width="6.7109375" style="734" customWidth="1"/>
    <col min="7942" max="7942" width="12.7109375" style="734" customWidth="1"/>
    <col min="7943" max="7943" width="10.5703125" style="734" customWidth="1"/>
    <col min="7944" max="7944" width="8" style="734" customWidth="1"/>
    <col min="7945" max="7945" width="8.42578125" style="734" customWidth="1"/>
    <col min="7946" max="7946" width="8.5703125" style="734" bestFit="1" customWidth="1"/>
    <col min="7947" max="7947" width="8.140625" style="734" customWidth="1"/>
    <col min="7948" max="7948" width="7.85546875" style="734" customWidth="1"/>
    <col min="7949" max="7949" width="12.28515625" style="734" customWidth="1"/>
    <col min="7950" max="7950" width="8.85546875" style="734" customWidth="1"/>
    <col min="7951" max="7951" width="7.28515625" style="734" customWidth="1"/>
    <col min="7952" max="8192" width="9.140625" style="734"/>
    <col min="8193" max="8193" width="31.85546875" style="734" customWidth="1"/>
    <col min="8194" max="8194" width="9" style="734" customWidth="1"/>
    <col min="8195" max="8195" width="8.140625" style="734" customWidth="1"/>
    <col min="8196" max="8196" width="8.7109375" style="734" customWidth="1"/>
    <col min="8197" max="8197" width="6.7109375" style="734" customWidth="1"/>
    <col min="8198" max="8198" width="12.7109375" style="734" customWidth="1"/>
    <col min="8199" max="8199" width="10.5703125" style="734" customWidth="1"/>
    <col min="8200" max="8200" width="8" style="734" customWidth="1"/>
    <col min="8201" max="8201" width="8.42578125" style="734" customWidth="1"/>
    <col min="8202" max="8202" width="8.5703125" style="734" bestFit="1" customWidth="1"/>
    <col min="8203" max="8203" width="8.140625" style="734" customWidth="1"/>
    <col min="8204" max="8204" width="7.85546875" style="734" customWidth="1"/>
    <col min="8205" max="8205" width="12.28515625" style="734" customWidth="1"/>
    <col min="8206" max="8206" width="8.85546875" style="734" customWidth="1"/>
    <col min="8207" max="8207" width="7.28515625" style="734" customWidth="1"/>
    <col min="8208" max="8448" width="9.140625" style="734"/>
    <col min="8449" max="8449" width="31.85546875" style="734" customWidth="1"/>
    <col min="8450" max="8450" width="9" style="734" customWidth="1"/>
    <col min="8451" max="8451" width="8.140625" style="734" customWidth="1"/>
    <col min="8452" max="8452" width="8.7109375" style="734" customWidth="1"/>
    <col min="8453" max="8453" width="6.7109375" style="734" customWidth="1"/>
    <col min="8454" max="8454" width="12.7109375" style="734" customWidth="1"/>
    <col min="8455" max="8455" width="10.5703125" style="734" customWidth="1"/>
    <col min="8456" max="8456" width="8" style="734" customWidth="1"/>
    <col min="8457" max="8457" width="8.42578125" style="734" customWidth="1"/>
    <col min="8458" max="8458" width="8.5703125" style="734" bestFit="1" customWidth="1"/>
    <col min="8459" max="8459" width="8.140625" style="734" customWidth="1"/>
    <col min="8460" max="8460" width="7.85546875" style="734" customWidth="1"/>
    <col min="8461" max="8461" width="12.28515625" style="734" customWidth="1"/>
    <col min="8462" max="8462" width="8.85546875" style="734" customWidth="1"/>
    <col min="8463" max="8463" width="7.28515625" style="734" customWidth="1"/>
    <col min="8464" max="8704" width="9.140625" style="734"/>
    <col min="8705" max="8705" width="31.85546875" style="734" customWidth="1"/>
    <col min="8706" max="8706" width="9" style="734" customWidth="1"/>
    <col min="8707" max="8707" width="8.140625" style="734" customWidth="1"/>
    <col min="8708" max="8708" width="8.7109375" style="734" customWidth="1"/>
    <col min="8709" max="8709" width="6.7109375" style="734" customWidth="1"/>
    <col min="8710" max="8710" width="12.7109375" style="734" customWidth="1"/>
    <col min="8711" max="8711" width="10.5703125" style="734" customWidth="1"/>
    <col min="8712" max="8712" width="8" style="734" customWidth="1"/>
    <col min="8713" max="8713" width="8.42578125" style="734" customWidth="1"/>
    <col min="8714" max="8714" width="8.5703125" style="734" bestFit="1" customWidth="1"/>
    <col min="8715" max="8715" width="8.140625" style="734" customWidth="1"/>
    <col min="8716" max="8716" width="7.85546875" style="734" customWidth="1"/>
    <col min="8717" max="8717" width="12.28515625" style="734" customWidth="1"/>
    <col min="8718" max="8718" width="8.85546875" style="734" customWidth="1"/>
    <col min="8719" max="8719" width="7.28515625" style="734" customWidth="1"/>
    <col min="8720" max="8960" width="9.140625" style="734"/>
    <col min="8961" max="8961" width="31.85546875" style="734" customWidth="1"/>
    <col min="8962" max="8962" width="9" style="734" customWidth="1"/>
    <col min="8963" max="8963" width="8.140625" style="734" customWidth="1"/>
    <col min="8964" max="8964" width="8.7109375" style="734" customWidth="1"/>
    <col min="8965" max="8965" width="6.7109375" style="734" customWidth="1"/>
    <col min="8966" max="8966" width="12.7109375" style="734" customWidth="1"/>
    <col min="8967" max="8967" width="10.5703125" style="734" customWidth="1"/>
    <col min="8968" max="8968" width="8" style="734" customWidth="1"/>
    <col min="8969" max="8969" width="8.42578125" style="734" customWidth="1"/>
    <col min="8970" max="8970" width="8.5703125" style="734" bestFit="1" customWidth="1"/>
    <col min="8971" max="8971" width="8.140625" style="734" customWidth="1"/>
    <col min="8972" max="8972" width="7.85546875" style="734" customWidth="1"/>
    <col min="8973" max="8973" width="12.28515625" style="734" customWidth="1"/>
    <col min="8974" max="8974" width="8.85546875" style="734" customWidth="1"/>
    <col min="8975" max="8975" width="7.28515625" style="734" customWidth="1"/>
    <col min="8976" max="9216" width="9.140625" style="734"/>
    <col min="9217" max="9217" width="31.85546875" style="734" customWidth="1"/>
    <col min="9218" max="9218" width="9" style="734" customWidth="1"/>
    <col min="9219" max="9219" width="8.140625" style="734" customWidth="1"/>
    <col min="9220" max="9220" width="8.7109375" style="734" customWidth="1"/>
    <col min="9221" max="9221" width="6.7109375" style="734" customWidth="1"/>
    <col min="9222" max="9222" width="12.7109375" style="734" customWidth="1"/>
    <col min="9223" max="9223" width="10.5703125" style="734" customWidth="1"/>
    <col min="9224" max="9224" width="8" style="734" customWidth="1"/>
    <col min="9225" max="9225" width="8.42578125" style="734" customWidth="1"/>
    <col min="9226" max="9226" width="8.5703125" style="734" bestFit="1" customWidth="1"/>
    <col min="9227" max="9227" width="8.140625" style="734" customWidth="1"/>
    <col min="9228" max="9228" width="7.85546875" style="734" customWidth="1"/>
    <col min="9229" max="9229" width="12.28515625" style="734" customWidth="1"/>
    <col min="9230" max="9230" width="8.85546875" style="734" customWidth="1"/>
    <col min="9231" max="9231" width="7.28515625" style="734" customWidth="1"/>
    <col min="9232" max="9472" width="9.140625" style="734"/>
    <col min="9473" max="9473" width="31.85546875" style="734" customWidth="1"/>
    <col min="9474" max="9474" width="9" style="734" customWidth="1"/>
    <col min="9475" max="9475" width="8.140625" style="734" customWidth="1"/>
    <col min="9476" max="9476" width="8.7109375" style="734" customWidth="1"/>
    <col min="9477" max="9477" width="6.7109375" style="734" customWidth="1"/>
    <col min="9478" max="9478" width="12.7109375" style="734" customWidth="1"/>
    <col min="9479" max="9479" width="10.5703125" style="734" customWidth="1"/>
    <col min="9480" max="9480" width="8" style="734" customWidth="1"/>
    <col min="9481" max="9481" width="8.42578125" style="734" customWidth="1"/>
    <col min="9482" max="9482" width="8.5703125" style="734" bestFit="1" customWidth="1"/>
    <col min="9483" max="9483" width="8.140625" style="734" customWidth="1"/>
    <col min="9484" max="9484" width="7.85546875" style="734" customWidth="1"/>
    <col min="9485" max="9485" width="12.28515625" style="734" customWidth="1"/>
    <col min="9486" max="9486" width="8.85546875" style="734" customWidth="1"/>
    <col min="9487" max="9487" width="7.28515625" style="734" customWidth="1"/>
    <col min="9488" max="9728" width="9.140625" style="734"/>
    <col min="9729" max="9729" width="31.85546875" style="734" customWidth="1"/>
    <col min="9730" max="9730" width="9" style="734" customWidth="1"/>
    <col min="9731" max="9731" width="8.140625" style="734" customWidth="1"/>
    <col min="9732" max="9732" width="8.7109375" style="734" customWidth="1"/>
    <col min="9733" max="9733" width="6.7109375" style="734" customWidth="1"/>
    <col min="9734" max="9734" width="12.7109375" style="734" customWidth="1"/>
    <col min="9735" max="9735" width="10.5703125" style="734" customWidth="1"/>
    <col min="9736" max="9736" width="8" style="734" customWidth="1"/>
    <col min="9737" max="9737" width="8.42578125" style="734" customWidth="1"/>
    <col min="9738" max="9738" width="8.5703125" style="734" bestFit="1" customWidth="1"/>
    <col min="9739" max="9739" width="8.140625" style="734" customWidth="1"/>
    <col min="9740" max="9740" width="7.85546875" style="734" customWidth="1"/>
    <col min="9741" max="9741" width="12.28515625" style="734" customWidth="1"/>
    <col min="9742" max="9742" width="8.85546875" style="734" customWidth="1"/>
    <col min="9743" max="9743" width="7.28515625" style="734" customWidth="1"/>
    <col min="9744" max="9984" width="9.140625" style="734"/>
    <col min="9985" max="9985" width="31.85546875" style="734" customWidth="1"/>
    <col min="9986" max="9986" width="9" style="734" customWidth="1"/>
    <col min="9987" max="9987" width="8.140625" style="734" customWidth="1"/>
    <col min="9988" max="9988" width="8.7109375" style="734" customWidth="1"/>
    <col min="9989" max="9989" width="6.7109375" style="734" customWidth="1"/>
    <col min="9990" max="9990" width="12.7109375" style="734" customWidth="1"/>
    <col min="9991" max="9991" width="10.5703125" style="734" customWidth="1"/>
    <col min="9992" max="9992" width="8" style="734" customWidth="1"/>
    <col min="9993" max="9993" width="8.42578125" style="734" customWidth="1"/>
    <col min="9994" max="9994" width="8.5703125" style="734" bestFit="1" customWidth="1"/>
    <col min="9995" max="9995" width="8.140625" style="734" customWidth="1"/>
    <col min="9996" max="9996" width="7.85546875" style="734" customWidth="1"/>
    <col min="9997" max="9997" width="12.28515625" style="734" customWidth="1"/>
    <col min="9998" max="9998" width="8.85546875" style="734" customWidth="1"/>
    <col min="9999" max="9999" width="7.28515625" style="734" customWidth="1"/>
    <col min="10000" max="10240" width="9.140625" style="734"/>
    <col min="10241" max="10241" width="31.85546875" style="734" customWidth="1"/>
    <col min="10242" max="10242" width="9" style="734" customWidth="1"/>
    <col min="10243" max="10243" width="8.140625" style="734" customWidth="1"/>
    <col min="10244" max="10244" width="8.7109375" style="734" customWidth="1"/>
    <col min="10245" max="10245" width="6.7109375" style="734" customWidth="1"/>
    <col min="10246" max="10246" width="12.7109375" style="734" customWidth="1"/>
    <col min="10247" max="10247" width="10.5703125" style="734" customWidth="1"/>
    <col min="10248" max="10248" width="8" style="734" customWidth="1"/>
    <col min="10249" max="10249" width="8.42578125" style="734" customWidth="1"/>
    <col min="10250" max="10250" width="8.5703125" style="734" bestFit="1" customWidth="1"/>
    <col min="10251" max="10251" width="8.140625" style="734" customWidth="1"/>
    <col min="10252" max="10252" width="7.85546875" style="734" customWidth="1"/>
    <col min="10253" max="10253" width="12.28515625" style="734" customWidth="1"/>
    <col min="10254" max="10254" width="8.85546875" style="734" customWidth="1"/>
    <col min="10255" max="10255" width="7.28515625" style="734" customWidth="1"/>
    <col min="10256" max="10496" width="9.140625" style="734"/>
    <col min="10497" max="10497" width="31.85546875" style="734" customWidth="1"/>
    <col min="10498" max="10498" width="9" style="734" customWidth="1"/>
    <col min="10499" max="10499" width="8.140625" style="734" customWidth="1"/>
    <col min="10500" max="10500" width="8.7109375" style="734" customWidth="1"/>
    <col min="10501" max="10501" width="6.7109375" style="734" customWidth="1"/>
    <col min="10502" max="10502" width="12.7109375" style="734" customWidth="1"/>
    <col min="10503" max="10503" width="10.5703125" style="734" customWidth="1"/>
    <col min="10504" max="10504" width="8" style="734" customWidth="1"/>
    <col min="10505" max="10505" width="8.42578125" style="734" customWidth="1"/>
    <col min="10506" max="10506" width="8.5703125" style="734" bestFit="1" customWidth="1"/>
    <col min="10507" max="10507" width="8.140625" style="734" customWidth="1"/>
    <col min="10508" max="10508" width="7.85546875" style="734" customWidth="1"/>
    <col min="10509" max="10509" width="12.28515625" style="734" customWidth="1"/>
    <col min="10510" max="10510" width="8.85546875" style="734" customWidth="1"/>
    <col min="10511" max="10511" width="7.28515625" style="734" customWidth="1"/>
    <col min="10512" max="10752" width="9.140625" style="734"/>
    <col min="10753" max="10753" width="31.85546875" style="734" customWidth="1"/>
    <col min="10754" max="10754" width="9" style="734" customWidth="1"/>
    <col min="10755" max="10755" width="8.140625" style="734" customWidth="1"/>
    <col min="10756" max="10756" width="8.7109375" style="734" customWidth="1"/>
    <col min="10757" max="10757" width="6.7109375" style="734" customWidth="1"/>
    <col min="10758" max="10758" width="12.7109375" style="734" customWidth="1"/>
    <col min="10759" max="10759" width="10.5703125" style="734" customWidth="1"/>
    <col min="10760" max="10760" width="8" style="734" customWidth="1"/>
    <col min="10761" max="10761" width="8.42578125" style="734" customWidth="1"/>
    <col min="10762" max="10762" width="8.5703125" style="734" bestFit="1" customWidth="1"/>
    <col min="10763" max="10763" width="8.140625" style="734" customWidth="1"/>
    <col min="10764" max="10764" width="7.85546875" style="734" customWidth="1"/>
    <col min="10765" max="10765" width="12.28515625" style="734" customWidth="1"/>
    <col min="10766" max="10766" width="8.85546875" style="734" customWidth="1"/>
    <col min="10767" max="10767" width="7.28515625" style="734" customWidth="1"/>
    <col min="10768" max="11008" width="9.140625" style="734"/>
    <col min="11009" max="11009" width="31.85546875" style="734" customWidth="1"/>
    <col min="11010" max="11010" width="9" style="734" customWidth="1"/>
    <col min="11011" max="11011" width="8.140625" style="734" customWidth="1"/>
    <col min="11012" max="11012" width="8.7109375" style="734" customWidth="1"/>
    <col min="11013" max="11013" width="6.7109375" style="734" customWidth="1"/>
    <col min="11014" max="11014" width="12.7109375" style="734" customWidth="1"/>
    <col min="11015" max="11015" width="10.5703125" style="734" customWidth="1"/>
    <col min="11016" max="11016" width="8" style="734" customWidth="1"/>
    <col min="11017" max="11017" width="8.42578125" style="734" customWidth="1"/>
    <col min="11018" max="11018" width="8.5703125" style="734" bestFit="1" customWidth="1"/>
    <col min="11019" max="11019" width="8.140625" style="734" customWidth="1"/>
    <col min="11020" max="11020" width="7.85546875" style="734" customWidth="1"/>
    <col min="11021" max="11021" width="12.28515625" style="734" customWidth="1"/>
    <col min="11022" max="11022" width="8.85546875" style="734" customWidth="1"/>
    <col min="11023" max="11023" width="7.28515625" style="734" customWidth="1"/>
    <col min="11024" max="11264" width="9.140625" style="734"/>
    <col min="11265" max="11265" width="31.85546875" style="734" customWidth="1"/>
    <col min="11266" max="11266" width="9" style="734" customWidth="1"/>
    <col min="11267" max="11267" width="8.140625" style="734" customWidth="1"/>
    <col min="11268" max="11268" width="8.7109375" style="734" customWidth="1"/>
    <col min="11269" max="11269" width="6.7109375" style="734" customWidth="1"/>
    <col min="11270" max="11270" width="12.7109375" style="734" customWidth="1"/>
    <col min="11271" max="11271" width="10.5703125" style="734" customWidth="1"/>
    <col min="11272" max="11272" width="8" style="734" customWidth="1"/>
    <col min="11273" max="11273" width="8.42578125" style="734" customWidth="1"/>
    <col min="11274" max="11274" width="8.5703125" style="734" bestFit="1" customWidth="1"/>
    <col min="11275" max="11275" width="8.140625" style="734" customWidth="1"/>
    <col min="11276" max="11276" width="7.85546875" style="734" customWidth="1"/>
    <col min="11277" max="11277" width="12.28515625" style="734" customWidth="1"/>
    <col min="11278" max="11278" width="8.85546875" style="734" customWidth="1"/>
    <col min="11279" max="11279" width="7.28515625" style="734" customWidth="1"/>
    <col min="11280" max="11520" width="9.140625" style="734"/>
    <col min="11521" max="11521" width="31.85546875" style="734" customWidth="1"/>
    <col min="11522" max="11522" width="9" style="734" customWidth="1"/>
    <col min="11523" max="11523" width="8.140625" style="734" customWidth="1"/>
    <col min="11524" max="11524" width="8.7109375" style="734" customWidth="1"/>
    <col min="11525" max="11525" width="6.7109375" style="734" customWidth="1"/>
    <col min="11526" max="11526" width="12.7109375" style="734" customWidth="1"/>
    <col min="11527" max="11527" width="10.5703125" style="734" customWidth="1"/>
    <col min="11528" max="11528" width="8" style="734" customWidth="1"/>
    <col min="11529" max="11529" width="8.42578125" style="734" customWidth="1"/>
    <col min="11530" max="11530" width="8.5703125" style="734" bestFit="1" customWidth="1"/>
    <col min="11531" max="11531" width="8.140625" style="734" customWidth="1"/>
    <col min="11532" max="11532" width="7.85546875" style="734" customWidth="1"/>
    <col min="11533" max="11533" width="12.28515625" style="734" customWidth="1"/>
    <col min="11534" max="11534" width="8.85546875" style="734" customWidth="1"/>
    <col min="11535" max="11535" width="7.28515625" style="734" customWidth="1"/>
    <col min="11536" max="11776" width="9.140625" style="734"/>
    <col min="11777" max="11777" width="31.85546875" style="734" customWidth="1"/>
    <col min="11778" max="11778" width="9" style="734" customWidth="1"/>
    <col min="11779" max="11779" width="8.140625" style="734" customWidth="1"/>
    <col min="11780" max="11780" width="8.7109375" style="734" customWidth="1"/>
    <col min="11781" max="11781" width="6.7109375" style="734" customWidth="1"/>
    <col min="11782" max="11782" width="12.7109375" style="734" customWidth="1"/>
    <col min="11783" max="11783" width="10.5703125" style="734" customWidth="1"/>
    <col min="11784" max="11784" width="8" style="734" customWidth="1"/>
    <col min="11785" max="11785" width="8.42578125" style="734" customWidth="1"/>
    <col min="11786" max="11786" width="8.5703125" style="734" bestFit="1" customWidth="1"/>
    <col min="11787" max="11787" width="8.140625" style="734" customWidth="1"/>
    <col min="11788" max="11788" width="7.85546875" style="734" customWidth="1"/>
    <col min="11789" max="11789" width="12.28515625" style="734" customWidth="1"/>
    <col min="11790" max="11790" width="8.85546875" style="734" customWidth="1"/>
    <col min="11791" max="11791" width="7.28515625" style="734" customWidth="1"/>
    <col min="11792" max="12032" width="9.140625" style="734"/>
    <col min="12033" max="12033" width="31.85546875" style="734" customWidth="1"/>
    <col min="12034" max="12034" width="9" style="734" customWidth="1"/>
    <col min="12035" max="12035" width="8.140625" style="734" customWidth="1"/>
    <col min="12036" max="12036" width="8.7109375" style="734" customWidth="1"/>
    <col min="12037" max="12037" width="6.7109375" style="734" customWidth="1"/>
    <col min="12038" max="12038" width="12.7109375" style="734" customWidth="1"/>
    <col min="12039" max="12039" width="10.5703125" style="734" customWidth="1"/>
    <col min="12040" max="12040" width="8" style="734" customWidth="1"/>
    <col min="12041" max="12041" width="8.42578125" style="734" customWidth="1"/>
    <col min="12042" max="12042" width="8.5703125" style="734" bestFit="1" customWidth="1"/>
    <col min="12043" max="12043" width="8.140625" style="734" customWidth="1"/>
    <col min="12044" max="12044" width="7.85546875" style="734" customWidth="1"/>
    <col min="12045" max="12045" width="12.28515625" style="734" customWidth="1"/>
    <col min="12046" max="12046" width="8.85546875" style="734" customWidth="1"/>
    <col min="12047" max="12047" width="7.28515625" style="734" customWidth="1"/>
    <col min="12048" max="12288" width="9.140625" style="734"/>
    <col min="12289" max="12289" width="31.85546875" style="734" customWidth="1"/>
    <col min="12290" max="12290" width="9" style="734" customWidth="1"/>
    <col min="12291" max="12291" width="8.140625" style="734" customWidth="1"/>
    <col min="12292" max="12292" width="8.7109375" style="734" customWidth="1"/>
    <col min="12293" max="12293" width="6.7109375" style="734" customWidth="1"/>
    <col min="12294" max="12294" width="12.7109375" style="734" customWidth="1"/>
    <col min="12295" max="12295" width="10.5703125" style="734" customWidth="1"/>
    <col min="12296" max="12296" width="8" style="734" customWidth="1"/>
    <col min="12297" max="12297" width="8.42578125" style="734" customWidth="1"/>
    <col min="12298" max="12298" width="8.5703125" style="734" bestFit="1" customWidth="1"/>
    <col min="12299" max="12299" width="8.140625" style="734" customWidth="1"/>
    <col min="12300" max="12300" width="7.85546875" style="734" customWidth="1"/>
    <col min="12301" max="12301" width="12.28515625" style="734" customWidth="1"/>
    <col min="12302" max="12302" width="8.85546875" style="734" customWidth="1"/>
    <col min="12303" max="12303" width="7.28515625" style="734" customWidth="1"/>
    <col min="12304" max="12544" width="9.140625" style="734"/>
    <col min="12545" max="12545" width="31.85546875" style="734" customWidth="1"/>
    <col min="12546" max="12546" width="9" style="734" customWidth="1"/>
    <col min="12547" max="12547" width="8.140625" style="734" customWidth="1"/>
    <col min="12548" max="12548" width="8.7109375" style="734" customWidth="1"/>
    <col min="12549" max="12549" width="6.7109375" style="734" customWidth="1"/>
    <col min="12550" max="12550" width="12.7109375" style="734" customWidth="1"/>
    <col min="12551" max="12551" width="10.5703125" style="734" customWidth="1"/>
    <col min="12552" max="12552" width="8" style="734" customWidth="1"/>
    <col min="12553" max="12553" width="8.42578125" style="734" customWidth="1"/>
    <col min="12554" max="12554" width="8.5703125" style="734" bestFit="1" customWidth="1"/>
    <col min="12555" max="12555" width="8.140625" style="734" customWidth="1"/>
    <col min="12556" max="12556" width="7.85546875" style="734" customWidth="1"/>
    <col min="12557" max="12557" width="12.28515625" style="734" customWidth="1"/>
    <col min="12558" max="12558" width="8.85546875" style="734" customWidth="1"/>
    <col min="12559" max="12559" width="7.28515625" style="734" customWidth="1"/>
    <col min="12560" max="12800" width="9.140625" style="734"/>
    <col min="12801" max="12801" width="31.85546875" style="734" customWidth="1"/>
    <col min="12802" max="12802" width="9" style="734" customWidth="1"/>
    <col min="12803" max="12803" width="8.140625" style="734" customWidth="1"/>
    <col min="12804" max="12804" width="8.7109375" style="734" customWidth="1"/>
    <col min="12805" max="12805" width="6.7109375" style="734" customWidth="1"/>
    <col min="12806" max="12806" width="12.7109375" style="734" customWidth="1"/>
    <col min="12807" max="12807" width="10.5703125" style="734" customWidth="1"/>
    <col min="12808" max="12808" width="8" style="734" customWidth="1"/>
    <col min="12809" max="12809" width="8.42578125" style="734" customWidth="1"/>
    <col min="12810" max="12810" width="8.5703125" style="734" bestFit="1" customWidth="1"/>
    <col min="12811" max="12811" width="8.140625" style="734" customWidth="1"/>
    <col min="12812" max="12812" width="7.85546875" style="734" customWidth="1"/>
    <col min="12813" max="12813" width="12.28515625" style="734" customWidth="1"/>
    <col min="12814" max="12814" width="8.85546875" style="734" customWidth="1"/>
    <col min="12815" max="12815" width="7.28515625" style="734" customWidth="1"/>
    <col min="12816" max="13056" width="9.140625" style="734"/>
    <col min="13057" max="13057" width="31.85546875" style="734" customWidth="1"/>
    <col min="13058" max="13058" width="9" style="734" customWidth="1"/>
    <col min="13059" max="13059" width="8.140625" style="734" customWidth="1"/>
    <col min="13060" max="13060" width="8.7109375" style="734" customWidth="1"/>
    <col min="13061" max="13061" width="6.7109375" style="734" customWidth="1"/>
    <col min="13062" max="13062" width="12.7109375" style="734" customWidth="1"/>
    <col min="13063" max="13063" width="10.5703125" style="734" customWidth="1"/>
    <col min="13064" max="13064" width="8" style="734" customWidth="1"/>
    <col min="13065" max="13065" width="8.42578125" style="734" customWidth="1"/>
    <col min="13066" max="13066" width="8.5703125" style="734" bestFit="1" customWidth="1"/>
    <col min="13067" max="13067" width="8.140625" style="734" customWidth="1"/>
    <col min="13068" max="13068" width="7.85546875" style="734" customWidth="1"/>
    <col min="13069" max="13069" width="12.28515625" style="734" customWidth="1"/>
    <col min="13070" max="13070" width="8.85546875" style="734" customWidth="1"/>
    <col min="13071" max="13071" width="7.28515625" style="734" customWidth="1"/>
    <col min="13072" max="13312" width="9.140625" style="734"/>
    <col min="13313" max="13313" width="31.85546875" style="734" customWidth="1"/>
    <col min="13314" max="13314" width="9" style="734" customWidth="1"/>
    <col min="13315" max="13315" width="8.140625" style="734" customWidth="1"/>
    <col min="13316" max="13316" width="8.7109375" style="734" customWidth="1"/>
    <col min="13317" max="13317" width="6.7109375" style="734" customWidth="1"/>
    <col min="13318" max="13318" width="12.7109375" style="734" customWidth="1"/>
    <col min="13319" max="13319" width="10.5703125" style="734" customWidth="1"/>
    <col min="13320" max="13320" width="8" style="734" customWidth="1"/>
    <col min="13321" max="13321" width="8.42578125" style="734" customWidth="1"/>
    <col min="13322" max="13322" width="8.5703125" style="734" bestFit="1" customWidth="1"/>
    <col min="13323" max="13323" width="8.140625" style="734" customWidth="1"/>
    <col min="13324" max="13324" width="7.85546875" style="734" customWidth="1"/>
    <col min="13325" max="13325" width="12.28515625" style="734" customWidth="1"/>
    <col min="13326" max="13326" width="8.85546875" style="734" customWidth="1"/>
    <col min="13327" max="13327" width="7.28515625" style="734" customWidth="1"/>
    <col min="13328" max="13568" width="9.140625" style="734"/>
    <col min="13569" max="13569" width="31.85546875" style="734" customWidth="1"/>
    <col min="13570" max="13570" width="9" style="734" customWidth="1"/>
    <col min="13571" max="13571" width="8.140625" style="734" customWidth="1"/>
    <col min="13572" max="13572" width="8.7109375" style="734" customWidth="1"/>
    <col min="13573" max="13573" width="6.7109375" style="734" customWidth="1"/>
    <col min="13574" max="13574" width="12.7109375" style="734" customWidth="1"/>
    <col min="13575" max="13575" width="10.5703125" style="734" customWidth="1"/>
    <col min="13576" max="13576" width="8" style="734" customWidth="1"/>
    <col min="13577" max="13577" width="8.42578125" style="734" customWidth="1"/>
    <col min="13578" max="13578" width="8.5703125" style="734" bestFit="1" customWidth="1"/>
    <col min="13579" max="13579" width="8.140625" style="734" customWidth="1"/>
    <col min="13580" max="13580" width="7.85546875" style="734" customWidth="1"/>
    <col min="13581" max="13581" width="12.28515625" style="734" customWidth="1"/>
    <col min="13582" max="13582" width="8.85546875" style="734" customWidth="1"/>
    <col min="13583" max="13583" width="7.28515625" style="734" customWidth="1"/>
    <col min="13584" max="13824" width="9.140625" style="734"/>
    <col min="13825" max="13825" width="31.85546875" style="734" customWidth="1"/>
    <col min="13826" max="13826" width="9" style="734" customWidth="1"/>
    <col min="13827" max="13827" width="8.140625" style="734" customWidth="1"/>
    <col min="13828" max="13828" width="8.7109375" style="734" customWidth="1"/>
    <col min="13829" max="13829" width="6.7109375" style="734" customWidth="1"/>
    <col min="13830" max="13830" width="12.7109375" style="734" customWidth="1"/>
    <col min="13831" max="13831" width="10.5703125" style="734" customWidth="1"/>
    <col min="13832" max="13832" width="8" style="734" customWidth="1"/>
    <col min="13833" max="13833" width="8.42578125" style="734" customWidth="1"/>
    <col min="13834" max="13834" width="8.5703125" style="734" bestFit="1" customWidth="1"/>
    <col min="13835" max="13835" width="8.140625" style="734" customWidth="1"/>
    <col min="13836" max="13836" width="7.85546875" style="734" customWidth="1"/>
    <col min="13837" max="13837" width="12.28515625" style="734" customWidth="1"/>
    <col min="13838" max="13838" width="8.85546875" style="734" customWidth="1"/>
    <col min="13839" max="13839" width="7.28515625" style="734" customWidth="1"/>
    <col min="13840" max="14080" width="9.140625" style="734"/>
    <col min="14081" max="14081" width="31.85546875" style="734" customWidth="1"/>
    <col min="14082" max="14082" width="9" style="734" customWidth="1"/>
    <col min="14083" max="14083" width="8.140625" style="734" customWidth="1"/>
    <col min="14084" max="14084" width="8.7109375" style="734" customWidth="1"/>
    <col min="14085" max="14085" width="6.7109375" style="734" customWidth="1"/>
    <col min="14086" max="14086" width="12.7109375" style="734" customWidth="1"/>
    <col min="14087" max="14087" width="10.5703125" style="734" customWidth="1"/>
    <col min="14088" max="14088" width="8" style="734" customWidth="1"/>
    <col min="14089" max="14089" width="8.42578125" style="734" customWidth="1"/>
    <col min="14090" max="14090" width="8.5703125" style="734" bestFit="1" customWidth="1"/>
    <col min="14091" max="14091" width="8.140625" style="734" customWidth="1"/>
    <col min="14092" max="14092" width="7.85546875" style="734" customWidth="1"/>
    <col min="14093" max="14093" width="12.28515625" style="734" customWidth="1"/>
    <col min="14094" max="14094" width="8.85546875" style="734" customWidth="1"/>
    <col min="14095" max="14095" width="7.28515625" style="734" customWidth="1"/>
    <col min="14096" max="14336" width="9.140625" style="734"/>
    <col min="14337" max="14337" width="31.85546875" style="734" customWidth="1"/>
    <col min="14338" max="14338" width="9" style="734" customWidth="1"/>
    <col min="14339" max="14339" width="8.140625" style="734" customWidth="1"/>
    <col min="14340" max="14340" width="8.7109375" style="734" customWidth="1"/>
    <col min="14341" max="14341" width="6.7109375" style="734" customWidth="1"/>
    <col min="14342" max="14342" width="12.7109375" style="734" customWidth="1"/>
    <col min="14343" max="14343" width="10.5703125" style="734" customWidth="1"/>
    <col min="14344" max="14344" width="8" style="734" customWidth="1"/>
    <col min="14345" max="14345" width="8.42578125" style="734" customWidth="1"/>
    <col min="14346" max="14346" width="8.5703125" style="734" bestFit="1" customWidth="1"/>
    <col min="14347" max="14347" width="8.140625" style="734" customWidth="1"/>
    <col min="14348" max="14348" width="7.85546875" style="734" customWidth="1"/>
    <col min="14349" max="14349" width="12.28515625" style="734" customWidth="1"/>
    <col min="14350" max="14350" width="8.85546875" style="734" customWidth="1"/>
    <col min="14351" max="14351" width="7.28515625" style="734" customWidth="1"/>
    <col min="14352" max="14592" width="9.140625" style="734"/>
    <col min="14593" max="14593" width="31.85546875" style="734" customWidth="1"/>
    <col min="14594" max="14594" width="9" style="734" customWidth="1"/>
    <col min="14595" max="14595" width="8.140625" style="734" customWidth="1"/>
    <col min="14596" max="14596" width="8.7109375" style="734" customWidth="1"/>
    <col min="14597" max="14597" width="6.7109375" style="734" customWidth="1"/>
    <col min="14598" max="14598" width="12.7109375" style="734" customWidth="1"/>
    <col min="14599" max="14599" width="10.5703125" style="734" customWidth="1"/>
    <col min="14600" max="14600" width="8" style="734" customWidth="1"/>
    <col min="14601" max="14601" width="8.42578125" style="734" customWidth="1"/>
    <col min="14602" max="14602" width="8.5703125" style="734" bestFit="1" customWidth="1"/>
    <col min="14603" max="14603" width="8.140625" style="734" customWidth="1"/>
    <col min="14604" max="14604" width="7.85546875" style="734" customWidth="1"/>
    <col min="14605" max="14605" width="12.28515625" style="734" customWidth="1"/>
    <col min="14606" max="14606" width="8.85546875" style="734" customWidth="1"/>
    <col min="14607" max="14607" width="7.28515625" style="734" customWidth="1"/>
    <col min="14608" max="14848" width="9.140625" style="734"/>
    <col min="14849" max="14849" width="31.85546875" style="734" customWidth="1"/>
    <col min="14850" max="14850" width="9" style="734" customWidth="1"/>
    <col min="14851" max="14851" width="8.140625" style="734" customWidth="1"/>
    <col min="14852" max="14852" width="8.7109375" style="734" customWidth="1"/>
    <col min="14853" max="14853" width="6.7109375" style="734" customWidth="1"/>
    <col min="14854" max="14854" width="12.7109375" style="734" customWidth="1"/>
    <col min="14855" max="14855" width="10.5703125" style="734" customWidth="1"/>
    <col min="14856" max="14856" width="8" style="734" customWidth="1"/>
    <col min="14857" max="14857" width="8.42578125" style="734" customWidth="1"/>
    <col min="14858" max="14858" width="8.5703125" style="734" bestFit="1" customWidth="1"/>
    <col min="14859" max="14859" width="8.140625" style="734" customWidth="1"/>
    <col min="14860" max="14860" width="7.85546875" style="734" customWidth="1"/>
    <col min="14861" max="14861" width="12.28515625" style="734" customWidth="1"/>
    <col min="14862" max="14862" width="8.85546875" style="734" customWidth="1"/>
    <col min="14863" max="14863" width="7.28515625" style="734" customWidth="1"/>
    <col min="14864" max="15104" width="9.140625" style="734"/>
    <col min="15105" max="15105" width="31.85546875" style="734" customWidth="1"/>
    <col min="15106" max="15106" width="9" style="734" customWidth="1"/>
    <col min="15107" max="15107" width="8.140625" style="734" customWidth="1"/>
    <col min="15108" max="15108" width="8.7109375" style="734" customWidth="1"/>
    <col min="15109" max="15109" width="6.7109375" style="734" customWidth="1"/>
    <col min="15110" max="15110" width="12.7109375" style="734" customWidth="1"/>
    <col min="15111" max="15111" width="10.5703125" style="734" customWidth="1"/>
    <col min="15112" max="15112" width="8" style="734" customWidth="1"/>
    <col min="15113" max="15113" width="8.42578125" style="734" customWidth="1"/>
    <col min="15114" max="15114" width="8.5703125" style="734" bestFit="1" customWidth="1"/>
    <col min="15115" max="15115" width="8.140625" style="734" customWidth="1"/>
    <col min="15116" max="15116" width="7.85546875" style="734" customWidth="1"/>
    <col min="15117" max="15117" width="12.28515625" style="734" customWidth="1"/>
    <col min="15118" max="15118" width="8.85546875" style="734" customWidth="1"/>
    <col min="15119" max="15119" width="7.28515625" style="734" customWidth="1"/>
    <col min="15120" max="15360" width="9.140625" style="734"/>
    <col min="15361" max="15361" width="31.85546875" style="734" customWidth="1"/>
    <col min="15362" max="15362" width="9" style="734" customWidth="1"/>
    <col min="15363" max="15363" width="8.140625" style="734" customWidth="1"/>
    <col min="15364" max="15364" width="8.7109375" style="734" customWidth="1"/>
    <col min="15365" max="15365" width="6.7109375" style="734" customWidth="1"/>
    <col min="15366" max="15366" width="12.7109375" style="734" customWidth="1"/>
    <col min="15367" max="15367" width="10.5703125" style="734" customWidth="1"/>
    <col min="15368" max="15368" width="8" style="734" customWidth="1"/>
    <col min="15369" max="15369" width="8.42578125" style="734" customWidth="1"/>
    <col min="15370" max="15370" width="8.5703125" style="734" bestFit="1" customWidth="1"/>
    <col min="15371" max="15371" width="8.140625" style="734" customWidth="1"/>
    <col min="15372" max="15372" width="7.85546875" style="734" customWidth="1"/>
    <col min="15373" max="15373" width="12.28515625" style="734" customWidth="1"/>
    <col min="15374" max="15374" width="8.85546875" style="734" customWidth="1"/>
    <col min="15375" max="15375" width="7.28515625" style="734" customWidth="1"/>
    <col min="15376" max="15616" width="9.140625" style="734"/>
    <col min="15617" max="15617" width="31.85546875" style="734" customWidth="1"/>
    <col min="15618" max="15618" width="9" style="734" customWidth="1"/>
    <col min="15619" max="15619" width="8.140625" style="734" customWidth="1"/>
    <col min="15620" max="15620" width="8.7109375" style="734" customWidth="1"/>
    <col min="15621" max="15621" width="6.7109375" style="734" customWidth="1"/>
    <col min="15622" max="15622" width="12.7109375" style="734" customWidth="1"/>
    <col min="15623" max="15623" width="10.5703125" style="734" customWidth="1"/>
    <col min="15624" max="15624" width="8" style="734" customWidth="1"/>
    <col min="15625" max="15625" width="8.42578125" style="734" customWidth="1"/>
    <col min="15626" max="15626" width="8.5703125" style="734" bestFit="1" customWidth="1"/>
    <col min="15627" max="15627" width="8.140625" style="734" customWidth="1"/>
    <col min="15628" max="15628" width="7.85546875" style="734" customWidth="1"/>
    <col min="15629" max="15629" width="12.28515625" style="734" customWidth="1"/>
    <col min="15630" max="15630" width="8.85546875" style="734" customWidth="1"/>
    <col min="15631" max="15631" width="7.28515625" style="734" customWidth="1"/>
    <col min="15632" max="15872" width="9.140625" style="734"/>
    <col min="15873" max="15873" width="31.85546875" style="734" customWidth="1"/>
    <col min="15874" max="15874" width="9" style="734" customWidth="1"/>
    <col min="15875" max="15875" width="8.140625" style="734" customWidth="1"/>
    <col min="15876" max="15876" width="8.7109375" style="734" customWidth="1"/>
    <col min="15877" max="15877" width="6.7109375" style="734" customWidth="1"/>
    <col min="15878" max="15878" width="12.7109375" style="734" customWidth="1"/>
    <col min="15879" max="15879" width="10.5703125" style="734" customWidth="1"/>
    <col min="15880" max="15880" width="8" style="734" customWidth="1"/>
    <col min="15881" max="15881" width="8.42578125" style="734" customWidth="1"/>
    <col min="15882" max="15882" width="8.5703125" style="734" bestFit="1" customWidth="1"/>
    <col min="15883" max="15883" width="8.140625" style="734" customWidth="1"/>
    <col min="15884" max="15884" width="7.85546875" style="734" customWidth="1"/>
    <col min="15885" max="15885" width="12.28515625" style="734" customWidth="1"/>
    <col min="15886" max="15886" width="8.85546875" style="734" customWidth="1"/>
    <col min="15887" max="15887" width="7.28515625" style="734" customWidth="1"/>
    <col min="15888" max="16128" width="9.140625" style="734"/>
    <col min="16129" max="16129" width="31.85546875" style="734" customWidth="1"/>
    <col min="16130" max="16130" width="9" style="734" customWidth="1"/>
    <col min="16131" max="16131" width="8.140625" style="734" customWidth="1"/>
    <col min="16132" max="16132" width="8.7109375" style="734" customWidth="1"/>
    <col min="16133" max="16133" width="6.7109375" style="734" customWidth="1"/>
    <col min="16134" max="16134" width="12.7109375" style="734" customWidth="1"/>
    <col min="16135" max="16135" width="10.5703125" style="734" customWidth="1"/>
    <col min="16136" max="16136" width="8" style="734" customWidth="1"/>
    <col min="16137" max="16137" width="8.42578125" style="734" customWidth="1"/>
    <col min="16138" max="16138" width="8.5703125" style="734" bestFit="1" customWidth="1"/>
    <col min="16139" max="16139" width="8.140625" style="734" customWidth="1"/>
    <col min="16140" max="16140" width="7.85546875" style="734" customWidth="1"/>
    <col min="16141" max="16141" width="12.28515625" style="734" customWidth="1"/>
    <col min="16142" max="16142" width="8.85546875" style="734" customWidth="1"/>
    <col min="16143" max="16143" width="7.28515625" style="734" customWidth="1"/>
    <col min="16144" max="16384" width="9.140625" style="734"/>
  </cols>
  <sheetData>
    <row r="2" spans="1:14">
      <c r="A2" s="1546" t="s">
        <v>4177</v>
      </c>
      <c r="B2" s="1546"/>
      <c r="C2" s="1546"/>
      <c r="D2" s="1546"/>
      <c r="E2" s="1546"/>
      <c r="F2" s="1546"/>
      <c r="G2" s="1546"/>
      <c r="H2" s="1546"/>
      <c r="I2" s="1546"/>
      <c r="J2" s="1546"/>
      <c r="K2" s="1546"/>
      <c r="L2" s="1546"/>
      <c r="M2" s="1546"/>
      <c r="N2" s="1546"/>
    </row>
    <row r="3" spans="1:14">
      <c r="E3" s="1546" t="s">
        <v>4178</v>
      </c>
      <c r="F3" s="1546"/>
      <c r="G3" s="1546"/>
    </row>
    <row r="4" spans="1:14" ht="15">
      <c r="A4" s="735" t="s">
        <v>4176</v>
      </c>
      <c r="E4" s="736"/>
      <c r="F4" s="736"/>
      <c r="G4" s="736"/>
    </row>
    <row r="5" spans="1:14" ht="26.25" customHeight="1">
      <c r="A5" s="737" t="s">
        <v>169</v>
      </c>
      <c r="B5" s="1547" t="s">
        <v>4319</v>
      </c>
      <c r="C5" s="1547"/>
      <c r="D5" s="1547"/>
      <c r="E5" s="1548" t="s">
        <v>4180</v>
      </c>
      <c r="F5" s="1548"/>
      <c r="G5" s="1549">
        <v>405010304200102</v>
      </c>
      <c r="H5" s="1549"/>
      <c r="I5" s="1548" t="s">
        <v>172</v>
      </c>
      <c r="J5" s="1548"/>
      <c r="K5" s="738" t="s">
        <v>4320</v>
      </c>
      <c r="L5" s="1548" t="s">
        <v>4183</v>
      </c>
      <c r="M5" s="1548"/>
      <c r="N5" s="739" t="s">
        <v>4184</v>
      </c>
    </row>
    <row r="6" spans="1:14">
      <c r="A6" s="773"/>
      <c r="B6" s="1560"/>
      <c r="C6" s="1560"/>
      <c r="D6" s="1560"/>
      <c r="E6" s="1560"/>
      <c r="F6" s="774"/>
      <c r="G6" s="774"/>
      <c r="I6" s="347"/>
      <c r="K6" s="775"/>
      <c r="L6" s="775"/>
      <c r="M6" s="347"/>
    </row>
    <row r="7" spans="1:14" ht="26.25" customHeight="1">
      <c r="A7" s="741" t="s">
        <v>174</v>
      </c>
      <c r="B7" s="1547" t="s">
        <v>4321</v>
      </c>
      <c r="C7" s="1547"/>
      <c r="D7" s="1547"/>
      <c r="E7" s="1547"/>
      <c r="F7" s="1564" t="s">
        <v>176</v>
      </c>
      <c r="G7" s="1564"/>
      <c r="H7" s="1564"/>
      <c r="I7" s="1547" t="s">
        <v>4322</v>
      </c>
      <c r="J7" s="1547"/>
      <c r="K7" s="1547"/>
      <c r="L7" s="1547"/>
      <c r="M7" s="746"/>
    </row>
    <row r="8" spans="1:14">
      <c r="B8" s="736"/>
      <c r="C8" s="736"/>
      <c r="D8" s="736"/>
      <c r="E8" s="736"/>
      <c r="F8" s="736"/>
      <c r="G8" s="736"/>
      <c r="H8" s="736"/>
      <c r="I8" s="736"/>
      <c r="J8" s="736"/>
      <c r="K8" s="736"/>
      <c r="L8" s="736"/>
      <c r="M8" s="746"/>
    </row>
    <row r="9" spans="1:14" ht="26.25" customHeight="1">
      <c r="A9" s="741" t="s">
        <v>178</v>
      </c>
      <c r="B9" s="1547" t="s">
        <v>4323</v>
      </c>
      <c r="C9" s="1547"/>
      <c r="D9" s="1547"/>
      <c r="E9" s="1547"/>
      <c r="F9" s="784" t="s">
        <v>4188</v>
      </c>
      <c r="G9" s="741"/>
      <c r="H9" s="741"/>
      <c r="I9" s="741"/>
      <c r="J9" s="785"/>
      <c r="K9" s="1558" t="s">
        <v>4324</v>
      </c>
      <c r="L9" s="1558"/>
      <c r="M9" s="1558"/>
      <c r="N9" s="1558"/>
    </row>
    <row r="10" spans="1:14">
      <c r="B10" s="736"/>
      <c r="C10" s="736"/>
      <c r="D10" s="736"/>
      <c r="E10" s="736"/>
      <c r="K10" s="742"/>
      <c r="L10" s="742"/>
      <c r="M10" s="742"/>
      <c r="N10" s="742"/>
    </row>
    <row r="11" spans="1:14" ht="26.25" customHeight="1">
      <c r="A11" s="743" t="s">
        <v>4189</v>
      </c>
      <c r="B11" s="1547" t="s">
        <v>4325</v>
      </c>
      <c r="C11" s="1547"/>
      <c r="D11" s="1547"/>
      <c r="E11" s="1547" t="s">
        <v>1701</v>
      </c>
      <c r="F11" s="1551"/>
      <c r="G11" s="1547"/>
      <c r="H11" s="1547" t="s">
        <v>4326</v>
      </c>
      <c r="I11" s="1547"/>
      <c r="J11" s="1553"/>
      <c r="K11" s="1560"/>
      <c r="L11" s="1560"/>
      <c r="M11" s="1560"/>
      <c r="N11" s="1560"/>
    </row>
    <row r="12" spans="1:14" ht="26.25" customHeight="1">
      <c r="A12" s="786" t="s">
        <v>187</v>
      </c>
      <c r="B12" s="1581" t="s">
        <v>4327</v>
      </c>
      <c r="C12" s="1559"/>
      <c r="D12" s="1559"/>
      <c r="E12" s="1559" t="s">
        <v>4328</v>
      </c>
      <c r="F12" s="1559"/>
      <c r="G12" s="1550"/>
      <c r="H12" s="1560"/>
      <c r="I12" s="1560"/>
      <c r="J12" s="1560"/>
      <c r="K12" s="1560"/>
      <c r="L12" s="1560"/>
      <c r="M12" s="1560"/>
      <c r="N12" s="1560"/>
    </row>
    <row r="13" spans="1:14" ht="26.25" customHeight="1">
      <c r="A13" s="745" t="s">
        <v>192</v>
      </c>
      <c r="B13" s="1558" t="s">
        <v>5806</v>
      </c>
      <c r="C13" s="1558"/>
      <c r="D13" s="1558" t="s">
        <v>5807</v>
      </c>
      <c r="E13" s="1558"/>
      <c r="F13" s="1547" t="s">
        <v>5808</v>
      </c>
      <c r="G13" s="1547"/>
      <c r="H13" s="1547" t="s">
        <v>5809</v>
      </c>
      <c r="I13" s="1547"/>
      <c r="J13" s="1547" t="s">
        <v>4329</v>
      </c>
      <c r="K13" s="1547"/>
      <c r="L13" s="746"/>
      <c r="M13" s="746"/>
      <c r="N13" s="746"/>
    </row>
    <row r="14" spans="1:14" ht="26.25" customHeight="1">
      <c r="A14" s="787" t="s">
        <v>197</v>
      </c>
      <c r="B14" s="1579" t="s">
        <v>4330</v>
      </c>
      <c r="C14" s="1568"/>
      <c r="D14" s="1568"/>
      <c r="E14" s="1551" t="s">
        <v>4323</v>
      </c>
      <c r="F14" s="1552"/>
      <c r="G14" s="1553"/>
      <c r="H14" s="1560"/>
      <c r="I14" s="1560"/>
      <c r="J14" s="1560"/>
      <c r="K14" s="1560"/>
      <c r="L14" s="1560"/>
      <c r="M14" s="1560"/>
      <c r="N14" s="1560"/>
    </row>
    <row r="15" spans="1:14">
      <c r="A15" s="347"/>
      <c r="B15" s="788"/>
      <c r="C15" s="788"/>
      <c r="D15" s="788"/>
      <c r="E15" s="789"/>
      <c r="F15" s="790"/>
      <c r="G15" s="791"/>
      <c r="H15" s="736"/>
      <c r="I15" s="736"/>
      <c r="J15" s="736"/>
      <c r="K15" s="736"/>
      <c r="L15" s="736"/>
      <c r="M15" s="736"/>
      <c r="N15" s="736"/>
    </row>
    <row r="16" spans="1:14" ht="26.25" customHeight="1">
      <c r="A16" s="792" t="s">
        <v>198</v>
      </c>
      <c r="B16" s="747">
        <v>3</v>
      </c>
      <c r="C16" s="1562" t="s">
        <v>199</v>
      </c>
      <c r="D16" s="1562"/>
      <c r="E16" s="1562"/>
      <c r="F16" s="748">
        <v>3</v>
      </c>
      <c r="G16" s="744" t="s">
        <v>200</v>
      </c>
      <c r="H16" s="748">
        <v>8</v>
      </c>
      <c r="I16" s="749" t="s">
        <v>4196</v>
      </c>
      <c r="J16" s="748">
        <v>2</v>
      </c>
      <c r="K16" s="749" t="s">
        <v>202</v>
      </c>
      <c r="L16" s="747">
        <v>3</v>
      </c>
      <c r="M16" s="736"/>
      <c r="N16" s="736"/>
    </row>
    <row r="18" spans="1:14" ht="26.25" customHeight="1">
      <c r="A18" s="752" t="s">
        <v>203</v>
      </c>
      <c r="B18" s="753" t="s">
        <v>4197</v>
      </c>
      <c r="C18" s="747">
        <v>83</v>
      </c>
      <c r="D18" s="753" t="s">
        <v>4198</v>
      </c>
      <c r="E18" s="793">
        <v>0</v>
      </c>
      <c r="F18" s="744" t="s">
        <v>5810</v>
      </c>
      <c r="G18" s="748">
        <v>0</v>
      </c>
      <c r="H18" s="737" t="s">
        <v>5811</v>
      </c>
      <c r="I18" s="748">
        <v>83</v>
      </c>
      <c r="J18" s="744" t="s">
        <v>414</v>
      </c>
      <c r="K18" s="748">
        <v>14</v>
      </c>
      <c r="L18" s="1582" t="s">
        <v>4201</v>
      </c>
      <c r="M18" s="1573"/>
      <c r="N18" s="747">
        <v>21</v>
      </c>
    </row>
    <row r="19" spans="1:14" ht="26.25" customHeight="1">
      <c r="A19" s="752" t="s">
        <v>1029</v>
      </c>
      <c r="B19" s="741" t="s">
        <v>4202</v>
      </c>
      <c r="C19" s="747">
        <v>193</v>
      </c>
      <c r="D19" s="741" t="s">
        <v>4203</v>
      </c>
      <c r="E19" s="747">
        <v>0</v>
      </c>
      <c r="F19" s="741" t="s">
        <v>4204</v>
      </c>
      <c r="G19" s="747">
        <v>0</v>
      </c>
      <c r="H19" s="757" t="s">
        <v>5781</v>
      </c>
      <c r="I19" s="747">
        <v>193</v>
      </c>
    </row>
    <row r="20" spans="1:14" ht="26.25" customHeight="1">
      <c r="B20" s="741" t="s">
        <v>4205</v>
      </c>
      <c r="C20" s="747">
        <v>183</v>
      </c>
      <c r="D20" s="741" t="s">
        <v>214</v>
      </c>
      <c r="E20" s="747">
        <v>0</v>
      </c>
      <c r="F20" s="741" t="s">
        <v>1494</v>
      </c>
      <c r="G20" s="747">
        <v>0</v>
      </c>
      <c r="H20" s="757" t="s">
        <v>5782</v>
      </c>
      <c r="I20" s="747">
        <v>183</v>
      </c>
    </row>
    <row r="21" spans="1:14" ht="26.25" customHeight="1">
      <c r="A21" s="758" t="s">
        <v>216</v>
      </c>
    </row>
    <row r="22" spans="1:14" ht="15.75" customHeight="1">
      <c r="A22" s="1565" t="s">
        <v>4206</v>
      </c>
      <c r="B22" s="1566" t="s">
        <v>408</v>
      </c>
      <c r="C22" s="1584" t="s">
        <v>219</v>
      </c>
      <c r="D22" s="1566" t="s">
        <v>4207</v>
      </c>
      <c r="E22" s="1566" t="s">
        <v>1713</v>
      </c>
      <c r="F22" s="1585" t="s">
        <v>4208</v>
      </c>
      <c r="G22" s="1585"/>
      <c r="H22" s="1585"/>
      <c r="I22" s="1585"/>
      <c r="J22" s="1585"/>
      <c r="K22" s="1585"/>
      <c r="L22" s="1585"/>
      <c r="M22" s="1585"/>
      <c r="N22" s="1585"/>
    </row>
    <row r="23" spans="1:14" ht="22.5" customHeight="1">
      <c r="A23" s="1583"/>
      <c r="B23" s="1570"/>
      <c r="C23" s="1584"/>
      <c r="D23" s="1570"/>
      <c r="E23" s="1570"/>
      <c r="F23" s="759">
        <v>1</v>
      </c>
      <c r="G23" s="759">
        <v>2</v>
      </c>
      <c r="H23" s="759">
        <v>3</v>
      </c>
      <c r="I23" s="759">
        <v>4</v>
      </c>
      <c r="J23" s="759">
        <v>5</v>
      </c>
      <c r="K23" s="759">
        <v>6</v>
      </c>
      <c r="L23" s="759">
        <v>7</v>
      </c>
      <c r="M23" s="759" t="s">
        <v>230</v>
      </c>
      <c r="N23" s="760" t="s">
        <v>231</v>
      </c>
    </row>
    <row r="24" spans="1:14" ht="26.25" customHeight="1">
      <c r="A24" s="744" t="s">
        <v>232</v>
      </c>
      <c r="B24" s="761">
        <v>8000</v>
      </c>
      <c r="C24" s="761" t="s">
        <v>4209</v>
      </c>
      <c r="D24" s="762">
        <f>B24*529/100000</f>
        <v>42.32</v>
      </c>
      <c r="E24" s="763">
        <v>4.8251999999999997</v>
      </c>
      <c r="F24" s="764">
        <v>0</v>
      </c>
      <c r="G24" s="764">
        <v>0</v>
      </c>
      <c r="H24" s="764">
        <v>0</v>
      </c>
      <c r="I24" s="764"/>
      <c r="J24" s="764"/>
      <c r="K24" s="764"/>
      <c r="L24" s="764"/>
      <c r="M24" s="764">
        <f>L24+K24+J24+I24+H24+G24+F24</f>
        <v>0</v>
      </c>
      <c r="N24" s="766">
        <f>M24/E24*100</f>
        <v>0</v>
      </c>
    </row>
    <row r="25" spans="1:14" ht="26.25" customHeight="1">
      <c r="A25" s="743" t="s">
        <v>4210</v>
      </c>
      <c r="B25" s="739">
        <v>7000</v>
      </c>
      <c r="C25" s="761" t="s">
        <v>4209</v>
      </c>
      <c r="D25" s="762">
        <f>B25*529/100000</f>
        <v>37.03</v>
      </c>
      <c r="E25" s="767">
        <v>0</v>
      </c>
      <c r="F25" s="764">
        <v>0</v>
      </c>
      <c r="G25" s="764">
        <v>0</v>
      </c>
      <c r="H25" s="771">
        <v>0</v>
      </c>
      <c r="I25" s="771"/>
      <c r="J25" s="771"/>
      <c r="K25" s="771"/>
      <c r="L25" s="771"/>
      <c r="M25" s="764">
        <f t="shared" ref="M25:M32" si="0">L25+K25+J25+I25+H25+G25+F25</f>
        <v>0</v>
      </c>
      <c r="N25" s="766">
        <v>0</v>
      </c>
    </row>
    <row r="26" spans="1:14" ht="26.25" customHeight="1">
      <c r="A26" s="743" t="s">
        <v>4211</v>
      </c>
      <c r="B26" s="747">
        <v>43000</v>
      </c>
      <c r="C26" s="747" t="s">
        <v>236</v>
      </c>
      <c r="D26" s="770">
        <v>0.43</v>
      </c>
      <c r="E26" s="769">
        <v>0.18</v>
      </c>
      <c r="F26" s="764">
        <v>0</v>
      </c>
      <c r="G26" s="764">
        <v>0</v>
      </c>
      <c r="H26" s="771">
        <v>0</v>
      </c>
      <c r="I26" s="771"/>
      <c r="J26" s="771"/>
      <c r="K26" s="771"/>
      <c r="L26" s="771"/>
      <c r="M26" s="764">
        <f t="shared" si="0"/>
        <v>0</v>
      </c>
      <c r="N26" s="766">
        <f t="shared" ref="N26:N31" si="1">M26/E26*100</f>
        <v>0</v>
      </c>
    </row>
    <row r="27" spans="1:14" ht="26.25" customHeight="1">
      <c r="A27" s="743" t="s">
        <v>4212</v>
      </c>
      <c r="B27" s="747">
        <v>37000</v>
      </c>
      <c r="C27" s="747" t="s">
        <v>236</v>
      </c>
      <c r="D27" s="770">
        <v>0.37</v>
      </c>
      <c r="E27" s="769">
        <v>0.16</v>
      </c>
      <c r="F27" s="764">
        <v>0</v>
      </c>
      <c r="G27" s="764">
        <v>0</v>
      </c>
      <c r="H27" s="771">
        <v>0</v>
      </c>
      <c r="I27" s="771"/>
      <c r="J27" s="771"/>
      <c r="K27" s="771"/>
      <c r="L27" s="771"/>
      <c r="M27" s="764">
        <f t="shared" si="0"/>
        <v>0</v>
      </c>
      <c r="N27" s="766">
        <f t="shared" si="1"/>
        <v>0</v>
      </c>
    </row>
    <row r="28" spans="1:14" ht="26.25" customHeight="1">
      <c r="A28" s="743" t="s">
        <v>4213</v>
      </c>
      <c r="B28" s="747">
        <v>1200</v>
      </c>
      <c r="C28" s="747" t="s">
        <v>4209</v>
      </c>
      <c r="D28" s="770">
        <f>B28*529/100000</f>
        <v>6.3479999999999999</v>
      </c>
      <c r="E28" s="769">
        <v>2</v>
      </c>
      <c r="F28" s="764">
        <v>0</v>
      </c>
      <c r="G28" s="764">
        <v>0</v>
      </c>
      <c r="H28" s="771">
        <v>1.8960300000000001</v>
      </c>
      <c r="I28" s="771"/>
      <c r="J28" s="771"/>
      <c r="K28" s="771"/>
      <c r="L28" s="771"/>
      <c r="M28" s="764">
        <f t="shared" si="0"/>
        <v>1.8960300000000001</v>
      </c>
      <c r="N28" s="766">
        <f t="shared" si="1"/>
        <v>94.801500000000004</v>
      </c>
    </row>
    <row r="29" spans="1:14" ht="26.25" customHeight="1">
      <c r="A29" s="741" t="s">
        <v>4214</v>
      </c>
      <c r="B29" s="747">
        <v>565</v>
      </c>
      <c r="C29" s="747" t="s">
        <v>4209</v>
      </c>
      <c r="D29" s="770">
        <f>B29*529/100000</f>
        <v>2.9888499999999998</v>
      </c>
      <c r="E29" s="769">
        <v>0.52900000000000003</v>
      </c>
      <c r="F29" s="764">
        <v>0</v>
      </c>
      <c r="G29" s="764">
        <v>0</v>
      </c>
      <c r="H29" s="771">
        <v>0.3</v>
      </c>
      <c r="I29" s="771"/>
      <c r="J29" s="771"/>
      <c r="K29" s="771"/>
      <c r="L29" s="771"/>
      <c r="M29" s="764">
        <f t="shared" si="0"/>
        <v>0.3</v>
      </c>
      <c r="N29" s="766">
        <f t="shared" si="1"/>
        <v>56.710775047258977</v>
      </c>
    </row>
    <row r="30" spans="1:14" ht="26.25" customHeight="1">
      <c r="A30" s="743" t="s">
        <v>240</v>
      </c>
      <c r="B30" s="747">
        <v>1000</v>
      </c>
      <c r="C30" s="747" t="s">
        <v>4209</v>
      </c>
      <c r="D30" s="770">
        <f>B30*529/100000</f>
        <v>5.29</v>
      </c>
      <c r="E30" s="769">
        <v>0</v>
      </c>
      <c r="F30" s="764">
        <v>0</v>
      </c>
      <c r="G30" s="764">
        <v>0</v>
      </c>
      <c r="H30" s="771">
        <v>0</v>
      </c>
      <c r="I30" s="771"/>
      <c r="J30" s="771"/>
      <c r="K30" s="771"/>
      <c r="L30" s="771"/>
      <c r="M30" s="764">
        <f t="shared" si="0"/>
        <v>0</v>
      </c>
      <c r="N30" s="766">
        <v>0</v>
      </c>
    </row>
    <row r="31" spans="1:14" ht="26.25" customHeight="1">
      <c r="A31" s="743" t="s">
        <v>4215</v>
      </c>
      <c r="B31" s="747">
        <v>2750</v>
      </c>
      <c r="C31" s="747" t="s">
        <v>242</v>
      </c>
      <c r="D31" s="770">
        <v>2.31</v>
      </c>
      <c r="E31" s="769">
        <v>0.33</v>
      </c>
      <c r="F31" s="764">
        <v>0</v>
      </c>
      <c r="G31" s="764">
        <v>0</v>
      </c>
      <c r="H31" s="771">
        <v>0.33</v>
      </c>
      <c r="I31" s="771"/>
      <c r="J31" s="771"/>
      <c r="K31" s="771"/>
      <c r="L31" s="771"/>
      <c r="M31" s="764">
        <f t="shared" si="0"/>
        <v>0.33</v>
      </c>
      <c r="N31" s="766">
        <f t="shared" si="1"/>
        <v>100</v>
      </c>
    </row>
    <row r="32" spans="1:14" ht="26.25" customHeight="1">
      <c r="A32" s="741" t="s">
        <v>4216</v>
      </c>
      <c r="B32" s="747">
        <v>10000</v>
      </c>
      <c r="C32" s="747" t="s">
        <v>244</v>
      </c>
      <c r="D32" s="770">
        <v>0.1</v>
      </c>
      <c r="E32" s="769">
        <v>0</v>
      </c>
      <c r="F32" s="764">
        <v>0</v>
      </c>
      <c r="G32" s="764">
        <v>0</v>
      </c>
      <c r="H32" s="771">
        <v>0</v>
      </c>
      <c r="I32" s="771"/>
      <c r="J32" s="771"/>
      <c r="K32" s="771"/>
      <c r="L32" s="771"/>
      <c r="M32" s="764">
        <f t="shared" si="0"/>
        <v>0</v>
      </c>
      <c r="N32" s="766">
        <v>0</v>
      </c>
    </row>
    <row r="33" spans="1:14" ht="26.25" customHeight="1">
      <c r="A33" s="741" t="s">
        <v>245</v>
      </c>
      <c r="B33" s="747">
        <f>SUM(B24:B32)</f>
        <v>110515</v>
      </c>
      <c r="C33" s="747"/>
      <c r="D33" s="771">
        <f>SUM(D24:D32)</f>
        <v>97.186850000000007</v>
      </c>
      <c r="E33" s="769">
        <f>SUM(E24:E32)</f>
        <v>8.0241999999999987</v>
      </c>
      <c r="F33" s="764">
        <f>SUM(F24:F32)</f>
        <v>0</v>
      </c>
      <c r="G33" s="764">
        <f t="shared" ref="G33:M33" si="2">SUM(G24:G32)</f>
        <v>0</v>
      </c>
      <c r="H33" s="764">
        <f t="shared" si="2"/>
        <v>2.52603</v>
      </c>
      <c r="I33" s="764">
        <f t="shared" si="2"/>
        <v>0</v>
      </c>
      <c r="J33" s="764">
        <f t="shared" si="2"/>
        <v>0</v>
      </c>
      <c r="K33" s="764">
        <f t="shared" si="2"/>
        <v>0</v>
      </c>
      <c r="L33" s="764">
        <f t="shared" si="2"/>
        <v>0</v>
      </c>
      <c r="M33" s="764">
        <f t="shared" si="2"/>
        <v>2.52603</v>
      </c>
      <c r="N33" s="771"/>
    </row>
  </sheetData>
  <mergeCells count="38">
    <mergeCell ref="B14:D14"/>
    <mergeCell ref="E14:G14"/>
    <mergeCell ref="H14:J14"/>
    <mergeCell ref="K14:N14"/>
    <mergeCell ref="B13:C13"/>
    <mergeCell ref="D13:E13"/>
    <mergeCell ref="F13:G13"/>
    <mergeCell ref="C16:E16"/>
    <mergeCell ref="L18:M18"/>
    <mergeCell ref="A22:A23"/>
    <mergeCell ref="B22:B23"/>
    <mergeCell ref="C22:C23"/>
    <mergeCell ref="D22:D23"/>
    <mergeCell ref="E22:E23"/>
    <mergeCell ref="F22:N22"/>
    <mergeCell ref="H13:I13"/>
    <mergeCell ref="B6:E6"/>
    <mergeCell ref="B7:E7"/>
    <mergeCell ref="F7:H7"/>
    <mergeCell ref="I7:L7"/>
    <mergeCell ref="B9:E9"/>
    <mergeCell ref="K9:N9"/>
    <mergeCell ref="B11:D11"/>
    <mergeCell ref="E11:G11"/>
    <mergeCell ref="H11:J11"/>
    <mergeCell ref="K11:N11"/>
    <mergeCell ref="B12:D12"/>
    <mergeCell ref="E12:G12"/>
    <mergeCell ref="H12:J12"/>
    <mergeCell ref="K12:N12"/>
    <mergeCell ref="J13:K13"/>
    <mergeCell ref="A2:N2"/>
    <mergeCell ref="E3:G3"/>
    <mergeCell ref="B5:D5"/>
    <mergeCell ref="E5:F5"/>
    <mergeCell ref="G5:H5"/>
    <mergeCell ref="I5:J5"/>
    <mergeCell ref="L5:M5"/>
  </mergeCells>
  <hyperlinks>
    <hyperlink ref="A4" location="'Fact Sheet of VDC'!A1" display="&lt;&lt;Back"/>
  </hyperlinks>
  <printOptions horizontalCentered="1" verticalCentered="1"/>
  <pageMargins left="0.70866141732283472" right="0.15748031496062992" top="0.19685039370078741" bottom="0.11811023622047245" header="0.19685039370078741" footer="7.874015748031496E-2"/>
  <pageSetup scale="8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730</v>
      </c>
      <c r="C2" t="s">
        <v>611</v>
      </c>
      <c r="D2" t="s">
        <v>5728</v>
      </c>
      <c r="F2" t="s">
        <v>612</v>
      </c>
      <c r="G2">
        <v>458</v>
      </c>
      <c r="H2" t="s">
        <v>613</v>
      </c>
      <c r="I2">
        <v>40</v>
      </c>
      <c r="K2" s="808" t="s">
        <v>4176</v>
      </c>
      <c r="L2" s="808"/>
      <c r="M2" s="808"/>
    </row>
    <row r="3" spans="1:15">
      <c r="A3" t="s">
        <v>614</v>
      </c>
      <c r="B3" t="s">
        <v>731</v>
      </c>
      <c r="E3" t="s">
        <v>616</v>
      </c>
      <c r="G3" t="s">
        <v>732</v>
      </c>
    </row>
    <row r="4" spans="1:15">
      <c r="A4" t="s">
        <v>618</v>
      </c>
      <c r="B4" t="s">
        <v>733</v>
      </c>
      <c r="G4" t="s">
        <v>620</v>
      </c>
      <c r="I4" t="s">
        <v>734</v>
      </c>
    </row>
    <row r="5" spans="1:15">
      <c r="A5" t="s">
        <v>622</v>
      </c>
      <c r="B5" t="s">
        <v>735</v>
      </c>
      <c r="E5" t="s">
        <v>736</v>
      </c>
      <c r="I5" t="s">
        <v>737</v>
      </c>
      <c r="M5" t="s">
        <v>738</v>
      </c>
    </row>
    <row r="6" spans="1:15">
      <c r="A6" t="s">
        <v>628</v>
      </c>
      <c r="B6" t="s">
        <v>739</v>
      </c>
      <c r="E6" t="s">
        <v>740</v>
      </c>
      <c r="I6" t="s">
        <v>741</v>
      </c>
      <c r="M6" t="s">
        <v>742</v>
      </c>
    </row>
    <row r="7" spans="1:15">
      <c r="A7" t="s">
        <v>634</v>
      </c>
      <c r="B7" t="s">
        <v>743</v>
      </c>
      <c r="E7" t="s">
        <v>744</v>
      </c>
      <c r="I7" t="s">
        <v>745</v>
      </c>
      <c r="M7" t="s">
        <v>746</v>
      </c>
    </row>
    <row r="8" spans="1:15">
      <c r="A8" t="s">
        <v>639</v>
      </c>
      <c r="B8" t="s">
        <v>747</v>
      </c>
    </row>
    <row r="9" spans="1:15">
      <c r="A9" t="s">
        <v>641</v>
      </c>
      <c r="B9">
        <v>7</v>
      </c>
      <c r="C9" t="s">
        <v>642</v>
      </c>
      <c r="D9">
        <v>4</v>
      </c>
      <c r="E9" t="s">
        <v>643</v>
      </c>
      <c r="F9">
        <v>11</v>
      </c>
      <c r="G9" t="s">
        <v>644</v>
      </c>
      <c r="H9">
        <v>1</v>
      </c>
      <c r="I9" t="s">
        <v>645</v>
      </c>
      <c r="J9">
        <v>11</v>
      </c>
    </row>
    <row r="10" spans="1:15">
      <c r="A10" t="s">
        <v>646</v>
      </c>
      <c r="B10" t="s">
        <v>204</v>
      </c>
      <c r="C10">
        <v>118</v>
      </c>
      <c r="D10" t="s">
        <v>205</v>
      </c>
      <c r="E10">
        <v>9</v>
      </c>
      <c r="F10" t="s">
        <v>206</v>
      </c>
      <c r="G10">
        <v>0</v>
      </c>
      <c r="H10" t="s">
        <v>230</v>
      </c>
      <c r="I10">
        <v>581</v>
      </c>
      <c r="J10" t="s">
        <v>647</v>
      </c>
      <c r="K10">
        <v>18</v>
      </c>
      <c r="L10" t="s">
        <v>648</v>
      </c>
      <c r="M10">
        <v>11</v>
      </c>
    </row>
    <row r="11" spans="1:15">
      <c r="A11" t="s">
        <v>209</v>
      </c>
      <c r="B11" t="s">
        <v>210</v>
      </c>
      <c r="C11">
        <v>293</v>
      </c>
      <c r="D11" t="s">
        <v>649</v>
      </c>
      <c r="E11">
        <v>21</v>
      </c>
      <c r="F11" t="s">
        <v>212</v>
      </c>
      <c r="G11">
        <v>0</v>
      </c>
      <c r="H11" t="s">
        <v>411</v>
      </c>
      <c r="I11">
        <v>314</v>
      </c>
    </row>
    <row r="12" spans="1:15">
      <c r="B12" t="s">
        <v>213</v>
      </c>
      <c r="C12">
        <v>252</v>
      </c>
      <c r="D12" t="s">
        <v>650</v>
      </c>
      <c r="E12">
        <v>15</v>
      </c>
      <c r="F12" t="s">
        <v>215</v>
      </c>
      <c r="G12">
        <v>0</v>
      </c>
      <c r="H12" t="s">
        <v>410</v>
      </c>
      <c r="I12">
        <v>267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36.64</v>
      </c>
      <c r="F16">
        <v>3664000</v>
      </c>
      <c r="G16">
        <v>0</v>
      </c>
      <c r="H16">
        <v>203010</v>
      </c>
      <c r="I16">
        <v>1438026</v>
      </c>
      <c r="J16">
        <v>1521364</v>
      </c>
      <c r="K16">
        <v>279148</v>
      </c>
      <c r="L16">
        <v>118744</v>
      </c>
      <c r="N16">
        <f>G16+H16+I16+J16+K16+L16+M16</f>
        <v>3560292</v>
      </c>
    </row>
    <row r="17" spans="1:15">
      <c r="A17" t="s">
        <v>665</v>
      </c>
      <c r="C17">
        <v>7000</v>
      </c>
      <c r="D17" t="s">
        <v>664</v>
      </c>
      <c r="E17">
        <v>2.8</v>
      </c>
      <c r="F17">
        <v>250000</v>
      </c>
      <c r="G17">
        <v>0</v>
      </c>
      <c r="H17">
        <v>0</v>
      </c>
      <c r="I17">
        <v>0</v>
      </c>
      <c r="J17">
        <v>76121</v>
      </c>
      <c r="K17">
        <v>0</v>
      </c>
      <c r="L17">
        <v>189673</v>
      </c>
      <c r="N17">
        <f t="shared" ref="N17:N23" si="0">G17+H17+I17+J17+K17+L17+M17</f>
        <v>265794</v>
      </c>
    </row>
    <row r="18" spans="1:15">
      <c r="A18" t="s">
        <v>235</v>
      </c>
      <c r="C18">
        <v>86</v>
      </c>
      <c r="D18" t="s">
        <v>664</v>
      </c>
      <c r="E18">
        <v>0.39</v>
      </c>
      <c r="F18">
        <v>43000</v>
      </c>
      <c r="G18">
        <v>0</v>
      </c>
      <c r="H18">
        <v>0</v>
      </c>
      <c r="I18">
        <v>0</v>
      </c>
      <c r="J18">
        <v>23690</v>
      </c>
      <c r="K18">
        <v>4409</v>
      </c>
      <c r="L18">
        <v>46677</v>
      </c>
      <c r="N18">
        <f t="shared" si="0"/>
        <v>74776</v>
      </c>
    </row>
    <row r="19" spans="1:15">
      <c r="A19" t="s">
        <v>666</v>
      </c>
      <c r="C19">
        <v>68</v>
      </c>
      <c r="D19" t="s">
        <v>664</v>
      </c>
      <c r="E19">
        <v>0.31</v>
      </c>
      <c r="F19">
        <v>34000</v>
      </c>
      <c r="G19">
        <v>0</v>
      </c>
      <c r="H19">
        <v>0</v>
      </c>
      <c r="I19">
        <v>0</v>
      </c>
      <c r="J19">
        <v>12630</v>
      </c>
      <c r="K19">
        <v>14437</v>
      </c>
      <c r="L19">
        <v>0</v>
      </c>
      <c r="N19">
        <f t="shared" si="0"/>
        <v>27067</v>
      </c>
    </row>
    <row r="20" spans="1:15">
      <c r="A20" t="s">
        <v>238</v>
      </c>
      <c r="C20">
        <v>1200</v>
      </c>
      <c r="D20" t="s">
        <v>664</v>
      </c>
      <c r="E20">
        <v>5.5</v>
      </c>
      <c r="F20">
        <v>180000</v>
      </c>
      <c r="G20">
        <v>0</v>
      </c>
      <c r="H20">
        <v>0</v>
      </c>
      <c r="I20">
        <v>0</v>
      </c>
      <c r="J20">
        <v>63157</v>
      </c>
      <c r="K20">
        <v>0</v>
      </c>
      <c r="L20">
        <v>155059</v>
      </c>
      <c r="N20">
        <f t="shared" si="0"/>
        <v>218216</v>
      </c>
    </row>
    <row r="21" spans="1:15">
      <c r="A21" t="s">
        <v>667</v>
      </c>
      <c r="C21">
        <v>565</v>
      </c>
      <c r="D21" t="s">
        <v>664</v>
      </c>
      <c r="E21">
        <v>2.54</v>
      </c>
      <c r="F21">
        <v>232500</v>
      </c>
      <c r="G21">
        <v>0</v>
      </c>
      <c r="H21">
        <v>0</v>
      </c>
      <c r="I21">
        <v>0</v>
      </c>
      <c r="J21">
        <v>0</v>
      </c>
      <c r="K21">
        <v>232500</v>
      </c>
      <c r="L21">
        <v>0</v>
      </c>
      <c r="N21">
        <f t="shared" si="0"/>
        <v>232500</v>
      </c>
    </row>
    <row r="22" spans="1:15">
      <c r="A22" t="s">
        <v>668</v>
      </c>
      <c r="C22">
        <v>1000</v>
      </c>
      <c r="D22" t="s">
        <v>664</v>
      </c>
      <c r="E22">
        <v>4.58</v>
      </c>
      <c r="F22">
        <v>458000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N22">
        <f t="shared" si="0"/>
        <v>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G23">
        <v>0</v>
      </c>
      <c r="H23">
        <v>35008</v>
      </c>
      <c r="I23">
        <v>20782</v>
      </c>
      <c r="J23">
        <v>37421</v>
      </c>
      <c r="K23">
        <v>21403</v>
      </c>
      <c r="L23">
        <v>19804</v>
      </c>
      <c r="N23">
        <f t="shared" si="0"/>
        <v>134418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55.17</v>
      </c>
      <c r="F25">
        <f t="shared" ref="F25:O25" si="1">SUM(F16:F24)</f>
        <v>4993500</v>
      </c>
      <c r="G25">
        <f t="shared" si="1"/>
        <v>0</v>
      </c>
      <c r="H25">
        <f t="shared" si="1"/>
        <v>238018</v>
      </c>
      <c r="I25">
        <f t="shared" si="1"/>
        <v>1458808</v>
      </c>
      <c r="J25">
        <f t="shared" si="1"/>
        <v>1734383</v>
      </c>
      <c r="K25">
        <f t="shared" si="1"/>
        <v>551897</v>
      </c>
      <c r="L25">
        <f t="shared" si="1"/>
        <v>529957</v>
      </c>
      <c r="M25">
        <f t="shared" si="1"/>
        <v>0</v>
      </c>
      <c r="N25">
        <f t="shared" si="1"/>
        <v>4513063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3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32"/>
  <sheetViews>
    <sheetView workbookViewId="0">
      <selection activeCell="A3" sqref="A3"/>
    </sheetView>
  </sheetViews>
  <sheetFormatPr defaultRowHeight="12"/>
  <cols>
    <col min="1" max="1" width="32.42578125" style="734" customWidth="1"/>
    <col min="2" max="2" width="9" style="734" customWidth="1"/>
    <col min="3" max="3" width="8.140625" style="734" customWidth="1"/>
    <col min="4" max="4" width="8.7109375" style="734" customWidth="1"/>
    <col min="5" max="5" width="6.7109375" style="734" customWidth="1"/>
    <col min="6" max="6" width="9.5703125" style="734" customWidth="1"/>
    <col min="7" max="7" width="10.5703125" style="734" customWidth="1"/>
    <col min="8" max="8" width="8" style="734" customWidth="1"/>
    <col min="9" max="9" width="8.42578125" style="734" customWidth="1"/>
    <col min="10" max="10" width="8.5703125" style="734" bestFit="1" customWidth="1"/>
    <col min="11" max="12" width="8.140625" style="734" customWidth="1"/>
    <col min="13" max="13" width="10" style="734" customWidth="1"/>
    <col min="14" max="14" width="7.5703125" style="734" customWidth="1"/>
    <col min="15" max="15" width="7.28515625" style="734" customWidth="1"/>
    <col min="16" max="256" width="9.140625" style="734"/>
    <col min="257" max="257" width="32.42578125" style="734" customWidth="1"/>
    <col min="258" max="258" width="9" style="734" customWidth="1"/>
    <col min="259" max="259" width="8.140625" style="734" customWidth="1"/>
    <col min="260" max="260" width="8.7109375" style="734" customWidth="1"/>
    <col min="261" max="261" width="6.7109375" style="734" customWidth="1"/>
    <col min="262" max="262" width="9.5703125" style="734" customWidth="1"/>
    <col min="263" max="263" width="10.5703125" style="734" customWidth="1"/>
    <col min="264" max="264" width="8" style="734" customWidth="1"/>
    <col min="265" max="265" width="8.42578125" style="734" customWidth="1"/>
    <col min="266" max="266" width="8.5703125" style="734" bestFit="1" customWidth="1"/>
    <col min="267" max="268" width="8.140625" style="734" customWidth="1"/>
    <col min="269" max="269" width="10" style="734" customWidth="1"/>
    <col min="270" max="270" width="7.5703125" style="734" customWidth="1"/>
    <col min="271" max="271" width="7.28515625" style="734" customWidth="1"/>
    <col min="272" max="512" width="9.140625" style="734"/>
    <col min="513" max="513" width="32.42578125" style="734" customWidth="1"/>
    <col min="514" max="514" width="9" style="734" customWidth="1"/>
    <col min="515" max="515" width="8.140625" style="734" customWidth="1"/>
    <col min="516" max="516" width="8.7109375" style="734" customWidth="1"/>
    <col min="517" max="517" width="6.7109375" style="734" customWidth="1"/>
    <col min="518" max="518" width="9.5703125" style="734" customWidth="1"/>
    <col min="519" max="519" width="10.5703125" style="734" customWidth="1"/>
    <col min="520" max="520" width="8" style="734" customWidth="1"/>
    <col min="521" max="521" width="8.42578125" style="734" customWidth="1"/>
    <col min="522" max="522" width="8.5703125" style="734" bestFit="1" customWidth="1"/>
    <col min="523" max="524" width="8.140625" style="734" customWidth="1"/>
    <col min="525" max="525" width="10" style="734" customWidth="1"/>
    <col min="526" max="526" width="7.5703125" style="734" customWidth="1"/>
    <col min="527" max="527" width="7.28515625" style="734" customWidth="1"/>
    <col min="528" max="768" width="9.140625" style="734"/>
    <col min="769" max="769" width="32.42578125" style="734" customWidth="1"/>
    <col min="770" max="770" width="9" style="734" customWidth="1"/>
    <col min="771" max="771" width="8.140625" style="734" customWidth="1"/>
    <col min="772" max="772" width="8.7109375" style="734" customWidth="1"/>
    <col min="773" max="773" width="6.7109375" style="734" customWidth="1"/>
    <col min="774" max="774" width="9.5703125" style="734" customWidth="1"/>
    <col min="775" max="775" width="10.5703125" style="734" customWidth="1"/>
    <col min="776" max="776" width="8" style="734" customWidth="1"/>
    <col min="777" max="777" width="8.42578125" style="734" customWidth="1"/>
    <col min="778" max="778" width="8.5703125" style="734" bestFit="1" customWidth="1"/>
    <col min="779" max="780" width="8.140625" style="734" customWidth="1"/>
    <col min="781" max="781" width="10" style="734" customWidth="1"/>
    <col min="782" max="782" width="7.5703125" style="734" customWidth="1"/>
    <col min="783" max="783" width="7.28515625" style="734" customWidth="1"/>
    <col min="784" max="1024" width="9.140625" style="734"/>
    <col min="1025" max="1025" width="32.42578125" style="734" customWidth="1"/>
    <col min="1026" max="1026" width="9" style="734" customWidth="1"/>
    <col min="1027" max="1027" width="8.140625" style="734" customWidth="1"/>
    <col min="1028" max="1028" width="8.7109375" style="734" customWidth="1"/>
    <col min="1029" max="1029" width="6.7109375" style="734" customWidth="1"/>
    <col min="1030" max="1030" width="9.5703125" style="734" customWidth="1"/>
    <col min="1031" max="1031" width="10.5703125" style="734" customWidth="1"/>
    <col min="1032" max="1032" width="8" style="734" customWidth="1"/>
    <col min="1033" max="1033" width="8.42578125" style="734" customWidth="1"/>
    <col min="1034" max="1034" width="8.5703125" style="734" bestFit="1" customWidth="1"/>
    <col min="1035" max="1036" width="8.140625" style="734" customWidth="1"/>
    <col min="1037" max="1037" width="10" style="734" customWidth="1"/>
    <col min="1038" max="1038" width="7.5703125" style="734" customWidth="1"/>
    <col min="1039" max="1039" width="7.28515625" style="734" customWidth="1"/>
    <col min="1040" max="1280" width="9.140625" style="734"/>
    <col min="1281" max="1281" width="32.42578125" style="734" customWidth="1"/>
    <col min="1282" max="1282" width="9" style="734" customWidth="1"/>
    <col min="1283" max="1283" width="8.140625" style="734" customWidth="1"/>
    <col min="1284" max="1284" width="8.7109375" style="734" customWidth="1"/>
    <col min="1285" max="1285" width="6.7109375" style="734" customWidth="1"/>
    <col min="1286" max="1286" width="9.5703125" style="734" customWidth="1"/>
    <col min="1287" max="1287" width="10.5703125" style="734" customWidth="1"/>
    <col min="1288" max="1288" width="8" style="734" customWidth="1"/>
    <col min="1289" max="1289" width="8.42578125" style="734" customWidth="1"/>
    <col min="1290" max="1290" width="8.5703125" style="734" bestFit="1" customWidth="1"/>
    <col min="1291" max="1292" width="8.140625" style="734" customWidth="1"/>
    <col min="1293" max="1293" width="10" style="734" customWidth="1"/>
    <col min="1294" max="1294" width="7.5703125" style="734" customWidth="1"/>
    <col min="1295" max="1295" width="7.28515625" style="734" customWidth="1"/>
    <col min="1296" max="1536" width="9.140625" style="734"/>
    <col min="1537" max="1537" width="32.42578125" style="734" customWidth="1"/>
    <col min="1538" max="1538" width="9" style="734" customWidth="1"/>
    <col min="1539" max="1539" width="8.140625" style="734" customWidth="1"/>
    <col min="1540" max="1540" width="8.7109375" style="734" customWidth="1"/>
    <col min="1541" max="1541" width="6.7109375" style="734" customWidth="1"/>
    <col min="1542" max="1542" width="9.5703125" style="734" customWidth="1"/>
    <col min="1543" max="1543" width="10.5703125" style="734" customWidth="1"/>
    <col min="1544" max="1544" width="8" style="734" customWidth="1"/>
    <col min="1545" max="1545" width="8.42578125" style="734" customWidth="1"/>
    <col min="1546" max="1546" width="8.5703125" style="734" bestFit="1" customWidth="1"/>
    <col min="1547" max="1548" width="8.140625" style="734" customWidth="1"/>
    <col min="1549" max="1549" width="10" style="734" customWidth="1"/>
    <col min="1550" max="1550" width="7.5703125" style="734" customWidth="1"/>
    <col min="1551" max="1551" width="7.28515625" style="734" customWidth="1"/>
    <col min="1552" max="1792" width="9.140625" style="734"/>
    <col min="1793" max="1793" width="32.42578125" style="734" customWidth="1"/>
    <col min="1794" max="1794" width="9" style="734" customWidth="1"/>
    <col min="1795" max="1795" width="8.140625" style="734" customWidth="1"/>
    <col min="1796" max="1796" width="8.7109375" style="734" customWidth="1"/>
    <col min="1797" max="1797" width="6.7109375" style="734" customWidth="1"/>
    <col min="1798" max="1798" width="9.5703125" style="734" customWidth="1"/>
    <col min="1799" max="1799" width="10.5703125" style="734" customWidth="1"/>
    <col min="1800" max="1800" width="8" style="734" customWidth="1"/>
    <col min="1801" max="1801" width="8.42578125" style="734" customWidth="1"/>
    <col min="1802" max="1802" width="8.5703125" style="734" bestFit="1" customWidth="1"/>
    <col min="1803" max="1804" width="8.140625" style="734" customWidth="1"/>
    <col min="1805" max="1805" width="10" style="734" customWidth="1"/>
    <col min="1806" max="1806" width="7.5703125" style="734" customWidth="1"/>
    <col min="1807" max="1807" width="7.28515625" style="734" customWidth="1"/>
    <col min="1808" max="2048" width="9.140625" style="734"/>
    <col min="2049" max="2049" width="32.42578125" style="734" customWidth="1"/>
    <col min="2050" max="2050" width="9" style="734" customWidth="1"/>
    <col min="2051" max="2051" width="8.140625" style="734" customWidth="1"/>
    <col min="2052" max="2052" width="8.7109375" style="734" customWidth="1"/>
    <col min="2053" max="2053" width="6.7109375" style="734" customWidth="1"/>
    <col min="2054" max="2054" width="9.5703125" style="734" customWidth="1"/>
    <col min="2055" max="2055" width="10.5703125" style="734" customWidth="1"/>
    <col min="2056" max="2056" width="8" style="734" customWidth="1"/>
    <col min="2057" max="2057" width="8.42578125" style="734" customWidth="1"/>
    <col min="2058" max="2058" width="8.5703125" style="734" bestFit="1" customWidth="1"/>
    <col min="2059" max="2060" width="8.140625" style="734" customWidth="1"/>
    <col min="2061" max="2061" width="10" style="734" customWidth="1"/>
    <col min="2062" max="2062" width="7.5703125" style="734" customWidth="1"/>
    <col min="2063" max="2063" width="7.28515625" style="734" customWidth="1"/>
    <col min="2064" max="2304" width="9.140625" style="734"/>
    <col min="2305" max="2305" width="32.42578125" style="734" customWidth="1"/>
    <col min="2306" max="2306" width="9" style="734" customWidth="1"/>
    <col min="2307" max="2307" width="8.140625" style="734" customWidth="1"/>
    <col min="2308" max="2308" width="8.7109375" style="734" customWidth="1"/>
    <col min="2309" max="2309" width="6.7109375" style="734" customWidth="1"/>
    <col min="2310" max="2310" width="9.5703125" style="734" customWidth="1"/>
    <col min="2311" max="2311" width="10.5703125" style="734" customWidth="1"/>
    <col min="2312" max="2312" width="8" style="734" customWidth="1"/>
    <col min="2313" max="2313" width="8.42578125" style="734" customWidth="1"/>
    <col min="2314" max="2314" width="8.5703125" style="734" bestFit="1" customWidth="1"/>
    <col min="2315" max="2316" width="8.140625" style="734" customWidth="1"/>
    <col min="2317" max="2317" width="10" style="734" customWidth="1"/>
    <col min="2318" max="2318" width="7.5703125" style="734" customWidth="1"/>
    <col min="2319" max="2319" width="7.28515625" style="734" customWidth="1"/>
    <col min="2320" max="2560" width="9.140625" style="734"/>
    <col min="2561" max="2561" width="32.42578125" style="734" customWidth="1"/>
    <col min="2562" max="2562" width="9" style="734" customWidth="1"/>
    <col min="2563" max="2563" width="8.140625" style="734" customWidth="1"/>
    <col min="2564" max="2564" width="8.7109375" style="734" customWidth="1"/>
    <col min="2565" max="2565" width="6.7109375" style="734" customWidth="1"/>
    <col min="2566" max="2566" width="9.5703125" style="734" customWidth="1"/>
    <col min="2567" max="2567" width="10.5703125" style="734" customWidth="1"/>
    <col min="2568" max="2568" width="8" style="734" customWidth="1"/>
    <col min="2569" max="2569" width="8.42578125" style="734" customWidth="1"/>
    <col min="2570" max="2570" width="8.5703125" style="734" bestFit="1" customWidth="1"/>
    <col min="2571" max="2572" width="8.140625" style="734" customWidth="1"/>
    <col min="2573" max="2573" width="10" style="734" customWidth="1"/>
    <col min="2574" max="2574" width="7.5703125" style="734" customWidth="1"/>
    <col min="2575" max="2575" width="7.28515625" style="734" customWidth="1"/>
    <col min="2576" max="2816" width="9.140625" style="734"/>
    <col min="2817" max="2817" width="32.42578125" style="734" customWidth="1"/>
    <col min="2818" max="2818" width="9" style="734" customWidth="1"/>
    <col min="2819" max="2819" width="8.140625" style="734" customWidth="1"/>
    <col min="2820" max="2820" width="8.7109375" style="734" customWidth="1"/>
    <col min="2821" max="2821" width="6.7109375" style="734" customWidth="1"/>
    <col min="2822" max="2822" width="9.5703125" style="734" customWidth="1"/>
    <col min="2823" max="2823" width="10.5703125" style="734" customWidth="1"/>
    <col min="2824" max="2824" width="8" style="734" customWidth="1"/>
    <col min="2825" max="2825" width="8.42578125" style="734" customWidth="1"/>
    <col min="2826" max="2826" width="8.5703125" style="734" bestFit="1" customWidth="1"/>
    <col min="2827" max="2828" width="8.140625" style="734" customWidth="1"/>
    <col min="2829" max="2829" width="10" style="734" customWidth="1"/>
    <col min="2830" max="2830" width="7.5703125" style="734" customWidth="1"/>
    <col min="2831" max="2831" width="7.28515625" style="734" customWidth="1"/>
    <col min="2832" max="3072" width="9.140625" style="734"/>
    <col min="3073" max="3073" width="32.42578125" style="734" customWidth="1"/>
    <col min="3074" max="3074" width="9" style="734" customWidth="1"/>
    <col min="3075" max="3075" width="8.140625" style="734" customWidth="1"/>
    <col min="3076" max="3076" width="8.7109375" style="734" customWidth="1"/>
    <col min="3077" max="3077" width="6.7109375" style="734" customWidth="1"/>
    <col min="3078" max="3078" width="9.5703125" style="734" customWidth="1"/>
    <col min="3079" max="3079" width="10.5703125" style="734" customWidth="1"/>
    <col min="3080" max="3080" width="8" style="734" customWidth="1"/>
    <col min="3081" max="3081" width="8.42578125" style="734" customWidth="1"/>
    <col min="3082" max="3082" width="8.5703125" style="734" bestFit="1" customWidth="1"/>
    <col min="3083" max="3084" width="8.140625" style="734" customWidth="1"/>
    <col min="3085" max="3085" width="10" style="734" customWidth="1"/>
    <col min="3086" max="3086" width="7.5703125" style="734" customWidth="1"/>
    <col min="3087" max="3087" width="7.28515625" style="734" customWidth="1"/>
    <col min="3088" max="3328" width="9.140625" style="734"/>
    <col min="3329" max="3329" width="32.42578125" style="734" customWidth="1"/>
    <col min="3330" max="3330" width="9" style="734" customWidth="1"/>
    <col min="3331" max="3331" width="8.140625" style="734" customWidth="1"/>
    <col min="3332" max="3332" width="8.7109375" style="734" customWidth="1"/>
    <col min="3333" max="3333" width="6.7109375" style="734" customWidth="1"/>
    <col min="3334" max="3334" width="9.5703125" style="734" customWidth="1"/>
    <col min="3335" max="3335" width="10.5703125" style="734" customWidth="1"/>
    <col min="3336" max="3336" width="8" style="734" customWidth="1"/>
    <col min="3337" max="3337" width="8.42578125" style="734" customWidth="1"/>
    <col min="3338" max="3338" width="8.5703125" style="734" bestFit="1" customWidth="1"/>
    <col min="3339" max="3340" width="8.140625" style="734" customWidth="1"/>
    <col min="3341" max="3341" width="10" style="734" customWidth="1"/>
    <col min="3342" max="3342" width="7.5703125" style="734" customWidth="1"/>
    <col min="3343" max="3343" width="7.28515625" style="734" customWidth="1"/>
    <col min="3344" max="3584" width="9.140625" style="734"/>
    <col min="3585" max="3585" width="32.42578125" style="734" customWidth="1"/>
    <col min="3586" max="3586" width="9" style="734" customWidth="1"/>
    <col min="3587" max="3587" width="8.140625" style="734" customWidth="1"/>
    <col min="3588" max="3588" width="8.7109375" style="734" customWidth="1"/>
    <col min="3589" max="3589" width="6.7109375" style="734" customWidth="1"/>
    <col min="3590" max="3590" width="9.5703125" style="734" customWidth="1"/>
    <col min="3591" max="3591" width="10.5703125" style="734" customWidth="1"/>
    <col min="3592" max="3592" width="8" style="734" customWidth="1"/>
    <col min="3593" max="3593" width="8.42578125" style="734" customWidth="1"/>
    <col min="3594" max="3594" width="8.5703125" style="734" bestFit="1" customWidth="1"/>
    <col min="3595" max="3596" width="8.140625" style="734" customWidth="1"/>
    <col min="3597" max="3597" width="10" style="734" customWidth="1"/>
    <col min="3598" max="3598" width="7.5703125" style="734" customWidth="1"/>
    <col min="3599" max="3599" width="7.28515625" style="734" customWidth="1"/>
    <col min="3600" max="3840" width="9.140625" style="734"/>
    <col min="3841" max="3841" width="32.42578125" style="734" customWidth="1"/>
    <col min="3842" max="3842" width="9" style="734" customWidth="1"/>
    <col min="3843" max="3843" width="8.140625" style="734" customWidth="1"/>
    <col min="3844" max="3844" width="8.7109375" style="734" customWidth="1"/>
    <col min="3845" max="3845" width="6.7109375" style="734" customWidth="1"/>
    <col min="3846" max="3846" width="9.5703125" style="734" customWidth="1"/>
    <col min="3847" max="3847" width="10.5703125" style="734" customWidth="1"/>
    <col min="3848" max="3848" width="8" style="734" customWidth="1"/>
    <col min="3849" max="3849" width="8.42578125" style="734" customWidth="1"/>
    <col min="3850" max="3850" width="8.5703125" style="734" bestFit="1" customWidth="1"/>
    <col min="3851" max="3852" width="8.140625" style="734" customWidth="1"/>
    <col min="3853" max="3853" width="10" style="734" customWidth="1"/>
    <col min="3854" max="3854" width="7.5703125" style="734" customWidth="1"/>
    <col min="3855" max="3855" width="7.28515625" style="734" customWidth="1"/>
    <col min="3856" max="4096" width="9.140625" style="734"/>
    <col min="4097" max="4097" width="32.42578125" style="734" customWidth="1"/>
    <col min="4098" max="4098" width="9" style="734" customWidth="1"/>
    <col min="4099" max="4099" width="8.140625" style="734" customWidth="1"/>
    <col min="4100" max="4100" width="8.7109375" style="734" customWidth="1"/>
    <col min="4101" max="4101" width="6.7109375" style="734" customWidth="1"/>
    <col min="4102" max="4102" width="9.5703125" style="734" customWidth="1"/>
    <col min="4103" max="4103" width="10.5703125" style="734" customWidth="1"/>
    <col min="4104" max="4104" width="8" style="734" customWidth="1"/>
    <col min="4105" max="4105" width="8.42578125" style="734" customWidth="1"/>
    <col min="4106" max="4106" width="8.5703125" style="734" bestFit="1" customWidth="1"/>
    <col min="4107" max="4108" width="8.140625" style="734" customWidth="1"/>
    <col min="4109" max="4109" width="10" style="734" customWidth="1"/>
    <col min="4110" max="4110" width="7.5703125" style="734" customWidth="1"/>
    <col min="4111" max="4111" width="7.28515625" style="734" customWidth="1"/>
    <col min="4112" max="4352" width="9.140625" style="734"/>
    <col min="4353" max="4353" width="32.42578125" style="734" customWidth="1"/>
    <col min="4354" max="4354" width="9" style="734" customWidth="1"/>
    <col min="4355" max="4355" width="8.140625" style="734" customWidth="1"/>
    <col min="4356" max="4356" width="8.7109375" style="734" customWidth="1"/>
    <col min="4357" max="4357" width="6.7109375" style="734" customWidth="1"/>
    <col min="4358" max="4358" width="9.5703125" style="734" customWidth="1"/>
    <col min="4359" max="4359" width="10.5703125" style="734" customWidth="1"/>
    <col min="4360" max="4360" width="8" style="734" customWidth="1"/>
    <col min="4361" max="4361" width="8.42578125" style="734" customWidth="1"/>
    <col min="4362" max="4362" width="8.5703125" style="734" bestFit="1" customWidth="1"/>
    <col min="4363" max="4364" width="8.140625" style="734" customWidth="1"/>
    <col min="4365" max="4365" width="10" style="734" customWidth="1"/>
    <col min="4366" max="4366" width="7.5703125" style="734" customWidth="1"/>
    <col min="4367" max="4367" width="7.28515625" style="734" customWidth="1"/>
    <col min="4368" max="4608" width="9.140625" style="734"/>
    <col min="4609" max="4609" width="32.42578125" style="734" customWidth="1"/>
    <col min="4610" max="4610" width="9" style="734" customWidth="1"/>
    <col min="4611" max="4611" width="8.140625" style="734" customWidth="1"/>
    <col min="4612" max="4612" width="8.7109375" style="734" customWidth="1"/>
    <col min="4613" max="4613" width="6.7109375" style="734" customWidth="1"/>
    <col min="4614" max="4614" width="9.5703125" style="734" customWidth="1"/>
    <col min="4615" max="4615" width="10.5703125" style="734" customWidth="1"/>
    <col min="4616" max="4616" width="8" style="734" customWidth="1"/>
    <col min="4617" max="4617" width="8.42578125" style="734" customWidth="1"/>
    <col min="4618" max="4618" width="8.5703125" style="734" bestFit="1" customWidth="1"/>
    <col min="4619" max="4620" width="8.140625" style="734" customWidth="1"/>
    <col min="4621" max="4621" width="10" style="734" customWidth="1"/>
    <col min="4622" max="4622" width="7.5703125" style="734" customWidth="1"/>
    <col min="4623" max="4623" width="7.28515625" style="734" customWidth="1"/>
    <col min="4624" max="4864" width="9.140625" style="734"/>
    <col min="4865" max="4865" width="32.42578125" style="734" customWidth="1"/>
    <col min="4866" max="4866" width="9" style="734" customWidth="1"/>
    <col min="4867" max="4867" width="8.140625" style="734" customWidth="1"/>
    <col min="4868" max="4868" width="8.7109375" style="734" customWidth="1"/>
    <col min="4869" max="4869" width="6.7109375" style="734" customWidth="1"/>
    <col min="4870" max="4870" width="9.5703125" style="734" customWidth="1"/>
    <col min="4871" max="4871" width="10.5703125" style="734" customWidth="1"/>
    <col min="4872" max="4872" width="8" style="734" customWidth="1"/>
    <col min="4873" max="4873" width="8.42578125" style="734" customWidth="1"/>
    <col min="4874" max="4874" width="8.5703125" style="734" bestFit="1" customWidth="1"/>
    <col min="4875" max="4876" width="8.140625" style="734" customWidth="1"/>
    <col min="4877" max="4877" width="10" style="734" customWidth="1"/>
    <col min="4878" max="4878" width="7.5703125" style="734" customWidth="1"/>
    <col min="4879" max="4879" width="7.28515625" style="734" customWidth="1"/>
    <col min="4880" max="5120" width="9.140625" style="734"/>
    <col min="5121" max="5121" width="32.42578125" style="734" customWidth="1"/>
    <col min="5122" max="5122" width="9" style="734" customWidth="1"/>
    <col min="5123" max="5123" width="8.140625" style="734" customWidth="1"/>
    <col min="5124" max="5124" width="8.7109375" style="734" customWidth="1"/>
    <col min="5125" max="5125" width="6.7109375" style="734" customWidth="1"/>
    <col min="5126" max="5126" width="9.5703125" style="734" customWidth="1"/>
    <col min="5127" max="5127" width="10.5703125" style="734" customWidth="1"/>
    <col min="5128" max="5128" width="8" style="734" customWidth="1"/>
    <col min="5129" max="5129" width="8.42578125" style="734" customWidth="1"/>
    <col min="5130" max="5130" width="8.5703125" style="734" bestFit="1" customWidth="1"/>
    <col min="5131" max="5132" width="8.140625" style="734" customWidth="1"/>
    <col min="5133" max="5133" width="10" style="734" customWidth="1"/>
    <col min="5134" max="5134" width="7.5703125" style="734" customWidth="1"/>
    <col min="5135" max="5135" width="7.28515625" style="734" customWidth="1"/>
    <col min="5136" max="5376" width="9.140625" style="734"/>
    <col min="5377" max="5377" width="32.42578125" style="734" customWidth="1"/>
    <col min="5378" max="5378" width="9" style="734" customWidth="1"/>
    <col min="5379" max="5379" width="8.140625" style="734" customWidth="1"/>
    <col min="5380" max="5380" width="8.7109375" style="734" customWidth="1"/>
    <col min="5381" max="5381" width="6.7109375" style="734" customWidth="1"/>
    <col min="5382" max="5382" width="9.5703125" style="734" customWidth="1"/>
    <col min="5383" max="5383" width="10.5703125" style="734" customWidth="1"/>
    <col min="5384" max="5384" width="8" style="734" customWidth="1"/>
    <col min="5385" max="5385" width="8.42578125" style="734" customWidth="1"/>
    <col min="5386" max="5386" width="8.5703125" style="734" bestFit="1" customWidth="1"/>
    <col min="5387" max="5388" width="8.140625" style="734" customWidth="1"/>
    <col min="5389" max="5389" width="10" style="734" customWidth="1"/>
    <col min="5390" max="5390" width="7.5703125" style="734" customWidth="1"/>
    <col min="5391" max="5391" width="7.28515625" style="734" customWidth="1"/>
    <col min="5392" max="5632" width="9.140625" style="734"/>
    <col min="5633" max="5633" width="32.42578125" style="734" customWidth="1"/>
    <col min="5634" max="5634" width="9" style="734" customWidth="1"/>
    <col min="5635" max="5635" width="8.140625" style="734" customWidth="1"/>
    <col min="5636" max="5636" width="8.7109375" style="734" customWidth="1"/>
    <col min="5637" max="5637" width="6.7109375" style="734" customWidth="1"/>
    <col min="5638" max="5638" width="9.5703125" style="734" customWidth="1"/>
    <col min="5639" max="5639" width="10.5703125" style="734" customWidth="1"/>
    <col min="5640" max="5640" width="8" style="734" customWidth="1"/>
    <col min="5641" max="5641" width="8.42578125" style="734" customWidth="1"/>
    <col min="5642" max="5642" width="8.5703125" style="734" bestFit="1" customWidth="1"/>
    <col min="5643" max="5644" width="8.140625" style="734" customWidth="1"/>
    <col min="5645" max="5645" width="10" style="734" customWidth="1"/>
    <col min="5646" max="5646" width="7.5703125" style="734" customWidth="1"/>
    <col min="5647" max="5647" width="7.28515625" style="734" customWidth="1"/>
    <col min="5648" max="5888" width="9.140625" style="734"/>
    <col min="5889" max="5889" width="32.42578125" style="734" customWidth="1"/>
    <col min="5890" max="5890" width="9" style="734" customWidth="1"/>
    <col min="5891" max="5891" width="8.140625" style="734" customWidth="1"/>
    <col min="5892" max="5892" width="8.7109375" style="734" customWidth="1"/>
    <col min="5893" max="5893" width="6.7109375" style="734" customWidth="1"/>
    <col min="5894" max="5894" width="9.5703125" style="734" customWidth="1"/>
    <col min="5895" max="5895" width="10.5703125" style="734" customWidth="1"/>
    <col min="5896" max="5896" width="8" style="734" customWidth="1"/>
    <col min="5897" max="5897" width="8.42578125" style="734" customWidth="1"/>
    <col min="5898" max="5898" width="8.5703125" style="734" bestFit="1" customWidth="1"/>
    <col min="5899" max="5900" width="8.140625" style="734" customWidth="1"/>
    <col min="5901" max="5901" width="10" style="734" customWidth="1"/>
    <col min="5902" max="5902" width="7.5703125" style="734" customWidth="1"/>
    <col min="5903" max="5903" width="7.28515625" style="734" customWidth="1"/>
    <col min="5904" max="6144" width="9.140625" style="734"/>
    <col min="6145" max="6145" width="32.42578125" style="734" customWidth="1"/>
    <col min="6146" max="6146" width="9" style="734" customWidth="1"/>
    <col min="6147" max="6147" width="8.140625" style="734" customWidth="1"/>
    <col min="6148" max="6148" width="8.7109375" style="734" customWidth="1"/>
    <col min="6149" max="6149" width="6.7109375" style="734" customWidth="1"/>
    <col min="6150" max="6150" width="9.5703125" style="734" customWidth="1"/>
    <col min="6151" max="6151" width="10.5703125" style="734" customWidth="1"/>
    <col min="6152" max="6152" width="8" style="734" customWidth="1"/>
    <col min="6153" max="6153" width="8.42578125" style="734" customWidth="1"/>
    <col min="6154" max="6154" width="8.5703125" style="734" bestFit="1" customWidth="1"/>
    <col min="6155" max="6156" width="8.140625" style="734" customWidth="1"/>
    <col min="6157" max="6157" width="10" style="734" customWidth="1"/>
    <col min="6158" max="6158" width="7.5703125" style="734" customWidth="1"/>
    <col min="6159" max="6159" width="7.28515625" style="734" customWidth="1"/>
    <col min="6160" max="6400" width="9.140625" style="734"/>
    <col min="6401" max="6401" width="32.42578125" style="734" customWidth="1"/>
    <col min="6402" max="6402" width="9" style="734" customWidth="1"/>
    <col min="6403" max="6403" width="8.140625" style="734" customWidth="1"/>
    <col min="6404" max="6404" width="8.7109375" style="734" customWidth="1"/>
    <col min="6405" max="6405" width="6.7109375" style="734" customWidth="1"/>
    <col min="6406" max="6406" width="9.5703125" style="734" customWidth="1"/>
    <col min="6407" max="6407" width="10.5703125" style="734" customWidth="1"/>
    <col min="6408" max="6408" width="8" style="734" customWidth="1"/>
    <col min="6409" max="6409" width="8.42578125" style="734" customWidth="1"/>
    <col min="6410" max="6410" width="8.5703125" style="734" bestFit="1" customWidth="1"/>
    <col min="6411" max="6412" width="8.140625" style="734" customWidth="1"/>
    <col min="6413" max="6413" width="10" style="734" customWidth="1"/>
    <col min="6414" max="6414" width="7.5703125" style="734" customWidth="1"/>
    <col min="6415" max="6415" width="7.28515625" style="734" customWidth="1"/>
    <col min="6416" max="6656" width="9.140625" style="734"/>
    <col min="6657" max="6657" width="32.42578125" style="734" customWidth="1"/>
    <col min="6658" max="6658" width="9" style="734" customWidth="1"/>
    <col min="6659" max="6659" width="8.140625" style="734" customWidth="1"/>
    <col min="6660" max="6660" width="8.7109375" style="734" customWidth="1"/>
    <col min="6661" max="6661" width="6.7109375" style="734" customWidth="1"/>
    <col min="6662" max="6662" width="9.5703125" style="734" customWidth="1"/>
    <col min="6663" max="6663" width="10.5703125" style="734" customWidth="1"/>
    <col min="6664" max="6664" width="8" style="734" customWidth="1"/>
    <col min="6665" max="6665" width="8.42578125" style="734" customWidth="1"/>
    <col min="6666" max="6666" width="8.5703125" style="734" bestFit="1" customWidth="1"/>
    <col min="6667" max="6668" width="8.140625" style="734" customWidth="1"/>
    <col min="6669" max="6669" width="10" style="734" customWidth="1"/>
    <col min="6670" max="6670" width="7.5703125" style="734" customWidth="1"/>
    <col min="6671" max="6671" width="7.28515625" style="734" customWidth="1"/>
    <col min="6672" max="6912" width="9.140625" style="734"/>
    <col min="6913" max="6913" width="32.42578125" style="734" customWidth="1"/>
    <col min="6914" max="6914" width="9" style="734" customWidth="1"/>
    <col min="6915" max="6915" width="8.140625" style="734" customWidth="1"/>
    <col min="6916" max="6916" width="8.7109375" style="734" customWidth="1"/>
    <col min="6917" max="6917" width="6.7109375" style="734" customWidth="1"/>
    <col min="6918" max="6918" width="9.5703125" style="734" customWidth="1"/>
    <col min="6919" max="6919" width="10.5703125" style="734" customWidth="1"/>
    <col min="6920" max="6920" width="8" style="734" customWidth="1"/>
    <col min="6921" max="6921" width="8.42578125" style="734" customWidth="1"/>
    <col min="6922" max="6922" width="8.5703125" style="734" bestFit="1" customWidth="1"/>
    <col min="6923" max="6924" width="8.140625" style="734" customWidth="1"/>
    <col min="6925" max="6925" width="10" style="734" customWidth="1"/>
    <col min="6926" max="6926" width="7.5703125" style="734" customWidth="1"/>
    <col min="6927" max="6927" width="7.28515625" style="734" customWidth="1"/>
    <col min="6928" max="7168" width="9.140625" style="734"/>
    <col min="7169" max="7169" width="32.42578125" style="734" customWidth="1"/>
    <col min="7170" max="7170" width="9" style="734" customWidth="1"/>
    <col min="7171" max="7171" width="8.140625" style="734" customWidth="1"/>
    <col min="7172" max="7172" width="8.7109375" style="734" customWidth="1"/>
    <col min="7173" max="7173" width="6.7109375" style="734" customWidth="1"/>
    <col min="7174" max="7174" width="9.5703125" style="734" customWidth="1"/>
    <col min="7175" max="7175" width="10.5703125" style="734" customWidth="1"/>
    <col min="7176" max="7176" width="8" style="734" customWidth="1"/>
    <col min="7177" max="7177" width="8.42578125" style="734" customWidth="1"/>
    <col min="7178" max="7178" width="8.5703125" style="734" bestFit="1" customWidth="1"/>
    <col min="7179" max="7180" width="8.140625" style="734" customWidth="1"/>
    <col min="7181" max="7181" width="10" style="734" customWidth="1"/>
    <col min="7182" max="7182" width="7.5703125" style="734" customWidth="1"/>
    <col min="7183" max="7183" width="7.28515625" style="734" customWidth="1"/>
    <col min="7184" max="7424" width="9.140625" style="734"/>
    <col min="7425" max="7425" width="32.42578125" style="734" customWidth="1"/>
    <col min="7426" max="7426" width="9" style="734" customWidth="1"/>
    <col min="7427" max="7427" width="8.140625" style="734" customWidth="1"/>
    <col min="7428" max="7428" width="8.7109375" style="734" customWidth="1"/>
    <col min="7429" max="7429" width="6.7109375" style="734" customWidth="1"/>
    <col min="7430" max="7430" width="9.5703125" style="734" customWidth="1"/>
    <col min="7431" max="7431" width="10.5703125" style="734" customWidth="1"/>
    <col min="7432" max="7432" width="8" style="734" customWidth="1"/>
    <col min="7433" max="7433" width="8.42578125" style="734" customWidth="1"/>
    <col min="7434" max="7434" width="8.5703125" style="734" bestFit="1" customWidth="1"/>
    <col min="7435" max="7436" width="8.140625" style="734" customWidth="1"/>
    <col min="7437" max="7437" width="10" style="734" customWidth="1"/>
    <col min="7438" max="7438" width="7.5703125" style="734" customWidth="1"/>
    <col min="7439" max="7439" width="7.28515625" style="734" customWidth="1"/>
    <col min="7440" max="7680" width="9.140625" style="734"/>
    <col min="7681" max="7681" width="32.42578125" style="734" customWidth="1"/>
    <col min="7682" max="7682" width="9" style="734" customWidth="1"/>
    <col min="7683" max="7683" width="8.140625" style="734" customWidth="1"/>
    <col min="7684" max="7684" width="8.7109375" style="734" customWidth="1"/>
    <col min="7685" max="7685" width="6.7109375" style="734" customWidth="1"/>
    <col min="7686" max="7686" width="9.5703125" style="734" customWidth="1"/>
    <col min="7687" max="7687" width="10.5703125" style="734" customWidth="1"/>
    <col min="7688" max="7688" width="8" style="734" customWidth="1"/>
    <col min="7689" max="7689" width="8.42578125" style="734" customWidth="1"/>
    <col min="7690" max="7690" width="8.5703125" style="734" bestFit="1" customWidth="1"/>
    <col min="7691" max="7692" width="8.140625" style="734" customWidth="1"/>
    <col min="7693" max="7693" width="10" style="734" customWidth="1"/>
    <col min="7694" max="7694" width="7.5703125" style="734" customWidth="1"/>
    <col min="7695" max="7695" width="7.28515625" style="734" customWidth="1"/>
    <col min="7696" max="7936" width="9.140625" style="734"/>
    <col min="7937" max="7937" width="32.42578125" style="734" customWidth="1"/>
    <col min="7938" max="7938" width="9" style="734" customWidth="1"/>
    <col min="7939" max="7939" width="8.140625" style="734" customWidth="1"/>
    <col min="7940" max="7940" width="8.7109375" style="734" customWidth="1"/>
    <col min="7941" max="7941" width="6.7109375" style="734" customWidth="1"/>
    <col min="7942" max="7942" width="9.5703125" style="734" customWidth="1"/>
    <col min="7943" max="7943" width="10.5703125" style="734" customWidth="1"/>
    <col min="7944" max="7944" width="8" style="734" customWidth="1"/>
    <col min="7945" max="7945" width="8.42578125" style="734" customWidth="1"/>
    <col min="7946" max="7946" width="8.5703125" style="734" bestFit="1" customWidth="1"/>
    <col min="7947" max="7948" width="8.140625" style="734" customWidth="1"/>
    <col min="7949" max="7949" width="10" style="734" customWidth="1"/>
    <col min="7950" max="7950" width="7.5703125" style="734" customWidth="1"/>
    <col min="7951" max="7951" width="7.28515625" style="734" customWidth="1"/>
    <col min="7952" max="8192" width="9.140625" style="734"/>
    <col min="8193" max="8193" width="32.42578125" style="734" customWidth="1"/>
    <col min="8194" max="8194" width="9" style="734" customWidth="1"/>
    <col min="8195" max="8195" width="8.140625" style="734" customWidth="1"/>
    <col min="8196" max="8196" width="8.7109375" style="734" customWidth="1"/>
    <col min="8197" max="8197" width="6.7109375" style="734" customWidth="1"/>
    <col min="8198" max="8198" width="9.5703125" style="734" customWidth="1"/>
    <col min="8199" max="8199" width="10.5703125" style="734" customWidth="1"/>
    <col min="8200" max="8200" width="8" style="734" customWidth="1"/>
    <col min="8201" max="8201" width="8.42578125" style="734" customWidth="1"/>
    <col min="8202" max="8202" width="8.5703125" style="734" bestFit="1" customWidth="1"/>
    <col min="8203" max="8204" width="8.140625" style="734" customWidth="1"/>
    <col min="8205" max="8205" width="10" style="734" customWidth="1"/>
    <col min="8206" max="8206" width="7.5703125" style="734" customWidth="1"/>
    <col min="8207" max="8207" width="7.28515625" style="734" customWidth="1"/>
    <col min="8208" max="8448" width="9.140625" style="734"/>
    <col min="8449" max="8449" width="32.42578125" style="734" customWidth="1"/>
    <col min="8450" max="8450" width="9" style="734" customWidth="1"/>
    <col min="8451" max="8451" width="8.140625" style="734" customWidth="1"/>
    <col min="8452" max="8452" width="8.7109375" style="734" customWidth="1"/>
    <col min="8453" max="8453" width="6.7109375" style="734" customWidth="1"/>
    <col min="8454" max="8454" width="9.5703125" style="734" customWidth="1"/>
    <col min="8455" max="8455" width="10.5703125" style="734" customWidth="1"/>
    <col min="8456" max="8456" width="8" style="734" customWidth="1"/>
    <col min="8457" max="8457" width="8.42578125" style="734" customWidth="1"/>
    <col min="8458" max="8458" width="8.5703125" style="734" bestFit="1" customWidth="1"/>
    <col min="8459" max="8460" width="8.140625" style="734" customWidth="1"/>
    <col min="8461" max="8461" width="10" style="734" customWidth="1"/>
    <col min="8462" max="8462" width="7.5703125" style="734" customWidth="1"/>
    <col min="8463" max="8463" width="7.28515625" style="734" customWidth="1"/>
    <col min="8464" max="8704" width="9.140625" style="734"/>
    <col min="8705" max="8705" width="32.42578125" style="734" customWidth="1"/>
    <col min="8706" max="8706" width="9" style="734" customWidth="1"/>
    <col min="8707" max="8707" width="8.140625" style="734" customWidth="1"/>
    <col min="8708" max="8708" width="8.7109375" style="734" customWidth="1"/>
    <col min="8709" max="8709" width="6.7109375" style="734" customWidth="1"/>
    <col min="8710" max="8710" width="9.5703125" style="734" customWidth="1"/>
    <col min="8711" max="8711" width="10.5703125" style="734" customWidth="1"/>
    <col min="8712" max="8712" width="8" style="734" customWidth="1"/>
    <col min="8713" max="8713" width="8.42578125" style="734" customWidth="1"/>
    <col min="8714" max="8714" width="8.5703125" style="734" bestFit="1" customWidth="1"/>
    <col min="8715" max="8716" width="8.140625" style="734" customWidth="1"/>
    <col min="8717" max="8717" width="10" style="734" customWidth="1"/>
    <col min="8718" max="8718" width="7.5703125" style="734" customWidth="1"/>
    <col min="8719" max="8719" width="7.28515625" style="734" customWidth="1"/>
    <col min="8720" max="8960" width="9.140625" style="734"/>
    <col min="8961" max="8961" width="32.42578125" style="734" customWidth="1"/>
    <col min="8962" max="8962" width="9" style="734" customWidth="1"/>
    <col min="8963" max="8963" width="8.140625" style="734" customWidth="1"/>
    <col min="8964" max="8964" width="8.7109375" style="734" customWidth="1"/>
    <col min="8965" max="8965" width="6.7109375" style="734" customWidth="1"/>
    <col min="8966" max="8966" width="9.5703125" style="734" customWidth="1"/>
    <col min="8967" max="8967" width="10.5703125" style="734" customWidth="1"/>
    <col min="8968" max="8968" width="8" style="734" customWidth="1"/>
    <col min="8969" max="8969" width="8.42578125" style="734" customWidth="1"/>
    <col min="8970" max="8970" width="8.5703125" style="734" bestFit="1" customWidth="1"/>
    <col min="8971" max="8972" width="8.140625" style="734" customWidth="1"/>
    <col min="8973" max="8973" width="10" style="734" customWidth="1"/>
    <col min="8974" max="8974" width="7.5703125" style="734" customWidth="1"/>
    <col min="8975" max="8975" width="7.28515625" style="734" customWidth="1"/>
    <col min="8976" max="9216" width="9.140625" style="734"/>
    <col min="9217" max="9217" width="32.42578125" style="734" customWidth="1"/>
    <col min="9218" max="9218" width="9" style="734" customWidth="1"/>
    <col min="9219" max="9219" width="8.140625" style="734" customWidth="1"/>
    <col min="9220" max="9220" width="8.7109375" style="734" customWidth="1"/>
    <col min="9221" max="9221" width="6.7109375" style="734" customWidth="1"/>
    <col min="9222" max="9222" width="9.5703125" style="734" customWidth="1"/>
    <col min="9223" max="9223" width="10.5703125" style="734" customWidth="1"/>
    <col min="9224" max="9224" width="8" style="734" customWidth="1"/>
    <col min="9225" max="9225" width="8.42578125" style="734" customWidth="1"/>
    <col min="9226" max="9226" width="8.5703125" style="734" bestFit="1" customWidth="1"/>
    <col min="9227" max="9228" width="8.140625" style="734" customWidth="1"/>
    <col min="9229" max="9229" width="10" style="734" customWidth="1"/>
    <col min="9230" max="9230" width="7.5703125" style="734" customWidth="1"/>
    <col min="9231" max="9231" width="7.28515625" style="734" customWidth="1"/>
    <col min="9232" max="9472" width="9.140625" style="734"/>
    <col min="9473" max="9473" width="32.42578125" style="734" customWidth="1"/>
    <col min="9474" max="9474" width="9" style="734" customWidth="1"/>
    <col min="9475" max="9475" width="8.140625" style="734" customWidth="1"/>
    <col min="9476" max="9476" width="8.7109375" style="734" customWidth="1"/>
    <col min="9477" max="9477" width="6.7109375" style="734" customWidth="1"/>
    <col min="9478" max="9478" width="9.5703125" style="734" customWidth="1"/>
    <col min="9479" max="9479" width="10.5703125" style="734" customWidth="1"/>
    <col min="9480" max="9480" width="8" style="734" customWidth="1"/>
    <col min="9481" max="9481" width="8.42578125" style="734" customWidth="1"/>
    <col min="9482" max="9482" width="8.5703125" style="734" bestFit="1" customWidth="1"/>
    <col min="9483" max="9484" width="8.140625" style="734" customWidth="1"/>
    <col min="9485" max="9485" width="10" style="734" customWidth="1"/>
    <col min="9486" max="9486" width="7.5703125" style="734" customWidth="1"/>
    <col min="9487" max="9487" width="7.28515625" style="734" customWidth="1"/>
    <col min="9488" max="9728" width="9.140625" style="734"/>
    <col min="9729" max="9729" width="32.42578125" style="734" customWidth="1"/>
    <col min="9730" max="9730" width="9" style="734" customWidth="1"/>
    <col min="9731" max="9731" width="8.140625" style="734" customWidth="1"/>
    <col min="9732" max="9732" width="8.7109375" style="734" customWidth="1"/>
    <col min="9733" max="9733" width="6.7109375" style="734" customWidth="1"/>
    <col min="9734" max="9734" width="9.5703125" style="734" customWidth="1"/>
    <col min="9735" max="9735" width="10.5703125" style="734" customWidth="1"/>
    <col min="9736" max="9736" width="8" style="734" customWidth="1"/>
    <col min="9737" max="9737" width="8.42578125" style="734" customWidth="1"/>
    <col min="9738" max="9738" width="8.5703125" style="734" bestFit="1" customWidth="1"/>
    <col min="9739" max="9740" width="8.140625" style="734" customWidth="1"/>
    <col min="9741" max="9741" width="10" style="734" customWidth="1"/>
    <col min="9742" max="9742" width="7.5703125" style="734" customWidth="1"/>
    <col min="9743" max="9743" width="7.28515625" style="734" customWidth="1"/>
    <col min="9744" max="9984" width="9.140625" style="734"/>
    <col min="9985" max="9985" width="32.42578125" style="734" customWidth="1"/>
    <col min="9986" max="9986" width="9" style="734" customWidth="1"/>
    <col min="9987" max="9987" width="8.140625" style="734" customWidth="1"/>
    <col min="9988" max="9988" width="8.7109375" style="734" customWidth="1"/>
    <col min="9989" max="9989" width="6.7109375" style="734" customWidth="1"/>
    <col min="9990" max="9990" width="9.5703125" style="734" customWidth="1"/>
    <col min="9991" max="9991" width="10.5703125" style="734" customWidth="1"/>
    <col min="9992" max="9992" width="8" style="734" customWidth="1"/>
    <col min="9993" max="9993" width="8.42578125" style="734" customWidth="1"/>
    <col min="9994" max="9994" width="8.5703125" style="734" bestFit="1" customWidth="1"/>
    <col min="9995" max="9996" width="8.140625" style="734" customWidth="1"/>
    <col min="9997" max="9997" width="10" style="734" customWidth="1"/>
    <col min="9998" max="9998" width="7.5703125" style="734" customWidth="1"/>
    <col min="9999" max="9999" width="7.28515625" style="734" customWidth="1"/>
    <col min="10000" max="10240" width="9.140625" style="734"/>
    <col min="10241" max="10241" width="32.42578125" style="734" customWidth="1"/>
    <col min="10242" max="10242" width="9" style="734" customWidth="1"/>
    <col min="10243" max="10243" width="8.140625" style="734" customWidth="1"/>
    <col min="10244" max="10244" width="8.7109375" style="734" customWidth="1"/>
    <col min="10245" max="10245" width="6.7109375" style="734" customWidth="1"/>
    <col min="10246" max="10246" width="9.5703125" style="734" customWidth="1"/>
    <col min="10247" max="10247" width="10.5703125" style="734" customWidth="1"/>
    <col min="10248" max="10248" width="8" style="734" customWidth="1"/>
    <col min="10249" max="10249" width="8.42578125" style="734" customWidth="1"/>
    <col min="10250" max="10250" width="8.5703125" style="734" bestFit="1" customWidth="1"/>
    <col min="10251" max="10252" width="8.140625" style="734" customWidth="1"/>
    <col min="10253" max="10253" width="10" style="734" customWidth="1"/>
    <col min="10254" max="10254" width="7.5703125" style="734" customWidth="1"/>
    <col min="10255" max="10255" width="7.28515625" style="734" customWidth="1"/>
    <col min="10256" max="10496" width="9.140625" style="734"/>
    <col min="10497" max="10497" width="32.42578125" style="734" customWidth="1"/>
    <col min="10498" max="10498" width="9" style="734" customWidth="1"/>
    <col min="10499" max="10499" width="8.140625" style="734" customWidth="1"/>
    <col min="10500" max="10500" width="8.7109375" style="734" customWidth="1"/>
    <col min="10501" max="10501" width="6.7109375" style="734" customWidth="1"/>
    <col min="10502" max="10502" width="9.5703125" style="734" customWidth="1"/>
    <col min="10503" max="10503" width="10.5703125" style="734" customWidth="1"/>
    <col min="10504" max="10504" width="8" style="734" customWidth="1"/>
    <col min="10505" max="10505" width="8.42578125" style="734" customWidth="1"/>
    <col min="10506" max="10506" width="8.5703125" style="734" bestFit="1" customWidth="1"/>
    <col min="10507" max="10508" width="8.140625" style="734" customWidth="1"/>
    <col min="10509" max="10509" width="10" style="734" customWidth="1"/>
    <col min="10510" max="10510" width="7.5703125" style="734" customWidth="1"/>
    <col min="10511" max="10511" width="7.28515625" style="734" customWidth="1"/>
    <col min="10512" max="10752" width="9.140625" style="734"/>
    <col min="10753" max="10753" width="32.42578125" style="734" customWidth="1"/>
    <col min="10754" max="10754" width="9" style="734" customWidth="1"/>
    <col min="10755" max="10755" width="8.140625" style="734" customWidth="1"/>
    <col min="10756" max="10756" width="8.7109375" style="734" customWidth="1"/>
    <col min="10757" max="10757" width="6.7109375" style="734" customWidth="1"/>
    <col min="10758" max="10758" width="9.5703125" style="734" customWidth="1"/>
    <col min="10759" max="10759" width="10.5703125" style="734" customWidth="1"/>
    <col min="10760" max="10760" width="8" style="734" customWidth="1"/>
    <col min="10761" max="10761" width="8.42578125" style="734" customWidth="1"/>
    <col min="10762" max="10762" width="8.5703125" style="734" bestFit="1" customWidth="1"/>
    <col min="10763" max="10764" width="8.140625" style="734" customWidth="1"/>
    <col min="10765" max="10765" width="10" style="734" customWidth="1"/>
    <col min="10766" max="10766" width="7.5703125" style="734" customWidth="1"/>
    <col min="10767" max="10767" width="7.28515625" style="734" customWidth="1"/>
    <col min="10768" max="11008" width="9.140625" style="734"/>
    <col min="11009" max="11009" width="32.42578125" style="734" customWidth="1"/>
    <col min="11010" max="11010" width="9" style="734" customWidth="1"/>
    <col min="11011" max="11011" width="8.140625" style="734" customWidth="1"/>
    <col min="11012" max="11012" width="8.7109375" style="734" customWidth="1"/>
    <col min="11013" max="11013" width="6.7109375" style="734" customWidth="1"/>
    <col min="11014" max="11014" width="9.5703125" style="734" customWidth="1"/>
    <col min="11015" max="11015" width="10.5703125" style="734" customWidth="1"/>
    <col min="11016" max="11016" width="8" style="734" customWidth="1"/>
    <col min="11017" max="11017" width="8.42578125" style="734" customWidth="1"/>
    <col min="11018" max="11018" width="8.5703125" style="734" bestFit="1" customWidth="1"/>
    <col min="11019" max="11020" width="8.140625" style="734" customWidth="1"/>
    <col min="11021" max="11021" width="10" style="734" customWidth="1"/>
    <col min="11022" max="11022" width="7.5703125" style="734" customWidth="1"/>
    <col min="11023" max="11023" width="7.28515625" style="734" customWidth="1"/>
    <col min="11024" max="11264" width="9.140625" style="734"/>
    <col min="11265" max="11265" width="32.42578125" style="734" customWidth="1"/>
    <col min="11266" max="11266" width="9" style="734" customWidth="1"/>
    <col min="11267" max="11267" width="8.140625" style="734" customWidth="1"/>
    <col min="11268" max="11268" width="8.7109375" style="734" customWidth="1"/>
    <col min="11269" max="11269" width="6.7109375" style="734" customWidth="1"/>
    <col min="11270" max="11270" width="9.5703125" style="734" customWidth="1"/>
    <col min="11271" max="11271" width="10.5703125" style="734" customWidth="1"/>
    <col min="11272" max="11272" width="8" style="734" customWidth="1"/>
    <col min="11273" max="11273" width="8.42578125" style="734" customWidth="1"/>
    <col min="11274" max="11274" width="8.5703125" style="734" bestFit="1" customWidth="1"/>
    <col min="11275" max="11276" width="8.140625" style="734" customWidth="1"/>
    <col min="11277" max="11277" width="10" style="734" customWidth="1"/>
    <col min="11278" max="11278" width="7.5703125" style="734" customWidth="1"/>
    <col min="11279" max="11279" width="7.28515625" style="734" customWidth="1"/>
    <col min="11280" max="11520" width="9.140625" style="734"/>
    <col min="11521" max="11521" width="32.42578125" style="734" customWidth="1"/>
    <col min="11522" max="11522" width="9" style="734" customWidth="1"/>
    <col min="11523" max="11523" width="8.140625" style="734" customWidth="1"/>
    <col min="11524" max="11524" width="8.7109375" style="734" customWidth="1"/>
    <col min="11525" max="11525" width="6.7109375" style="734" customWidth="1"/>
    <col min="11526" max="11526" width="9.5703125" style="734" customWidth="1"/>
    <col min="11527" max="11527" width="10.5703125" style="734" customWidth="1"/>
    <col min="11528" max="11528" width="8" style="734" customWidth="1"/>
    <col min="11529" max="11529" width="8.42578125" style="734" customWidth="1"/>
    <col min="11530" max="11530" width="8.5703125" style="734" bestFit="1" customWidth="1"/>
    <col min="11531" max="11532" width="8.140625" style="734" customWidth="1"/>
    <col min="11533" max="11533" width="10" style="734" customWidth="1"/>
    <col min="11534" max="11534" width="7.5703125" style="734" customWidth="1"/>
    <col min="11535" max="11535" width="7.28515625" style="734" customWidth="1"/>
    <col min="11536" max="11776" width="9.140625" style="734"/>
    <col min="11777" max="11777" width="32.42578125" style="734" customWidth="1"/>
    <col min="11778" max="11778" width="9" style="734" customWidth="1"/>
    <col min="11779" max="11779" width="8.140625" style="734" customWidth="1"/>
    <col min="11780" max="11780" width="8.7109375" style="734" customWidth="1"/>
    <col min="11781" max="11781" width="6.7109375" style="734" customWidth="1"/>
    <col min="11782" max="11782" width="9.5703125" style="734" customWidth="1"/>
    <col min="11783" max="11783" width="10.5703125" style="734" customWidth="1"/>
    <col min="11784" max="11784" width="8" style="734" customWidth="1"/>
    <col min="11785" max="11785" width="8.42578125" style="734" customWidth="1"/>
    <col min="11786" max="11786" width="8.5703125" style="734" bestFit="1" customWidth="1"/>
    <col min="11787" max="11788" width="8.140625" style="734" customWidth="1"/>
    <col min="11789" max="11789" width="10" style="734" customWidth="1"/>
    <col min="11790" max="11790" width="7.5703125" style="734" customWidth="1"/>
    <col min="11791" max="11791" width="7.28515625" style="734" customWidth="1"/>
    <col min="11792" max="12032" width="9.140625" style="734"/>
    <col min="12033" max="12033" width="32.42578125" style="734" customWidth="1"/>
    <col min="12034" max="12034" width="9" style="734" customWidth="1"/>
    <col min="12035" max="12035" width="8.140625" style="734" customWidth="1"/>
    <col min="12036" max="12036" width="8.7109375" style="734" customWidth="1"/>
    <col min="12037" max="12037" width="6.7109375" style="734" customWidth="1"/>
    <col min="12038" max="12038" width="9.5703125" style="734" customWidth="1"/>
    <col min="12039" max="12039" width="10.5703125" style="734" customWidth="1"/>
    <col min="12040" max="12040" width="8" style="734" customWidth="1"/>
    <col min="12041" max="12041" width="8.42578125" style="734" customWidth="1"/>
    <col min="12042" max="12042" width="8.5703125" style="734" bestFit="1" customWidth="1"/>
    <col min="12043" max="12044" width="8.140625" style="734" customWidth="1"/>
    <col min="12045" max="12045" width="10" style="734" customWidth="1"/>
    <col min="12046" max="12046" width="7.5703125" style="734" customWidth="1"/>
    <col min="12047" max="12047" width="7.28515625" style="734" customWidth="1"/>
    <col min="12048" max="12288" width="9.140625" style="734"/>
    <col min="12289" max="12289" width="32.42578125" style="734" customWidth="1"/>
    <col min="12290" max="12290" width="9" style="734" customWidth="1"/>
    <col min="12291" max="12291" width="8.140625" style="734" customWidth="1"/>
    <col min="12292" max="12292" width="8.7109375" style="734" customWidth="1"/>
    <col min="12293" max="12293" width="6.7109375" style="734" customWidth="1"/>
    <col min="12294" max="12294" width="9.5703125" style="734" customWidth="1"/>
    <col min="12295" max="12295" width="10.5703125" style="734" customWidth="1"/>
    <col min="12296" max="12296" width="8" style="734" customWidth="1"/>
    <col min="12297" max="12297" width="8.42578125" style="734" customWidth="1"/>
    <col min="12298" max="12298" width="8.5703125" style="734" bestFit="1" customWidth="1"/>
    <col min="12299" max="12300" width="8.140625" style="734" customWidth="1"/>
    <col min="12301" max="12301" width="10" style="734" customWidth="1"/>
    <col min="12302" max="12302" width="7.5703125" style="734" customWidth="1"/>
    <col min="12303" max="12303" width="7.28515625" style="734" customWidth="1"/>
    <col min="12304" max="12544" width="9.140625" style="734"/>
    <col min="12545" max="12545" width="32.42578125" style="734" customWidth="1"/>
    <col min="12546" max="12546" width="9" style="734" customWidth="1"/>
    <col min="12547" max="12547" width="8.140625" style="734" customWidth="1"/>
    <col min="12548" max="12548" width="8.7109375" style="734" customWidth="1"/>
    <col min="12549" max="12549" width="6.7109375" style="734" customWidth="1"/>
    <col min="12550" max="12550" width="9.5703125" style="734" customWidth="1"/>
    <col min="12551" max="12551" width="10.5703125" style="734" customWidth="1"/>
    <col min="12552" max="12552" width="8" style="734" customWidth="1"/>
    <col min="12553" max="12553" width="8.42578125" style="734" customWidth="1"/>
    <col min="12554" max="12554" width="8.5703125" style="734" bestFit="1" customWidth="1"/>
    <col min="12555" max="12556" width="8.140625" style="734" customWidth="1"/>
    <col min="12557" max="12557" width="10" style="734" customWidth="1"/>
    <col min="12558" max="12558" width="7.5703125" style="734" customWidth="1"/>
    <col min="12559" max="12559" width="7.28515625" style="734" customWidth="1"/>
    <col min="12560" max="12800" width="9.140625" style="734"/>
    <col min="12801" max="12801" width="32.42578125" style="734" customWidth="1"/>
    <col min="12802" max="12802" width="9" style="734" customWidth="1"/>
    <col min="12803" max="12803" width="8.140625" style="734" customWidth="1"/>
    <col min="12804" max="12804" width="8.7109375" style="734" customWidth="1"/>
    <col min="12805" max="12805" width="6.7109375" style="734" customWidth="1"/>
    <col min="12806" max="12806" width="9.5703125" style="734" customWidth="1"/>
    <col min="12807" max="12807" width="10.5703125" style="734" customWidth="1"/>
    <col min="12808" max="12808" width="8" style="734" customWidth="1"/>
    <col min="12809" max="12809" width="8.42578125" style="734" customWidth="1"/>
    <col min="12810" max="12810" width="8.5703125" style="734" bestFit="1" customWidth="1"/>
    <col min="12811" max="12812" width="8.140625" style="734" customWidth="1"/>
    <col min="12813" max="12813" width="10" style="734" customWidth="1"/>
    <col min="12814" max="12814" width="7.5703125" style="734" customWidth="1"/>
    <col min="12815" max="12815" width="7.28515625" style="734" customWidth="1"/>
    <col min="12816" max="13056" width="9.140625" style="734"/>
    <col min="13057" max="13057" width="32.42578125" style="734" customWidth="1"/>
    <col min="13058" max="13058" width="9" style="734" customWidth="1"/>
    <col min="13059" max="13059" width="8.140625" style="734" customWidth="1"/>
    <col min="13060" max="13060" width="8.7109375" style="734" customWidth="1"/>
    <col min="13061" max="13061" width="6.7109375" style="734" customWidth="1"/>
    <col min="13062" max="13062" width="9.5703125" style="734" customWidth="1"/>
    <col min="13063" max="13063" width="10.5703125" style="734" customWidth="1"/>
    <col min="13064" max="13064" width="8" style="734" customWidth="1"/>
    <col min="13065" max="13065" width="8.42578125" style="734" customWidth="1"/>
    <col min="13066" max="13066" width="8.5703125" style="734" bestFit="1" customWidth="1"/>
    <col min="13067" max="13068" width="8.140625" style="734" customWidth="1"/>
    <col min="13069" max="13069" width="10" style="734" customWidth="1"/>
    <col min="13070" max="13070" width="7.5703125" style="734" customWidth="1"/>
    <col min="13071" max="13071" width="7.28515625" style="734" customWidth="1"/>
    <col min="13072" max="13312" width="9.140625" style="734"/>
    <col min="13313" max="13313" width="32.42578125" style="734" customWidth="1"/>
    <col min="13314" max="13314" width="9" style="734" customWidth="1"/>
    <col min="13315" max="13315" width="8.140625" style="734" customWidth="1"/>
    <col min="13316" max="13316" width="8.7109375" style="734" customWidth="1"/>
    <col min="13317" max="13317" width="6.7109375" style="734" customWidth="1"/>
    <col min="13318" max="13318" width="9.5703125" style="734" customWidth="1"/>
    <col min="13319" max="13319" width="10.5703125" style="734" customWidth="1"/>
    <col min="13320" max="13320" width="8" style="734" customWidth="1"/>
    <col min="13321" max="13321" width="8.42578125" style="734" customWidth="1"/>
    <col min="13322" max="13322" width="8.5703125" style="734" bestFit="1" customWidth="1"/>
    <col min="13323" max="13324" width="8.140625" style="734" customWidth="1"/>
    <col min="13325" max="13325" width="10" style="734" customWidth="1"/>
    <col min="13326" max="13326" width="7.5703125" style="734" customWidth="1"/>
    <col min="13327" max="13327" width="7.28515625" style="734" customWidth="1"/>
    <col min="13328" max="13568" width="9.140625" style="734"/>
    <col min="13569" max="13569" width="32.42578125" style="734" customWidth="1"/>
    <col min="13570" max="13570" width="9" style="734" customWidth="1"/>
    <col min="13571" max="13571" width="8.140625" style="734" customWidth="1"/>
    <col min="13572" max="13572" width="8.7109375" style="734" customWidth="1"/>
    <col min="13573" max="13573" width="6.7109375" style="734" customWidth="1"/>
    <col min="13574" max="13574" width="9.5703125" style="734" customWidth="1"/>
    <col min="13575" max="13575" width="10.5703125" style="734" customWidth="1"/>
    <col min="13576" max="13576" width="8" style="734" customWidth="1"/>
    <col min="13577" max="13577" width="8.42578125" style="734" customWidth="1"/>
    <col min="13578" max="13578" width="8.5703125" style="734" bestFit="1" customWidth="1"/>
    <col min="13579" max="13580" width="8.140625" style="734" customWidth="1"/>
    <col min="13581" max="13581" width="10" style="734" customWidth="1"/>
    <col min="13582" max="13582" width="7.5703125" style="734" customWidth="1"/>
    <col min="13583" max="13583" width="7.28515625" style="734" customWidth="1"/>
    <col min="13584" max="13824" width="9.140625" style="734"/>
    <col min="13825" max="13825" width="32.42578125" style="734" customWidth="1"/>
    <col min="13826" max="13826" width="9" style="734" customWidth="1"/>
    <col min="13827" max="13827" width="8.140625" style="734" customWidth="1"/>
    <col min="13828" max="13828" width="8.7109375" style="734" customWidth="1"/>
    <col min="13829" max="13829" width="6.7109375" style="734" customWidth="1"/>
    <col min="13830" max="13830" width="9.5703125" style="734" customWidth="1"/>
    <col min="13831" max="13831" width="10.5703125" style="734" customWidth="1"/>
    <col min="13832" max="13832" width="8" style="734" customWidth="1"/>
    <col min="13833" max="13833" width="8.42578125" style="734" customWidth="1"/>
    <col min="13834" max="13834" width="8.5703125" style="734" bestFit="1" customWidth="1"/>
    <col min="13835" max="13836" width="8.140625" style="734" customWidth="1"/>
    <col min="13837" max="13837" width="10" style="734" customWidth="1"/>
    <col min="13838" max="13838" width="7.5703125" style="734" customWidth="1"/>
    <col min="13839" max="13839" width="7.28515625" style="734" customWidth="1"/>
    <col min="13840" max="14080" width="9.140625" style="734"/>
    <col min="14081" max="14081" width="32.42578125" style="734" customWidth="1"/>
    <col min="14082" max="14082" width="9" style="734" customWidth="1"/>
    <col min="14083" max="14083" width="8.140625" style="734" customWidth="1"/>
    <col min="14084" max="14084" width="8.7109375" style="734" customWidth="1"/>
    <col min="14085" max="14085" width="6.7109375" style="734" customWidth="1"/>
    <col min="14086" max="14086" width="9.5703125" style="734" customWidth="1"/>
    <col min="14087" max="14087" width="10.5703125" style="734" customWidth="1"/>
    <col min="14088" max="14088" width="8" style="734" customWidth="1"/>
    <col min="14089" max="14089" width="8.42578125" style="734" customWidth="1"/>
    <col min="14090" max="14090" width="8.5703125" style="734" bestFit="1" customWidth="1"/>
    <col min="14091" max="14092" width="8.140625" style="734" customWidth="1"/>
    <col min="14093" max="14093" width="10" style="734" customWidth="1"/>
    <col min="14094" max="14094" width="7.5703125" style="734" customWidth="1"/>
    <col min="14095" max="14095" width="7.28515625" style="734" customWidth="1"/>
    <col min="14096" max="14336" width="9.140625" style="734"/>
    <col min="14337" max="14337" width="32.42578125" style="734" customWidth="1"/>
    <col min="14338" max="14338" width="9" style="734" customWidth="1"/>
    <col min="14339" max="14339" width="8.140625" style="734" customWidth="1"/>
    <col min="14340" max="14340" width="8.7109375" style="734" customWidth="1"/>
    <col min="14341" max="14341" width="6.7109375" style="734" customWidth="1"/>
    <col min="14342" max="14342" width="9.5703125" style="734" customWidth="1"/>
    <col min="14343" max="14343" width="10.5703125" style="734" customWidth="1"/>
    <col min="14344" max="14344" width="8" style="734" customWidth="1"/>
    <col min="14345" max="14345" width="8.42578125" style="734" customWidth="1"/>
    <col min="14346" max="14346" width="8.5703125" style="734" bestFit="1" customWidth="1"/>
    <col min="14347" max="14348" width="8.140625" style="734" customWidth="1"/>
    <col min="14349" max="14349" width="10" style="734" customWidth="1"/>
    <col min="14350" max="14350" width="7.5703125" style="734" customWidth="1"/>
    <col min="14351" max="14351" width="7.28515625" style="734" customWidth="1"/>
    <col min="14352" max="14592" width="9.140625" style="734"/>
    <col min="14593" max="14593" width="32.42578125" style="734" customWidth="1"/>
    <col min="14594" max="14594" width="9" style="734" customWidth="1"/>
    <col min="14595" max="14595" width="8.140625" style="734" customWidth="1"/>
    <col min="14596" max="14596" width="8.7109375" style="734" customWidth="1"/>
    <col min="14597" max="14597" width="6.7109375" style="734" customWidth="1"/>
    <col min="14598" max="14598" width="9.5703125" style="734" customWidth="1"/>
    <col min="14599" max="14599" width="10.5703125" style="734" customWidth="1"/>
    <col min="14600" max="14600" width="8" style="734" customWidth="1"/>
    <col min="14601" max="14601" width="8.42578125" style="734" customWidth="1"/>
    <col min="14602" max="14602" width="8.5703125" style="734" bestFit="1" customWidth="1"/>
    <col min="14603" max="14604" width="8.140625" style="734" customWidth="1"/>
    <col min="14605" max="14605" width="10" style="734" customWidth="1"/>
    <col min="14606" max="14606" width="7.5703125" style="734" customWidth="1"/>
    <col min="14607" max="14607" width="7.28515625" style="734" customWidth="1"/>
    <col min="14608" max="14848" width="9.140625" style="734"/>
    <col min="14849" max="14849" width="32.42578125" style="734" customWidth="1"/>
    <col min="14850" max="14850" width="9" style="734" customWidth="1"/>
    <col min="14851" max="14851" width="8.140625" style="734" customWidth="1"/>
    <col min="14852" max="14852" width="8.7109375" style="734" customWidth="1"/>
    <col min="14853" max="14853" width="6.7109375" style="734" customWidth="1"/>
    <col min="14854" max="14854" width="9.5703125" style="734" customWidth="1"/>
    <col min="14855" max="14855" width="10.5703125" style="734" customWidth="1"/>
    <col min="14856" max="14856" width="8" style="734" customWidth="1"/>
    <col min="14857" max="14857" width="8.42578125" style="734" customWidth="1"/>
    <col min="14858" max="14858" width="8.5703125" style="734" bestFit="1" customWidth="1"/>
    <col min="14859" max="14860" width="8.140625" style="734" customWidth="1"/>
    <col min="14861" max="14861" width="10" style="734" customWidth="1"/>
    <col min="14862" max="14862" width="7.5703125" style="734" customWidth="1"/>
    <col min="14863" max="14863" width="7.28515625" style="734" customWidth="1"/>
    <col min="14864" max="15104" width="9.140625" style="734"/>
    <col min="15105" max="15105" width="32.42578125" style="734" customWidth="1"/>
    <col min="15106" max="15106" width="9" style="734" customWidth="1"/>
    <col min="15107" max="15107" width="8.140625" style="734" customWidth="1"/>
    <col min="15108" max="15108" width="8.7109375" style="734" customWidth="1"/>
    <col min="15109" max="15109" width="6.7109375" style="734" customWidth="1"/>
    <col min="15110" max="15110" width="9.5703125" style="734" customWidth="1"/>
    <col min="15111" max="15111" width="10.5703125" style="734" customWidth="1"/>
    <col min="15112" max="15112" width="8" style="734" customWidth="1"/>
    <col min="15113" max="15113" width="8.42578125" style="734" customWidth="1"/>
    <col min="15114" max="15114" width="8.5703125" style="734" bestFit="1" customWidth="1"/>
    <col min="15115" max="15116" width="8.140625" style="734" customWidth="1"/>
    <col min="15117" max="15117" width="10" style="734" customWidth="1"/>
    <col min="15118" max="15118" width="7.5703125" style="734" customWidth="1"/>
    <col min="15119" max="15119" width="7.28515625" style="734" customWidth="1"/>
    <col min="15120" max="15360" width="9.140625" style="734"/>
    <col min="15361" max="15361" width="32.42578125" style="734" customWidth="1"/>
    <col min="15362" max="15362" width="9" style="734" customWidth="1"/>
    <col min="15363" max="15363" width="8.140625" style="734" customWidth="1"/>
    <col min="15364" max="15364" width="8.7109375" style="734" customWidth="1"/>
    <col min="15365" max="15365" width="6.7109375" style="734" customWidth="1"/>
    <col min="15366" max="15366" width="9.5703125" style="734" customWidth="1"/>
    <col min="15367" max="15367" width="10.5703125" style="734" customWidth="1"/>
    <col min="15368" max="15368" width="8" style="734" customWidth="1"/>
    <col min="15369" max="15369" width="8.42578125" style="734" customWidth="1"/>
    <col min="15370" max="15370" width="8.5703125" style="734" bestFit="1" customWidth="1"/>
    <col min="15371" max="15372" width="8.140625" style="734" customWidth="1"/>
    <col min="15373" max="15373" width="10" style="734" customWidth="1"/>
    <col min="15374" max="15374" width="7.5703125" style="734" customWidth="1"/>
    <col min="15375" max="15375" width="7.28515625" style="734" customWidth="1"/>
    <col min="15376" max="15616" width="9.140625" style="734"/>
    <col min="15617" max="15617" width="32.42578125" style="734" customWidth="1"/>
    <col min="15618" max="15618" width="9" style="734" customWidth="1"/>
    <col min="15619" max="15619" width="8.140625" style="734" customWidth="1"/>
    <col min="15620" max="15620" width="8.7109375" style="734" customWidth="1"/>
    <col min="15621" max="15621" width="6.7109375" style="734" customWidth="1"/>
    <col min="15622" max="15622" width="9.5703125" style="734" customWidth="1"/>
    <col min="15623" max="15623" width="10.5703125" style="734" customWidth="1"/>
    <col min="15624" max="15624" width="8" style="734" customWidth="1"/>
    <col min="15625" max="15625" width="8.42578125" style="734" customWidth="1"/>
    <col min="15626" max="15626" width="8.5703125" style="734" bestFit="1" customWidth="1"/>
    <col min="15627" max="15628" width="8.140625" style="734" customWidth="1"/>
    <col min="15629" max="15629" width="10" style="734" customWidth="1"/>
    <col min="15630" max="15630" width="7.5703125" style="734" customWidth="1"/>
    <col min="15631" max="15631" width="7.28515625" style="734" customWidth="1"/>
    <col min="15632" max="15872" width="9.140625" style="734"/>
    <col min="15873" max="15873" width="32.42578125" style="734" customWidth="1"/>
    <col min="15874" max="15874" width="9" style="734" customWidth="1"/>
    <col min="15875" max="15875" width="8.140625" style="734" customWidth="1"/>
    <col min="15876" max="15876" width="8.7109375" style="734" customWidth="1"/>
    <col min="15877" max="15877" width="6.7109375" style="734" customWidth="1"/>
    <col min="15878" max="15878" width="9.5703125" style="734" customWidth="1"/>
    <col min="15879" max="15879" width="10.5703125" style="734" customWidth="1"/>
    <col min="15880" max="15880" width="8" style="734" customWidth="1"/>
    <col min="15881" max="15881" width="8.42578125" style="734" customWidth="1"/>
    <col min="15882" max="15882" width="8.5703125" style="734" bestFit="1" customWidth="1"/>
    <col min="15883" max="15884" width="8.140625" style="734" customWidth="1"/>
    <col min="15885" max="15885" width="10" style="734" customWidth="1"/>
    <col min="15886" max="15886" width="7.5703125" style="734" customWidth="1"/>
    <col min="15887" max="15887" width="7.28515625" style="734" customWidth="1"/>
    <col min="15888" max="16128" width="9.140625" style="734"/>
    <col min="16129" max="16129" width="32.42578125" style="734" customWidth="1"/>
    <col min="16130" max="16130" width="9" style="734" customWidth="1"/>
    <col min="16131" max="16131" width="8.140625" style="734" customWidth="1"/>
    <col min="16132" max="16132" width="8.7109375" style="734" customWidth="1"/>
    <col min="16133" max="16133" width="6.7109375" style="734" customWidth="1"/>
    <col min="16134" max="16134" width="9.5703125" style="734" customWidth="1"/>
    <col min="16135" max="16135" width="10.5703125" style="734" customWidth="1"/>
    <col min="16136" max="16136" width="8" style="734" customWidth="1"/>
    <col min="16137" max="16137" width="8.42578125" style="734" customWidth="1"/>
    <col min="16138" max="16138" width="8.5703125" style="734" bestFit="1" customWidth="1"/>
    <col min="16139" max="16140" width="8.140625" style="734" customWidth="1"/>
    <col min="16141" max="16141" width="10" style="734" customWidth="1"/>
    <col min="16142" max="16142" width="7.5703125" style="734" customWidth="1"/>
    <col min="16143" max="16143" width="7.28515625" style="734" customWidth="1"/>
    <col min="16144" max="16384" width="9.140625" style="734"/>
  </cols>
  <sheetData>
    <row r="1" spans="1:14">
      <c r="A1" s="1546" t="s">
        <v>4177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</row>
    <row r="2" spans="1:14">
      <c r="E2" s="1546" t="s">
        <v>4178</v>
      </c>
      <c r="F2" s="1546"/>
      <c r="G2" s="1546"/>
    </row>
    <row r="3" spans="1:14" ht="15" customHeight="1">
      <c r="A3" s="735" t="s">
        <v>4176</v>
      </c>
      <c r="E3" s="736"/>
      <c r="F3" s="736"/>
      <c r="G3" s="736"/>
    </row>
    <row r="4" spans="1:14" ht="26.25" customHeight="1">
      <c r="A4" s="737" t="s">
        <v>169</v>
      </c>
      <c r="B4" s="1586" t="s">
        <v>4331</v>
      </c>
      <c r="C4" s="1586"/>
      <c r="D4" s="1586"/>
      <c r="E4" s="1548" t="s">
        <v>4180</v>
      </c>
      <c r="F4" s="1548"/>
      <c r="G4" s="1549">
        <v>405010401110203</v>
      </c>
      <c r="H4" s="1549"/>
      <c r="I4" s="1548" t="s">
        <v>172</v>
      </c>
      <c r="J4" s="1548"/>
      <c r="K4" s="738" t="s">
        <v>4332</v>
      </c>
      <c r="L4" s="1548" t="s">
        <v>4183</v>
      </c>
      <c r="M4" s="1548"/>
      <c r="N4" s="738" t="s">
        <v>4184</v>
      </c>
    </row>
    <row r="5" spans="1:14">
      <c r="A5" s="773"/>
      <c r="C5" s="736"/>
      <c r="D5" s="736"/>
      <c r="E5" s="736"/>
      <c r="F5" s="774"/>
      <c r="G5" s="774"/>
      <c r="I5" s="347"/>
      <c r="K5" s="775"/>
      <c r="L5" s="775"/>
      <c r="M5" s="347"/>
    </row>
    <row r="6" spans="1:14" ht="26.25" customHeight="1">
      <c r="A6" s="741" t="s">
        <v>174</v>
      </c>
      <c r="B6" s="1547" t="s">
        <v>4333</v>
      </c>
      <c r="C6" s="1547"/>
      <c r="D6" s="1547"/>
      <c r="E6" s="1547"/>
      <c r="F6" s="1587" t="s">
        <v>176</v>
      </c>
      <c r="G6" s="1587"/>
      <c r="H6" s="1587"/>
      <c r="I6" s="1547" t="s">
        <v>4334</v>
      </c>
      <c r="J6" s="1547"/>
      <c r="K6" s="1547"/>
      <c r="L6" s="746"/>
      <c r="M6" s="746"/>
    </row>
    <row r="7" spans="1:14" ht="15.75" customHeight="1">
      <c r="B7" s="736"/>
      <c r="C7" s="736"/>
      <c r="D7" s="736"/>
      <c r="E7" s="736"/>
      <c r="I7" s="736"/>
      <c r="J7" s="736"/>
      <c r="K7" s="736"/>
      <c r="L7" s="736"/>
      <c r="M7" s="736"/>
    </row>
    <row r="8" spans="1:14" ht="26.25" customHeight="1">
      <c r="A8" s="741" t="s">
        <v>178</v>
      </c>
      <c r="B8" s="1547" t="s">
        <v>4335</v>
      </c>
      <c r="C8" s="1547"/>
      <c r="D8" s="1547"/>
      <c r="E8" s="1547"/>
      <c r="F8" s="1588" t="s">
        <v>4188</v>
      </c>
      <c r="G8" s="1589"/>
      <c r="H8" s="1589"/>
      <c r="I8" s="1589"/>
      <c r="J8" s="1588"/>
      <c r="K8" s="1558" t="s">
        <v>4336</v>
      </c>
      <c r="L8" s="1558"/>
      <c r="M8" s="1558"/>
      <c r="N8" s="1558"/>
    </row>
    <row r="9" spans="1:14">
      <c r="C9" s="736"/>
      <c r="D9" s="736"/>
      <c r="E9" s="736"/>
      <c r="G9" s="747"/>
      <c r="H9" s="747"/>
      <c r="I9" s="747"/>
      <c r="K9" s="347"/>
      <c r="L9" s="347"/>
      <c r="M9" s="347"/>
      <c r="N9" s="347"/>
    </row>
    <row r="10" spans="1:14" ht="26.25" customHeight="1">
      <c r="A10" s="743" t="s">
        <v>4189</v>
      </c>
      <c r="B10" s="1586" t="s">
        <v>4337</v>
      </c>
      <c r="C10" s="1586"/>
      <c r="D10" s="1586"/>
      <c r="E10" s="1586" t="s">
        <v>4338</v>
      </c>
      <c r="F10" s="1586"/>
      <c r="G10" s="1590"/>
      <c r="H10" s="1590" t="s">
        <v>1701</v>
      </c>
      <c r="I10" s="1590"/>
      <c r="J10" s="1586"/>
      <c r="K10" s="1547" t="s">
        <v>4339</v>
      </c>
      <c r="L10" s="1547"/>
      <c r="M10" s="1547"/>
      <c r="N10" s="1547"/>
    </row>
    <row r="11" spans="1:14" ht="26.25" customHeight="1">
      <c r="A11" s="744" t="s">
        <v>187</v>
      </c>
      <c r="B11" s="1547" t="s">
        <v>4340</v>
      </c>
      <c r="C11" s="1547"/>
      <c r="D11" s="1547"/>
      <c r="E11" s="1547" t="s">
        <v>4341</v>
      </c>
      <c r="F11" s="1551"/>
      <c r="G11" s="1547"/>
      <c r="H11" s="1547" t="s">
        <v>4342</v>
      </c>
      <c r="I11" s="1547"/>
      <c r="J11" s="1581"/>
      <c r="K11" s="1560"/>
      <c r="L11" s="1560"/>
      <c r="M11" s="1560"/>
      <c r="N11" s="1560"/>
    </row>
    <row r="12" spans="1:14" ht="26.25" customHeight="1">
      <c r="A12" s="745" t="s">
        <v>192</v>
      </c>
      <c r="B12" s="1558" t="s">
        <v>5812</v>
      </c>
      <c r="C12" s="1558"/>
      <c r="D12" s="1558" t="s">
        <v>5813</v>
      </c>
      <c r="E12" s="1558"/>
      <c r="F12" s="1586" t="s">
        <v>4343</v>
      </c>
      <c r="G12" s="1591"/>
      <c r="H12" s="1592" t="s">
        <v>5814</v>
      </c>
      <c r="I12" s="1592"/>
      <c r="J12" s="1570" t="s">
        <v>5815</v>
      </c>
      <c r="K12" s="1570"/>
      <c r="L12" s="746"/>
      <c r="M12" s="746"/>
      <c r="N12" s="746"/>
    </row>
    <row r="13" spans="1:14" ht="26.25" customHeight="1">
      <c r="A13" s="743" t="s">
        <v>197</v>
      </c>
      <c r="B13" s="1591" t="s">
        <v>4344</v>
      </c>
      <c r="C13" s="1591"/>
      <c r="D13" s="1591"/>
      <c r="E13" s="1591" t="s">
        <v>4345</v>
      </c>
      <c r="F13" s="1591"/>
      <c r="G13" s="1591"/>
      <c r="H13" s="1586" t="s">
        <v>4346</v>
      </c>
      <c r="I13" s="1586"/>
      <c r="J13" s="1586"/>
      <c r="K13" s="1560"/>
      <c r="L13" s="1560"/>
      <c r="M13" s="1560"/>
      <c r="N13" s="1560"/>
    </row>
    <row r="14" spans="1:14">
      <c r="A14" s="347"/>
      <c r="B14" s="736"/>
      <c r="C14" s="736"/>
      <c r="D14" s="736"/>
      <c r="E14" s="736"/>
      <c r="F14" s="736"/>
      <c r="G14" s="736"/>
      <c r="H14" s="736"/>
      <c r="I14" s="736"/>
      <c r="J14" s="736"/>
      <c r="K14" s="736"/>
      <c r="L14" s="736"/>
      <c r="M14" s="736"/>
      <c r="N14" s="736"/>
    </row>
    <row r="15" spans="1:14" ht="26.25" customHeight="1">
      <c r="A15" s="745" t="s">
        <v>198</v>
      </c>
      <c r="B15" s="793">
        <v>3</v>
      </c>
      <c r="C15" s="1586" t="s">
        <v>199</v>
      </c>
      <c r="D15" s="1586"/>
      <c r="E15" s="1586"/>
      <c r="F15" s="793">
        <v>3</v>
      </c>
      <c r="G15" s="748" t="s">
        <v>200</v>
      </c>
      <c r="H15" s="793">
        <v>15</v>
      </c>
      <c r="I15" s="794" t="s">
        <v>4196</v>
      </c>
      <c r="J15" s="793">
        <v>1</v>
      </c>
      <c r="K15" s="794" t="s">
        <v>202</v>
      </c>
      <c r="L15" s="793">
        <v>3</v>
      </c>
    </row>
    <row r="16" spans="1:14">
      <c r="A16" s="347"/>
      <c r="C16" s="750"/>
      <c r="D16" s="750"/>
      <c r="E16" s="750"/>
      <c r="F16" s="751"/>
      <c r="G16" s="751"/>
      <c r="H16" s="751"/>
      <c r="I16" s="751"/>
      <c r="J16" s="751"/>
      <c r="K16" s="751"/>
    </row>
    <row r="17" spans="1:18" ht="26.25" customHeight="1">
      <c r="A17" s="752" t="s">
        <v>203</v>
      </c>
      <c r="B17" s="753" t="s">
        <v>4197</v>
      </c>
      <c r="C17" s="747">
        <v>167</v>
      </c>
      <c r="D17" s="753" t="s">
        <v>4198</v>
      </c>
      <c r="E17" s="754">
        <v>16</v>
      </c>
      <c r="F17" s="755" t="s">
        <v>4199</v>
      </c>
      <c r="G17" s="754">
        <v>0</v>
      </c>
      <c r="H17" s="753" t="s">
        <v>4200</v>
      </c>
      <c r="I17" s="754">
        <v>183</v>
      </c>
      <c r="J17" s="755" t="s">
        <v>414</v>
      </c>
      <c r="K17" s="747">
        <v>23</v>
      </c>
      <c r="L17" s="795" t="s">
        <v>4201</v>
      </c>
      <c r="M17" s="796"/>
      <c r="N17" s="747">
        <v>22</v>
      </c>
    </row>
    <row r="18" spans="1:18" ht="26.25" customHeight="1">
      <c r="A18" s="752" t="s">
        <v>1029</v>
      </c>
      <c r="B18" s="741" t="s">
        <v>4202</v>
      </c>
      <c r="C18" s="747">
        <v>365</v>
      </c>
      <c r="D18" s="741" t="s">
        <v>4203</v>
      </c>
      <c r="E18" s="747">
        <v>36</v>
      </c>
      <c r="F18" s="741" t="s">
        <v>4204</v>
      </c>
      <c r="G18" s="747">
        <v>0</v>
      </c>
      <c r="H18" s="757" t="s">
        <v>5781</v>
      </c>
      <c r="I18" s="747">
        <v>401</v>
      </c>
    </row>
    <row r="19" spans="1:18" ht="26.25" customHeight="1">
      <c r="B19" s="741" t="s">
        <v>4205</v>
      </c>
      <c r="C19" s="747">
        <v>399</v>
      </c>
      <c r="D19" s="741" t="s">
        <v>214</v>
      </c>
      <c r="E19" s="747">
        <v>45</v>
      </c>
      <c r="F19" s="741" t="s">
        <v>1494</v>
      </c>
      <c r="G19" s="747">
        <v>0</v>
      </c>
      <c r="H19" s="757" t="s">
        <v>5782</v>
      </c>
      <c r="I19" s="747">
        <v>444</v>
      </c>
    </row>
    <row r="20" spans="1:18" ht="26.25" customHeight="1">
      <c r="A20" s="758" t="s">
        <v>216</v>
      </c>
    </row>
    <row r="21" spans="1:18" ht="26.25" customHeight="1">
      <c r="A21" s="1565" t="s">
        <v>4206</v>
      </c>
      <c r="B21" s="1566" t="s">
        <v>408</v>
      </c>
      <c r="C21" s="1566" t="s">
        <v>219</v>
      </c>
      <c r="D21" s="1566" t="s">
        <v>4207</v>
      </c>
      <c r="E21" s="1566" t="s">
        <v>1713</v>
      </c>
      <c r="F21" s="1567" t="s">
        <v>4208</v>
      </c>
      <c r="G21" s="1567"/>
      <c r="H21" s="1567"/>
      <c r="I21" s="1567"/>
      <c r="J21" s="1567"/>
      <c r="K21" s="1567"/>
      <c r="L21" s="1567"/>
      <c r="M21" s="1567"/>
      <c r="N21" s="1567"/>
    </row>
    <row r="22" spans="1:18" ht="26.25" customHeight="1">
      <c r="A22" s="1565"/>
      <c r="B22" s="1566"/>
      <c r="C22" s="1570"/>
      <c r="D22" s="1566"/>
      <c r="E22" s="1566"/>
      <c r="F22" s="781">
        <v>1</v>
      </c>
      <c r="G22" s="781">
        <v>2</v>
      </c>
      <c r="H22" s="781">
        <v>3</v>
      </c>
      <c r="I22" s="781">
        <v>4</v>
      </c>
      <c r="J22" s="781">
        <v>5</v>
      </c>
      <c r="K22" s="781">
        <v>6</v>
      </c>
      <c r="L22" s="781">
        <v>7</v>
      </c>
      <c r="M22" s="781" t="s">
        <v>230</v>
      </c>
      <c r="N22" s="782" t="s">
        <v>231</v>
      </c>
      <c r="R22" s="797"/>
    </row>
    <row r="23" spans="1:18" ht="26.25" customHeight="1">
      <c r="A23" s="744" t="s">
        <v>232</v>
      </c>
      <c r="B23" s="739">
        <v>8000</v>
      </c>
      <c r="C23" s="739" t="s">
        <v>4209</v>
      </c>
      <c r="D23" s="762">
        <v>50.48</v>
      </c>
      <c r="E23" s="779">
        <v>6.2169999999999996</v>
      </c>
      <c r="F23" s="764">
        <v>0</v>
      </c>
      <c r="G23" s="764">
        <v>0</v>
      </c>
      <c r="H23" s="764">
        <v>0.67696000000000001</v>
      </c>
      <c r="I23" s="764"/>
      <c r="J23" s="764"/>
      <c r="K23" s="764"/>
      <c r="L23" s="764"/>
      <c r="M23" s="764">
        <f>F23+G23+H23+I23+J23+K23</f>
        <v>0.67696000000000001</v>
      </c>
      <c r="N23" s="766">
        <f>M23/E23*100</f>
        <v>10.888853144603507</v>
      </c>
    </row>
    <row r="24" spans="1:18" ht="26.25" customHeight="1">
      <c r="A24" s="743" t="s">
        <v>4210</v>
      </c>
      <c r="B24" s="739">
        <v>7000</v>
      </c>
      <c r="C24" s="739" t="s">
        <v>4209</v>
      </c>
      <c r="D24" s="762">
        <f>B24*631/100000</f>
        <v>44.17</v>
      </c>
      <c r="E24" s="767">
        <v>0</v>
      </c>
      <c r="F24" s="764">
        <v>0</v>
      </c>
      <c r="G24" s="764">
        <v>0</v>
      </c>
      <c r="H24" s="771">
        <v>0</v>
      </c>
      <c r="I24" s="771"/>
      <c r="J24" s="771"/>
      <c r="K24" s="771"/>
      <c r="L24" s="771"/>
      <c r="M24" s="764">
        <f t="shared" ref="M24:M31" si="0">F24+G24+H24+I24+J24+K24</f>
        <v>0</v>
      </c>
      <c r="N24" s="766">
        <v>0</v>
      </c>
    </row>
    <row r="25" spans="1:18" ht="26.25" customHeight="1">
      <c r="A25" s="743" t="s">
        <v>4211</v>
      </c>
      <c r="B25" s="756">
        <v>43000</v>
      </c>
      <c r="C25" s="756" t="s">
        <v>236</v>
      </c>
      <c r="D25" s="770">
        <v>0.43</v>
      </c>
      <c r="E25" s="769">
        <v>0.18</v>
      </c>
      <c r="F25" s="764">
        <v>0</v>
      </c>
      <c r="G25" s="764">
        <v>0</v>
      </c>
      <c r="H25" s="771">
        <v>0</v>
      </c>
      <c r="I25" s="771"/>
      <c r="J25" s="771"/>
      <c r="K25" s="771"/>
      <c r="L25" s="771"/>
      <c r="M25" s="764">
        <f t="shared" si="0"/>
        <v>0</v>
      </c>
      <c r="N25" s="766">
        <f t="shared" ref="N25:N30" si="1">M25/E25*100</f>
        <v>0</v>
      </c>
    </row>
    <row r="26" spans="1:18" ht="26.25" customHeight="1">
      <c r="A26" s="743" t="s">
        <v>4212</v>
      </c>
      <c r="B26" s="756">
        <v>37000</v>
      </c>
      <c r="C26" s="756" t="s">
        <v>236</v>
      </c>
      <c r="D26" s="770">
        <v>0.37</v>
      </c>
      <c r="E26" s="769">
        <v>0.16</v>
      </c>
      <c r="F26" s="764">
        <v>0</v>
      </c>
      <c r="G26" s="764">
        <v>0</v>
      </c>
      <c r="H26" s="771">
        <v>0</v>
      </c>
      <c r="I26" s="771"/>
      <c r="J26" s="771"/>
      <c r="K26" s="771"/>
      <c r="L26" s="771"/>
      <c r="M26" s="764">
        <f t="shared" si="0"/>
        <v>0</v>
      </c>
      <c r="N26" s="766">
        <f t="shared" si="1"/>
        <v>0</v>
      </c>
    </row>
    <row r="27" spans="1:18" ht="26.25" customHeight="1">
      <c r="A27" s="743" t="s">
        <v>4213</v>
      </c>
      <c r="B27" s="756">
        <v>1200</v>
      </c>
      <c r="C27" s="756" t="s">
        <v>4209</v>
      </c>
      <c r="D27" s="770">
        <v>7.5</v>
      </c>
      <c r="E27" s="769">
        <v>2</v>
      </c>
      <c r="F27" s="764">
        <v>0</v>
      </c>
      <c r="G27" s="764">
        <v>0</v>
      </c>
      <c r="H27" s="771">
        <v>1.99708</v>
      </c>
      <c r="I27" s="771"/>
      <c r="J27" s="771"/>
      <c r="K27" s="771"/>
      <c r="L27" s="771"/>
      <c r="M27" s="764">
        <f t="shared" si="0"/>
        <v>1.99708</v>
      </c>
      <c r="N27" s="766">
        <f t="shared" si="1"/>
        <v>99.853999999999999</v>
      </c>
    </row>
    <row r="28" spans="1:18" ht="26.25" customHeight="1">
      <c r="A28" s="741" t="s">
        <v>4214</v>
      </c>
      <c r="B28" s="756">
        <v>565</v>
      </c>
      <c r="C28" s="756" t="s">
        <v>4209</v>
      </c>
      <c r="D28" s="770">
        <v>2.83</v>
      </c>
      <c r="E28" s="769">
        <v>0.63100000000000001</v>
      </c>
      <c r="F28" s="764">
        <v>0</v>
      </c>
      <c r="G28" s="764">
        <v>0</v>
      </c>
      <c r="H28" s="771">
        <v>0.62</v>
      </c>
      <c r="I28" s="771"/>
      <c r="J28" s="771"/>
      <c r="K28" s="771"/>
      <c r="L28" s="771"/>
      <c r="M28" s="764">
        <f t="shared" si="0"/>
        <v>0.62</v>
      </c>
      <c r="N28" s="766">
        <f t="shared" si="1"/>
        <v>98.256735340728994</v>
      </c>
    </row>
    <row r="29" spans="1:18" ht="26.25" customHeight="1">
      <c r="A29" s="743" t="s">
        <v>240</v>
      </c>
      <c r="B29" s="756">
        <v>1000</v>
      </c>
      <c r="C29" s="756" t="s">
        <v>4209</v>
      </c>
      <c r="D29" s="770">
        <v>6.31</v>
      </c>
      <c r="E29" s="769">
        <v>0</v>
      </c>
      <c r="F29" s="764">
        <v>0</v>
      </c>
      <c r="G29" s="764">
        <v>0</v>
      </c>
      <c r="H29" s="771">
        <v>0</v>
      </c>
      <c r="I29" s="771"/>
      <c r="J29" s="771"/>
      <c r="K29" s="771"/>
      <c r="L29" s="771"/>
      <c r="M29" s="764">
        <f t="shared" si="0"/>
        <v>0</v>
      </c>
      <c r="N29" s="766">
        <v>0</v>
      </c>
    </row>
    <row r="30" spans="1:18" ht="26.25" customHeight="1">
      <c r="A30" s="743" t="s">
        <v>4215</v>
      </c>
      <c r="B30" s="756">
        <v>2750</v>
      </c>
      <c r="C30" s="756" t="s">
        <v>242</v>
      </c>
      <c r="D30" s="770">
        <v>2.31</v>
      </c>
      <c r="E30" s="769">
        <v>0.33</v>
      </c>
      <c r="F30" s="764">
        <v>0</v>
      </c>
      <c r="G30" s="764">
        <v>0</v>
      </c>
      <c r="H30" s="771">
        <v>0.33</v>
      </c>
      <c r="I30" s="771"/>
      <c r="J30" s="771"/>
      <c r="K30" s="771"/>
      <c r="L30" s="771"/>
      <c r="M30" s="764">
        <f t="shared" si="0"/>
        <v>0.33</v>
      </c>
      <c r="N30" s="766">
        <f t="shared" si="1"/>
        <v>100</v>
      </c>
    </row>
    <row r="31" spans="1:18" ht="26.25" customHeight="1">
      <c r="A31" s="741" t="s">
        <v>4216</v>
      </c>
      <c r="B31" s="756">
        <v>10000</v>
      </c>
      <c r="C31" s="756" t="s">
        <v>244</v>
      </c>
      <c r="D31" s="770">
        <v>0.1</v>
      </c>
      <c r="E31" s="769">
        <v>0</v>
      </c>
      <c r="F31" s="764">
        <v>0</v>
      </c>
      <c r="G31" s="764">
        <v>0</v>
      </c>
      <c r="H31" s="771">
        <v>0</v>
      </c>
      <c r="I31" s="771"/>
      <c r="J31" s="771"/>
      <c r="K31" s="771"/>
      <c r="L31" s="771"/>
      <c r="M31" s="764">
        <f t="shared" si="0"/>
        <v>0</v>
      </c>
      <c r="N31" s="766">
        <v>0</v>
      </c>
    </row>
    <row r="32" spans="1:18" ht="26.25" customHeight="1">
      <c r="A32" s="741" t="s">
        <v>245</v>
      </c>
      <c r="B32" s="747">
        <f>SUM(B23:B31)</f>
        <v>110515</v>
      </c>
      <c r="C32" s="747"/>
      <c r="D32" s="771">
        <f>SUM(D23:D31)</f>
        <v>114.50000000000001</v>
      </c>
      <c r="E32" s="780">
        <f>SUM(E23:E31)</f>
        <v>9.5179999999999989</v>
      </c>
      <c r="F32" s="771">
        <f>SUM(F23:F31)</f>
        <v>0</v>
      </c>
      <c r="G32" s="771">
        <f t="shared" ref="G32:M32" si="2">SUM(G23:G31)</f>
        <v>0</v>
      </c>
      <c r="H32" s="771">
        <f t="shared" si="2"/>
        <v>3.6240399999999999</v>
      </c>
      <c r="I32" s="771">
        <f t="shared" si="2"/>
        <v>0</v>
      </c>
      <c r="J32" s="771">
        <f t="shared" si="2"/>
        <v>0</v>
      </c>
      <c r="K32" s="771">
        <f t="shared" si="2"/>
        <v>0</v>
      </c>
      <c r="L32" s="771">
        <f t="shared" si="2"/>
        <v>0</v>
      </c>
      <c r="M32" s="771">
        <f t="shared" si="2"/>
        <v>3.6240399999999999</v>
      </c>
      <c r="N32" s="766"/>
    </row>
  </sheetData>
  <mergeCells count="37">
    <mergeCell ref="J12:K12"/>
    <mergeCell ref="F21:N21"/>
    <mergeCell ref="C15:E15"/>
    <mergeCell ref="A21:A22"/>
    <mergeCell ref="B21:B22"/>
    <mergeCell ref="C21:C22"/>
    <mergeCell ref="D21:D22"/>
    <mergeCell ref="E21:E22"/>
    <mergeCell ref="B13:D13"/>
    <mergeCell ref="E13:G13"/>
    <mergeCell ref="H13:J13"/>
    <mergeCell ref="K13:N13"/>
    <mergeCell ref="B12:C12"/>
    <mergeCell ref="D12:E12"/>
    <mergeCell ref="F12:G12"/>
    <mergeCell ref="H12:I12"/>
    <mergeCell ref="B10:D10"/>
    <mergeCell ref="E10:G10"/>
    <mergeCell ref="H10:J10"/>
    <mergeCell ref="K10:N10"/>
    <mergeCell ref="B11:D11"/>
    <mergeCell ref="E11:G11"/>
    <mergeCell ref="H11:J11"/>
    <mergeCell ref="K11:N11"/>
    <mergeCell ref="B6:E6"/>
    <mergeCell ref="F6:H6"/>
    <mergeCell ref="I6:K6"/>
    <mergeCell ref="B8:E8"/>
    <mergeCell ref="F8:J8"/>
    <mergeCell ref="K8:N8"/>
    <mergeCell ref="A1:N1"/>
    <mergeCell ref="E2:G2"/>
    <mergeCell ref="B4:D4"/>
    <mergeCell ref="E4:F4"/>
    <mergeCell ref="G4:H4"/>
    <mergeCell ref="I4:J4"/>
    <mergeCell ref="L4:M4"/>
  </mergeCells>
  <hyperlinks>
    <hyperlink ref="A3" location="'Fact Sheet of VDC'!A1" display="&lt;&lt;Back"/>
  </hyperlinks>
  <printOptions horizontalCentered="1" verticalCentered="1"/>
  <pageMargins left="1.1023622047244095" right="0.15748031496062992" top="0.39370078740157483" bottom="0.35433070866141736" header="0.31496062992125984" footer="0.31496062992125984"/>
  <pageSetup scale="78" orientation="landscape" r:id="rId1"/>
</worksheet>
</file>

<file path=xl/worksheets/sheet311.xml><?xml version="1.0" encoding="utf-8"?>
<worksheet xmlns="http://schemas.openxmlformats.org/spreadsheetml/2006/main" xmlns:r="http://schemas.openxmlformats.org/officeDocument/2006/relationships">
  <dimension ref="A1:P42"/>
  <sheetViews>
    <sheetView zoomScale="80" zoomScaleNormal="80" workbookViewId="0">
      <selection activeCell="A3" sqref="A3:C3"/>
    </sheetView>
  </sheetViews>
  <sheetFormatPr defaultRowHeight="15"/>
  <cols>
    <col min="1" max="1" width="36.5703125" bestFit="1" customWidth="1"/>
    <col min="2" max="2" width="15.85546875" bestFit="1" customWidth="1"/>
    <col min="3" max="3" width="11.28515625" bestFit="1" customWidth="1"/>
    <col min="4" max="4" width="23.140625" bestFit="1" customWidth="1"/>
    <col min="5" max="5" width="20.7109375" bestFit="1" customWidth="1"/>
    <col min="6" max="6" width="25" bestFit="1" customWidth="1"/>
    <col min="7" max="7" width="13.85546875" bestFit="1" customWidth="1"/>
    <col min="8" max="8" width="13.140625" bestFit="1" customWidth="1"/>
    <col min="9" max="9" width="11.28515625" bestFit="1" customWidth="1"/>
    <col min="10" max="10" width="14.140625" bestFit="1" customWidth="1"/>
    <col min="11" max="11" width="10.140625" bestFit="1" customWidth="1"/>
    <col min="12" max="12" width="21" bestFit="1" customWidth="1"/>
    <col min="13" max="13" width="9" customWidth="1"/>
    <col min="14" max="14" width="10.140625" bestFit="1" customWidth="1"/>
    <col min="257" max="257" width="36.5703125" bestFit="1" customWidth="1"/>
    <col min="258" max="258" width="15.85546875" bestFit="1" customWidth="1"/>
    <col min="259" max="259" width="11.28515625" bestFit="1" customWidth="1"/>
    <col min="260" max="260" width="23.140625" bestFit="1" customWidth="1"/>
    <col min="261" max="261" width="20.7109375" bestFit="1" customWidth="1"/>
    <col min="262" max="262" width="25" bestFit="1" customWidth="1"/>
    <col min="263" max="263" width="13.85546875" bestFit="1" customWidth="1"/>
    <col min="264" max="264" width="13.140625" bestFit="1" customWidth="1"/>
    <col min="265" max="265" width="11.28515625" bestFit="1" customWidth="1"/>
    <col min="266" max="266" width="14.140625" bestFit="1" customWidth="1"/>
    <col min="267" max="267" width="10.140625" bestFit="1" customWidth="1"/>
    <col min="268" max="268" width="21" bestFit="1" customWidth="1"/>
    <col min="269" max="269" width="9" customWidth="1"/>
    <col min="270" max="270" width="10.140625" bestFit="1" customWidth="1"/>
    <col min="513" max="513" width="36.5703125" bestFit="1" customWidth="1"/>
    <col min="514" max="514" width="15.85546875" bestFit="1" customWidth="1"/>
    <col min="515" max="515" width="11.28515625" bestFit="1" customWidth="1"/>
    <col min="516" max="516" width="23.140625" bestFit="1" customWidth="1"/>
    <col min="517" max="517" width="20.7109375" bestFit="1" customWidth="1"/>
    <col min="518" max="518" width="25" bestFit="1" customWidth="1"/>
    <col min="519" max="519" width="13.85546875" bestFit="1" customWidth="1"/>
    <col min="520" max="520" width="13.140625" bestFit="1" customWidth="1"/>
    <col min="521" max="521" width="11.28515625" bestFit="1" customWidth="1"/>
    <col min="522" max="522" width="14.140625" bestFit="1" customWidth="1"/>
    <col min="523" max="523" width="10.140625" bestFit="1" customWidth="1"/>
    <col min="524" max="524" width="21" bestFit="1" customWidth="1"/>
    <col min="525" max="525" width="9" customWidth="1"/>
    <col min="526" max="526" width="10.140625" bestFit="1" customWidth="1"/>
    <col min="769" max="769" width="36.5703125" bestFit="1" customWidth="1"/>
    <col min="770" max="770" width="15.85546875" bestFit="1" customWidth="1"/>
    <col min="771" max="771" width="11.28515625" bestFit="1" customWidth="1"/>
    <col min="772" max="772" width="23.140625" bestFit="1" customWidth="1"/>
    <col min="773" max="773" width="20.7109375" bestFit="1" customWidth="1"/>
    <col min="774" max="774" width="25" bestFit="1" customWidth="1"/>
    <col min="775" max="775" width="13.85546875" bestFit="1" customWidth="1"/>
    <col min="776" max="776" width="13.140625" bestFit="1" customWidth="1"/>
    <col min="777" max="777" width="11.28515625" bestFit="1" customWidth="1"/>
    <col min="778" max="778" width="14.140625" bestFit="1" customWidth="1"/>
    <col min="779" max="779" width="10.140625" bestFit="1" customWidth="1"/>
    <col min="780" max="780" width="21" bestFit="1" customWidth="1"/>
    <col min="781" max="781" width="9" customWidth="1"/>
    <col min="782" max="782" width="10.140625" bestFit="1" customWidth="1"/>
    <col min="1025" max="1025" width="36.5703125" bestFit="1" customWidth="1"/>
    <col min="1026" max="1026" width="15.85546875" bestFit="1" customWidth="1"/>
    <col min="1027" max="1027" width="11.28515625" bestFit="1" customWidth="1"/>
    <col min="1028" max="1028" width="23.140625" bestFit="1" customWidth="1"/>
    <col min="1029" max="1029" width="20.7109375" bestFit="1" customWidth="1"/>
    <col min="1030" max="1030" width="25" bestFit="1" customWidth="1"/>
    <col min="1031" max="1031" width="13.85546875" bestFit="1" customWidth="1"/>
    <col min="1032" max="1032" width="13.140625" bestFit="1" customWidth="1"/>
    <col min="1033" max="1033" width="11.28515625" bestFit="1" customWidth="1"/>
    <col min="1034" max="1034" width="14.140625" bestFit="1" customWidth="1"/>
    <col min="1035" max="1035" width="10.140625" bestFit="1" customWidth="1"/>
    <col min="1036" max="1036" width="21" bestFit="1" customWidth="1"/>
    <col min="1037" max="1037" width="9" customWidth="1"/>
    <col min="1038" max="1038" width="10.140625" bestFit="1" customWidth="1"/>
    <col min="1281" max="1281" width="36.5703125" bestFit="1" customWidth="1"/>
    <col min="1282" max="1282" width="15.85546875" bestFit="1" customWidth="1"/>
    <col min="1283" max="1283" width="11.28515625" bestFit="1" customWidth="1"/>
    <col min="1284" max="1284" width="23.140625" bestFit="1" customWidth="1"/>
    <col min="1285" max="1285" width="20.7109375" bestFit="1" customWidth="1"/>
    <col min="1286" max="1286" width="25" bestFit="1" customWidth="1"/>
    <col min="1287" max="1287" width="13.85546875" bestFit="1" customWidth="1"/>
    <col min="1288" max="1288" width="13.140625" bestFit="1" customWidth="1"/>
    <col min="1289" max="1289" width="11.28515625" bestFit="1" customWidth="1"/>
    <col min="1290" max="1290" width="14.140625" bestFit="1" customWidth="1"/>
    <col min="1291" max="1291" width="10.140625" bestFit="1" customWidth="1"/>
    <col min="1292" max="1292" width="21" bestFit="1" customWidth="1"/>
    <col min="1293" max="1293" width="9" customWidth="1"/>
    <col min="1294" max="1294" width="10.140625" bestFit="1" customWidth="1"/>
    <col min="1537" max="1537" width="36.5703125" bestFit="1" customWidth="1"/>
    <col min="1538" max="1538" width="15.85546875" bestFit="1" customWidth="1"/>
    <col min="1539" max="1539" width="11.28515625" bestFit="1" customWidth="1"/>
    <col min="1540" max="1540" width="23.140625" bestFit="1" customWidth="1"/>
    <col min="1541" max="1541" width="20.7109375" bestFit="1" customWidth="1"/>
    <col min="1542" max="1542" width="25" bestFit="1" customWidth="1"/>
    <col min="1543" max="1543" width="13.85546875" bestFit="1" customWidth="1"/>
    <col min="1544" max="1544" width="13.140625" bestFit="1" customWidth="1"/>
    <col min="1545" max="1545" width="11.28515625" bestFit="1" customWidth="1"/>
    <col min="1546" max="1546" width="14.140625" bestFit="1" customWidth="1"/>
    <col min="1547" max="1547" width="10.140625" bestFit="1" customWidth="1"/>
    <col min="1548" max="1548" width="21" bestFit="1" customWidth="1"/>
    <col min="1549" max="1549" width="9" customWidth="1"/>
    <col min="1550" max="1550" width="10.140625" bestFit="1" customWidth="1"/>
    <col min="1793" max="1793" width="36.5703125" bestFit="1" customWidth="1"/>
    <col min="1794" max="1794" width="15.85546875" bestFit="1" customWidth="1"/>
    <col min="1795" max="1795" width="11.28515625" bestFit="1" customWidth="1"/>
    <col min="1796" max="1796" width="23.140625" bestFit="1" customWidth="1"/>
    <col min="1797" max="1797" width="20.7109375" bestFit="1" customWidth="1"/>
    <col min="1798" max="1798" width="25" bestFit="1" customWidth="1"/>
    <col min="1799" max="1799" width="13.85546875" bestFit="1" customWidth="1"/>
    <col min="1800" max="1800" width="13.140625" bestFit="1" customWidth="1"/>
    <col min="1801" max="1801" width="11.28515625" bestFit="1" customWidth="1"/>
    <col min="1802" max="1802" width="14.140625" bestFit="1" customWidth="1"/>
    <col min="1803" max="1803" width="10.140625" bestFit="1" customWidth="1"/>
    <col min="1804" max="1804" width="21" bestFit="1" customWidth="1"/>
    <col min="1805" max="1805" width="9" customWidth="1"/>
    <col min="1806" max="1806" width="10.140625" bestFit="1" customWidth="1"/>
    <col min="2049" max="2049" width="36.5703125" bestFit="1" customWidth="1"/>
    <col min="2050" max="2050" width="15.85546875" bestFit="1" customWidth="1"/>
    <col min="2051" max="2051" width="11.28515625" bestFit="1" customWidth="1"/>
    <col min="2052" max="2052" width="23.140625" bestFit="1" customWidth="1"/>
    <col min="2053" max="2053" width="20.7109375" bestFit="1" customWidth="1"/>
    <col min="2054" max="2054" width="25" bestFit="1" customWidth="1"/>
    <col min="2055" max="2055" width="13.85546875" bestFit="1" customWidth="1"/>
    <col min="2056" max="2056" width="13.140625" bestFit="1" customWidth="1"/>
    <col min="2057" max="2057" width="11.28515625" bestFit="1" customWidth="1"/>
    <col min="2058" max="2058" width="14.140625" bestFit="1" customWidth="1"/>
    <col min="2059" max="2059" width="10.140625" bestFit="1" customWidth="1"/>
    <col min="2060" max="2060" width="21" bestFit="1" customWidth="1"/>
    <col min="2061" max="2061" width="9" customWidth="1"/>
    <col min="2062" max="2062" width="10.140625" bestFit="1" customWidth="1"/>
    <col min="2305" max="2305" width="36.5703125" bestFit="1" customWidth="1"/>
    <col min="2306" max="2306" width="15.85546875" bestFit="1" customWidth="1"/>
    <col min="2307" max="2307" width="11.28515625" bestFit="1" customWidth="1"/>
    <col min="2308" max="2308" width="23.140625" bestFit="1" customWidth="1"/>
    <col min="2309" max="2309" width="20.7109375" bestFit="1" customWidth="1"/>
    <col min="2310" max="2310" width="25" bestFit="1" customWidth="1"/>
    <col min="2311" max="2311" width="13.85546875" bestFit="1" customWidth="1"/>
    <col min="2312" max="2312" width="13.140625" bestFit="1" customWidth="1"/>
    <col min="2313" max="2313" width="11.28515625" bestFit="1" customWidth="1"/>
    <col min="2314" max="2314" width="14.140625" bestFit="1" customWidth="1"/>
    <col min="2315" max="2315" width="10.140625" bestFit="1" customWidth="1"/>
    <col min="2316" max="2316" width="21" bestFit="1" customWidth="1"/>
    <col min="2317" max="2317" width="9" customWidth="1"/>
    <col min="2318" max="2318" width="10.140625" bestFit="1" customWidth="1"/>
    <col min="2561" max="2561" width="36.5703125" bestFit="1" customWidth="1"/>
    <col min="2562" max="2562" width="15.85546875" bestFit="1" customWidth="1"/>
    <col min="2563" max="2563" width="11.28515625" bestFit="1" customWidth="1"/>
    <col min="2564" max="2564" width="23.140625" bestFit="1" customWidth="1"/>
    <col min="2565" max="2565" width="20.7109375" bestFit="1" customWidth="1"/>
    <col min="2566" max="2566" width="25" bestFit="1" customWidth="1"/>
    <col min="2567" max="2567" width="13.85546875" bestFit="1" customWidth="1"/>
    <col min="2568" max="2568" width="13.140625" bestFit="1" customWidth="1"/>
    <col min="2569" max="2569" width="11.28515625" bestFit="1" customWidth="1"/>
    <col min="2570" max="2570" width="14.140625" bestFit="1" customWidth="1"/>
    <col min="2571" max="2571" width="10.140625" bestFit="1" customWidth="1"/>
    <col min="2572" max="2572" width="21" bestFit="1" customWidth="1"/>
    <col min="2573" max="2573" width="9" customWidth="1"/>
    <col min="2574" max="2574" width="10.140625" bestFit="1" customWidth="1"/>
    <col min="2817" max="2817" width="36.5703125" bestFit="1" customWidth="1"/>
    <col min="2818" max="2818" width="15.85546875" bestFit="1" customWidth="1"/>
    <col min="2819" max="2819" width="11.28515625" bestFit="1" customWidth="1"/>
    <col min="2820" max="2820" width="23.140625" bestFit="1" customWidth="1"/>
    <col min="2821" max="2821" width="20.7109375" bestFit="1" customWidth="1"/>
    <col min="2822" max="2822" width="25" bestFit="1" customWidth="1"/>
    <col min="2823" max="2823" width="13.85546875" bestFit="1" customWidth="1"/>
    <col min="2824" max="2824" width="13.140625" bestFit="1" customWidth="1"/>
    <col min="2825" max="2825" width="11.28515625" bestFit="1" customWidth="1"/>
    <col min="2826" max="2826" width="14.140625" bestFit="1" customWidth="1"/>
    <col min="2827" max="2827" width="10.140625" bestFit="1" customWidth="1"/>
    <col min="2828" max="2828" width="21" bestFit="1" customWidth="1"/>
    <col min="2829" max="2829" width="9" customWidth="1"/>
    <col min="2830" max="2830" width="10.140625" bestFit="1" customWidth="1"/>
    <col min="3073" max="3073" width="36.5703125" bestFit="1" customWidth="1"/>
    <col min="3074" max="3074" width="15.85546875" bestFit="1" customWidth="1"/>
    <col min="3075" max="3075" width="11.28515625" bestFit="1" customWidth="1"/>
    <col min="3076" max="3076" width="23.140625" bestFit="1" customWidth="1"/>
    <col min="3077" max="3077" width="20.7109375" bestFit="1" customWidth="1"/>
    <col min="3078" max="3078" width="25" bestFit="1" customWidth="1"/>
    <col min="3079" max="3079" width="13.85546875" bestFit="1" customWidth="1"/>
    <col min="3080" max="3080" width="13.140625" bestFit="1" customWidth="1"/>
    <col min="3081" max="3081" width="11.28515625" bestFit="1" customWidth="1"/>
    <col min="3082" max="3082" width="14.140625" bestFit="1" customWidth="1"/>
    <col min="3083" max="3083" width="10.140625" bestFit="1" customWidth="1"/>
    <col min="3084" max="3084" width="21" bestFit="1" customWidth="1"/>
    <col min="3085" max="3085" width="9" customWidth="1"/>
    <col min="3086" max="3086" width="10.140625" bestFit="1" customWidth="1"/>
    <col min="3329" max="3329" width="36.5703125" bestFit="1" customWidth="1"/>
    <col min="3330" max="3330" width="15.85546875" bestFit="1" customWidth="1"/>
    <col min="3331" max="3331" width="11.28515625" bestFit="1" customWidth="1"/>
    <col min="3332" max="3332" width="23.140625" bestFit="1" customWidth="1"/>
    <col min="3333" max="3333" width="20.7109375" bestFit="1" customWidth="1"/>
    <col min="3334" max="3334" width="25" bestFit="1" customWidth="1"/>
    <col min="3335" max="3335" width="13.85546875" bestFit="1" customWidth="1"/>
    <col min="3336" max="3336" width="13.140625" bestFit="1" customWidth="1"/>
    <col min="3337" max="3337" width="11.28515625" bestFit="1" customWidth="1"/>
    <col min="3338" max="3338" width="14.140625" bestFit="1" customWidth="1"/>
    <col min="3339" max="3339" width="10.140625" bestFit="1" customWidth="1"/>
    <col min="3340" max="3340" width="21" bestFit="1" customWidth="1"/>
    <col min="3341" max="3341" width="9" customWidth="1"/>
    <col min="3342" max="3342" width="10.140625" bestFit="1" customWidth="1"/>
    <col min="3585" max="3585" width="36.5703125" bestFit="1" customWidth="1"/>
    <col min="3586" max="3586" width="15.85546875" bestFit="1" customWidth="1"/>
    <col min="3587" max="3587" width="11.28515625" bestFit="1" customWidth="1"/>
    <col min="3588" max="3588" width="23.140625" bestFit="1" customWidth="1"/>
    <col min="3589" max="3589" width="20.7109375" bestFit="1" customWidth="1"/>
    <col min="3590" max="3590" width="25" bestFit="1" customWidth="1"/>
    <col min="3591" max="3591" width="13.85546875" bestFit="1" customWidth="1"/>
    <col min="3592" max="3592" width="13.140625" bestFit="1" customWidth="1"/>
    <col min="3593" max="3593" width="11.28515625" bestFit="1" customWidth="1"/>
    <col min="3594" max="3594" width="14.140625" bestFit="1" customWidth="1"/>
    <col min="3595" max="3595" width="10.140625" bestFit="1" customWidth="1"/>
    <col min="3596" max="3596" width="21" bestFit="1" customWidth="1"/>
    <col min="3597" max="3597" width="9" customWidth="1"/>
    <col min="3598" max="3598" width="10.140625" bestFit="1" customWidth="1"/>
    <col min="3841" max="3841" width="36.5703125" bestFit="1" customWidth="1"/>
    <col min="3842" max="3842" width="15.85546875" bestFit="1" customWidth="1"/>
    <col min="3843" max="3843" width="11.28515625" bestFit="1" customWidth="1"/>
    <col min="3844" max="3844" width="23.140625" bestFit="1" customWidth="1"/>
    <col min="3845" max="3845" width="20.7109375" bestFit="1" customWidth="1"/>
    <col min="3846" max="3846" width="25" bestFit="1" customWidth="1"/>
    <col min="3847" max="3847" width="13.85546875" bestFit="1" customWidth="1"/>
    <col min="3848" max="3848" width="13.140625" bestFit="1" customWidth="1"/>
    <col min="3849" max="3849" width="11.28515625" bestFit="1" customWidth="1"/>
    <col min="3850" max="3850" width="14.140625" bestFit="1" customWidth="1"/>
    <col min="3851" max="3851" width="10.140625" bestFit="1" customWidth="1"/>
    <col min="3852" max="3852" width="21" bestFit="1" customWidth="1"/>
    <col min="3853" max="3853" width="9" customWidth="1"/>
    <col min="3854" max="3854" width="10.140625" bestFit="1" customWidth="1"/>
    <col min="4097" max="4097" width="36.5703125" bestFit="1" customWidth="1"/>
    <col min="4098" max="4098" width="15.85546875" bestFit="1" customWidth="1"/>
    <col min="4099" max="4099" width="11.28515625" bestFit="1" customWidth="1"/>
    <col min="4100" max="4100" width="23.140625" bestFit="1" customWidth="1"/>
    <col min="4101" max="4101" width="20.7109375" bestFit="1" customWidth="1"/>
    <col min="4102" max="4102" width="25" bestFit="1" customWidth="1"/>
    <col min="4103" max="4103" width="13.85546875" bestFit="1" customWidth="1"/>
    <col min="4104" max="4104" width="13.140625" bestFit="1" customWidth="1"/>
    <col min="4105" max="4105" width="11.28515625" bestFit="1" customWidth="1"/>
    <col min="4106" max="4106" width="14.140625" bestFit="1" customWidth="1"/>
    <col min="4107" max="4107" width="10.140625" bestFit="1" customWidth="1"/>
    <col min="4108" max="4108" width="21" bestFit="1" customWidth="1"/>
    <col min="4109" max="4109" width="9" customWidth="1"/>
    <col min="4110" max="4110" width="10.140625" bestFit="1" customWidth="1"/>
    <col min="4353" max="4353" width="36.5703125" bestFit="1" customWidth="1"/>
    <col min="4354" max="4354" width="15.85546875" bestFit="1" customWidth="1"/>
    <col min="4355" max="4355" width="11.28515625" bestFit="1" customWidth="1"/>
    <col min="4356" max="4356" width="23.140625" bestFit="1" customWidth="1"/>
    <col min="4357" max="4357" width="20.7109375" bestFit="1" customWidth="1"/>
    <col min="4358" max="4358" width="25" bestFit="1" customWidth="1"/>
    <col min="4359" max="4359" width="13.85546875" bestFit="1" customWidth="1"/>
    <col min="4360" max="4360" width="13.140625" bestFit="1" customWidth="1"/>
    <col min="4361" max="4361" width="11.28515625" bestFit="1" customWidth="1"/>
    <col min="4362" max="4362" width="14.140625" bestFit="1" customWidth="1"/>
    <col min="4363" max="4363" width="10.140625" bestFit="1" customWidth="1"/>
    <col min="4364" max="4364" width="21" bestFit="1" customWidth="1"/>
    <col min="4365" max="4365" width="9" customWidth="1"/>
    <col min="4366" max="4366" width="10.140625" bestFit="1" customWidth="1"/>
    <col min="4609" max="4609" width="36.5703125" bestFit="1" customWidth="1"/>
    <col min="4610" max="4610" width="15.85546875" bestFit="1" customWidth="1"/>
    <col min="4611" max="4611" width="11.28515625" bestFit="1" customWidth="1"/>
    <col min="4612" max="4612" width="23.140625" bestFit="1" customWidth="1"/>
    <col min="4613" max="4613" width="20.7109375" bestFit="1" customWidth="1"/>
    <col min="4614" max="4614" width="25" bestFit="1" customWidth="1"/>
    <col min="4615" max="4615" width="13.85546875" bestFit="1" customWidth="1"/>
    <col min="4616" max="4616" width="13.140625" bestFit="1" customWidth="1"/>
    <col min="4617" max="4617" width="11.28515625" bestFit="1" customWidth="1"/>
    <col min="4618" max="4618" width="14.140625" bestFit="1" customWidth="1"/>
    <col min="4619" max="4619" width="10.140625" bestFit="1" customWidth="1"/>
    <col min="4620" max="4620" width="21" bestFit="1" customWidth="1"/>
    <col min="4621" max="4621" width="9" customWidth="1"/>
    <col min="4622" max="4622" width="10.140625" bestFit="1" customWidth="1"/>
    <col min="4865" max="4865" width="36.5703125" bestFit="1" customWidth="1"/>
    <col min="4866" max="4866" width="15.85546875" bestFit="1" customWidth="1"/>
    <col min="4867" max="4867" width="11.28515625" bestFit="1" customWidth="1"/>
    <col min="4868" max="4868" width="23.140625" bestFit="1" customWidth="1"/>
    <col min="4869" max="4869" width="20.7109375" bestFit="1" customWidth="1"/>
    <col min="4870" max="4870" width="25" bestFit="1" customWidth="1"/>
    <col min="4871" max="4871" width="13.85546875" bestFit="1" customWidth="1"/>
    <col min="4872" max="4872" width="13.140625" bestFit="1" customWidth="1"/>
    <col min="4873" max="4873" width="11.28515625" bestFit="1" customWidth="1"/>
    <col min="4874" max="4874" width="14.140625" bestFit="1" customWidth="1"/>
    <col min="4875" max="4875" width="10.140625" bestFit="1" customWidth="1"/>
    <col min="4876" max="4876" width="21" bestFit="1" customWidth="1"/>
    <col min="4877" max="4877" width="9" customWidth="1"/>
    <col min="4878" max="4878" width="10.140625" bestFit="1" customWidth="1"/>
    <col min="5121" max="5121" width="36.5703125" bestFit="1" customWidth="1"/>
    <col min="5122" max="5122" width="15.85546875" bestFit="1" customWidth="1"/>
    <col min="5123" max="5123" width="11.28515625" bestFit="1" customWidth="1"/>
    <col min="5124" max="5124" width="23.140625" bestFit="1" customWidth="1"/>
    <col min="5125" max="5125" width="20.7109375" bestFit="1" customWidth="1"/>
    <col min="5126" max="5126" width="25" bestFit="1" customWidth="1"/>
    <col min="5127" max="5127" width="13.85546875" bestFit="1" customWidth="1"/>
    <col min="5128" max="5128" width="13.140625" bestFit="1" customWidth="1"/>
    <col min="5129" max="5129" width="11.28515625" bestFit="1" customWidth="1"/>
    <col min="5130" max="5130" width="14.140625" bestFit="1" customWidth="1"/>
    <col min="5131" max="5131" width="10.140625" bestFit="1" customWidth="1"/>
    <col min="5132" max="5132" width="21" bestFit="1" customWidth="1"/>
    <col min="5133" max="5133" width="9" customWidth="1"/>
    <col min="5134" max="5134" width="10.140625" bestFit="1" customWidth="1"/>
    <col min="5377" max="5377" width="36.5703125" bestFit="1" customWidth="1"/>
    <col min="5378" max="5378" width="15.85546875" bestFit="1" customWidth="1"/>
    <col min="5379" max="5379" width="11.28515625" bestFit="1" customWidth="1"/>
    <col min="5380" max="5380" width="23.140625" bestFit="1" customWidth="1"/>
    <col min="5381" max="5381" width="20.7109375" bestFit="1" customWidth="1"/>
    <col min="5382" max="5382" width="25" bestFit="1" customWidth="1"/>
    <col min="5383" max="5383" width="13.85546875" bestFit="1" customWidth="1"/>
    <col min="5384" max="5384" width="13.140625" bestFit="1" customWidth="1"/>
    <col min="5385" max="5385" width="11.28515625" bestFit="1" customWidth="1"/>
    <col min="5386" max="5386" width="14.140625" bestFit="1" customWidth="1"/>
    <col min="5387" max="5387" width="10.140625" bestFit="1" customWidth="1"/>
    <col min="5388" max="5388" width="21" bestFit="1" customWidth="1"/>
    <col min="5389" max="5389" width="9" customWidth="1"/>
    <col min="5390" max="5390" width="10.140625" bestFit="1" customWidth="1"/>
    <col min="5633" max="5633" width="36.5703125" bestFit="1" customWidth="1"/>
    <col min="5634" max="5634" width="15.85546875" bestFit="1" customWidth="1"/>
    <col min="5635" max="5635" width="11.28515625" bestFit="1" customWidth="1"/>
    <col min="5636" max="5636" width="23.140625" bestFit="1" customWidth="1"/>
    <col min="5637" max="5637" width="20.7109375" bestFit="1" customWidth="1"/>
    <col min="5638" max="5638" width="25" bestFit="1" customWidth="1"/>
    <col min="5639" max="5639" width="13.85546875" bestFit="1" customWidth="1"/>
    <col min="5640" max="5640" width="13.140625" bestFit="1" customWidth="1"/>
    <col min="5641" max="5641" width="11.28515625" bestFit="1" customWidth="1"/>
    <col min="5642" max="5642" width="14.140625" bestFit="1" customWidth="1"/>
    <col min="5643" max="5643" width="10.140625" bestFit="1" customWidth="1"/>
    <col min="5644" max="5644" width="21" bestFit="1" customWidth="1"/>
    <col min="5645" max="5645" width="9" customWidth="1"/>
    <col min="5646" max="5646" width="10.140625" bestFit="1" customWidth="1"/>
    <col min="5889" max="5889" width="36.5703125" bestFit="1" customWidth="1"/>
    <col min="5890" max="5890" width="15.85546875" bestFit="1" customWidth="1"/>
    <col min="5891" max="5891" width="11.28515625" bestFit="1" customWidth="1"/>
    <col min="5892" max="5892" width="23.140625" bestFit="1" customWidth="1"/>
    <col min="5893" max="5893" width="20.7109375" bestFit="1" customWidth="1"/>
    <col min="5894" max="5894" width="25" bestFit="1" customWidth="1"/>
    <col min="5895" max="5895" width="13.85546875" bestFit="1" customWidth="1"/>
    <col min="5896" max="5896" width="13.140625" bestFit="1" customWidth="1"/>
    <col min="5897" max="5897" width="11.28515625" bestFit="1" customWidth="1"/>
    <col min="5898" max="5898" width="14.140625" bestFit="1" customWidth="1"/>
    <col min="5899" max="5899" width="10.140625" bestFit="1" customWidth="1"/>
    <col min="5900" max="5900" width="21" bestFit="1" customWidth="1"/>
    <col min="5901" max="5901" width="9" customWidth="1"/>
    <col min="5902" max="5902" width="10.140625" bestFit="1" customWidth="1"/>
    <col min="6145" max="6145" width="36.5703125" bestFit="1" customWidth="1"/>
    <col min="6146" max="6146" width="15.85546875" bestFit="1" customWidth="1"/>
    <col min="6147" max="6147" width="11.28515625" bestFit="1" customWidth="1"/>
    <col min="6148" max="6148" width="23.140625" bestFit="1" customWidth="1"/>
    <col min="6149" max="6149" width="20.7109375" bestFit="1" customWidth="1"/>
    <col min="6150" max="6150" width="25" bestFit="1" customWidth="1"/>
    <col min="6151" max="6151" width="13.85546875" bestFit="1" customWidth="1"/>
    <col min="6152" max="6152" width="13.140625" bestFit="1" customWidth="1"/>
    <col min="6153" max="6153" width="11.28515625" bestFit="1" customWidth="1"/>
    <col min="6154" max="6154" width="14.140625" bestFit="1" customWidth="1"/>
    <col min="6155" max="6155" width="10.140625" bestFit="1" customWidth="1"/>
    <col min="6156" max="6156" width="21" bestFit="1" customWidth="1"/>
    <col min="6157" max="6157" width="9" customWidth="1"/>
    <col min="6158" max="6158" width="10.140625" bestFit="1" customWidth="1"/>
    <col min="6401" max="6401" width="36.5703125" bestFit="1" customWidth="1"/>
    <col min="6402" max="6402" width="15.85546875" bestFit="1" customWidth="1"/>
    <col min="6403" max="6403" width="11.28515625" bestFit="1" customWidth="1"/>
    <col min="6404" max="6404" width="23.140625" bestFit="1" customWidth="1"/>
    <col min="6405" max="6405" width="20.7109375" bestFit="1" customWidth="1"/>
    <col min="6406" max="6406" width="25" bestFit="1" customWidth="1"/>
    <col min="6407" max="6407" width="13.85546875" bestFit="1" customWidth="1"/>
    <col min="6408" max="6408" width="13.140625" bestFit="1" customWidth="1"/>
    <col min="6409" max="6409" width="11.28515625" bestFit="1" customWidth="1"/>
    <col min="6410" max="6410" width="14.140625" bestFit="1" customWidth="1"/>
    <col min="6411" max="6411" width="10.140625" bestFit="1" customWidth="1"/>
    <col min="6412" max="6412" width="21" bestFit="1" customWidth="1"/>
    <col min="6413" max="6413" width="9" customWidth="1"/>
    <col min="6414" max="6414" width="10.140625" bestFit="1" customWidth="1"/>
    <col min="6657" max="6657" width="36.5703125" bestFit="1" customWidth="1"/>
    <col min="6658" max="6658" width="15.85546875" bestFit="1" customWidth="1"/>
    <col min="6659" max="6659" width="11.28515625" bestFit="1" customWidth="1"/>
    <col min="6660" max="6660" width="23.140625" bestFit="1" customWidth="1"/>
    <col min="6661" max="6661" width="20.7109375" bestFit="1" customWidth="1"/>
    <col min="6662" max="6662" width="25" bestFit="1" customWidth="1"/>
    <col min="6663" max="6663" width="13.85546875" bestFit="1" customWidth="1"/>
    <col min="6664" max="6664" width="13.140625" bestFit="1" customWidth="1"/>
    <col min="6665" max="6665" width="11.28515625" bestFit="1" customWidth="1"/>
    <col min="6666" max="6666" width="14.140625" bestFit="1" customWidth="1"/>
    <col min="6667" max="6667" width="10.140625" bestFit="1" customWidth="1"/>
    <col min="6668" max="6668" width="21" bestFit="1" customWidth="1"/>
    <col min="6669" max="6669" width="9" customWidth="1"/>
    <col min="6670" max="6670" width="10.140625" bestFit="1" customWidth="1"/>
    <col min="6913" max="6913" width="36.5703125" bestFit="1" customWidth="1"/>
    <col min="6914" max="6914" width="15.85546875" bestFit="1" customWidth="1"/>
    <col min="6915" max="6915" width="11.28515625" bestFit="1" customWidth="1"/>
    <col min="6916" max="6916" width="23.140625" bestFit="1" customWidth="1"/>
    <col min="6917" max="6917" width="20.7109375" bestFit="1" customWidth="1"/>
    <col min="6918" max="6918" width="25" bestFit="1" customWidth="1"/>
    <col min="6919" max="6919" width="13.85546875" bestFit="1" customWidth="1"/>
    <col min="6920" max="6920" width="13.140625" bestFit="1" customWidth="1"/>
    <col min="6921" max="6921" width="11.28515625" bestFit="1" customWidth="1"/>
    <col min="6922" max="6922" width="14.140625" bestFit="1" customWidth="1"/>
    <col min="6923" max="6923" width="10.140625" bestFit="1" customWidth="1"/>
    <col min="6924" max="6924" width="21" bestFit="1" customWidth="1"/>
    <col min="6925" max="6925" width="9" customWidth="1"/>
    <col min="6926" max="6926" width="10.140625" bestFit="1" customWidth="1"/>
    <col min="7169" max="7169" width="36.5703125" bestFit="1" customWidth="1"/>
    <col min="7170" max="7170" width="15.85546875" bestFit="1" customWidth="1"/>
    <col min="7171" max="7171" width="11.28515625" bestFit="1" customWidth="1"/>
    <col min="7172" max="7172" width="23.140625" bestFit="1" customWidth="1"/>
    <col min="7173" max="7173" width="20.7109375" bestFit="1" customWidth="1"/>
    <col min="7174" max="7174" width="25" bestFit="1" customWidth="1"/>
    <col min="7175" max="7175" width="13.85546875" bestFit="1" customWidth="1"/>
    <col min="7176" max="7176" width="13.140625" bestFit="1" customWidth="1"/>
    <col min="7177" max="7177" width="11.28515625" bestFit="1" customWidth="1"/>
    <col min="7178" max="7178" width="14.140625" bestFit="1" customWidth="1"/>
    <col min="7179" max="7179" width="10.140625" bestFit="1" customWidth="1"/>
    <col min="7180" max="7180" width="21" bestFit="1" customWidth="1"/>
    <col min="7181" max="7181" width="9" customWidth="1"/>
    <col min="7182" max="7182" width="10.140625" bestFit="1" customWidth="1"/>
    <col min="7425" max="7425" width="36.5703125" bestFit="1" customWidth="1"/>
    <col min="7426" max="7426" width="15.85546875" bestFit="1" customWidth="1"/>
    <col min="7427" max="7427" width="11.28515625" bestFit="1" customWidth="1"/>
    <col min="7428" max="7428" width="23.140625" bestFit="1" customWidth="1"/>
    <col min="7429" max="7429" width="20.7109375" bestFit="1" customWidth="1"/>
    <col min="7430" max="7430" width="25" bestFit="1" customWidth="1"/>
    <col min="7431" max="7431" width="13.85546875" bestFit="1" customWidth="1"/>
    <col min="7432" max="7432" width="13.140625" bestFit="1" customWidth="1"/>
    <col min="7433" max="7433" width="11.28515625" bestFit="1" customWidth="1"/>
    <col min="7434" max="7434" width="14.140625" bestFit="1" customWidth="1"/>
    <col min="7435" max="7435" width="10.140625" bestFit="1" customWidth="1"/>
    <col min="7436" max="7436" width="21" bestFit="1" customWidth="1"/>
    <col min="7437" max="7437" width="9" customWidth="1"/>
    <col min="7438" max="7438" width="10.140625" bestFit="1" customWidth="1"/>
    <col min="7681" max="7681" width="36.5703125" bestFit="1" customWidth="1"/>
    <col min="7682" max="7682" width="15.85546875" bestFit="1" customWidth="1"/>
    <col min="7683" max="7683" width="11.28515625" bestFit="1" customWidth="1"/>
    <col min="7684" max="7684" width="23.140625" bestFit="1" customWidth="1"/>
    <col min="7685" max="7685" width="20.7109375" bestFit="1" customWidth="1"/>
    <col min="7686" max="7686" width="25" bestFit="1" customWidth="1"/>
    <col min="7687" max="7687" width="13.85546875" bestFit="1" customWidth="1"/>
    <col min="7688" max="7688" width="13.140625" bestFit="1" customWidth="1"/>
    <col min="7689" max="7689" width="11.28515625" bestFit="1" customWidth="1"/>
    <col min="7690" max="7690" width="14.140625" bestFit="1" customWidth="1"/>
    <col min="7691" max="7691" width="10.140625" bestFit="1" customWidth="1"/>
    <col min="7692" max="7692" width="21" bestFit="1" customWidth="1"/>
    <col min="7693" max="7693" width="9" customWidth="1"/>
    <col min="7694" max="7694" width="10.140625" bestFit="1" customWidth="1"/>
    <col min="7937" max="7937" width="36.5703125" bestFit="1" customWidth="1"/>
    <col min="7938" max="7938" width="15.85546875" bestFit="1" customWidth="1"/>
    <col min="7939" max="7939" width="11.28515625" bestFit="1" customWidth="1"/>
    <col min="7940" max="7940" width="23.140625" bestFit="1" customWidth="1"/>
    <col min="7941" max="7941" width="20.7109375" bestFit="1" customWidth="1"/>
    <col min="7942" max="7942" width="25" bestFit="1" customWidth="1"/>
    <col min="7943" max="7943" width="13.85546875" bestFit="1" customWidth="1"/>
    <col min="7944" max="7944" width="13.140625" bestFit="1" customWidth="1"/>
    <col min="7945" max="7945" width="11.28515625" bestFit="1" customWidth="1"/>
    <col min="7946" max="7946" width="14.140625" bestFit="1" customWidth="1"/>
    <col min="7947" max="7947" width="10.140625" bestFit="1" customWidth="1"/>
    <col min="7948" max="7948" width="21" bestFit="1" customWidth="1"/>
    <col min="7949" max="7949" width="9" customWidth="1"/>
    <col min="7950" max="7950" width="10.140625" bestFit="1" customWidth="1"/>
    <col min="8193" max="8193" width="36.5703125" bestFit="1" customWidth="1"/>
    <col min="8194" max="8194" width="15.85546875" bestFit="1" customWidth="1"/>
    <col min="8195" max="8195" width="11.28515625" bestFit="1" customWidth="1"/>
    <col min="8196" max="8196" width="23.140625" bestFit="1" customWidth="1"/>
    <col min="8197" max="8197" width="20.7109375" bestFit="1" customWidth="1"/>
    <col min="8198" max="8198" width="25" bestFit="1" customWidth="1"/>
    <col min="8199" max="8199" width="13.85546875" bestFit="1" customWidth="1"/>
    <col min="8200" max="8200" width="13.140625" bestFit="1" customWidth="1"/>
    <col min="8201" max="8201" width="11.28515625" bestFit="1" customWidth="1"/>
    <col min="8202" max="8202" width="14.140625" bestFit="1" customWidth="1"/>
    <col min="8203" max="8203" width="10.140625" bestFit="1" customWidth="1"/>
    <col min="8204" max="8204" width="21" bestFit="1" customWidth="1"/>
    <col min="8205" max="8205" width="9" customWidth="1"/>
    <col min="8206" max="8206" width="10.140625" bestFit="1" customWidth="1"/>
    <col min="8449" max="8449" width="36.5703125" bestFit="1" customWidth="1"/>
    <col min="8450" max="8450" width="15.85546875" bestFit="1" customWidth="1"/>
    <col min="8451" max="8451" width="11.28515625" bestFit="1" customWidth="1"/>
    <col min="8452" max="8452" width="23.140625" bestFit="1" customWidth="1"/>
    <col min="8453" max="8453" width="20.7109375" bestFit="1" customWidth="1"/>
    <col min="8454" max="8454" width="25" bestFit="1" customWidth="1"/>
    <col min="8455" max="8455" width="13.85546875" bestFit="1" customWidth="1"/>
    <col min="8456" max="8456" width="13.140625" bestFit="1" customWidth="1"/>
    <col min="8457" max="8457" width="11.28515625" bestFit="1" customWidth="1"/>
    <col min="8458" max="8458" width="14.140625" bestFit="1" customWidth="1"/>
    <col min="8459" max="8459" width="10.140625" bestFit="1" customWidth="1"/>
    <col min="8460" max="8460" width="21" bestFit="1" customWidth="1"/>
    <col min="8461" max="8461" width="9" customWidth="1"/>
    <col min="8462" max="8462" width="10.140625" bestFit="1" customWidth="1"/>
    <col min="8705" max="8705" width="36.5703125" bestFit="1" customWidth="1"/>
    <col min="8706" max="8706" width="15.85546875" bestFit="1" customWidth="1"/>
    <col min="8707" max="8707" width="11.28515625" bestFit="1" customWidth="1"/>
    <col min="8708" max="8708" width="23.140625" bestFit="1" customWidth="1"/>
    <col min="8709" max="8709" width="20.7109375" bestFit="1" customWidth="1"/>
    <col min="8710" max="8710" width="25" bestFit="1" customWidth="1"/>
    <col min="8711" max="8711" width="13.85546875" bestFit="1" customWidth="1"/>
    <col min="8712" max="8712" width="13.140625" bestFit="1" customWidth="1"/>
    <col min="8713" max="8713" width="11.28515625" bestFit="1" customWidth="1"/>
    <col min="8714" max="8714" width="14.140625" bestFit="1" customWidth="1"/>
    <col min="8715" max="8715" width="10.140625" bestFit="1" customWidth="1"/>
    <col min="8716" max="8716" width="21" bestFit="1" customWidth="1"/>
    <col min="8717" max="8717" width="9" customWidth="1"/>
    <col min="8718" max="8718" width="10.140625" bestFit="1" customWidth="1"/>
    <col min="8961" max="8961" width="36.5703125" bestFit="1" customWidth="1"/>
    <col min="8962" max="8962" width="15.85546875" bestFit="1" customWidth="1"/>
    <col min="8963" max="8963" width="11.28515625" bestFit="1" customWidth="1"/>
    <col min="8964" max="8964" width="23.140625" bestFit="1" customWidth="1"/>
    <col min="8965" max="8965" width="20.7109375" bestFit="1" customWidth="1"/>
    <col min="8966" max="8966" width="25" bestFit="1" customWidth="1"/>
    <col min="8967" max="8967" width="13.85546875" bestFit="1" customWidth="1"/>
    <col min="8968" max="8968" width="13.140625" bestFit="1" customWidth="1"/>
    <col min="8969" max="8969" width="11.28515625" bestFit="1" customWidth="1"/>
    <col min="8970" max="8970" width="14.140625" bestFit="1" customWidth="1"/>
    <col min="8971" max="8971" width="10.140625" bestFit="1" customWidth="1"/>
    <col min="8972" max="8972" width="21" bestFit="1" customWidth="1"/>
    <col min="8973" max="8973" width="9" customWidth="1"/>
    <col min="8974" max="8974" width="10.140625" bestFit="1" customWidth="1"/>
    <col min="9217" max="9217" width="36.5703125" bestFit="1" customWidth="1"/>
    <col min="9218" max="9218" width="15.85546875" bestFit="1" customWidth="1"/>
    <col min="9219" max="9219" width="11.28515625" bestFit="1" customWidth="1"/>
    <col min="9220" max="9220" width="23.140625" bestFit="1" customWidth="1"/>
    <col min="9221" max="9221" width="20.7109375" bestFit="1" customWidth="1"/>
    <col min="9222" max="9222" width="25" bestFit="1" customWidth="1"/>
    <col min="9223" max="9223" width="13.85546875" bestFit="1" customWidth="1"/>
    <col min="9224" max="9224" width="13.140625" bestFit="1" customWidth="1"/>
    <col min="9225" max="9225" width="11.28515625" bestFit="1" customWidth="1"/>
    <col min="9226" max="9226" width="14.140625" bestFit="1" customWidth="1"/>
    <col min="9227" max="9227" width="10.140625" bestFit="1" customWidth="1"/>
    <col min="9228" max="9228" width="21" bestFit="1" customWidth="1"/>
    <col min="9229" max="9229" width="9" customWidth="1"/>
    <col min="9230" max="9230" width="10.140625" bestFit="1" customWidth="1"/>
    <col min="9473" max="9473" width="36.5703125" bestFit="1" customWidth="1"/>
    <col min="9474" max="9474" width="15.85546875" bestFit="1" customWidth="1"/>
    <col min="9475" max="9475" width="11.28515625" bestFit="1" customWidth="1"/>
    <col min="9476" max="9476" width="23.140625" bestFit="1" customWidth="1"/>
    <col min="9477" max="9477" width="20.7109375" bestFit="1" customWidth="1"/>
    <col min="9478" max="9478" width="25" bestFit="1" customWidth="1"/>
    <col min="9479" max="9479" width="13.85546875" bestFit="1" customWidth="1"/>
    <col min="9480" max="9480" width="13.140625" bestFit="1" customWidth="1"/>
    <col min="9481" max="9481" width="11.28515625" bestFit="1" customWidth="1"/>
    <col min="9482" max="9482" width="14.140625" bestFit="1" customWidth="1"/>
    <col min="9483" max="9483" width="10.140625" bestFit="1" customWidth="1"/>
    <col min="9484" max="9484" width="21" bestFit="1" customWidth="1"/>
    <col min="9485" max="9485" width="9" customWidth="1"/>
    <col min="9486" max="9486" width="10.140625" bestFit="1" customWidth="1"/>
    <col min="9729" max="9729" width="36.5703125" bestFit="1" customWidth="1"/>
    <col min="9730" max="9730" width="15.85546875" bestFit="1" customWidth="1"/>
    <col min="9731" max="9731" width="11.28515625" bestFit="1" customWidth="1"/>
    <col min="9732" max="9732" width="23.140625" bestFit="1" customWidth="1"/>
    <col min="9733" max="9733" width="20.7109375" bestFit="1" customWidth="1"/>
    <col min="9734" max="9734" width="25" bestFit="1" customWidth="1"/>
    <col min="9735" max="9735" width="13.85546875" bestFit="1" customWidth="1"/>
    <col min="9736" max="9736" width="13.140625" bestFit="1" customWidth="1"/>
    <col min="9737" max="9737" width="11.28515625" bestFit="1" customWidth="1"/>
    <col min="9738" max="9738" width="14.140625" bestFit="1" customWidth="1"/>
    <col min="9739" max="9739" width="10.140625" bestFit="1" customWidth="1"/>
    <col min="9740" max="9740" width="21" bestFit="1" customWidth="1"/>
    <col min="9741" max="9741" width="9" customWidth="1"/>
    <col min="9742" max="9742" width="10.140625" bestFit="1" customWidth="1"/>
    <col min="9985" max="9985" width="36.5703125" bestFit="1" customWidth="1"/>
    <col min="9986" max="9986" width="15.85546875" bestFit="1" customWidth="1"/>
    <col min="9987" max="9987" width="11.28515625" bestFit="1" customWidth="1"/>
    <col min="9988" max="9988" width="23.140625" bestFit="1" customWidth="1"/>
    <col min="9989" max="9989" width="20.7109375" bestFit="1" customWidth="1"/>
    <col min="9990" max="9990" width="25" bestFit="1" customWidth="1"/>
    <col min="9991" max="9991" width="13.85546875" bestFit="1" customWidth="1"/>
    <col min="9992" max="9992" width="13.140625" bestFit="1" customWidth="1"/>
    <col min="9993" max="9993" width="11.28515625" bestFit="1" customWidth="1"/>
    <col min="9994" max="9994" width="14.140625" bestFit="1" customWidth="1"/>
    <col min="9995" max="9995" width="10.140625" bestFit="1" customWidth="1"/>
    <col min="9996" max="9996" width="21" bestFit="1" customWidth="1"/>
    <col min="9997" max="9997" width="9" customWidth="1"/>
    <col min="9998" max="9998" width="10.140625" bestFit="1" customWidth="1"/>
    <col min="10241" max="10241" width="36.5703125" bestFit="1" customWidth="1"/>
    <col min="10242" max="10242" width="15.85546875" bestFit="1" customWidth="1"/>
    <col min="10243" max="10243" width="11.28515625" bestFit="1" customWidth="1"/>
    <col min="10244" max="10244" width="23.140625" bestFit="1" customWidth="1"/>
    <col min="10245" max="10245" width="20.7109375" bestFit="1" customWidth="1"/>
    <col min="10246" max="10246" width="25" bestFit="1" customWidth="1"/>
    <col min="10247" max="10247" width="13.85546875" bestFit="1" customWidth="1"/>
    <col min="10248" max="10248" width="13.140625" bestFit="1" customWidth="1"/>
    <col min="10249" max="10249" width="11.28515625" bestFit="1" customWidth="1"/>
    <col min="10250" max="10250" width="14.140625" bestFit="1" customWidth="1"/>
    <col min="10251" max="10251" width="10.140625" bestFit="1" customWidth="1"/>
    <col min="10252" max="10252" width="21" bestFit="1" customWidth="1"/>
    <col min="10253" max="10253" width="9" customWidth="1"/>
    <col min="10254" max="10254" width="10.140625" bestFit="1" customWidth="1"/>
    <col min="10497" max="10497" width="36.5703125" bestFit="1" customWidth="1"/>
    <col min="10498" max="10498" width="15.85546875" bestFit="1" customWidth="1"/>
    <col min="10499" max="10499" width="11.28515625" bestFit="1" customWidth="1"/>
    <col min="10500" max="10500" width="23.140625" bestFit="1" customWidth="1"/>
    <col min="10501" max="10501" width="20.7109375" bestFit="1" customWidth="1"/>
    <col min="10502" max="10502" width="25" bestFit="1" customWidth="1"/>
    <col min="10503" max="10503" width="13.85546875" bestFit="1" customWidth="1"/>
    <col min="10504" max="10504" width="13.140625" bestFit="1" customWidth="1"/>
    <col min="10505" max="10505" width="11.28515625" bestFit="1" customWidth="1"/>
    <col min="10506" max="10506" width="14.140625" bestFit="1" customWidth="1"/>
    <col min="10507" max="10507" width="10.140625" bestFit="1" customWidth="1"/>
    <col min="10508" max="10508" width="21" bestFit="1" customWidth="1"/>
    <col min="10509" max="10509" width="9" customWidth="1"/>
    <col min="10510" max="10510" width="10.140625" bestFit="1" customWidth="1"/>
    <col min="10753" max="10753" width="36.5703125" bestFit="1" customWidth="1"/>
    <col min="10754" max="10754" width="15.85546875" bestFit="1" customWidth="1"/>
    <col min="10755" max="10755" width="11.28515625" bestFit="1" customWidth="1"/>
    <col min="10756" max="10756" width="23.140625" bestFit="1" customWidth="1"/>
    <col min="10757" max="10757" width="20.7109375" bestFit="1" customWidth="1"/>
    <col min="10758" max="10758" width="25" bestFit="1" customWidth="1"/>
    <col min="10759" max="10759" width="13.85546875" bestFit="1" customWidth="1"/>
    <col min="10760" max="10760" width="13.140625" bestFit="1" customWidth="1"/>
    <col min="10761" max="10761" width="11.28515625" bestFit="1" customWidth="1"/>
    <col min="10762" max="10762" width="14.140625" bestFit="1" customWidth="1"/>
    <col min="10763" max="10763" width="10.140625" bestFit="1" customWidth="1"/>
    <col min="10764" max="10764" width="21" bestFit="1" customWidth="1"/>
    <col min="10765" max="10765" width="9" customWidth="1"/>
    <col min="10766" max="10766" width="10.140625" bestFit="1" customWidth="1"/>
    <col min="11009" max="11009" width="36.5703125" bestFit="1" customWidth="1"/>
    <col min="11010" max="11010" width="15.85546875" bestFit="1" customWidth="1"/>
    <col min="11011" max="11011" width="11.28515625" bestFit="1" customWidth="1"/>
    <col min="11012" max="11012" width="23.140625" bestFit="1" customWidth="1"/>
    <col min="11013" max="11013" width="20.7109375" bestFit="1" customWidth="1"/>
    <col min="11014" max="11014" width="25" bestFit="1" customWidth="1"/>
    <col min="11015" max="11015" width="13.85546875" bestFit="1" customWidth="1"/>
    <col min="11016" max="11016" width="13.140625" bestFit="1" customWidth="1"/>
    <col min="11017" max="11017" width="11.28515625" bestFit="1" customWidth="1"/>
    <col min="11018" max="11018" width="14.140625" bestFit="1" customWidth="1"/>
    <col min="11019" max="11019" width="10.140625" bestFit="1" customWidth="1"/>
    <col min="11020" max="11020" width="21" bestFit="1" customWidth="1"/>
    <col min="11021" max="11021" width="9" customWidth="1"/>
    <col min="11022" max="11022" width="10.140625" bestFit="1" customWidth="1"/>
    <col min="11265" max="11265" width="36.5703125" bestFit="1" customWidth="1"/>
    <col min="11266" max="11266" width="15.85546875" bestFit="1" customWidth="1"/>
    <col min="11267" max="11267" width="11.28515625" bestFit="1" customWidth="1"/>
    <col min="11268" max="11268" width="23.140625" bestFit="1" customWidth="1"/>
    <col min="11269" max="11269" width="20.7109375" bestFit="1" customWidth="1"/>
    <col min="11270" max="11270" width="25" bestFit="1" customWidth="1"/>
    <col min="11271" max="11271" width="13.85546875" bestFit="1" customWidth="1"/>
    <col min="11272" max="11272" width="13.140625" bestFit="1" customWidth="1"/>
    <col min="11273" max="11273" width="11.28515625" bestFit="1" customWidth="1"/>
    <col min="11274" max="11274" width="14.140625" bestFit="1" customWidth="1"/>
    <col min="11275" max="11275" width="10.140625" bestFit="1" customWidth="1"/>
    <col min="11276" max="11276" width="21" bestFit="1" customWidth="1"/>
    <col min="11277" max="11277" width="9" customWidth="1"/>
    <col min="11278" max="11278" width="10.140625" bestFit="1" customWidth="1"/>
    <col min="11521" max="11521" width="36.5703125" bestFit="1" customWidth="1"/>
    <col min="11522" max="11522" width="15.85546875" bestFit="1" customWidth="1"/>
    <col min="11523" max="11523" width="11.28515625" bestFit="1" customWidth="1"/>
    <col min="11524" max="11524" width="23.140625" bestFit="1" customWidth="1"/>
    <col min="11525" max="11525" width="20.7109375" bestFit="1" customWidth="1"/>
    <col min="11526" max="11526" width="25" bestFit="1" customWidth="1"/>
    <col min="11527" max="11527" width="13.85546875" bestFit="1" customWidth="1"/>
    <col min="11528" max="11528" width="13.140625" bestFit="1" customWidth="1"/>
    <col min="11529" max="11529" width="11.28515625" bestFit="1" customWidth="1"/>
    <col min="11530" max="11530" width="14.140625" bestFit="1" customWidth="1"/>
    <col min="11531" max="11531" width="10.140625" bestFit="1" customWidth="1"/>
    <col min="11532" max="11532" width="21" bestFit="1" customWidth="1"/>
    <col min="11533" max="11533" width="9" customWidth="1"/>
    <col min="11534" max="11534" width="10.140625" bestFit="1" customWidth="1"/>
    <col min="11777" max="11777" width="36.5703125" bestFit="1" customWidth="1"/>
    <col min="11778" max="11778" width="15.85546875" bestFit="1" customWidth="1"/>
    <col min="11779" max="11779" width="11.28515625" bestFit="1" customWidth="1"/>
    <col min="11780" max="11780" width="23.140625" bestFit="1" customWidth="1"/>
    <col min="11781" max="11781" width="20.7109375" bestFit="1" customWidth="1"/>
    <col min="11782" max="11782" width="25" bestFit="1" customWidth="1"/>
    <col min="11783" max="11783" width="13.85546875" bestFit="1" customWidth="1"/>
    <col min="11784" max="11784" width="13.140625" bestFit="1" customWidth="1"/>
    <col min="11785" max="11785" width="11.28515625" bestFit="1" customWidth="1"/>
    <col min="11786" max="11786" width="14.140625" bestFit="1" customWidth="1"/>
    <col min="11787" max="11787" width="10.140625" bestFit="1" customWidth="1"/>
    <col min="11788" max="11788" width="21" bestFit="1" customWidth="1"/>
    <col min="11789" max="11789" width="9" customWidth="1"/>
    <col min="11790" max="11790" width="10.140625" bestFit="1" customWidth="1"/>
    <col min="12033" max="12033" width="36.5703125" bestFit="1" customWidth="1"/>
    <col min="12034" max="12034" width="15.85546875" bestFit="1" customWidth="1"/>
    <col min="12035" max="12035" width="11.28515625" bestFit="1" customWidth="1"/>
    <col min="12036" max="12036" width="23.140625" bestFit="1" customWidth="1"/>
    <col min="12037" max="12037" width="20.7109375" bestFit="1" customWidth="1"/>
    <col min="12038" max="12038" width="25" bestFit="1" customWidth="1"/>
    <col min="12039" max="12039" width="13.85546875" bestFit="1" customWidth="1"/>
    <col min="12040" max="12040" width="13.140625" bestFit="1" customWidth="1"/>
    <col min="12041" max="12041" width="11.28515625" bestFit="1" customWidth="1"/>
    <col min="12042" max="12042" width="14.140625" bestFit="1" customWidth="1"/>
    <col min="12043" max="12043" width="10.140625" bestFit="1" customWidth="1"/>
    <col min="12044" max="12044" width="21" bestFit="1" customWidth="1"/>
    <col min="12045" max="12045" width="9" customWidth="1"/>
    <col min="12046" max="12046" width="10.140625" bestFit="1" customWidth="1"/>
    <col min="12289" max="12289" width="36.5703125" bestFit="1" customWidth="1"/>
    <col min="12290" max="12290" width="15.85546875" bestFit="1" customWidth="1"/>
    <col min="12291" max="12291" width="11.28515625" bestFit="1" customWidth="1"/>
    <col min="12292" max="12292" width="23.140625" bestFit="1" customWidth="1"/>
    <col min="12293" max="12293" width="20.7109375" bestFit="1" customWidth="1"/>
    <col min="12294" max="12294" width="25" bestFit="1" customWidth="1"/>
    <col min="12295" max="12295" width="13.85546875" bestFit="1" customWidth="1"/>
    <col min="12296" max="12296" width="13.140625" bestFit="1" customWidth="1"/>
    <col min="12297" max="12297" width="11.28515625" bestFit="1" customWidth="1"/>
    <col min="12298" max="12298" width="14.140625" bestFit="1" customWidth="1"/>
    <col min="12299" max="12299" width="10.140625" bestFit="1" customWidth="1"/>
    <col min="12300" max="12300" width="21" bestFit="1" customWidth="1"/>
    <col min="12301" max="12301" width="9" customWidth="1"/>
    <col min="12302" max="12302" width="10.140625" bestFit="1" customWidth="1"/>
    <col min="12545" max="12545" width="36.5703125" bestFit="1" customWidth="1"/>
    <col min="12546" max="12546" width="15.85546875" bestFit="1" customWidth="1"/>
    <col min="12547" max="12547" width="11.28515625" bestFit="1" customWidth="1"/>
    <col min="12548" max="12548" width="23.140625" bestFit="1" customWidth="1"/>
    <col min="12549" max="12549" width="20.7109375" bestFit="1" customWidth="1"/>
    <col min="12550" max="12550" width="25" bestFit="1" customWidth="1"/>
    <col min="12551" max="12551" width="13.85546875" bestFit="1" customWidth="1"/>
    <col min="12552" max="12552" width="13.140625" bestFit="1" customWidth="1"/>
    <col min="12553" max="12553" width="11.28515625" bestFit="1" customWidth="1"/>
    <col min="12554" max="12554" width="14.140625" bestFit="1" customWidth="1"/>
    <col min="12555" max="12555" width="10.140625" bestFit="1" customWidth="1"/>
    <col min="12556" max="12556" width="21" bestFit="1" customWidth="1"/>
    <col min="12557" max="12557" width="9" customWidth="1"/>
    <col min="12558" max="12558" width="10.140625" bestFit="1" customWidth="1"/>
    <col min="12801" max="12801" width="36.5703125" bestFit="1" customWidth="1"/>
    <col min="12802" max="12802" width="15.85546875" bestFit="1" customWidth="1"/>
    <col min="12803" max="12803" width="11.28515625" bestFit="1" customWidth="1"/>
    <col min="12804" max="12804" width="23.140625" bestFit="1" customWidth="1"/>
    <col min="12805" max="12805" width="20.7109375" bestFit="1" customWidth="1"/>
    <col min="12806" max="12806" width="25" bestFit="1" customWidth="1"/>
    <col min="12807" max="12807" width="13.85546875" bestFit="1" customWidth="1"/>
    <col min="12808" max="12808" width="13.140625" bestFit="1" customWidth="1"/>
    <col min="12809" max="12809" width="11.28515625" bestFit="1" customWidth="1"/>
    <col min="12810" max="12810" width="14.140625" bestFit="1" customWidth="1"/>
    <col min="12811" max="12811" width="10.140625" bestFit="1" customWidth="1"/>
    <col min="12812" max="12812" width="21" bestFit="1" customWidth="1"/>
    <col min="12813" max="12813" width="9" customWidth="1"/>
    <col min="12814" max="12814" width="10.140625" bestFit="1" customWidth="1"/>
    <col min="13057" max="13057" width="36.5703125" bestFit="1" customWidth="1"/>
    <col min="13058" max="13058" width="15.85546875" bestFit="1" customWidth="1"/>
    <col min="13059" max="13059" width="11.28515625" bestFit="1" customWidth="1"/>
    <col min="13060" max="13060" width="23.140625" bestFit="1" customWidth="1"/>
    <col min="13061" max="13061" width="20.7109375" bestFit="1" customWidth="1"/>
    <col min="13062" max="13062" width="25" bestFit="1" customWidth="1"/>
    <col min="13063" max="13063" width="13.85546875" bestFit="1" customWidth="1"/>
    <col min="13064" max="13064" width="13.140625" bestFit="1" customWidth="1"/>
    <col min="13065" max="13065" width="11.28515625" bestFit="1" customWidth="1"/>
    <col min="13066" max="13066" width="14.140625" bestFit="1" customWidth="1"/>
    <col min="13067" max="13067" width="10.140625" bestFit="1" customWidth="1"/>
    <col min="13068" max="13068" width="21" bestFit="1" customWidth="1"/>
    <col min="13069" max="13069" width="9" customWidth="1"/>
    <col min="13070" max="13070" width="10.140625" bestFit="1" customWidth="1"/>
    <col min="13313" max="13313" width="36.5703125" bestFit="1" customWidth="1"/>
    <col min="13314" max="13314" width="15.85546875" bestFit="1" customWidth="1"/>
    <col min="13315" max="13315" width="11.28515625" bestFit="1" customWidth="1"/>
    <col min="13316" max="13316" width="23.140625" bestFit="1" customWidth="1"/>
    <col min="13317" max="13317" width="20.7109375" bestFit="1" customWidth="1"/>
    <col min="13318" max="13318" width="25" bestFit="1" customWidth="1"/>
    <col min="13319" max="13319" width="13.85546875" bestFit="1" customWidth="1"/>
    <col min="13320" max="13320" width="13.140625" bestFit="1" customWidth="1"/>
    <col min="13321" max="13321" width="11.28515625" bestFit="1" customWidth="1"/>
    <col min="13322" max="13322" width="14.140625" bestFit="1" customWidth="1"/>
    <col min="13323" max="13323" width="10.140625" bestFit="1" customWidth="1"/>
    <col min="13324" max="13324" width="21" bestFit="1" customWidth="1"/>
    <col min="13325" max="13325" width="9" customWidth="1"/>
    <col min="13326" max="13326" width="10.140625" bestFit="1" customWidth="1"/>
    <col min="13569" max="13569" width="36.5703125" bestFit="1" customWidth="1"/>
    <col min="13570" max="13570" width="15.85546875" bestFit="1" customWidth="1"/>
    <col min="13571" max="13571" width="11.28515625" bestFit="1" customWidth="1"/>
    <col min="13572" max="13572" width="23.140625" bestFit="1" customWidth="1"/>
    <col min="13573" max="13573" width="20.7109375" bestFit="1" customWidth="1"/>
    <col min="13574" max="13574" width="25" bestFit="1" customWidth="1"/>
    <col min="13575" max="13575" width="13.85546875" bestFit="1" customWidth="1"/>
    <col min="13576" max="13576" width="13.140625" bestFit="1" customWidth="1"/>
    <col min="13577" max="13577" width="11.28515625" bestFit="1" customWidth="1"/>
    <col min="13578" max="13578" width="14.140625" bestFit="1" customWidth="1"/>
    <col min="13579" max="13579" width="10.140625" bestFit="1" customWidth="1"/>
    <col min="13580" max="13580" width="21" bestFit="1" customWidth="1"/>
    <col min="13581" max="13581" width="9" customWidth="1"/>
    <col min="13582" max="13582" width="10.140625" bestFit="1" customWidth="1"/>
    <col min="13825" max="13825" width="36.5703125" bestFit="1" customWidth="1"/>
    <col min="13826" max="13826" width="15.85546875" bestFit="1" customWidth="1"/>
    <col min="13827" max="13827" width="11.28515625" bestFit="1" customWidth="1"/>
    <col min="13828" max="13828" width="23.140625" bestFit="1" customWidth="1"/>
    <col min="13829" max="13829" width="20.7109375" bestFit="1" customWidth="1"/>
    <col min="13830" max="13830" width="25" bestFit="1" customWidth="1"/>
    <col min="13831" max="13831" width="13.85546875" bestFit="1" customWidth="1"/>
    <col min="13832" max="13832" width="13.140625" bestFit="1" customWidth="1"/>
    <col min="13833" max="13833" width="11.28515625" bestFit="1" customWidth="1"/>
    <col min="13834" max="13834" width="14.140625" bestFit="1" customWidth="1"/>
    <col min="13835" max="13835" width="10.140625" bestFit="1" customWidth="1"/>
    <col min="13836" max="13836" width="21" bestFit="1" customWidth="1"/>
    <col min="13837" max="13837" width="9" customWidth="1"/>
    <col min="13838" max="13838" width="10.140625" bestFit="1" customWidth="1"/>
    <col min="14081" max="14081" width="36.5703125" bestFit="1" customWidth="1"/>
    <col min="14082" max="14082" width="15.85546875" bestFit="1" customWidth="1"/>
    <col min="14083" max="14083" width="11.28515625" bestFit="1" customWidth="1"/>
    <col min="14084" max="14084" width="23.140625" bestFit="1" customWidth="1"/>
    <col min="14085" max="14085" width="20.7109375" bestFit="1" customWidth="1"/>
    <col min="14086" max="14086" width="25" bestFit="1" customWidth="1"/>
    <col min="14087" max="14087" width="13.85546875" bestFit="1" customWidth="1"/>
    <col min="14088" max="14088" width="13.140625" bestFit="1" customWidth="1"/>
    <col min="14089" max="14089" width="11.28515625" bestFit="1" customWidth="1"/>
    <col min="14090" max="14090" width="14.140625" bestFit="1" customWidth="1"/>
    <col min="14091" max="14091" width="10.140625" bestFit="1" customWidth="1"/>
    <col min="14092" max="14092" width="21" bestFit="1" customWidth="1"/>
    <col min="14093" max="14093" width="9" customWidth="1"/>
    <col min="14094" max="14094" width="10.140625" bestFit="1" customWidth="1"/>
    <col min="14337" max="14337" width="36.5703125" bestFit="1" customWidth="1"/>
    <col min="14338" max="14338" width="15.85546875" bestFit="1" customWidth="1"/>
    <col min="14339" max="14339" width="11.28515625" bestFit="1" customWidth="1"/>
    <col min="14340" max="14340" width="23.140625" bestFit="1" customWidth="1"/>
    <col min="14341" max="14341" width="20.7109375" bestFit="1" customWidth="1"/>
    <col min="14342" max="14342" width="25" bestFit="1" customWidth="1"/>
    <col min="14343" max="14343" width="13.85546875" bestFit="1" customWidth="1"/>
    <col min="14344" max="14344" width="13.140625" bestFit="1" customWidth="1"/>
    <col min="14345" max="14345" width="11.28515625" bestFit="1" customWidth="1"/>
    <col min="14346" max="14346" width="14.140625" bestFit="1" customWidth="1"/>
    <col min="14347" max="14347" width="10.140625" bestFit="1" customWidth="1"/>
    <col min="14348" max="14348" width="21" bestFit="1" customWidth="1"/>
    <col min="14349" max="14349" width="9" customWidth="1"/>
    <col min="14350" max="14350" width="10.140625" bestFit="1" customWidth="1"/>
    <col min="14593" max="14593" width="36.5703125" bestFit="1" customWidth="1"/>
    <col min="14594" max="14594" width="15.85546875" bestFit="1" customWidth="1"/>
    <col min="14595" max="14595" width="11.28515625" bestFit="1" customWidth="1"/>
    <col min="14596" max="14596" width="23.140625" bestFit="1" customWidth="1"/>
    <col min="14597" max="14597" width="20.7109375" bestFit="1" customWidth="1"/>
    <col min="14598" max="14598" width="25" bestFit="1" customWidth="1"/>
    <col min="14599" max="14599" width="13.85546875" bestFit="1" customWidth="1"/>
    <col min="14600" max="14600" width="13.140625" bestFit="1" customWidth="1"/>
    <col min="14601" max="14601" width="11.28515625" bestFit="1" customWidth="1"/>
    <col min="14602" max="14602" width="14.140625" bestFit="1" customWidth="1"/>
    <col min="14603" max="14603" width="10.140625" bestFit="1" customWidth="1"/>
    <col min="14604" max="14604" width="21" bestFit="1" customWidth="1"/>
    <col min="14605" max="14605" width="9" customWidth="1"/>
    <col min="14606" max="14606" width="10.140625" bestFit="1" customWidth="1"/>
    <col min="14849" max="14849" width="36.5703125" bestFit="1" customWidth="1"/>
    <col min="14850" max="14850" width="15.85546875" bestFit="1" customWidth="1"/>
    <col min="14851" max="14851" width="11.28515625" bestFit="1" customWidth="1"/>
    <col min="14852" max="14852" width="23.140625" bestFit="1" customWidth="1"/>
    <col min="14853" max="14853" width="20.7109375" bestFit="1" customWidth="1"/>
    <col min="14854" max="14854" width="25" bestFit="1" customWidth="1"/>
    <col min="14855" max="14855" width="13.85546875" bestFit="1" customWidth="1"/>
    <col min="14856" max="14856" width="13.140625" bestFit="1" customWidth="1"/>
    <col min="14857" max="14857" width="11.28515625" bestFit="1" customWidth="1"/>
    <col min="14858" max="14858" width="14.140625" bestFit="1" customWidth="1"/>
    <col min="14859" max="14859" width="10.140625" bestFit="1" customWidth="1"/>
    <col min="14860" max="14860" width="21" bestFit="1" customWidth="1"/>
    <col min="14861" max="14861" width="9" customWidth="1"/>
    <col min="14862" max="14862" width="10.140625" bestFit="1" customWidth="1"/>
    <col min="15105" max="15105" width="36.5703125" bestFit="1" customWidth="1"/>
    <col min="15106" max="15106" width="15.85546875" bestFit="1" customWidth="1"/>
    <col min="15107" max="15107" width="11.28515625" bestFit="1" customWidth="1"/>
    <col min="15108" max="15108" width="23.140625" bestFit="1" customWidth="1"/>
    <col min="15109" max="15109" width="20.7109375" bestFit="1" customWidth="1"/>
    <col min="15110" max="15110" width="25" bestFit="1" customWidth="1"/>
    <col min="15111" max="15111" width="13.85546875" bestFit="1" customWidth="1"/>
    <col min="15112" max="15112" width="13.140625" bestFit="1" customWidth="1"/>
    <col min="15113" max="15113" width="11.28515625" bestFit="1" customWidth="1"/>
    <col min="15114" max="15114" width="14.140625" bestFit="1" customWidth="1"/>
    <col min="15115" max="15115" width="10.140625" bestFit="1" customWidth="1"/>
    <col min="15116" max="15116" width="21" bestFit="1" customWidth="1"/>
    <col min="15117" max="15117" width="9" customWidth="1"/>
    <col min="15118" max="15118" width="10.140625" bestFit="1" customWidth="1"/>
    <col min="15361" max="15361" width="36.5703125" bestFit="1" customWidth="1"/>
    <col min="15362" max="15362" width="15.85546875" bestFit="1" customWidth="1"/>
    <col min="15363" max="15363" width="11.28515625" bestFit="1" customWidth="1"/>
    <col min="15364" max="15364" width="23.140625" bestFit="1" customWidth="1"/>
    <col min="15365" max="15365" width="20.7109375" bestFit="1" customWidth="1"/>
    <col min="15366" max="15366" width="25" bestFit="1" customWidth="1"/>
    <col min="15367" max="15367" width="13.85546875" bestFit="1" customWidth="1"/>
    <col min="15368" max="15368" width="13.140625" bestFit="1" customWidth="1"/>
    <col min="15369" max="15369" width="11.28515625" bestFit="1" customWidth="1"/>
    <col min="15370" max="15370" width="14.140625" bestFit="1" customWidth="1"/>
    <col min="15371" max="15371" width="10.140625" bestFit="1" customWidth="1"/>
    <col min="15372" max="15372" width="21" bestFit="1" customWidth="1"/>
    <col min="15373" max="15373" width="9" customWidth="1"/>
    <col min="15374" max="15374" width="10.140625" bestFit="1" customWidth="1"/>
    <col min="15617" max="15617" width="36.5703125" bestFit="1" customWidth="1"/>
    <col min="15618" max="15618" width="15.85546875" bestFit="1" customWidth="1"/>
    <col min="15619" max="15619" width="11.28515625" bestFit="1" customWidth="1"/>
    <col min="15620" max="15620" width="23.140625" bestFit="1" customWidth="1"/>
    <col min="15621" max="15621" width="20.7109375" bestFit="1" customWidth="1"/>
    <col min="15622" max="15622" width="25" bestFit="1" customWidth="1"/>
    <col min="15623" max="15623" width="13.85546875" bestFit="1" customWidth="1"/>
    <col min="15624" max="15624" width="13.140625" bestFit="1" customWidth="1"/>
    <col min="15625" max="15625" width="11.28515625" bestFit="1" customWidth="1"/>
    <col min="15626" max="15626" width="14.140625" bestFit="1" customWidth="1"/>
    <col min="15627" max="15627" width="10.140625" bestFit="1" customWidth="1"/>
    <col min="15628" max="15628" width="21" bestFit="1" customWidth="1"/>
    <col min="15629" max="15629" width="9" customWidth="1"/>
    <col min="15630" max="15630" width="10.140625" bestFit="1" customWidth="1"/>
    <col min="15873" max="15873" width="36.5703125" bestFit="1" customWidth="1"/>
    <col min="15874" max="15874" width="15.85546875" bestFit="1" customWidth="1"/>
    <col min="15875" max="15875" width="11.28515625" bestFit="1" customWidth="1"/>
    <col min="15876" max="15876" width="23.140625" bestFit="1" customWidth="1"/>
    <col min="15877" max="15877" width="20.7109375" bestFit="1" customWidth="1"/>
    <col min="15878" max="15878" width="25" bestFit="1" customWidth="1"/>
    <col min="15879" max="15879" width="13.85546875" bestFit="1" customWidth="1"/>
    <col min="15880" max="15880" width="13.140625" bestFit="1" customWidth="1"/>
    <col min="15881" max="15881" width="11.28515625" bestFit="1" customWidth="1"/>
    <col min="15882" max="15882" width="14.140625" bestFit="1" customWidth="1"/>
    <col min="15883" max="15883" width="10.140625" bestFit="1" customWidth="1"/>
    <col min="15884" max="15884" width="21" bestFit="1" customWidth="1"/>
    <col min="15885" max="15885" width="9" customWidth="1"/>
    <col min="15886" max="15886" width="10.140625" bestFit="1" customWidth="1"/>
    <col min="16129" max="16129" width="36.5703125" bestFit="1" customWidth="1"/>
    <col min="16130" max="16130" width="15.85546875" bestFit="1" customWidth="1"/>
    <col min="16131" max="16131" width="11.28515625" bestFit="1" customWidth="1"/>
    <col min="16132" max="16132" width="23.140625" bestFit="1" customWidth="1"/>
    <col min="16133" max="16133" width="20.7109375" bestFit="1" customWidth="1"/>
    <col min="16134" max="16134" width="25" bestFit="1" customWidth="1"/>
    <col min="16135" max="16135" width="13.85546875" bestFit="1" customWidth="1"/>
    <col min="16136" max="16136" width="13.140625" bestFit="1" customWidth="1"/>
    <col min="16137" max="16137" width="11.28515625" bestFit="1" customWidth="1"/>
    <col min="16138" max="16138" width="14.140625" bestFit="1" customWidth="1"/>
    <col min="16139" max="16139" width="10.140625" bestFit="1" customWidth="1"/>
    <col min="16140" max="16140" width="21" bestFit="1" customWidth="1"/>
    <col min="16141" max="16141" width="9" customWidth="1"/>
    <col min="16142" max="16142" width="10.140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3213</v>
      </c>
      <c r="C5" s="1594"/>
      <c r="D5" s="1594"/>
      <c r="E5" s="1595"/>
      <c r="F5" s="326" t="s">
        <v>171</v>
      </c>
      <c r="G5" s="326"/>
      <c r="H5" s="1599" t="s">
        <v>3212</v>
      </c>
      <c r="I5" s="1600"/>
      <c r="J5" s="326" t="s">
        <v>172</v>
      </c>
      <c r="K5" s="631" t="s">
        <v>3211</v>
      </c>
      <c r="L5" s="326" t="s">
        <v>436</v>
      </c>
      <c r="M5" s="326"/>
      <c r="N5" s="631" t="s">
        <v>3210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3209</v>
      </c>
      <c r="C7" s="1594"/>
      <c r="D7" s="1594"/>
      <c r="E7" s="1595"/>
      <c r="F7" s="1596" t="s">
        <v>3208</v>
      </c>
      <c r="G7" s="1596"/>
      <c r="H7" s="1593" t="s">
        <v>3207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 t="s">
        <v>3206</v>
      </c>
      <c r="C9" s="1594"/>
      <c r="D9" s="1594"/>
      <c r="E9" s="1595"/>
      <c r="F9" s="1601" t="s">
        <v>3205</v>
      </c>
      <c r="G9" s="1602"/>
      <c r="H9" s="1603" t="s">
        <v>3204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3203</v>
      </c>
      <c r="C13" s="1612"/>
      <c r="D13" s="1612" t="s">
        <v>3202</v>
      </c>
      <c r="E13" s="1612"/>
      <c r="F13" s="1612"/>
      <c r="G13" s="1612" t="s">
        <v>3201</v>
      </c>
      <c r="H13" s="1612"/>
      <c r="I13" s="1612"/>
      <c r="J13" s="1612" t="s">
        <v>3200</v>
      </c>
      <c r="K13" s="1612"/>
      <c r="L13" s="1612"/>
      <c r="M13" s="1612"/>
      <c r="N13" s="326"/>
    </row>
    <row r="14" spans="1:14" ht="33.75" customHeight="1">
      <c r="A14" s="631" t="s">
        <v>187</v>
      </c>
      <c r="B14" s="1613" t="s">
        <v>3199</v>
      </c>
      <c r="C14" s="1614"/>
      <c r="D14" s="1612"/>
      <c r="E14" s="1612"/>
      <c r="F14" s="1612"/>
      <c r="G14" s="1612" t="s">
        <v>3198</v>
      </c>
      <c r="H14" s="1612"/>
      <c r="I14" s="1612"/>
      <c r="J14" s="1612" t="s">
        <v>3197</v>
      </c>
      <c r="K14" s="1612"/>
      <c r="L14" s="1612"/>
      <c r="M14" s="1612"/>
      <c r="N14" s="326"/>
    </row>
    <row r="15" spans="1:14">
      <c r="A15" s="631" t="s">
        <v>192</v>
      </c>
      <c r="B15" s="329" t="s">
        <v>3196</v>
      </c>
      <c r="C15" s="329" t="s">
        <v>3195</v>
      </c>
      <c r="D15" s="329" t="s">
        <v>3194</v>
      </c>
      <c r="E15" s="329" t="s">
        <v>3193</v>
      </c>
      <c r="F15" s="623"/>
      <c r="G15" s="329" t="s">
        <v>3192</v>
      </c>
      <c r="H15" s="623"/>
      <c r="I15" s="623"/>
      <c r="J15" s="1612"/>
      <c r="K15" s="1612"/>
      <c r="L15" s="1612"/>
      <c r="M15" s="1612"/>
      <c r="N15" s="326"/>
    </row>
    <row r="16" spans="1:14">
      <c r="A16" s="631" t="s">
        <v>197</v>
      </c>
      <c r="B16" s="70" t="s">
        <v>3191</v>
      </c>
      <c r="C16" s="329"/>
      <c r="D16" s="1612" t="s">
        <v>3190</v>
      </c>
      <c r="E16" s="1612"/>
      <c r="F16" s="1612"/>
      <c r="G16" s="1612" t="s">
        <v>3189</v>
      </c>
      <c r="H16" s="1612"/>
      <c r="I16" s="1612"/>
      <c r="J16" s="1612" t="s">
        <v>3188</v>
      </c>
      <c r="K16" s="1612"/>
      <c r="L16" s="1612"/>
      <c r="M16" s="1612"/>
      <c r="N16" s="326"/>
    </row>
    <row r="17" spans="1:14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C18" s="328"/>
      <c r="D18" s="326"/>
      <c r="E18" s="326"/>
      <c r="F18" s="631">
        <v>5</v>
      </c>
      <c r="G18" s="326" t="s">
        <v>200</v>
      </c>
      <c r="H18" s="632">
        <v>10</v>
      </c>
      <c r="I18" s="326" t="s">
        <v>201</v>
      </c>
      <c r="J18" s="632">
        <v>4</v>
      </c>
      <c r="K18" s="326" t="s">
        <v>202</v>
      </c>
      <c r="L18" s="631">
        <v>5</v>
      </c>
      <c r="M18" s="326"/>
      <c r="N18" s="326"/>
    </row>
    <row r="19" spans="1:14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f>59+41+14+31+32</f>
        <v>177</v>
      </c>
      <c r="D21" s="326" t="s">
        <v>205</v>
      </c>
      <c r="E21" s="631">
        <f>0</f>
        <v>0</v>
      </c>
      <c r="F21" s="326" t="s">
        <v>206</v>
      </c>
      <c r="G21" s="80">
        <v>0</v>
      </c>
      <c r="H21" s="326" t="s">
        <v>230</v>
      </c>
      <c r="I21" s="80">
        <f>C21+E21+G21</f>
        <v>177</v>
      </c>
      <c r="J21" s="326" t="s">
        <v>207</v>
      </c>
      <c r="K21" s="631">
        <f>14+26+1+2</f>
        <v>43</v>
      </c>
      <c r="L21" s="326" t="s">
        <v>3187</v>
      </c>
      <c r="M21" s="326"/>
      <c r="N21" s="631">
        <v>14</v>
      </c>
    </row>
    <row r="22" spans="1:14">
      <c r="A22" s="326" t="s">
        <v>209</v>
      </c>
      <c r="B22" s="326" t="s">
        <v>210</v>
      </c>
      <c r="C22" s="631">
        <f>122+88+20+74+76</f>
        <v>380</v>
      </c>
      <c r="D22" s="326" t="s">
        <v>211</v>
      </c>
      <c r="E22" s="631">
        <v>0</v>
      </c>
      <c r="F22" s="326" t="s">
        <v>212</v>
      </c>
      <c r="G22" s="631">
        <f>0</f>
        <v>0</v>
      </c>
      <c r="H22" s="326" t="s">
        <v>411</v>
      </c>
      <c r="I22" s="80">
        <f>C22+E22+G22</f>
        <v>380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f>158+112+38+62+79</f>
        <v>449</v>
      </c>
      <c r="D23" s="326" t="s">
        <v>214</v>
      </c>
      <c r="E23" s="631">
        <v>0</v>
      </c>
      <c r="F23" s="326" t="s">
        <v>215</v>
      </c>
      <c r="G23" s="631">
        <v>0</v>
      </c>
      <c r="H23" s="326" t="s">
        <v>410</v>
      </c>
      <c r="I23" s="80">
        <f>C23+E23+G23</f>
        <v>449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35">
        <f>499.6*B29</f>
        <v>3996800</v>
      </c>
      <c r="E29" s="335">
        <f>168500+300000</f>
        <v>468500</v>
      </c>
      <c r="F29" s="335"/>
      <c r="G29" s="335">
        <v>167061</v>
      </c>
      <c r="H29" s="335"/>
      <c r="I29" s="335"/>
      <c r="J29" s="335"/>
      <c r="K29" s="335"/>
      <c r="L29" s="335"/>
      <c r="M29" s="335">
        <f t="shared" ref="M29:M38" si="0">SUM(F29:L29)</f>
        <v>167061</v>
      </c>
      <c r="N29" s="323">
        <f>+M29/E29*100</f>
        <v>35.658697972251865</v>
      </c>
    </row>
    <row r="30" spans="1:14">
      <c r="A30" s="322" t="s">
        <v>234</v>
      </c>
      <c r="B30" s="322">
        <v>7000</v>
      </c>
      <c r="C30" s="322" t="s">
        <v>233</v>
      </c>
      <c r="D30" s="335">
        <f>499.6*B30</f>
        <v>3497200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35">
        <f t="shared" si="0"/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335">
        <v>18000</v>
      </c>
      <c r="F31" s="335"/>
      <c r="G31" s="652">
        <v>20100</v>
      </c>
      <c r="H31" s="335"/>
      <c r="I31" s="335"/>
      <c r="J31" s="335"/>
      <c r="K31" s="335"/>
      <c r="L31" s="335"/>
      <c r="M31" s="335">
        <f t="shared" si="0"/>
        <v>20100</v>
      </c>
      <c r="N31" s="323">
        <f t="shared" ref="N31:N38" si="1">+M31/E31*100</f>
        <v>111.66666666666667</v>
      </c>
    </row>
    <row r="32" spans="1:14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652">
        <v>16000</v>
      </c>
      <c r="H32" s="335"/>
      <c r="I32" s="335"/>
      <c r="J32" s="335"/>
      <c r="K32" s="335"/>
      <c r="L32" s="335"/>
      <c r="M32" s="335">
        <f t="shared" si="0"/>
        <v>16000</v>
      </c>
      <c r="N32" s="323">
        <f t="shared" si="1"/>
        <v>100</v>
      </c>
    </row>
    <row r="33" spans="1:16">
      <c r="A33" s="322" t="s">
        <v>238</v>
      </c>
      <c r="B33" s="322">
        <v>1200</v>
      </c>
      <c r="C33" s="322" t="s">
        <v>233</v>
      </c>
      <c r="D33" s="335">
        <f>499.6*B33</f>
        <v>599520</v>
      </c>
      <c r="E33" s="335">
        <v>200000</v>
      </c>
      <c r="F33" s="335"/>
      <c r="G33" s="652">
        <v>210000</v>
      </c>
      <c r="H33" s="335"/>
      <c r="I33" s="335"/>
      <c r="J33" s="335"/>
      <c r="K33" s="335"/>
      <c r="L33" s="335"/>
      <c r="M33" s="335">
        <f t="shared" si="0"/>
        <v>210000</v>
      </c>
      <c r="N33" s="323">
        <f t="shared" si="1"/>
        <v>105</v>
      </c>
    </row>
    <row r="34" spans="1:16">
      <c r="A34" s="322" t="s">
        <v>667</v>
      </c>
      <c r="B34" s="322">
        <v>565</v>
      </c>
      <c r="C34" s="322" t="s">
        <v>233</v>
      </c>
      <c r="D34" s="335">
        <f>499.6*B34</f>
        <v>282274</v>
      </c>
      <c r="E34" s="335">
        <f>49900+100000</f>
        <v>149900</v>
      </c>
      <c r="F34" s="335"/>
      <c r="G34" s="335">
        <v>30000</v>
      </c>
      <c r="H34" s="335"/>
      <c r="I34" s="335"/>
      <c r="J34" s="335"/>
      <c r="K34" s="335"/>
      <c r="L34" s="335"/>
      <c r="M34" s="335">
        <f t="shared" si="0"/>
        <v>30000</v>
      </c>
      <c r="N34" s="323">
        <f t="shared" si="1"/>
        <v>20.013342228152101</v>
      </c>
    </row>
    <row r="35" spans="1:16">
      <c r="A35" s="322" t="s">
        <v>240</v>
      </c>
      <c r="B35" s="322">
        <v>1000</v>
      </c>
      <c r="C35" s="322" t="s">
        <v>233</v>
      </c>
      <c r="D35" s="335">
        <f>499.6*B35</f>
        <v>499600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35">
        <f t="shared" si="0"/>
        <v>0</v>
      </c>
      <c r="N35" s="323">
        <v>0</v>
      </c>
    </row>
    <row r="36" spans="1:16">
      <c r="A36" s="322" t="s">
        <v>394</v>
      </c>
      <c r="B36" s="322">
        <v>2750</v>
      </c>
      <c r="C36" s="322" t="s">
        <v>242</v>
      </c>
      <c r="D36" s="335">
        <f>+B36*60</f>
        <v>165000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35">
        <f t="shared" si="0"/>
        <v>30250</v>
      </c>
      <c r="N36" s="323">
        <f t="shared" si="1"/>
        <v>100</v>
      </c>
    </row>
    <row r="37" spans="1:16">
      <c r="A37" s="324" t="s">
        <v>670</v>
      </c>
      <c r="B37" s="322">
        <v>10000</v>
      </c>
      <c r="C37" s="324" t="s">
        <v>244</v>
      </c>
      <c r="D37" s="335">
        <f>+B37</f>
        <v>10000</v>
      </c>
      <c r="E37" s="335"/>
      <c r="F37" s="335"/>
      <c r="G37" s="335"/>
      <c r="H37" s="335"/>
      <c r="I37" s="335"/>
      <c r="J37" s="335"/>
      <c r="K37" s="335"/>
      <c r="L37" s="335"/>
      <c r="M37" s="335">
        <f t="shared" si="0"/>
        <v>0</v>
      </c>
      <c r="N37" s="323">
        <v>0</v>
      </c>
    </row>
    <row r="38" spans="1:16">
      <c r="A38" s="631" t="s">
        <v>245</v>
      </c>
      <c r="B38" s="322"/>
      <c r="C38" s="322"/>
      <c r="D38" s="653">
        <f t="shared" ref="D38:L38" si="2">SUM(D29:D37)</f>
        <v>9130394</v>
      </c>
      <c r="E38" s="653">
        <f t="shared" si="2"/>
        <v>882650</v>
      </c>
      <c r="F38" s="653">
        <f t="shared" si="2"/>
        <v>0</v>
      </c>
      <c r="G38" s="653">
        <f t="shared" si="2"/>
        <v>473411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53">
        <f t="shared" si="0"/>
        <v>473411</v>
      </c>
      <c r="N38" s="323">
        <f t="shared" si="1"/>
        <v>53.635189486206315</v>
      </c>
    </row>
    <row r="40" spans="1:16">
      <c r="A40" t="s">
        <v>5678</v>
      </c>
      <c r="D40" t="s">
        <v>5679</v>
      </c>
    </row>
    <row r="42" spans="1:16">
      <c r="A42" s="320" t="s">
        <v>5680</v>
      </c>
      <c r="B42" s="320"/>
      <c r="C42" s="320"/>
      <c r="D42" s="320" t="s">
        <v>5681</v>
      </c>
      <c r="E42" s="320"/>
      <c r="F42" s="320"/>
      <c r="G42" s="320"/>
      <c r="H42" s="320"/>
      <c r="J42" s="320"/>
      <c r="L42" s="320"/>
      <c r="M42" s="320"/>
      <c r="O42" s="320"/>
      <c r="P42" s="320"/>
    </row>
  </sheetData>
  <mergeCells count="29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D16:F16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ageMargins left="0.14000000000000001" right="0.14000000000000001" top="0.75" bottom="0.47" header="0.3" footer="0.3"/>
  <pageSetup paperSize="9" scale="61" orientation="landscape" r:id="rId1"/>
  <headerFooter>
    <oddFooter>&amp;L&amp;9&amp;F&amp;R&amp;9&amp;A</oddFooter>
  </headerFooter>
</worksheet>
</file>

<file path=xl/worksheets/sheet312.xml><?xml version="1.0" encoding="utf-8"?>
<worksheet xmlns="http://schemas.openxmlformats.org/spreadsheetml/2006/main" xmlns:r="http://schemas.openxmlformats.org/officeDocument/2006/relationships">
  <dimension ref="A1:P42"/>
  <sheetViews>
    <sheetView zoomScale="80" zoomScaleNormal="80" workbookViewId="0">
      <selection activeCell="A3" sqref="A3:C3"/>
    </sheetView>
  </sheetViews>
  <sheetFormatPr defaultRowHeight="15"/>
  <cols>
    <col min="1" max="1" width="36.5703125" bestFit="1" customWidth="1"/>
    <col min="2" max="2" width="15.85546875" bestFit="1" customWidth="1"/>
    <col min="3" max="3" width="14.140625" bestFit="1" customWidth="1"/>
    <col min="4" max="4" width="23.28515625" bestFit="1" customWidth="1"/>
    <col min="5" max="5" width="20.85546875" bestFit="1" customWidth="1"/>
    <col min="6" max="6" width="25.140625" bestFit="1" customWidth="1"/>
    <col min="7" max="7" width="13.42578125" bestFit="1" customWidth="1"/>
    <col min="8" max="8" width="13.28515625" bestFit="1" customWidth="1"/>
    <col min="9" max="9" width="11.42578125" bestFit="1" customWidth="1"/>
    <col min="10" max="10" width="14.28515625" bestFit="1" customWidth="1"/>
    <col min="11" max="11" width="10.28515625" bestFit="1" customWidth="1"/>
    <col min="12" max="12" width="21.140625" bestFit="1" customWidth="1"/>
    <col min="13" max="13" width="9.28515625" bestFit="1" customWidth="1"/>
    <col min="14" max="14" width="9.42578125" bestFit="1" customWidth="1"/>
    <col min="257" max="257" width="36.5703125" bestFit="1" customWidth="1"/>
    <col min="258" max="258" width="15.85546875" bestFit="1" customWidth="1"/>
    <col min="259" max="259" width="14.140625" bestFit="1" customWidth="1"/>
    <col min="260" max="260" width="23.28515625" bestFit="1" customWidth="1"/>
    <col min="261" max="261" width="20.85546875" bestFit="1" customWidth="1"/>
    <col min="262" max="262" width="25.140625" bestFit="1" customWidth="1"/>
    <col min="263" max="263" width="13.42578125" bestFit="1" customWidth="1"/>
    <col min="264" max="264" width="13.28515625" bestFit="1" customWidth="1"/>
    <col min="265" max="265" width="11.42578125" bestFit="1" customWidth="1"/>
    <col min="266" max="266" width="14.28515625" bestFit="1" customWidth="1"/>
    <col min="267" max="267" width="10.28515625" bestFit="1" customWidth="1"/>
    <col min="268" max="268" width="21.140625" bestFit="1" customWidth="1"/>
    <col min="269" max="269" width="9.28515625" bestFit="1" customWidth="1"/>
    <col min="270" max="270" width="9.42578125" bestFit="1" customWidth="1"/>
    <col min="513" max="513" width="36.5703125" bestFit="1" customWidth="1"/>
    <col min="514" max="514" width="15.85546875" bestFit="1" customWidth="1"/>
    <col min="515" max="515" width="14.140625" bestFit="1" customWidth="1"/>
    <col min="516" max="516" width="23.28515625" bestFit="1" customWidth="1"/>
    <col min="517" max="517" width="20.85546875" bestFit="1" customWidth="1"/>
    <col min="518" max="518" width="25.140625" bestFit="1" customWidth="1"/>
    <col min="519" max="519" width="13.42578125" bestFit="1" customWidth="1"/>
    <col min="520" max="520" width="13.28515625" bestFit="1" customWidth="1"/>
    <col min="521" max="521" width="11.42578125" bestFit="1" customWidth="1"/>
    <col min="522" max="522" width="14.28515625" bestFit="1" customWidth="1"/>
    <col min="523" max="523" width="10.28515625" bestFit="1" customWidth="1"/>
    <col min="524" max="524" width="21.140625" bestFit="1" customWidth="1"/>
    <col min="525" max="525" width="9.28515625" bestFit="1" customWidth="1"/>
    <col min="526" max="526" width="9.42578125" bestFit="1" customWidth="1"/>
    <col min="769" max="769" width="36.5703125" bestFit="1" customWidth="1"/>
    <col min="770" max="770" width="15.85546875" bestFit="1" customWidth="1"/>
    <col min="771" max="771" width="14.140625" bestFit="1" customWidth="1"/>
    <col min="772" max="772" width="23.28515625" bestFit="1" customWidth="1"/>
    <col min="773" max="773" width="20.85546875" bestFit="1" customWidth="1"/>
    <col min="774" max="774" width="25.140625" bestFit="1" customWidth="1"/>
    <col min="775" max="775" width="13.42578125" bestFit="1" customWidth="1"/>
    <col min="776" max="776" width="13.28515625" bestFit="1" customWidth="1"/>
    <col min="777" max="777" width="11.42578125" bestFit="1" customWidth="1"/>
    <col min="778" max="778" width="14.28515625" bestFit="1" customWidth="1"/>
    <col min="779" max="779" width="10.28515625" bestFit="1" customWidth="1"/>
    <col min="780" max="780" width="21.140625" bestFit="1" customWidth="1"/>
    <col min="781" max="781" width="9.28515625" bestFit="1" customWidth="1"/>
    <col min="782" max="782" width="9.42578125" bestFit="1" customWidth="1"/>
    <col min="1025" max="1025" width="36.5703125" bestFit="1" customWidth="1"/>
    <col min="1026" max="1026" width="15.85546875" bestFit="1" customWidth="1"/>
    <col min="1027" max="1027" width="14.140625" bestFit="1" customWidth="1"/>
    <col min="1028" max="1028" width="23.28515625" bestFit="1" customWidth="1"/>
    <col min="1029" max="1029" width="20.85546875" bestFit="1" customWidth="1"/>
    <col min="1030" max="1030" width="25.140625" bestFit="1" customWidth="1"/>
    <col min="1031" max="1031" width="13.42578125" bestFit="1" customWidth="1"/>
    <col min="1032" max="1032" width="13.28515625" bestFit="1" customWidth="1"/>
    <col min="1033" max="1033" width="11.42578125" bestFit="1" customWidth="1"/>
    <col min="1034" max="1034" width="14.28515625" bestFit="1" customWidth="1"/>
    <col min="1035" max="1035" width="10.28515625" bestFit="1" customWidth="1"/>
    <col min="1036" max="1036" width="21.140625" bestFit="1" customWidth="1"/>
    <col min="1037" max="1037" width="9.28515625" bestFit="1" customWidth="1"/>
    <col min="1038" max="1038" width="9.42578125" bestFit="1" customWidth="1"/>
    <col min="1281" max="1281" width="36.5703125" bestFit="1" customWidth="1"/>
    <col min="1282" max="1282" width="15.85546875" bestFit="1" customWidth="1"/>
    <col min="1283" max="1283" width="14.140625" bestFit="1" customWidth="1"/>
    <col min="1284" max="1284" width="23.28515625" bestFit="1" customWidth="1"/>
    <col min="1285" max="1285" width="20.85546875" bestFit="1" customWidth="1"/>
    <col min="1286" max="1286" width="25.140625" bestFit="1" customWidth="1"/>
    <col min="1287" max="1287" width="13.42578125" bestFit="1" customWidth="1"/>
    <col min="1288" max="1288" width="13.28515625" bestFit="1" customWidth="1"/>
    <col min="1289" max="1289" width="11.42578125" bestFit="1" customWidth="1"/>
    <col min="1290" max="1290" width="14.28515625" bestFit="1" customWidth="1"/>
    <col min="1291" max="1291" width="10.28515625" bestFit="1" customWidth="1"/>
    <col min="1292" max="1292" width="21.140625" bestFit="1" customWidth="1"/>
    <col min="1293" max="1293" width="9.28515625" bestFit="1" customWidth="1"/>
    <col min="1294" max="1294" width="9.42578125" bestFit="1" customWidth="1"/>
    <col min="1537" max="1537" width="36.5703125" bestFit="1" customWidth="1"/>
    <col min="1538" max="1538" width="15.85546875" bestFit="1" customWidth="1"/>
    <col min="1539" max="1539" width="14.140625" bestFit="1" customWidth="1"/>
    <col min="1540" max="1540" width="23.28515625" bestFit="1" customWidth="1"/>
    <col min="1541" max="1541" width="20.85546875" bestFit="1" customWidth="1"/>
    <col min="1542" max="1542" width="25.140625" bestFit="1" customWidth="1"/>
    <col min="1543" max="1543" width="13.42578125" bestFit="1" customWidth="1"/>
    <col min="1544" max="1544" width="13.28515625" bestFit="1" customWidth="1"/>
    <col min="1545" max="1545" width="11.42578125" bestFit="1" customWidth="1"/>
    <col min="1546" max="1546" width="14.28515625" bestFit="1" customWidth="1"/>
    <col min="1547" max="1547" width="10.28515625" bestFit="1" customWidth="1"/>
    <col min="1548" max="1548" width="21.140625" bestFit="1" customWidth="1"/>
    <col min="1549" max="1549" width="9.28515625" bestFit="1" customWidth="1"/>
    <col min="1550" max="1550" width="9.42578125" bestFit="1" customWidth="1"/>
    <col min="1793" max="1793" width="36.5703125" bestFit="1" customWidth="1"/>
    <col min="1794" max="1794" width="15.85546875" bestFit="1" customWidth="1"/>
    <col min="1795" max="1795" width="14.140625" bestFit="1" customWidth="1"/>
    <col min="1796" max="1796" width="23.28515625" bestFit="1" customWidth="1"/>
    <col min="1797" max="1797" width="20.85546875" bestFit="1" customWidth="1"/>
    <col min="1798" max="1798" width="25.140625" bestFit="1" customWidth="1"/>
    <col min="1799" max="1799" width="13.42578125" bestFit="1" customWidth="1"/>
    <col min="1800" max="1800" width="13.28515625" bestFit="1" customWidth="1"/>
    <col min="1801" max="1801" width="11.42578125" bestFit="1" customWidth="1"/>
    <col min="1802" max="1802" width="14.28515625" bestFit="1" customWidth="1"/>
    <col min="1803" max="1803" width="10.28515625" bestFit="1" customWidth="1"/>
    <col min="1804" max="1804" width="21.140625" bestFit="1" customWidth="1"/>
    <col min="1805" max="1805" width="9.28515625" bestFit="1" customWidth="1"/>
    <col min="1806" max="1806" width="9.42578125" bestFit="1" customWidth="1"/>
    <col min="2049" max="2049" width="36.5703125" bestFit="1" customWidth="1"/>
    <col min="2050" max="2050" width="15.85546875" bestFit="1" customWidth="1"/>
    <col min="2051" max="2051" width="14.140625" bestFit="1" customWidth="1"/>
    <col min="2052" max="2052" width="23.28515625" bestFit="1" customWidth="1"/>
    <col min="2053" max="2053" width="20.85546875" bestFit="1" customWidth="1"/>
    <col min="2054" max="2054" width="25.140625" bestFit="1" customWidth="1"/>
    <col min="2055" max="2055" width="13.42578125" bestFit="1" customWidth="1"/>
    <col min="2056" max="2056" width="13.28515625" bestFit="1" customWidth="1"/>
    <col min="2057" max="2057" width="11.42578125" bestFit="1" customWidth="1"/>
    <col min="2058" max="2058" width="14.28515625" bestFit="1" customWidth="1"/>
    <col min="2059" max="2059" width="10.28515625" bestFit="1" customWidth="1"/>
    <col min="2060" max="2060" width="21.140625" bestFit="1" customWidth="1"/>
    <col min="2061" max="2061" width="9.28515625" bestFit="1" customWidth="1"/>
    <col min="2062" max="2062" width="9.42578125" bestFit="1" customWidth="1"/>
    <col min="2305" max="2305" width="36.5703125" bestFit="1" customWidth="1"/>
    <col min="2306" max="2306" width="15.85546875" bestFit="1" customWidth="1"/>
    <col min="2307" max="2307" width="14.140625" bestFit="1" customWidth="1"/>
    <col min="2308" max="2308" width="23.28515625" bestFit="1" customWidth="1"/>
    <col min="2309" max="2309" width="20.85546875" bestFit="1" customWidth="1"/>
    <col min="2310" max="2310" width="25.140625" bestFit="1" customWidth="1"/>
    <col min="2311" max="2311" width="13.42578125" bestFit="1" customWidth="1"/>
    <col min="2312" max="2312" width="13.28515625" bestFit="1" customWidth="1"/>
    <col min="2313" max="2313" width="11.42578125" bestFit="1" customWidth="1"/>
    <col min="2314" max="2314" width="14.28515625" bestFit="1" customWidth="1"/>
    <col min="2315" max="2315" width="10.28515625" bestFit="1" customWidth="1"/>
    <col min="2316" max="2316" width="21.140625" bestFit="1" customWidth="1"/>
    <col min="2317" max="2317" width="9.28515625" bestFit="1" customWidth="1"/>
    <col min="2318" max="2318" width="9.42578125" bestFit="1" customWidth="1"/>
    <col min="2561" max="2561" width="36.5703125" bestFit="1" customWidth="1"/>
    <col min="2562" max="2562" width="15.85546875" bestFit="1" customWidth="1"/>
    <col min="2563" max="2563" width="14.140625" bestFit="1" customWidth="1"/>
    <col min="2564" max="2564" width="23.28515625" bestFit="1" customWidth="1"/>
    <col min="2565" max="2565" width="20.85546875" bestFit="1" customWidth="1"/>
    <col min="2566" max="2566" width="25.140625" bestFit="1" customWidth="1"/>
    <col min="2567" max="2567" width="13.42578125" bestFit="1" customWidth="1"/>
    <col min="2568" max="2568" width="13.28515625" bestFit="1" customWidth="1"/>
    <col min="2569" max="2569" width="11.42578125" bestFit="1" customWidth="1"/>
    <col min="2570" max="2570" width="14.28515625" bestFit="1" customWidth="1"/>
    <col min="2571" max="2571" width="10.28515625" bestFit="1" customWidth="1"/>
    <col min="2572" max="2572" width="21.140625" bestFit="1" customWidth="1"/>
    <col min="2573" max="2573" width="9.28515625" bestFit="1" customWidth="1"/>
    <col min="2574" max="2574" width="9.42578125" bestFit="1" customWidth="1"/>
    <col min="2817" max="2817" width="36.5703125" bestFit="1" customWidth="1"/>
    <col min="2818" max="2818" width="15.85546875" bestFit="1" customWidth="1"/>
    <col min="2819" max="2819" width="14.140625" bestFit="1" customWidth="1"/>
    <col min="2820" max="2820" width="23.28515625" bestFit="1" customWidth="1"/>
    <col min="2821" max="2821" width="20.85546875" bestFit="1" customWidth="1"/>
    <col min="2822" max="2822" width="25.140625" bestFit="1" customWidth="1"/>
    <col min="2823" max="2823" width="13.42578125" bestFit="1" customWidth="1"/>
    <col min="2824" max="2824" width="13.28515625" bestFit="1" customWidth="1"/>
    <col min="2825" max="2825" width="11.42578125" bestFit="1" customWidth="1"/>
    <col min="2826" max="2826" width="14.28515625" bestFit="1" customWidth="1"/>
    <col min="2827" max="2827" width="10.28515625" bestFit="1" customWidth="1"/>
    <col min="2828" max="2828" width="21.140625" bestFit="1" customWidth="1"/>
    <col min="2829" max="2829" width="9.28515625" bestFit="1" customWidth="1"/>
    <col min="2830" max="2830" width="9.42578125" bestFit="1" customWidth="1"/>
    <col min="3073" max="3073" width="36.5703125" bestFit="1" customWidth="1"/>
    <col min="3074" max="3074" width="15.85546875" bestFit="1" customWidth="1"/>
    <col min="3075" max="3075" width="14.140625" bestFit="1" customWidth="1"/>
    <col min="3076" max="3076" width="23.28515625" bestFit="1" customWidth="1"/>
    <col min="3077" max="3077" width="20.85546875" bestFit="1" customWidth="1"/>
    <col min="3078" max="3078" width="25.140625" bestFit="1" customWidth="1"/>
    <col min="3079" max="3079" width="13.42578125" bestFit="1" customWidth="1"/>
    <col min="3080" max="3080" width="13.28515625" bestFit="1" customWidth="1"/>
    <col min="3081" max="3081" width="11.42578125" bestFit="1" customWidth="1"/>
    <col min="3082" max="3082" width="14.28515625" bestFit="1" customWidth="1"/>
    <col min="3083" max="3083" width="10.28515625" bestFit="1" customWidth="1"/>
    <col min="3084" max="3084" width="21.140625" bestFit="1" customWidth="1"/>
    <col min="3085" max="3085" width="9.28515625" bestFit="1" customWidth="1"/>
    <col min="3086" max="3086" width="9.42578125" bestFit="1" customWidth="1"/>
    <col min="3329" max="3329" width="36.5703125" bestFit="1" customWidth="1"/>
    <col min="3330" max="3330" width="15.85546875" bestFit="1" customWidth="1"/>
    <col min="3331" max="3331" width="14.140625" bestFit="1" customWidth="1"/>
    <col min="3332" max="3332" width="23.28515625" bestFit="1" customWidth="1"/>
    <col min="3333" max="3333" width="20.85546875" bestFit="1" customWidth="1"/>
    <col min="3334" max="3334" width="25.140625" bestFit="1" customWidth="1"/>
    <col min="3335" max="3335" width="13.42578125" bestFit="1" customWidth="1"/>
    <col min="3336" max="3336" width="13.28515625" bestFit="1" customWidth="1"/>
    <col min="3337" max="3337" width="11.42578125" bestFit="1" customWidth="1"/>
    <col min="3338" max="3338" width="14.28515625" bestFit="1" customWidth="1"/>
    <col min="3339" max="3339" width="10.28515625" bestFit="1" customWidth="1"/>
    <col min="3340" max="3340" width="21.140625" bestFit="1" customWidth="1"/>
    <col min="3341" max="3341" width="9.28515625" bestFit="1" customWidth="1"/>
    <col min="3342" max="3342" width="9.42578125" bestFit="1" customWidth="1"/>
    <col min="3585" max="3585" width="36.5703125" bestFit="1" customWidth="1"/>
    <col min="3586" max="3586" width="15.85546875" bestFit="1" customWidth="1"/>
    <col min="3587" max="3587" width="14.140625" bestFit="1" customWidth="1"/>
    <col min="3588" max="3588" width="23.28515625" bestFit="1" customWidth="1"/>
    <col min="3589" max="3589" width="20.85546875" bestFit="1" customWidth="1"/>
    <col min="3590" max="3590" width="25.140625" bestFit="1" customWidth="1"/>
    <col min="3591" max="3591" width="13.42578125" bestFit="1" customWidth="1"/>
    <col min="3592" max="3592" width="13.28515625" bestFit="1" customWidth="1"/>
    <col min="3593" max="3593" width="11.42578125" bestFit="1" customWidth="1"/>
    <col min="3594" max="3594" width="14.28515625" bestFit="1" customWidth="1"/>
    <col min="3595" max="3595" width="10.28515625" bestFit="1" customWidth="1"/>
    <col min="3596" max="3596" width="21.140625" bestFit="1" customWidth="1"/>
    <col min="3597" max="3597" width="9.28515625" bestFit="1" customWidth="1"/>
    <col min="3598" max="3598" width="9.42578125" bestFit="1" customWidth="1"/>
    <col min="3841" max="3841" width="36.5703125" bestFit="1" customWidth="1"/>
    <col min="3842" max="3842" width="15.85546875" bestFit="1" customWidth="1"/>
    <col min="3843" max="3843" width="14.140625" bestFit="1" customWidth="1"/>
    <col min="3844" max="3844" width="23.28515625" bestFit="1" customWidth="1"/>
    <col min="3845" max="3845" width="20.85546875" bestFit="1" customWidth="1"/>
    <col min="3846" max="3846" width="25.140625" bestFit="1" customWidth="1"/>
    <col min="3847" max="3847" width="13.42578125" bestFit="1" customWidth="1"/>
    <col min="3848" max="3848" width="13.28515625" bestFit="1" customWidth="1"/>
    <col min="3849" max="3849" width="11.42578125" bestFit="1" customWidth="1"/>
    <col min="3850" max="3850" width="14.28515625" bestFit="1" customWidth="1"/>
    <col min="3851" max="3851" width="10.28515625" bestFit="1" customWidth="1"/>
    <col min="3852" max="3852" width="21.140625" bestFit="1" customWidth="1"/>
    <col min="3853" max="3853" width="9.28515625" bestFit="1" customWidth="1"/>
    <col min="3854" max="3854" width="9.42578125" bestFit="1" customWidth="1"/>
    <col min="4097" max="4097" width="36.5703125" bestFit="1" customWidth="1"/>
    <col min="4098" max="4098" width="15.85546875" bestFit="1" customWidth="1"/>
    <col min="4099" max="4099" width="14.140625" bestFit="1" customWidth="1"/>
    <col min="4100" max="4100" width="23.28515625" bestFit="1" customWidth="1"/>
    <col min="4101" max="4101" width="20.85546875" bestFit="1" customWidth="1"/>
    <col min="4102" max="4102" width="25.140625" bestFit="1" customWidth="1"/>
    <col min="4103" max="4103" width="13.42578125" bestFit="1" customWidth="1"/>
    <col min="4104" max="4104" width="13.28515625" bestFit="1" customWidth="1"/>
    <col min="4105" max="4105" width="11.42578125" bestFit="1" customWidth="1"/>
    <col min="4106" max="4106" width="14.28515625" bestFit="1" customWidth="1"/>
    <col min="4107" max="4107" width="10.28515625" bestFit="1" customWidth="1"/>
    <col min="4108" max="4108" width="21.140625" bestFit="1" customWidth="1"/>
    <col min="4109" max="4109" width="9.28515625" bestFit="1" customWidth="1"/>
    <col min="4110" max="4110" width="9.42578125" bestFit="1" customWidth="1"/>
    <col min="4353" max="4353" width="36.5703125" bestFit="1" customWidth="1"/>
    <col min="4354" max="4354" width="15.85546875" bestFit="1" customWidth="1"/>
    <col min="4355" max="4355" width="14.140625" bestFit="1" customWidth="1"/>
    <col min="4356" max="4356" width="23.28515625" bestFit="1" customWidth="1"/>
    <col min="4357" max="4357" width="20.85546875" bestFit="1" customWidth="1"/>
    <col min="4358" max="4358" width="25.140625" bestFit="1" customWidth="1"/>
    <col min="4359" max="4359" width="13.42578125" bestFit="1" customWidth="1"/>
    <col min="4360" max="4360" width="13.28515625" bestFit="1" customWidth="1"/>
    <col min="4361" max="4361" width="11.42578125" bestFit="1" customWidth="1"/>
    <col min="4362" max="4362" width="14.28515625" bestFit="1" customWidth="1"/>
    <col min="4363" max="4363" width="10.28515625" bestFit="1" customWidth="1"/>
    <col min="4364" max="4364" width="21.140625" bestFit="1" customWidth="1"/>
    <col min="4365" max="4365" width="9.28515625" bestFit="1" customWidth="1"/>
    <col min="4366" max="4366" width="9.42578125" bestFit="1" customWidth="1"/>
    <col min="4609" max="4609" width="36.5703125" bestFit="1" customWidth="1"/>
    <col min="4610" max="4610" width="15.85546875" bestFit="1" customWidth="1"/>
    <col min="4611" max="4611" width="14.140625" bestFit="1" customWidth="1"/>
    <col min="4612" max="4612" width="23.28515625" bestFit="1" customWidth="1"/>
    <col min="4613" max="4613" width="20.85546875" bestFit="1" customWidth="1"/>
    <col min="4614" max="4614" width="25.140625" bestFit="1" customWidth="1"/>
    <col min="4615" max="4615" width="13.42578125" bestFit="1" customWidth="1"/>
    <col min="4616" max="4616" width="13.28515625" bestFit="1" customWidth="1"/>
    <col min="4617" max="4617" width="11.42578125" bestFit="1" customWidth="1"/>
    <col min="4618" max="4618" width="14.28515625" bestFit="1" customWidth="1"/>
    <col min="4619" max="4619" width="10.28515625" bestFit="1" customWidth="1"/>
    <col min="4620" max="4620" width="21.140625" bestFit="1" customWidth="1"/>
    <col min="4621" max="4621" width="9.28515625" bestFit="1" customWidth="1"/>
    <col min="4622" max="4622" width="9.42578125" bestFit="1" customWidth="1"/>
    <col min="4865" max="4865" width="36.5703125" bestFit="1" customWidth="1"/>
    <col min="4866" max="4866" width="15.85546875" bestFit="1" customWidth="1"/>
    <col min="4867" max="4867" width="14.140625" bestFit="1" customWidth="1"/>
    <col min="4868" max="4868" width="23.28515625" bestFit="1" customWidth="1"/>
    <col min="4869" max="4869" width="20.85546875" bestFit="1" customWidth="1"/>
    <col min="4870" max="4870" width="25.140625" bestFit="1" customWidth="1"/>
    <col min="4871" max="4871" width="13.42578125" bestFit="1" customWidth="1"/>
    <col min="4872" max="4872" width="13.28515625" bestFit="1" customWidth="1"/>
    <col min="4873" max="4873" width="11.42578125" bestFit="1" customWidth="1"/>
    <col min="4874" max="4874" width="14.28515625" bestFit="1" customWidth="1"/>
    <col min="4875" max="4875" width="10.28515625" bestFit="1" customWidth="1"/>
    <col min="4876" max="4876" width="21.140625" bestFit="1" customWidth="1"/>
    <col min="4877" max="4877" width="9.28515625" bestFit="1" customWidth="1"/>
    <col min="4878" max="4878" width="9.42578125" bestFit="1" customWidth="1"/>
    <col min="5121" max="5121" width="36.5703125" bestFit="1" customWidth="1"/>
    <col min="5122" max="5122" width="15.85546875" bestFit="1" customWidth="1"/>
    <col min="5123" max="5123" width="14.140625" bestFit="1" customWidth="1"/>
    <col min="5124" max="5124" width="23.28515625" bestFit="1" customWidth="1"/>
    <col min="5125" max="5125" width="20.85546875" bestFit="1" customWidth="1"/>
    <col min="5126" max="5126" width="25.140625" bestFit="1" customWidth="1"/>
    <col min="5127" max="5127" width="13.42578125" bestFit="1" customWidth="1"/>
    <col min="5128" max="5128" width="13.28515625" bestFit="1" customWidth="1"/>
    <col min="5129" max="5129" width="11.42578125" bestFit="1" customWidth="1"/>
    <col min="5130" max="5130" width="14.28515625" bestFit="1" customWidth="1"/>
    <col min="5131" max="5131" width="10.28515625" bestFit="1" customWidth="1"/>
    <col min="5132" max="5132" width="21.140625" bestFit="1" customWidth="1"/>
    <col min="5133" max="5133" width="9.28515625" bestFit="1" customWidth="1"/>
    <col min="5134" max="5134" width="9.42578125" bestFit="1" customWidth="1"/>
    <col min="5377" max="5377" width="36.5703125" bestFit="1" customWidth="1"/>
    <col min="5378" max="5378" width="15.85546875" bestFit="1" customWidth="1"/>
    <col min="5379" max="5379" width="14.140625" bestFit="1" customWidth="1"/>
    <col min="5380" max="5380" width="23.28515625" bestFit="1" customWidth="1"/>
    <col min="5381" max="5381" width="20.85546875" bestFit="1" customWidth="1"/>
    <col min="5382" max="5382" width="25.140625" bestFit="1" customWidth="1"/>
    <col min="5383" max="5383" width="13.42578125" bestFit="1" customWidth="1"/>
    <col min="5384" max="5384" width="13.28515625" bestFit="1" customWidth="1"/>
    <col min="5385" max="5385" width="11.42578125" bestFit="1" customWidth="1"/>
    <col min="5386" max="5386" width="14.28515625" bestFit="1" customWidth="1"/>
    <col min="5387" max="5387" width="10.28515625" bestFit="1" customWidth="1"/>
    <col min="5388" max="5388" width="21.140625" bestFit="1" customWidth="1"/>
    <col min="5389" max="5389" width="9.28515625" bestFit="1" customWidth="1"/>
    <col min="5390" max="5390" width="9.42578125" bestFit="1" customWidth="1"/>
    <col min="5633" max="5633" width="36.5703125" bestFit="1" customWidth="1"/>
    <col min="5634" max="5634" width="15.85546875" bestFit="1" customWidth="1"/>
    <col min="5635" max="5635" width="14.140625" bestFit="1" customWidth="1"/>
    <col min="5636" max="5636" width="23.28515625" bestFit="1" customWidth="1"/>
    <col min="5637" max="5637" width="20.85546875" bestFit="1" customWidth="1"/>
    <col min="5638" max="5638" width="25.140625" bestFit="1" customWidth="1"/>
    <col min="5639" max="5639" width="13.42578125" bestFit="1" customWidth="1"/>
    <col min="5640" max="5640" width="13.28515625" bestFit="1" customWidth="1"/>
    <col min="5641" max="5641" width="11.42578125" bestFit="1" customWidth="1"/>
    <col min="5642" max="5642" width="14.28515625" bestFit="1" customWidth="1"/>
    <col min="5643" max="5643" width="10.28515625" bestFit="1" customWidth="1"/>
    <col min="5644" max="5644" width="21.140625" bestFit="1" customWidth="1"/>
    <col min="5645" max="5645" width="9.28515625" bestFit="1" customWidth="1"/>
    <col min="5646" max="5646" width="9.42578125" bestFit="1" customWidth="1"/>
    <col min="5889" max="5889" width="36.5703125" bestFit="1" customWidth="1"/>
    <col min="5890" max="5890" width="15.85546875" bestFit="1" customWidth="1"/>
    <col min="5891" max="5891" width="14.140625" bestFit="1" customWidth="1"/>
    <col min="5892" max="5892" width="23.28515625" bestFit="1" customWidth="1"/>
    <col min="5893" max="5893" width="20.85546875" bestFit="1" customWidth="1"/>
    <col min="5894" max="5894" width="25.140625" bestFit="1" customWidth="1"/>
    <col min="5895" max="5895" width="13.42578125" bestFit="1" customWidth="1"/>
    <col min="5896" max="5896" width="13.28515625" bestFit="1" customWidth="1"/>
    <col min="5897" max="5897" width="11.42578125" bestFit="1" customWidth="1"/>
    <col min="5898" max="5898" width="14.28515625" bestFit="1" customWidth="1"/>
    <col min="5899" max="5899" width="10.28515625" bestFit="1" customWidth="1"/>
    <col min="5900" max="5900" width="21.140625" bestFit="1" customWidth="1"/>
    <col min="5901" max="5901" width="9.28515625" bestFit="1" customWidth="1"/>
    <col min="5902" max="5902" width="9.42578125" bestFit="1" customWidth="1"/>
    <col min="6145" max="6145" width="36.5703125" bestFit="1" customWidth="1"/>
    <col min="6146" max="6146" width="15.85546875" bestFit="1" customWidth="1"/>
    <col min="6147" max="6147" width="14.140625" bestFit="1" customWidth="1"/>
    <col min="6148" max="6148" width="23.28515625" bestFit="1" customWidth="1"/>
    <col min="6149" max="6149" width="20.85546875" bestFit="1" customWidth="1"/>
    <col min="6150" max="6150" width="25.140625" bestFit="1" customWidth="1"/>
    <col min="6151" max="6151" width="13.42578125" bestFit="1" customWidth="1"/>
    <col min="6152" max="6152" width="13.28515625" bestFit="1" customWidth="1"/>
    <col min="6153" max="6153" width="11.42578125" bestFit="1" customWidth="1"/>
    <col min="6154" max="6154" width="14.28515625" bestFit="1" customWidth="1"/>
    <col min="6155" max="6155" width="10.28515625" bestFit="1" customWidth="1"/>
    <col min="6156" max="6156" width="21.140625" bestFit="1" customWidth="1"/>
    <col min="6157" max="6157" width="9.28515625" bestFit="1" customWidth="1"/>
    <col min="6158" max="6158" width="9.42578125" bestFit="1" customWidth="1"/>
    <col min="6401" max="6401" width="36.5703125" bestFit="1" customWidth="1"/>
    <col min="6402" max="6402" width="15.85546875" bestFit="1" customWidth="1"/>
    <col min="6403" max="6403" width="14.140625" bestFit="1" customWidth="1"/>
    <col min="6404" max="6404" width="23.28515625" bestFit="1" customWidth="1"/>
    <col min="6405" max="6405" width="20.85546875" bestFit="1" customWidth="1"/>
    <col min="6406" max="6406" width="25.140625" bestFit="1" customWidth="1"/>
    <col min="6407" max="6407" width="13.42578125" bestFit="1" customWidth="1"/>
    <col min="6408" max="6408" width="13.28515625" bestFit="1" customWidth="1"/>
    <col min="6409" max="6409" width="11.42578125" bestFit="1" customWidth="1"/>
    <col min="6410" max="6410" width="14.28515625" bestFit="1" customWidth="1"/>
    <col min="6411" max="6411" width="10.28515625" bestFit="1" customWidth="1"/>
    <col min="6412" max="6412" width="21.140625" bestFit="1" customWidth="1"/>
    <col min="6413" max="6413" width="9.28515625" bestFit="1" customWidth="1"/>
    <col min="6414" max="6414" width="9.42578125" bestFit="1" customWidth="1"/>
    <col min="6657" max="6657" width="36.5703125" bestFit="1" customWidth="1"/>
    <col min="6658" max="6658" width="15.85546875" bestFit="1" customWidth="1"/>
    <col min="6659" max="6659" width="14.140625" bestFit="1" customWidth="1"/>
    <col min="6660" max="6660" width="23.28515625" bestFit="1" customWidth="1"/>
    <col min="6661" max="6661" width="20.85546875" bestFit="1" customWidth="1"/>
    <col min="6662" max="6662" width="25.140625" bestFit="1" customWidth="1"/>
    <col min="6663" max="6663" width="13.42578125" bestFit="1" customWidth="1"/>
    <col min="6664" max="6664" width="13.28515625" bestFit="1" customWidth="1"/>
    <col min="6665" max="6665" width="11.42578125" bestFit="1" customWidth="1"/>
    <col min="6666" max="6666" width="14.28515625" bestFit="1" customWidth="1"/>
    <col min="6667" max="6667" width="10.28515625" bestFit="1" customWidth="1"/>
    <col min="6668" max="6668" width="21.140625" bestFit="1" customWidth="1"/>
    <col min="6669" max="6669" width="9.28515625" bestFit="1" customWidth="1"/>
    <col min="6670" max="6670" width="9.42578125" bestFit="1" customWidth="1"/>
    <col min="6913" max="6913" width="36.5703125" bestFit="1" customWidth="1"/>
    <col min="6914" max="6914" width="15.85546875" bestFit="1" customWidth="1"/>
    <col min="6915" max="6915" width="14.140625" bestFit="1" customWidth="1"/>
    <col min="6916" max="6916" width="23.28515625" bestFit="1" customWidth="1"/>
    <col min="6917" max="6917" width="20.85546875" bestFit="1" customWidth="1"/>
    <col min="6918" max="6918" width="25.140625" bestFit="1" customWidth="1"/>
    <col min="6919" max="6919" width="13.42578125" bestFit="1" customWidth="1"/>
    <col min="6920" max="6920" width="13.28515625" bestFit="1" customWidth="1"/>
    <col min="6921" max="6921" width="11.42578125" bestFit="1" customWidth="1"/>
    <col min="6922" max="6922" width="14.28515625" bestFit="1" customWidth="1"/>
    <col min="6923" max="6923" width="10.28515625" bestFit="1" customWidth="1"/>
    <col min="6924" max="6924" width="21.140625" bestFit="1" customWidth="1"/>
    <col min="6925" max="6925" width="9.28515625" bestFit="1" customWidth="1"/>
    <col min="6926" max="6926" width="9.42578125" bestFit="1" customWidth="1"/>
    <col min="7169" max="7169" width="36.5703125" bestFit="1" customWidth="1"/>
    <col min="7170" max="7170" width="15.85546875" bestFit="1" customWidth="1"/>
    <col min="7171" max="7171" width="14.140625" bestFit="1" customWidth="1"/>
    <col min="7172" max="7172" width="23.28515625" bestFit="1" customWidth="1"/>
    <col min="7173" max="7173" width="20.85546875" bestFit="1" customWidth="1"/>
    <col min="7174" max="7174" width="25.140625" bestFit="1" customWidth="1"/>
    <col min="7175" max="7175" width="13.42578125" bestFit="1" customWidth="1"/>
    <col min="7176" max="7176" width="13.28515625" bestFit="1" customWidth="1"/>
    <col min="7177" max="7177" width="11.42578125" bestFit="1" customWidth="1"/>
    <col min="7178" max="7178" width="14.28515625" bestFit="1" customWidth="1"/>
    <col min="7179" max="7179" width="10.28515625" bestFit="1" customWidth="1"/>
    <col min="7180" max="7180" width="21.140625" bestFit="1" customWidth="1"/>
    <col min="7181" max="7181" width="9.28515625" bestFit="1" customWidth="1"/>
    <col min="7182" max="7182" width="9.42578125" bestFit="1" customWidth="1"/>
    <col min="7425" max="7425" width="36.5703125" bestFit="1" customWidth="1"/>
    <col min="7426" max="7426" width="15.85546875" bestFit="1" customWidth="1"/>
    <col min="7427" max="7427" width="14.140625" bestFit="1" customWidth="1"/>
    <col min="7428" max="7428" width="23.28515625" bestFit="1" customWidth="1"/>
    <col min="7429" max="7429" width="20.85546875" bestFit="1" customWidth="1"/>
    <col min="7430" max="7430" width="25.140625" bestFit="1" customWidth="1"/>
    <col min="7431" max="7431" width="13.42578125" bestFit="1" customWidth="1"/>
    <col min="7432" max="7432" width="13.28515625" bestFit="1" customWidth="1"/>
    <col min="7433" max="7433" width="11.42578125" bestFit="1" customWidth="1"/>
    <col min="7434" max="7434" width="14.28515625" bestFit="1" customWidth="1"/>
    <col min="7435" max="7435" width="10.28515625" bestFit="1" customWidth="1"/>
    <col min="7436" max="7436" width="21.140625" bestFit="1" customWidth="1"/>
    <col min="7437" max="7437" width="9.28515625" bestFit="1" customWidth="1"/>
    <col min="7438" max="7438" width="9.42578125" bestFit="1" customWidth="1"/>
    <col min="7681" max="7681" width="36.5703125" bestFit="1" customWidth="1"/>
    <col min="7682" max="7682" width="15.85546875" bestFit="1" customWidth="1"/>
    <col min="7683" max="7683" width="14.140625" bestFit="1" customWidth="1"/>
    <col min="7684" max="7684" width="23.28515625" bestFit="1" customWidth="1"/>
    <col min="7685" max="7685" width="20.85546875" bestFit="1" customWidth="1"/>
    <col min="7686" max="7686" width="25.140625" bestFit="1" customWidth="1"/>
    <col min="7687" max="7687" width="13.42578125" bestFit="1" customWidth="1"/>
    <col min="7688" max="7688" width="13.28515625" bestFit="1" customWidth="1"/>
    <col min="7689" max="7689" width="11.42578125" bestFit="1" customWidth="1"/>
    <col min="7690" max="7690" width="14.28515625" bestFit="1" customWidth="1"/>
    <col min="7691" max="7691" width="10.28515625" bestFit="1" customWidth="1"/>
    <col min="7692" max="7692" width="21.140625" bestFit="1" customWidth="1"/>
    <col min="7693" max="7693" width="9.28515625" bestFit="1" customWidth="1"/>
    <col min="7694" max="7694" width="9.42578125" bestFit="1" customWidth="1"/>
    <col min="7937" max="7937" width="36.5703125" bestFit="1" customWidth="1"/>
    <col min="7938" max="7938" width="15.85546875" bestFit="1" customWidth="1"/>
    <col min="7939" max="7939" width="14.140625" bestFit="1" customWidth="1"/>
    <col min="7940" max="7940" width="23.28515625" bestFit="1" customWidth="1"/>
    <col min="7941" max="7941" width="20.85546875" bestFit="1" customWidth="1"/>
    <col min="7942" max="7942" width="25.140625" bestFit="1" customWidth="1"/>
    <col min="7943" max="7943" width="13.42578125" bestFit="1" customWidth="1"/>
    <col min="7944" max="7944" width="13.28515625" bestFit="1" customWidth="1"/>
    <col min="7945" max="7945" width="11.42578125" bestFit="1" customWidth="1"/>
    <col min="7946" max="7946" width="14.28515625" bestFit="1" customWidth="1"/>
    <col min="7947" max="7947" width="10.28515625" bestFit="1" customWidth="1"/>
    <col min="7948" max="7948" width="21.140625" bestFit="1" customWidth="1"/>
    <col min="7949" max="7949" width="9.28515625" bestFit="1" customWidth="1"/>
    <col min="7950" max="7950" width="9.42578125" bestFit="1" customWidth="1"/>
    <col min="8193" max="8193" width="36.5703125" bestFit="1" customWidth="1"/>
    <col min="8194" max="8194" width="15.85546875" bestFit="1" customWidth="1"/>
    <col min="8195" max="8195" width="14.140625" bestFit="1" customWidth="1"/>
    <col min="8196" max="8196" width="23.28515625" bestFit="1" customWidth="1"/>
    <col min="8197" max="8197" width="20.85546875" bestFit="1" customWidth="1"/>
    <col min="8198" max="8198" width="25.140625" bestFit="1" customWidth="1"/>
    <col min="8199" max="8199" width="13.42578125" bestFit="1" customWidth="1"/>
    <col min="8200" max="8200" width="13.28515625" bestFit="1" customWidth="1"/>
    <col min="8201" max="8201" width="11.42578125" bestFit="1" customWidth="1"/>
    <col min="8202" max="8202" width="14.28515625" bestFit="1" customWidth="1"/>
    <col min="8203" max="8203" width="10.28515625" bestFit="1" customWidth="1"/>
    <col min="8204" max="8204" width="21.140625" bestFit="1" customWidth="1"/>
    <col min="8205" max="8205" width="9.28515625" bestFit="1" customWidth="1"/>
    <col min="8206" max="8206" width="9.42578125" bestFit="1" customWidth="1"/>
    <col min="8449" max="8449" width="36.5703125" bestFit="1" customWidth="1"/>
    <col min="8450" max="8450" width="15.85546875" bestFit="1" customWidth="1"/>
    <col min="8451" max="8451" width="14.140625" bestFit="1" customWidth="1"/>
    <col min="8452" max="8452" width="23.28515625" bestFit="1" customWidth="1"/>
    <col min="8453" max="8453" width="20.85546875" bestFit="1" customWidth="1"/>
    <col min="8454" max="8454" width="25.140625" bestFit="1" customWidth="1"/>
    <col min="8455" max="8455" width="13.42578125" bestFit="1" customWidth="1"/>
    <col min="8456" max="8456" width="13.28515625" bestFit="1" customWidth="1"/>
    <col min="8457" max="8457" width="11.42578125" bestFit="1" customWidth="1"/>
    <col min="8458" max="8458" width="14.28515625" bestFit="1" customWidth="1"/>
    <col min="8459" max="8459" width="10.28515625" bestFit="1" customWidth="1"/>
    <col min="8460" max="8460" width="21.140625" bestFit="1" customWidth="1"/>
    <col min="8461" max="8461" width="9.28515625" bestFit="1" customWidth="1"/>
    <col min="8462" max="8462" width="9.42578125" bestFit="1" customWidth="1"/>
    <col min="8705" max="8705" width="36.5703125" bestFit="1" customWidth="1"/>
    <col min="8706" max="8706" width="15.85546875" bestFit="1" customWidth="1"/>
    <col min="8707" max="8707" width="14.140625" bestFit="1" customWidth="1"/>
    <col min="8708" max="8708" width="23.28515625" bestFit="1" customWidth="1"/>
    <col min="8709" max="8709" width="20.85546875" bestFit="1" customWidth="1"/>
    <col min="8710" max="8710" width="25.140625" bestFit="1" customWidth="1"/>
    <col min="8711" max="8711" width="13.42578125" bestFit="1" customWidth="1"/>
    <col min="8712" max="8712" width="13.28515625" bestFit="1" customWidth="1"/>
    <col min="8713" max="8713" width="11.42578125" bestFit="1" customWidth="1"/>
    <col min="8714" max="8714" width="14.28515625" bestFit="1" customWidth="1"/>
    <col min="8715" max="8715" width="10.28515625" bestFit="1" customWidth="1"/>
    <col min="8716" max="8716" width="21.140625" bestFit="1" customWidth="1"/>
    <col min="8717" max="8717" width="9.28515625" bestFit="1" customWidth="1"/>
    <col min="8718" max="8718" width="9.42578125" bestFit="1" customWidth="1"/>
    <col min="8961" max="8961" width="36.5703125" bestFit="1" customWidth="1"/>
    <col min="8962" max="8962" width="15.85546875" bestFit="1" customWidth="1"/>
    <col min="8963" max="8963" width="14.140625" bestFit="1" customWidth="1"/>
    <col min="8964" max="8964" width="23.28515625" bestFit="1" customWidth="1"/>
    <col min="8965" max="8965" width="20.85546875" bestFit="1" customWidth="1"/>
    <col min="8966" max="8966" width="25.140625" bestFit="1" customWidth="1"/>
    <col min="8967" max="8967" width="13.42578125" bestFit="1" customWidth="1"/>
    <col min="8968" max="8968" width="13.28515625" bestFit="1" customWidth="1"/>
    <col min="8969" max="8969" width="11.42578125" bestFit="1" customWidth="1"/>
    <col min="8970" max="8970" width="14.28515625" bestFit="1" customWidth="1"/>
    <col min="8971" max="8971" width="10.28515625" bestFit="1" customWidth="1"/>
    <col min="8972" max="8972" width="21.140625" bestFit="1" customWidth="1"/>
    <col min="8973" max="8973" width="9.28515625" bestFit="1" customWidth="1"/>
    <col min="8974" max="8974" width="9.42578125" bestFit="1" customWidth="1"/>
    <col min="9217" max="9217" width="36.5703125" bestFit="1" customWidth="1"/>
    <col min="9218" max="9218" width="15.85546875" bestFit="1" customWidth="1"/>
    <col min="9219" max="9219" width="14.140625" bestFit="1" customWidth="1"/>
    <col min="9220" max="9220" width="23.28515625" bestFit="1" customWidth="1"/>
    <col min="9221" max="9221" width="20.85546875" bestFit="1" customWidth="1"/>
    <col min="9222" max="9222" width="25.140625" bestFit="1" customWidth="1"/>
    <col min="9223" max="9223" width="13.42578125" bestFit="1" customWidth="1"/>
    <col min="9224" max="9224" width="13.28515625" bestFit="1" customWidth="1"/>
    <col min="9225" max="9225" width="11.42578125" bestFit="1" customWidth="1"/>
    <col min="9226" max="9226" width="14.28515625" bestFit="1" customWidth="1"/>
    <col min="9227" max="9227" width="10.28515625" bestFit="1" customWidth="1"/>
    <col min="9228" max="9228" width="21.140625" bestFit="1" customWidth="1"/>
    <col min="9229" max="9229" width="9.28515625" bestFit="1" customWidth="1"/>
    <col min="9230" max="9230" width="9.42578125" bestFit="1" customWidth="1"/>
    <col min="9473" max="9473" width="36.5703125" bestFit="1" customWidth="1"/>
    <col min="9474" max="9474" width="15.85546875" bestFit="1" customWidth="1"/>
    <col min="9475" max="9475" width="14.140625" bestFit="1" customWidth="1"/>
    <col min="9476" max="9476" width="23.28515625" bestFit="1" customWidth="1"/>
    <col min="9477" max="9477" width="20.85546875" bestFit="1" customWidth="1"/>
    <col min="9478" max="9478" width="25.140625" bestFit="1" customWidth="1"/>
    <col min="9479" max="9479" width="13.42578125" bestFit="1" customWidth="1"/>
    <col min="9480" max="9480" width="13.28515625" bestFit="1" customWidth="1"/>
    <col min="9481" max="9481" width="11.42578125" bestFit="1" customWidth="1"/>
    <col min="9482" max="9482" width="14.28515625" bestFit="1" customWidth="1"/>
    <col min="9483" max="9483" width="10.28515625" bestFit="1" customWidth="1"/>
    <col min="9484" max="9484" width="21.140625" bestFit="1" customWidth="1"/>
    <col min="9485" max="9485" width="9.28515625" bestFit="1" customWidth="1"/>
    <col min="9486" max="9486" width="9.42578125" bestFit="1" customWidth="1"/>
    <col min="9729" max="9729" width="36.5703125" bestFit="1" customWidth="1"/>
    <col min="9730" max="9730" width="15.85546875" bestFit="1" customWidth="1"/>
    <col min="9731" max="9731" width="14.140625" bestFit="1" customWidth="1"/>
    <col min="9732" max="9732" width="23.28515625" bestFit="1" customWidth="1"/>
    <col min="9733" max="9733" width="20.85546875" bestFit="1" customWidth="1"/>
    <col min="9734" max="9734" width="25.140625" bestFit="1" customWidth="1"/>
    <col min="9735" max="9735" width="13.42578125" bestFit="1" customWidth="1"/>
    <col min="9736" max="9736" width="13.28515625" bestFit="1" customWidth="1"/>
    <col min="9737" max="9737" width="11.42578125" bestFit="1" customWidth="1"/>
    <col min="9738" max="9738" width="14.28515625" bestFit="1" customWidth="1"/>
    <col min="9739" max="9739" width="10.28515625" bestFit="1" customWidth="1"/>
    <col min="9740" max="9740" width="21.140625" bestFit="1" customWidth="1"/>
    <col min="9741" max="9741" width="9.28515625" bestFit="1" customWidth="1"/>
    <col min="9742" max="9742" width="9.42578125" bestFit="1" customWidth="1"/>
    <col min="9985" max="9985" width="36.5703125" bestFit="1" customWidth="1"/>
    <col min="9986" max="9986" width="15.85546875" bestFit="1" customWidth="1"/>
    <col min="9987" max="9987" width="14.140625" bestFit="1" customWidth="1"/>
    <col min="9988" max="9988" width="23.28515625" bestFit="1" customWidth="1"/>
    <col min="9989" max="9989" width="20.85546875" bestFit="1" customWidth="1"/>
    <col min="9990" max="9990" width="25.140625" bestFit="1" customWidth="1"/>
    <col min="9991" max="9991" width="13.42578125" bestFit="1" customWidth="1"/>
    <col min="9992" max="9992" width="13.28515625" bestFit="1" customWidth="1"/>
    <col min="9993" max="9993" width="11.42578125" bestFit="1" customWidth="1"/>
    <col min="9994" max="9994" width="14.28515625" bestFit="1" customWidth="1"/>
    <col min="9995" max="9995" width="10.28515625" bestFit="1" customWidth="1"/>
    <col min="9996" max="9996" width="21.140625" bestFit="1" customWidth="1"/>
    <col min="9997" max="9997" width="9.28515625" bestFit="1" customWidth="1"/>
    <col min="9998" max="9998" width="9.42578125" bestFit="1" customWidth="1"/>
    <col min="10241" max="10241" width="36.5703125" bestFit="1" customWidth="1"/>
    <col min="10242" max="10242" width="15.85546875" bestFit="1" customWidth="1"/>
    <col min="10243" max="10243" width="14.140625" bestFit="1" customWidth="1"/>
    <col min="10244" max="10244" width="23.28515625" bestFit="1" customWidth="1"/>
    <col min="10245" max="10245" width="20.85546875" bestFit="1" customWidth="1"/>
    <col min="10246" max="10246" width="25.140625" bestFit="1" customWidth="1"/>
    <col min="10247" max="10247" width="13.42578125" bestFit="1" customWidth="1"/>
    <col min="10248" max="10248" width="13.28515625" bestFit="1" customWidth="1"/>
    <col min="10249" max="10249" width="11.42578125" bestFit="1" customWidth="1"/>
    <col min="10250" max="10250" width="14.28515625" bestFit="1" customWidth="1"/>
    <col min="10251" max="10251" width="10.28515625" bestFit="1" customWidth="1"/>
    <col min="10252" max="10252" width="21.140625" bestFit="1" customWidth="1"/>
    <col min="10253" max="10253" width="9.28515625" bestFit="1" customWidth="1"/>
    <col min="10254" max="10254" width="9.42578125" bestFit="1" customWidth="1"/>
    <col min="10497" max="10497" width="36.5703125" bestFit="1" customWidth="1"/>
    <col min="10498" max="10498" width="15.85546875" bestFit="1" customWidth="1"/>
    <col min="10499" max="10499" width="14.140625" bestFit="1" customWidth="1"/>
    <col min="10500" max="10500" width="23.28515625" bestFit="1" customWidth="1"/>
    <col min="10501" max="10501" width="20.85546875" bestFit="1" customWidth="1"/>
    <col min="10502" max="10502" width="25.140625" bestFit="1" customWidth="1"/>
    <col min="10503" max="10503" width="13.42578125" bestFit="1" customWidth="1"/>
    <col min="10504" max="10504" width="13.28515625" bestFit="1" customWidth="1"/>
    <col min="10505" max="10505" width="11.42578125" bestFit="1" customWidth="1"/>
    <col min="10506" max="10506" width="14.28515625" bestFit="1" customWidth="1"/>
    <col min="10507" max="10507" width="10.28515625" bestFit="1" customWidth="1"/>
    <col min="10508" max="10508" width="21.140625" bestFit="1" customWidth="1"/>
    <col min="10509" max="10509" width="9.28515625" bestFit="1" customWidth="1"/>
    <col min="10510" max="10510" width="9.42578125" bestFit="1" customWidth="1"/>
    <col min="10753" max="10753" width="36.5703125" bestFit="1" customWidth="1"/>
    <col min="10754" max="10754" width="15.85546875" bestFit="1" customWidth="1"/>
    <col min="10755" max="10755" width="14.140625" bestFit="1" customWidth="1"/>
    <col min="10756" max="10756" width="23.28515625" bestFit="1" customWidth="1"/>
    <col min="10757" max="10757" width="20.85546875" bestFit="1" customWidth="1"/>
    <col min="10758" max="10758" width="25.140625" bestFit="1" customWidth="1"/>
    <col min="10759" max="10759" width="13.42578125" bestFit="1" customWidth="1"/>
    <col min="10760" max="10760" width="13.28515625" bestFit="1" customWidth="1"/>
    <col min="10761" max="10761" width="11.42578125" bestFit="1" customWidth="1"/>
    <col min="10762" max="10762" width="14.28515625" bestFit="1" customWidth="1"/>
    <col min="10763" max="10763" width="10.28515625" bestFit="1" customWidth="1"/>
    <col min="10764" max="10764" width="21.140625" bestFit="1" customWidth="1"/>
    <col min="10765" max="10765" width="9.28515625" bestFit="1" customWidth="1"/>
    <col min="10766" max="10766" width="9.42578125" bestFit="1" customWidth="1"/>
    <col min="11009" max="11009" width="36.5703125" bestFit="1" customWidth="1"/>
    <col min="11010" max="11010" width="15.85546875" bestFit="1" customWidth="1"/>
    <col min="11011" max="11011" width="14.140625" bestFit="1" customWidth="1"/>
    <col min="11012" max="11012" width="23.28515625" bestFit="1" customWidth="1"/>
    <col min="11013" max="11013" width="20.85546875" bestFit="1" customWidth="1"/>
    <col min="11014" max="11014" width="25.140625" bestFit="1" customWidth="1"/>
    <col min="11015" max="11015" width="13.42578125" bestFit="1" customWidth="1"/>
    <col min="11016" max="11016" width="13.28515625" bestFit="1" customWidth="1"/>
    <col min="11017" max="11017" width="11.42578125" bestFit="1" customWidth="1"/>
    <col min="11018" max="11018" width="14.28515625" bestFit="1" customWidth="1"/>
    <col min="11019" max="11019" width="10.28515625" bestFit="1" customWidth="1"/>
    <col min="11020" max="11020" width="21.140625" bestFit="1" customWidth="1"/>
    <col min="11021" max="11021" width="9.28515625" bestFit="1" customWidth="1"/>
    <col min="11022" max="11022" width="9.42578125" bestFit="1" customWidth="1"/>
    <col min="11265" max="11265" width="36.5703125" bestFit="1" customWidth="1"/>
    <col min="11266" max="11266" width="15.85546875" bestFit="1" customWidth="1"/>
    <col min="11267" max="11267" width="14.140625" bestFit="1" customWidth="1"/>
    <col min="11268" max="11268" width="23.28515625" bestFit="1" customWidth="1"/>
    <col min="11269" max="11269" width="20.85546875" bestFit="1" customWidth="1"/>
    <col min="11270" max="11270" width="25.140625" bestFit="1" customWidth="1"/>
    <col min="11271" max="11271" width="13.42578125" bestFit="1" customWidth="1"/>
    <col min="11272" max="11272" width="13.28515625" bestFit="1" customWidth="1"/>
    <col min="11273" max="11273" width="11.42578125" bestFit="1" customWidth="1"/>
    <col min="11274" max="11274" width="14.28515625" bestFit="1" customWidth="1"/>
    <col min="11275" max="11275" width="10.28515625" bestFit="1" customWidth="1"/>
    <col min="11276" max="11276" width="21.140625" bestFit="1" customWidth="1"/>
    <col min="11277" max="11277" width="9.28515625" bestFit="1" customWidth="1"/>
    <col min="11278" max="11278" width="9.42578125" bestFit="1" customWidth="1"/>
    <col min="11521" max="11521" width="36.5703125" bestFit="1" customWidth="1"/>
    <col min="11522" max="11522" width="15.85546875" bestFit="1" customWidth="1"/>
    <col min="11523" max="11523" width="14.140625" bestFit="1" customWidth="1"/>
    <col min="11524" max="11524" width="23.28515625" bestFit="1" customWidth="1"/>
    <col min="11525" max="11525" width="20.85546875" bestFit="1" customWidth="1"/>
    <col min="11526" max="11526" width="25.140625" bestFit="1" customWidth="1"/>
    <col min="11527" max="11527" width="13.42578125" bestFit="1" customWidth="1"/>
    <col min="11528" max="11528" width="13.28515625" bestFit="1" customWidth="1"/>
    <col min="11529" max="11529" width="11.42578125" bestFit="1" customWidth="1"/>
    <col min="11530" max="11530" width="14.28515625" bestFit="1" customWidth="1"/>
    <col min="11531" max="11531" width="10.28515625" bestFit="1" customWidth="1"/>
    <col min="11532" max="11532" width="21.140625" bestFit="1" customWidth="1"/>
    <col min="11533" max="11533" width="9.28515625" bestFit="1" customWidth="1"/>
    <col min="11534" max="11534" width="9.42578125" bestFit="1" customWidth="1"/>
    <col min="11777" max="11777" width="36.5703125" bestFit="1" customWidth="1"/>
    <col min="11778" max="11778" width="15.85546875" bestFit="1" customWidth="1"/>
    <col min="11779" max="11779" width="14.140625" bestFit="1" customWidth="1"/>
    <col min="11780" max="11780" width="23.28515625" bestFit="1" customWidth="1"/>
    <col min="11781" max="11781" width="20.85546875" bestFit="1" customWidth="1"/>
    <col min="11782" max="11782" width="25.140625" bestFit="1" customWidth="1"/>
    <col min="11783" max="11783" width="13.42578125" bestFit="1" customWidth="1"/>
    <col min="11784" max="11784" width="13.28515625" bestFit="1" customWidth="1"/>
    <col min="11785" max="11785" width="11.42578125" bestFit="1" customWidth="1"/>
    <col min="11786" max="11786" width="14.28515625" bestFit="1" customWidth="1"/>
    <col min="11787" max="11787" width="10.28515625" bestFit="1" customWidth="1"/>
    <col min="11788" max="11788" width="21.140625" bestFit="1" customWidth="1"/>
    <col min="11789" max="11789" width="9.28515625" bestFit="1" customWidth="1"/>
    <col min="11790" max="11790" width="9.42578125" bestFit="1" customWidth="1"/>
    <col min="12033" max="12033" width="36.5703125" bestFit="1" customWidth="1"/>
    <col min="12034" max="12034" width="15.85546875" bestFit="1" customWidth="1"/>
    <col min="12035" max="12035" width="14.140625" bestFit="1" customWidth="1"/>
    <col min="12036" max="12036" width="23.28515625" bestFit="1" customWidth="1"/>
    <col min="12037" max="12037" width="20.85546875" bestFit="1" customWidth="1"/>
    <col min="12038" max="12038" width="25.140625" bestFit="1" customWidth="1"/>
    <col min="12039" max="12039" width="13.42578125" bestFit="1" customWidth="1"/>
    <col min="12040" max="12040" width="13.28515625" bestFit="1" customWidth="1"/>
    <col min="12041" max="12041" width="11.42578125" bestFit="1" customWidth="1"/>
    <col min="12042" max="12042" width="14.28515625" bestFit="1" customWidth="1"/>
    <col min="12043" max="12043" width="10.28515625" bestFit="1" customWidth="1"/>
    <col min="12044" max="12044" width="21.140625" bestFit="1" customWidth="1"/>
    <col min="12045" max="12045" width="9.28515625" bestFit="1" customWidth="1"/>
    <col min="12046" max="12046" width="9.42578125" bestFit="1" customWidth="1"/>
    <col min="12289" max="12289" width="36.5703125" bestFit="1" customWidth="1"/>
    <col min="12290" max="12290" width="15.85546875" bestFit="1" customWidth="1"/>
    <col min="12291" max="12291" width="14.140625" bestFit="1" customWidth="1"/>
    <col min="12292" max="12292" width="23.28515625" bestFit="1" customWidth="1"/>
    <col min="12293" max="12293" width="20.85546875" bestFit="1" customWidth="1"/>
    <col min="12294" max="12294" width="25.140625" bestFit="1" customWidth="1"/>
    <col min="12295" max="12295" width="13.42578125" bestFit="1" customWidth="1"/>
    <col min="12296" max="12296" width="13.28515625" bestFit="1" customWidth="1"/>
    <col min="12297" max="12297" width="11.42578125" bestFit="1" customWidth="1"/>
    <col min="12298" max="12298" width="14.28515625" bestFit="1" customWidth="1"/>
    <col min="12299" max="12299" width="10.28515625" bestFit="1" customWidth="1"/>
    <col min="12300" max="12300" width="21.140625" bestFit="1" customWidth="1"/>
    <col min="12301" max="12301" width="9.28515625" bestFit="1" customWidth="1"/>
    <col min="12302" max="12302" width="9.42578125" bestFit="1" customWidth="1"/>
    <col min="12545" max="12545" width="36.5703125" bestFit="1" customWidth="1"/>
    <col min="12546" max="12546" width="15.85546875" bestFit="1" customWidth="1"/>
    <col min="12547" max="12547" width="14.140625" bestFit="1" customWidth="1"/>
    <col min="12548" max="12548" width="23.28515625" bestFit="1" customWidth="1"/>
    <col min="12549" max="12549" width="20.85546875" bestFit="1" customWidth="1"/>
    <col min="12550" max="12550" width="25.140625" bestFit="1" customWidth="1"/>
    <col min="12551" max="12551" width="13.42578125" bestFit="1" customWidth="1"/>
    <col min="12552" max="12552" width="13.28515625" bestFit="1" customWidth="1"/>
    <col min="12553" max="12553" width="11.42578125" bestFit="1" customWidth="1"/>
    <col min="12554" max="12554" width="14.28515625" bestFit="1" customWidth="1"/>
    <col min="12555" max="12555" width="10.28515625" bestFit="1" customWidth="1"/>
    <col min="12556" max="12556" width="21.140625" bestFit="1" customWidth="1"/>
    <col min="12557" max="12557" width="9.28515625" bestFit="1" customWidth="1"/>
    <col min="12558" max="12558" width="9.42578125" bestFit="1" customWidth="1"/>
    <col min="12801" max="12801" width="36.5703125" bestFit="1" customWidth="1"/>
    <col min="12802" max="12802" width="15.85546875" bestFit="1" customWidth="1"/>
    <col min="12803" max="12803" width="14.140625" bestFit="1" customWidth="1"/>
    <col min="12804" max="12804" width="23.28515625" bestFit="1" customWidth="1"/>
    <col min="12805" max="12805" width="20.85546875" bestFit="1" customWidth="1"/>
    <col min="12806" max="12806" width="25.140625" bestFit="1" customWidth="1"/>
    <col min="12807" max="12807" width="13.42578125" bestFit="1" customWidth="1"/>
    <col min="12808" max="12808" width="13.28515625" bestFit="1" customWidth="1"/>
    <col min="12809" max="12809" width="11.42578125" bestFit="1" customWidth="1"/>
    <col min="12810" max="12810" width="14.28515625" bestFit="1" customWidth="1"/>
    <col min="12811" max="12811" width="10.28515625" bestFit="1" customWidth="1"/>
    <col min="12812" max="12812" width="21.140625" bestFit="1" customWidth="1"/>
    <col min="12813" max="12813" width="9.28515625" bestFit="1" customWidth="1"/>
    <col min="12814" max="12814" width="9.42578125" bestFit="1" customWidth="1"/>
    <col min="13057" max="13057" width="36.5703125" bestFit="1" customWidth="1"/>
    <col min="13058" max="13058" width="15.85546875" bestFit="1" customWidth="1"/>
    <col min="13059" max="13059" width="14.140625" bestFit="1" customWidth="1"/>
    <col min="13060" max="13060" width="23.28515625" bestFit="1" customWidth="1"/>
    <col min="13061" max="13061" width="20.85546875" bestFit="1" customWidth="1"/>
    <col min="13062" max="13062" width="25.140625" bestFit="1" customWidth="1"/>
    <col min="13063" max="13063" width="13.42578125" bestFit="1" customWidth="1"/>
    <col min="13064" max="13064" width="13.28515625" bestFit="1" customWidth="1"/>
    <col min="13065" max="13065" width="11.42578125" bestFit="1" customWidth="1"/>
    <col min="13066" max="13066" width="14.28515625" bestFit="1" customWidth="1"/>
    <col min="13067" max="13067" width="10.28515625" bestFit="1" customWidth="1"/>
    <col min="13068" max="13068" width="21.140625" bestFit="1" customWidth="1"/>
    <col min="13069" max="13069" width="9.28515625" bestFit="1" customWidth="1"/>
    <col min="13070" max="13070" width="9.42578125" bestFit="1" customWidth="1"/>
    <col min="13313" max="13313" width="36.5703125" bestFit="1" customWidth="1"/>
    <col min="13314" max="13314" width="15.85546875" bestFit="1" customWidth="1"/>
    <col min="13315" max="13315" width="14.140625" bestFit="1" customWidth="1"/>
    <col min="13316" max="13316" width="23.28515625" bestFit="1" customWidth="1"/>
    <col min="13317" max="13317" width="20.85546875" bestFit="1" customWidth="1"/>
    <col min="13318" max="13318" width="25.140625" bestFit="1" customWidth="1"/>
    <col min="13319" max="13319" width="13.42578125" bestFit="1" customWidth="1"/>
    <col min="13320" max="13320" width="13.28515625" bestFit="1" customWidth="1"/>
    <col min="13321" max="13321" width="11.42578125" bestFit="1" customWidth="1"/>
    <col min="13322" max="13322" width="14.28515625" bestFit="1" customWidth="1"/>
    <col min="13323" max="13323" width="10.28515625" bestFit="1" customWidth="1"/>
    <col min="13324" max="13324" width="21.140625" bestFit="1" customWidth="1"/>
    <col min="13325" max="13325" width="9.28515625" bestFit="1" customWidth="1"/>
    <col min="13326" max="13326" width="9.42578125" bestFit="1" customWidth="1"/>
    <col min="13569" max="13569" width="36.5703125" bestFit="1" customWidth="1"/>
    <col min="13570" max="13570" width="15.85546875" bestFit="1" customWidth="1"/>
    <col min="13571" max="13571" width="14.140625" bestFit="1" customWidth="1"/>
    <col min="13572" max="13572" width="23.28515625" bestFit="1" customWidth="1"/>
    <col min="13573" max="13573" width="20.85546875" bestFit="1" customWidth="1"/>
    <col min="13574" max="13574" width="25.140625" bestFit="1" customWidth="1"/>
    <col min="13575" max="13575" width="13.42578125" bestFit="1" customWidth="1"/>
    <col min="13576" max="13576" width="13.28515625" bestFit="1" customWidth="1"/>
    <col min="13577" max="13577" width="11.42578125" bestFit="1" customWidth="1"/>
    <col min="13578" max="13578" width="14.28515625" bestFit="1" customWidth="1"/>
    <col min="13579" max="13579" width="10.28515625" bestFit="1" customWidth="1"/>
    <col min="13580" max="13580" width="21.140625" bestFit="1" customWidth="1"/>
    <col min="13581" max="13581" width="9.28515625" bestFit="1" customWidth="1"/>
    <col min="13582" max="13582" width="9.42578125" bestFit="1" customWidth="1"/>
    <col min="13825" max="13825" width="36.5703125" bestFit="1" customWidth="1"/>
    <col min="13826" max="13826" width="15.85546875" bestFit="1" customWidth="1"/>
    <col min="13827" max="13827" width="14.140625" bestFit="1" customWidth="1"/>
    <col min="13828" max="13828" width="23.28515625" bestFit="1" customWidth="1"/>
    <col min="13829" max="13829" width="20.85546875" bestFit="1" customWidth="1"/>
    <col min="13830" max="13830" width="25.140625" bestFit="1" customWidth="1"/>
    <col min="13831" max="13831" width="13.42578125" bestFit="1" customWidth="1"/>
    <col min="13832" max="13832" width="13.28515625" bestFit="1" customWidth="1"/>
    <col min="13833" max="13833" width="11.42578125" bestFit="1" customWidth="1"/>
    <col min="13834" max="13834" width="14.28515625" bestFit="1" customWidth="1"/>
    <col min="13835" max="13835" width="10.28515625" bestFit="1" customWidth="1"/>
    <col min="13836" max="13836" width="21.140625" bestFit="1" customWidth="1"/>
    <col min="13837" max="13837" width="9.28515625" bestFit="1" customWidth="1"/>
    <col min="13838" max="13838" width="9.42578125" bestFit="1" customWidth="1"/>
    <col min="14081" max="14081" width="36.5703125" bestFit="1" customWidth="1"/>
    <col min="14082" max="14082" width="15.85546875" bestFit="1" customWidth="1"/>
    <col min="14083" max="14083" width="14.140625" bestFit="1" customWidth="1"/>
    <col min="14084" max="14084" width="23.28515625" bestFit="1" customWidth="1"/>
    <col min="14085" max="14085" width="20.85546875" bestFit="1" customWidth="1"/>
    <col min="14086" max="14086" width="25.140625" bestFit="1" customWidth="1"/>
    <col min="14087" max="14087" width="13.42578125" bestFit="1" customWidth="1"/>
    <col min="14088" max="14088" width="13.28515625" bestFit="1" customWidth="1"/>
    <col min="14089" max="14089" width="11.42578125" bestFit="1" customWidth="1"/>
    <col min="14090" max="14090" width="14.28515625" bestFit="1" customWidth="1"/>
    <col min="14091" max="14091" width="10.28515625" bestFit="1" customWidth="1"/>
    <col min="14092" max="14092" width="21.140625" bestFit="1" customWidth="1"/>
    <col min="14093" max="14093" width="9.28515625" bestFit="1" customWidth="1"/>
    <col min="14094" max="14094" width="9.42578125" bestFit="1" customWidth="1"/>
    <col min="14337" max="14337" width="36.5703125" bestFit="1" customWidth="1"/>
    <col min="14338" max="14338" width="15.85546875" bestFit="1" customWidth="1"/>
    <col min="14339" max="14339" width="14.140625" bestFit="1" customWidth="1"/>
    <col min="14340" max="14340" width="23.28515625" bestFit="1" customWidth="1"/>
    <col min="14341" max="14341" width="20.85546875" bestFit="1" customWidth="1"/>
    <col min="14342" max="14342" width="25.140625" bestFit="1" customWidth="1"/>
    <col min="14343" max="14343" width="13.42578125" bestFit="1" customWidth="1"/>
    <col min="14344" max="14344" width="13.28515625" bestFit="1" customWidth="1"/>
    <col min="14345" max="14345" width="11.42578125" bestFit="1" customWidth="1"/>
    <col min="14346" max="14346" width="14.28515625" bestFit="1" customWidth="1"/>
    <col min="14347" max="14347" width="10.28515625" bestFit="1" customWidth="1"/>
    <col min="14348" max="14348" width="21.140625" bestFit="1" customWidth="1"/>
    <col min="14349" max="14349" width="9.28515625" bestFit="1" customWidth="1"/>
    <col min="14350" max="14350" width="9.42578125" bestFit="1" customWidth="1"/>
    <col min="14593" max="14593" width="36.5703125" bestFit="1" customWidth="1"/>
    <col min="14594" max="14594" width="15.85546875" bestFit="1" customWidth="1"/>
    <col min="14595" max="14595" width="14.140625" bestFit="1" customWidth="1"/>
    <col min="14596" max="14596" width="23.28515625" bestFit="1" customWidth="1"/>
    <col min="14597" max="14597" width="20.85546875" bestFit="1" customWidth="1"/>
    <col min="14598" max="14598" width="25.140625" bestFit="1" customWidth="1"/>
    <col min="14599" max="14599" width="13.42578125" bestFit="1" customWidth="1"/>
    <col min="14600" max="14600" width="13.28515625" bestFit="1" customWidth="1"/>
    <col min="14601" max="14601" width="11.42578125" bestFit="1" customWidth="1"/>
    <col min="14602" max="14602" width="14.28515625" bestFit="1" customWidth="1"/>
    <col min="14603" max="14603" width="10.28515625" bestFit="1" customWidth="1"/>
    <col min="14604" max="14604" width="21.140625" bestFit="1" customWidth="1"/>
    <col min="14605" max="14605" width="9.28515625" bestFit="1" customWidth="1"/>
    <col min="14606" max="14606" width="9.42578125" bestFit="1" customWidth="1"/>
    <col min="14849" max="14849" width="36.5703125" bestFit="1" customWidth="1"/>
    <col min="14850" max="14850" width="15.85546875" bestFit="1" customWidth="1"/>
    <col min="14851" max="14851" width="14.140625" bestFit="1" customWidth="1"/>
    <col min="14852" max="14852" width="23.28515625" bestFit="1" customWidth="1"/>
    <col min="14853" max="14853" width="20.85546875" bestFit="1" customWidth="1"/>
    <col min="14854" max="14854" width="25.140625" bestFit="1" customWidth="1"/>
    <col min="14855" max="14855" width="13.42578125" bestFit="1" customWidth="1"/>
    <col min="14856" max="14856" width="13.28515625" bestFit="1" customWidth="1"/>
    <col min="14857" max="14857" width="11.42578125" bestFit="1" customWidth="1"/>
    <col min="14858" max="14858" width="14.28515625" bestFit="1" customWidth="1"/>
    <col min="14859" max="14859" width="10.28515625" bestFit="1" customWidth="1"/>
    <col min="14860" max="14860" width="21.140625" bestFit="1" customWidth="1"/>
    <col min="14861" max="14861" width="9.28515625" bestFit="1" customWidth="1"/>
    <col min="14862" max="14862" width="9.42578125" bestFit="1" customWidth="1"/>
    <col min="15105" max="15105" width="36.5703125" bestFit="1" customWidth="1"/>
    <col min="15106" max="15106" width="15.85546875" bestFit="1" customWidth="1"/>
    <col min="15107" max="15107" width="14.140625" bestFit="1" customWidth="1"/>
    <col min="15108" max="15108" width="23.28515625" bestFit="1" customWidth="1"/>
    <col min="15109" max="15109" width="20.85546875" bestFit="1" customWidth="1"/>
    <col min="15110" max="15110" width="25.140625" bestFit="1" customWidth="1"/>
    <col min="15111" max="15111" width="13.42578125" bestFit="1" customWidth="1"/>
    <col min="15112" max="15112" width="13.28515625" bestFit="1" customWidth="1"/>
    <col min="15113" max="15113" width="11.42578125" bestFit="1" customWidth="1"/>
    <col min="15114" max="15114" width="14.28515625" bestFit="1" customWidth="1"/>
    <col min="15115" max="15115" width="10.28515625" bestFit="1" customWidth="1"/>
    <col min="15116" max="15116" width="21.140625" bestFit="1" customWidth="1"/>
    <col min="15117" max="15117" width="9.28515625" bestFit="1" customWidth="1"/>
    <col min="15118" max="15118" width="9.42578125" bestFit="1" customWidth="1"/>
    <col min="15361" max="15361" width="36.5703125" bestFit="1" customWidth="1"/>
    <col min="15362" max="15362" width="15.85546875" bestFit="1" customWidth="1"/>
    <col min="15363" max="15363" width="14.140625" bestFit="1" customWidth="1"/>
    <col min="15364" max="15364" width="23.28515625" bestFit="1" customWidth="1"/>
    <col min="15365" max="15365" width="20.85546875" bestFit="1" customWidth="1"/>
    <col min="15366" max="15366" width="25.140625" bestFit="1" customWidth="1"/>
    <col min="15367" max="15367" width="13.42578125" bestFit="1" customWidth="1"/>
    <col min="15368" max="15368" width="13.28515625" bestFit="1" customWidth="1"/>
    <col min="15369" max="15369" width="11.42578125" bestFit="1" customWidth="1"/>
    <col min="15370" max="15370" width="14.28515625" bestFit="1" customWidth="1"/>
    <col min="15371" max="15371" width="10.28515625" bestFit="1" customWidth="1"/>
    <col min="15372" max="15372" width="21.140625" bestFit="1" customWidth="1"/>
    <col min="15373" max="15373" width="9.28515625" bestFit="1" customWidth="1"/>
    <col min="15374" max="15374" width="9.42578125" bestFit="1" customWidth="1"/>
    <col min="15617" max="15617" width="36.5703125" bestFit="1" customWidth="1"/>
    <col min="15618" max="15618" width="15.85546875" bestFit="1" customWidth="1"/>
    <col min="15619" max="15619" width="14.140625" bestFit="1" customWidth="1"/>
    <col min="15620" max="15620" width="23.28515625" bestFit="1" customWidth="1"/>
    <col min="15621" max="15621" width="20.85546875" bestFit="1" customWidth="1"/>
    <col min="15622" max="15622" width="25.140625" bestFit="1" customWidth="1"/>
    <col min="15623" max="15623" width="13.42578125" bestFit="1" customWidth="1"/>
    <col min="15624" max="15624" width="13.28515625" bestFit="1" customWidth="1"/>
    <col min="15625" max="15625" width="11.42578125" bestFit="1" customWidth="1"/>
    <col min="15626" max="15626" width="14.28515625" bestFit="1" customWidth="1"/>
    <col min="15627" max="15627" width="10.28515625" bestFit="1" customWidth="1"/>
    <col min="15628" max="15628" width="21.140625" bestFit="1" customWidth="1"/>
    <col min="15629" max="15629" width="9.28515625" bestFit="1" customWidth="1"/>
    <col min="15630" max="15630" width="9.42578125" bestFit="1" customWidth="1"/>
    <col min="15873" max="15873" width="36.5703125" bestFit="1" customWidth="1"/>
    <col min="15874" max="15874" width="15.85546875" bestFit="1" customWidth="1"/>
    <col min="15875" max="15875" width="14.140625" bestFit="1" customWidth="1"/>
    <col min="15876" max="15876" width="23.28515625" bestFit="1" customWidth="1"/>
    <col min="15877" max="15877" width="20.85546875" bestFit="1" customWidth="1"/>
    <col min="15878" max="15878" width="25.140625" bestFit="1" customWidth="1"/>
    <col min="15879" max="15879" width="13.42578125" bestFit="1" customWidth="1"/>
    <col min="15880" max="15880" width="13.28515625" bestFit="1" customWidth="1"/>
    <col min="15881" max="15881" width="11.42578125" bestFit="1" customWidth="1"/>
    <col min="15882" max="15882" width="14.28515625" bestFit="1" customWidth="1"/>
    <col min="15883" max="15883" width="10.28515625" bestFit="1" customWidth="1"/>
    <col min="15884" max="15884" width="21.140625" bestFit="1" customWidth="1"/>
    <col min="15885" max="15885" width="9.28515625" bestFit="1" customWidth="1"/>
    <col min="15886" max="15886" width="9.42578125" bestFit="1" customWidth="1"/>
    <col min="16129" max="16129" width="36.5703125" bestFit="1" customWidth="1"/>
    <col min="16130" max="16130" width="15.85546875" bestFit="1" customWidth="1"/>
    <col min="16131" max="16131" width="14.140625" bestFit="1" customWidth="1"/>
    <col min="16132" max="16132" width="23.28515625" bestFit="1" customWidth="1"/>
    <col min="16133" max="16133" width="20.85546875" bestFit="1" customWidth="1"/>
    <col min="16134" max="16134" width="25.140625" bestFit="1" customWidth="1"/>
    <col min="16135" max="16135" width="13.42578125" bestFit="1" customWidth="1"/>
    <col min="16136" max="16136" width="13.28515625" bestFit="1" customWidth="1"/>
    <col min="16137" max="16137" width="11.42578125" bestFit="1" customWidth="1"/>
    <col min="16138" max="16138" width="14.28515625" bestFit="1" customWidth="1"/>
    <col min="16139" max="16139" width="10.28515625" bestFit="1" customWidth="1"/>
    <col min="16140" max="16140" width="21.140625" bestFit="1" customWidth="1"/>
    <col min="16141" max="16141" width="9.28515625" bestFit="1" customWidth="1"/>
    <col min="16142" max="16142" width="9.425781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3228</v>
      </c>
      <c r="C5" s="1594"/>
      <c r="D5" s="1594"/>
      <c r="E5" s="1595"/>
      <c r="F5" s="326" t="s">
        <v>171</v>
      </c>
      <c r="G5" s="326"/>
      <c r="H5" s="1599" t="s">
        <v>3227</v>
      </c>
      <c r="I5" s="1600"/>
      <c r="J5" s="326" t="s">
        <v>172</v>
      </c>
      <c r="K5" s="631" t="s">
        <v>3226</v>
      </c>
      <c r="L5" s="326" t="s">
        <v>436</v>
      </c>
      <c r="M5" s="326"/>
      <c r="N5" s="631" t="s">
        <v>3225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3209</v>
      </c>
      <c r="C7" s="1594"/>
      <c r="D7" s="1594"/>
      <c r="E7" s="1595"/>
      <c r="F7" s="1596" t="s">
        <v>3208</v>
      </c>
      <c r="G7" s="1596"/>
      <c r="H7" s="1593" t="s">
        <v>3207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03" t="s">
        <v>3224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3223</v>
      </c>
      <c r="C13" s="1612"/>
      <c r="D13" s="1612" t="s">
        <v>3222</v>
      </c>
      <c r="E13" s="1612"/>
      <c r="F13" s="1612"/>
      <c r="G13" s="1612" t="s">
        <v>3221</v>
      </c>
      <c r="H13" s="1612"/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3" t="s">
        <v>3220</v>
      </c>
      <c r="C14" s="1614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329" t="s">
        <v>3219</v>
      </c>
      <c r="C15" s="329" t="s">
        <v>3218</v>
      </c>
      <c r="D15" s="329" t="s">
        <v>3217</v>
      </c>
      <c r="E15" s="329" t="s">
        <v>3216</v>
      </c>
      <c r="F15" s="623"/>
      <c r="G15" s="329" t="s">
        <v>3215</v>
      </c>
      <c r="H15" s="623"/>
      <c r="I15" s="623"/>
      <c r="J15" s="1612"/>
      <c r="K15" s="1612"/>
      <c r="L15" s="1612"/>
      <c r="M15" s="1612"/>
      <c r="N15" s="326"/>
    </row>
    <row r="16" spans="1:14">
      <c r="A16" s="631" t="s">
        <v>197</v>
      </c>
      <c r="B16" s="70"/>
      <c r="C16" s="329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C18" s="328"/>
      <c r="D18" s="326"/>
      <c r="E18" s="326"/>
      <c r="F18" s="631">
        <v>3</v>
      </c>
      <c r="G18" s="326" t="s">
        <v>200</v>
      </c>
      <c r="H18" s="632">
        <v>14</v>
      </c>
      <c r="I18" s="326" t="s">
        <v>201</v>
      </c>
      <c r="J18" s="632">
        <v>1</v>
      </c>
      <c r="K18" s="326" t="s">
        <v>202</v>
      </c>
      <c r="L18" s="631">
        <v>5</v>
      </c>
      <c r="M18" s="326"/>
      <c r="N18" s="326"/>
    </row>
    <row r="19" spans="1:14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f>55+8</f>
        <v>63</v>
      </c>
      <c r="D21" s="326" t="s">
        <v>205</v>
      </c>
      <c r="E21" s="631">
        <f>1+28+28</f>
        <v>57</v>
      </c>
      <c r="F21" s="326" t="s">
        <v>206</v>
      </c>
      <c r="G21" s="80">
        <f>43+0+0</f>
        <v>43</v>
      </c>
      <c r="H21" s="326" t="s">
        <v>230</v>
      </c>
      <c r="I21" s="80">
        <f>C21+E21+G21</f>
        <v>163</v>
      </c>
      <c r="J21" s="326" t="s">
        <v>207</v>
      </c>
      <c r="K21" s="631">
        <v>0</v>
      </c>
      <c r="L21" s="326" t="s">
        <v>3187</v>
      </c>
      <c r="M21" s="326"/>
      <c r="N21" s="631">
        <v>0</v>
      </c>
    </row>
    <row r="22" spans="1:14">
      <c r="A22" s="326" t="s">
        <v>209</v>
      </c>
      <c r="B22" s="326" t="s">
        <v>210</v>
      </c>
      <c r="C22" s="631">
        <f>135+95+0</f>
        <v>230</v>
      </c>
      <c r="D22" s="326" t="s">
        <v>211</v>
      </c>
      <c r="E22" s="631">
        <f>0+59+76</f>
        <v>135</v>
      </c>
      <c r="F22" s="326" t="s">
        <v>212</v>
      </c>
      <c r="G22" s="631">
        <f>0</f>
        <v>0</v>
      </c>
      <c r="H22" s="326" t="s">
        <v>411</v>
      </c>
      <c r="I22" s="80">
        <f>C22+E22+G22</f>
        <v>365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f>153+126+0</f>
        <v>279</v>
      </c>
      <c r="D23" s="326" t="s">
        <v>214</v>
      </c>
      <c r="E23" s="631">
        <f>0+61+78</f>
        <v>139</v>
      </c>
      <c r="F23" s="326" t="s">
        <v>215</v>
      </c>
      <c r="G23" s="631">
        <v>0</v>
      </c>
      <c r="H23" s="326" t="s">
        <v>410</v>
      </c>
      <c r="I23" s="80">
        <f>C23+E23+G23</f>
        <v>418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35">
        <f>569*B29</f>
        <v>4552000</v>
      </c>
      <c r="E29" s="652">
        <f>168500+300000</f>
        <v>468500</v>
      </c>
      <c r="F29" s="335"/>
      <c r="G29" s="335">
        <v>96480</v>
      </c>
      <c r="H29" s="335"/>
      <c r="I29" s="335"/>
      <c r="J29" s="335"/>
      <c r="K29" s="335"/>
      <c r="L29" s="335"/>
      <c r="M29" s="335">
        <f t="shared" ref="M29:M38" si="0">SUM(F29:L29)</f>
        <v>96480</v>
      </c>
      <c r="N29" s="323">
        <f>+M29/E29*100</f>
        <v>20.593383137673428</v>
      </c>
    </row>
    <row r="30" spans="1:14">
      <c r="A30" s="322" t="s">
        <v>234</v>
      </c>
      <c r="B30" s="322">
        <v>7000</v>
      </c>
      <c r="C30" s="322" t="s">
        <v>233</v>
      </c>
      <c r="D30" s="335">
        <f>569*B30</f>
        <v>3983000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35">
        <f t="shared" si="0"/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335">
        <v>18000</v>
      </c>
      <c r="F31" s="335"/>
      <c r="G31" s="335">
        <v>18000</v>
      </c>
      <c r="H31" s="335"/>
      <c r="I31" s="335"/>
      <c r="J31" s="335"/>
      <c r="K31" s="335"/>
      <c r="L31" s="335"/>
      <c r="M31" s="335">
        <f t="shared" si="0"/>
        <v>18000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335">
        <v>16000</v>
      </c>
      <c r="H32" s="335"/>
      <c r="I32" s="335"/>
      <c r="J32" s="335"/>
      <c r="K32" s="335"/>
      <c r="L32" s="335"/>
      <c r="M32" s="335">
        <f t="shared" si="0"/>
        <v>16000</v>
      </c>
      <c r="N32" s="323">
        <f t="shared" si="1"/>
        <v>100</v>
      </c>
    </row>
    <row r="33" spans="1:16">
      <c r="A33" s="322" t="s">
        <v>238</v>
      </c>
      <c r="B33" s="322">
        <v>1200</v>
      </c>
      <c r="C33" s="322" t="s">
        <v>233</v>
      </c>
      <c r="D33" s="335">
        <f>569*B33</f>
        <v>682800</v>
      </c>
      <c r="E33" s="335">
        <v>200000</v>
      </c>
      <c r="F33" s="335"/>
      <c r="G33" s="335">
        <v>203863</v>
      </c>
      <c r="H33" s="335"/>
      <c r="I33" s="335"/>
      <c r="J33" s="335"/>
      <c r="K33" s="335"/>
      <c r="L33" s="335"/>
      <c r="M33" s="335">
        <f t="shared" si="0"/>
        <v>203863</v>
      </c>
      <c r="N33" s="323">
        <f t="shared" si="1"/>
        <v>101.9315</v>
      </c>
    </row>
    <row r="34" spans="1:16">
      <c r="A34" s="322" t="s">
        <v>667</v>
      </c>
      <c r="B34" s="322">
        <v>565</v>
      </c>
      <c r="C34" s="322" t="s">
        <v>233</v>
      </c>
      <c r="D34" s="335">
        <f>569*B34</f>
        <v>321485</v>
      </c>
      <c r="E34" s="335">
        <f>56900+100000</f>
        <v>156900</v>
      </c>
      <c r="F34" s="335"/>
      <c r="G34" s="335">
        <v>5000</v>
      </c>
      <c r="H34" s="335"/>
      <c r="I34" s="335"/>
      <c r="J34" s="335"/>
      <c r="K34" s="335"/>
      <c r="L34" s="335"/>
      <c r="M34" s="335">
        <f t="shared" si="0"/>
        <v>5000</v>
      </c>
      <c r="N34" s="323">
        <f t="shared" si="1"/>
        <v>3.1867431485022308</v>
      </c>
    </row>
    <row r="35" spans="1:16">
      <c r="A35" s="322" t="s">
        <v>240</v>
      </c>
      <c r="B35" s="322">
        <v>1000</v>
      </c>
      <c r="C35" s="322" t="s">
        <v>233</v>
      </c>
      <c r="D35" s="335">
        <f>569*B35</f>
        <v>569000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35">
        <f t="shared" si="0"/>
        <v>0</v>
      </c>
      <c r="N35" s="323">
        <v>0</v>
      </c>
    </row>
    <row r="36" spans="1:16">
      <c r="A36" s="322" t="s">
        <v>394</v>
      </c>
      <c r="B36" s="322">
        <v>2750</v>
      </c>
      <c r="C36" s="322" t="s">
        <v>242</v>
      </c>
      <c r="D36" s="335">
        <f>+B36*84</f>
        <v>231000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35">
        <f t="shared" si="0"/>
        <v>30250</v>
      </c>
      <c r="N36" s="323">
        <f t="shared" si="1"/>
        <v>100</v>
      </c>
    </row>
    <row r="37" spans="1:16">
      <c r="A37" s="324" t="s">
        <v>670</v>
      </c>
      <c r="B37" s="322">
        <v>10000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35">
        <f t="shared" si="0"/>
        <v>0</v>
      </c>
      <c r="N37" s="323">
        <v>0</v>
      </c>
    </row>
    <row r="38" spans="1:16">
      <c r="A38" s="631" t="s">
        <v>245</v>
      </c>
      <c r="B38" s="322"/>
      <c r="C38" s="322"/>
      <c r="D38" s="653">
        <f t="shared" ref="D38:L38" si="2">SUM(D29:D37)</f>
        <v>10439285</v>
      </c>
      <c r="E38" s="653">
        <f t="shared" si="2"/>
        <v>889650</v>
      </c>
      <c r="F38" s="653">
        <f t="shared" si="2"/>
        <v>0</v>
      </c>
      <c r="G38" s="653">
        <f t="shared" si="2"/>
        <v>369593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53">
        <f t="shared" si="0"/>
        <v>369593</v>
      </c>
      <c r="N38" s="323">
        <f t="shared" si="1"/>
        <v>41.543640757601302</v>
      </c>
    </row>
    <row r="40" spans="1:16">
      <c r="A40" t="s">
        <v>5678</v>
      </c>
      <c r="D40" t="s">
        <v>5679</v>
      </c>
    </row>
    <row r="42" spans="1:16">
      <c r="A42" s="320" t="s">
        <v>5680</v>
      </c>
      <c r="B42" s="320"/>
      <c r="C42" s="320"/>
      <c r="D42" s="320" t="s">
        <v>5681</v>
      </c>
      <c r="E42" s="320"/>
      <c r="F42" s="320"/>
      <c r="G42" s="320"/>
      <c r="H42" s="320"/>
      <c r="J42" s="320"/>
      <c r="L42" s="320"/>
      <c r="M42" s="320"/>
      <c r="O42" s="320"/>
      <c r="P42" s="320"/>
    </row>
  </sheetData>
  <mergeCells count="29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D16:F16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ageMargins left="0.14000000000000001" right="0.14000000000000001" top="0.37" bottom="0.49" header="0.3" footer="0.3"/>
  <pageSetup paperSize="9" scale="61" orientation="landscape" r:id="rId1"/>
  <headerFooter>
    <oddFooter>&amp;L&amp;9&amp;F&amp;R&amp;9&amp;A</oddFooter>
  </headerFooter>
</worksheet>
</file>

<file path=xl/worksheets/sheet313.xml><?xml version="1.0" encoding="utf-8"?>
<worksheet xmlns="http://schemas.openxmlformats.org/spreadsheetml/2006/main" xmlns:r="http://schemas.openxmlformats.org/officeDocument/2006/relationships">
  <dimension ref="A1:P42"/>
  <sheetViews>
    <sheetView zoomScale="80" zoomScaleNormal="80" workbookViewId="0">
      <selection activeCell="A3" sqref="A3:C3"/>
    </sheetView>
  </sheetViews>
  <sheetFormatPr defaultRowHeight="15"/>
  <cols>
    <col min="1" max="1" width="36.5703125" bestFit="1" customWidth="1"/>
    <col min="2" max="2" width="16" bestFit="1" customWidth="1"/>
    <col min="3" max="3" width="14.5703125" bestFit="1" customWidth="1"/>
    <col min="4" max="4" width="23.28515625" bestFit="1" customWidth="1"/>
    <col min="5" max="5" width="20.85546875" bestFit="1" customWidth="1"/>
    <col min="6" max="6" width="25.140625" bestFit="1" customWidth="1"/>
    <col min="7" max="7" width="12.42578125" bestFit="1" customWidth="1"/>
    <col min="8" max="8" width="13.28515625" bestFit="1" customWidth="1"/>
    <col min="9" max="9" width="11.42578125" bestFit="1" customWidth="1"/>
    <col min="10" max="10" width="14.28515625" bestFit="1" customWidth="1"/>
    <col min="11" max="11" width="10.28515625" bestFit="1" customWidth="1"/>
    <col min="12" max="12" width="21.140625" bestFit="1" customWidth="1"/>
    <col min="13" max="13" width="9.28515625" bestFit="1" customWidth="1"/>
    <col min="14" max="14" width="9.42578125" bestFit="1" customWidth="1"/>
    <col min="257" max="257" width="36.5703125" bestFit="1" customWidth="1"/>
    <col min="258" max="258" width="16" bestFit="1" customWidth="1"/>
    <col min="259" max="259" width="14.5703125" bestFit="1" customWidth="1"/>
    <col min="260" max="260" width="23.28515625" bestFit="1" customWidth="1"/>
    <col min="261" max="261" width="20.85546875" bestFit="1" customWidth="1"/>
    <col min="262" max="262" width="25.140625" bestFit="1" customWidth="1"/>
    <col min="263" max="263" width="12.42578125" bestFit="1" customWidth="1"/>
    <col min="264" max="264" width="13.28515625" bestFit="1" customWidth="1"/>
    <col min="265" max="265" width="11.42578125" bestFit="1" customWidth="1"/>
    <col min="266" max="266" width="14.28515625" bestFit="1" customWidth="1"/>
    <col min="267" max="267" width="10.28515625" bestFit="1" customWidth="1"/>
    <col min="268" max="268" width="21.140625" bestFit="1" customWidth="1"/>
    <col min="269" max="269" width="9.28515625" bestFit="1" customWidth="1"/>
    <col min="270" max="270" width="9.42578125" bestFit="1" customWidth="1"/>
    <col min="513" max="513" width="36.5703125" bestFit="1" customWidth="1"/>
    <col min="514" max="514" width="16" bestFit="1" customWidth="1"/>
    <col min="515" max="515" width="14.5703125" bestFit="1" customWidth="1"/>
    <col min="516" max="516" width="23.28515625" bestFit="1" customWidth="1"/>
    <col min="517" max="517" width="20.85546875" bestFit="1" customWidth="1"/>
    <col min="518" max="518" width="25.140625" bestFit="1" customWidth="1"/>
    <col min="519" max="519" width="12.42578125" bestFit="1" customWidth="1"/>
    <col min="520" max="520" width="13.28515625" bestFit="1" customWidth="1"/>
    <col min="521" max="521" width="11.42578125" bestFit="1" customWidth="1"/>
    <col min="522" max="522" width="14.28515625" bestFit="1" customWidth="1"/>
    <col min="523" max="523" width="10.28515625" bestFit="1" customWidth="1"/>
    <col min="524" max="524" width="21.140625" bestFit="1" customWidth="1"/>
    <col min="525" max="525" width="9.28515625" bestFit="1" customWidth="1"/>
    <col min="526" max="526" width="9.42578125" bestFit="1" customWidth="1"/>
    <col min="769" max="769" width="36.5703125" bestFit="1" customWidth="1"/>
    <col min="770" max="770" width="16" bestFit="1" customWidth="1"/>
    <col min="771" max="771" width="14.5703125" bestFit="1" customWidth="1"/>
    <col min="772" max="772" width="23.28515625" bestFit="1" customWidth="1"/>
    <col min="773" max="773" width="20.85546875" bestFit="1" customWidth="1"/>
    <col min="774" max="774" width="25.140625" bestFit="1" customWidth="1"/>
    <col min="775" max="775" width="12.42578125" bestFit="1" customWidth="1"/>
    <col min="776" max="776" width="13.28515625" bestFit="1" customWidth="1"/>
    <col min="777" max="777" width="11.42578125" bestFit="1" customWidth="1"/>
    <col min="778" max="778" width="14.28515625" bestFit="1" customWidth="1"/>
    <col min="779" max="779" width="10.28515625" bestFit="1" customWidth="1"/>
    <col min="780" max="780" width="21.140625" bestFit="1" customWidth="1"/>
    <col min="781" max="781" width="9.28515625" bestFit="1" customWidth="1"/>
    <col min="782" max="782" width="9.42578125" bestFit="1" customWidth="1"/>
    <col min="1025" max="1025" width="36.5703125" bestFit="1" customWidth="1"/>
    <col min="1026" max="1026" width="16" bestFit="1" customWidth="1"/>
    <col min="1027" max="1027" width="14.5703125" bestFit="1" customWidth="1"/>
    <col min="1028" max="1028" width="23.28515625" bestFit="1" customWidth="1"/>
    <col min="1029" max="1029" width="20.85546875" bestFit="1" customWidth="1"/>
    <col min="1030" max="1030" width="25.140625" bestFit="1" customWidth="1"/>
    <col min="1031" max="1031" width="12.42578125" bestFit="1" customWidth="1"/>
    <col min="1032" max="1032" width="13.28515625" bestFit="1" customWidth="1"/>
    <col min="1033" max="1033" width="11.42578125" bestFit="1" customWidth="1"/>
    <col min="1034" max="1034" width="14.28515625" bestFit="1" customWidth="1"/>
    <col min="1035" max="1035" width="10.28515625" bestFit="1" customWidth="1"/>
    <col min="1036" max="1036" width="21.140625" bestFit="1" customWidth="1"/>
    <col min="1037" max="1037" width="9.28515625" bestFit="1" customWidth="1"/>
    <col min="1038" max="1038" width="9.42578125" bestFit="1" customWidth="1"/>
    <col min="1281" max="1281" width="36.5703125" bestFit="1" customWidth="1"/>
    <col min="1282" max="1282" width="16" bestFit="1" customWidth="1"/>
    <col min="1283" max="1283" width="14.5703125" bestFit="1" customWidth="1"/>
    <col min="1284" max="1284" width="23.28515625" bestFit="1" customWidth="1"/>
    <col min="1285" max="1285" width="20.85546875" bestFit="1" customWidth="1"/>
    <col min="1286" max="1286" width="25.140625" bestFit="1" customWidth="1"/>
    <col min="1287" max="1287" width="12.42578125" bestFit="1" customWidth="1"/>
    <col min="1288" max="1288" width="13.28515625" bestFit="1" customWidth="1"/>
    <col min="1289" max="1289" width="11.42578125" bestFit="1" customWidth="1"/>
    <col min="1290" max="1290" width="14.28515625" bestFit="1" customWidth="1"/>
    <col min="1291" max="1291" width="10.28515625" bestFit="1" customWidth="1"/>
    <col min="1292" max="1292" width="21.140625" bestFit="1" customWidth="1"/>
    <col min="1293" max="1293" width="9.28515625" bestFit="1" customWidth="1"/>
    <col min="1294" max="1294" width="9.42578125" bestFit="1" customWidth="1"/>
    <col min="1537" max="1537" width="36.5703125" bestFit="1" customWidth="1"/>
    <col min="1538" max="1538" width="16" bestFit="1" customWidth="1"/>
    <col min="1539" max="1539" width="14.5703125" bestFit="1" customWidth="1"/>
    <col min="1540" max="1540" width="23.28515625" bestFit="1" customWidth="1"/>
    <col min="1541" max="1541" width="20.85546875" bestFit="1" customWidth="1"/>
    <col min="1542" max="1542" width="25.140625" bestFit="1" customWidth="1"/>
    <col min="1543" max="1543" width="12.42578125" bestFit="1" customWidth="1"/>
    <col min="1544" max="1544" width="13.28515625" bestFit="1" customWidth="1"/>
    <col min="1545" max="1545" width="11.42578125" bestFit="1" customWidth="1"/>
    <col min="1546" max="1546" width="14.28515625" bestFit="1" customWidth="1"/>
    <col min="1547" max="1547" width="10.28515625" bestFit="1" customWidth="1"/>
    <col min="1548" max="1548" width="21.140625" bestFit="1" customWidth="1"/>
    <col min="1549" max="1549" width="9.28515625" bestFit="1" customWidth="1"/>
    <col min="1550" max="1550" width="9.42578125" bestFit="1" customWidth="1"/>
    <col min="1793" max="1793" width="36.5703125" bestFit="1" customWidth="1"/>
    <col min="1794" max="1794" width="16" bestFit="1" customWidth="1"/>
    <col min="1795" max="1795" width="14.5703125" bestFit="1" customWidth="1"/>
    <col min="1796" max="1796" width="23.28515625" bestFit="1" customWidth="1"/>
    <col min="1797" max="1797" width="20.85546875" bestFit="1" customWidth="1"/>
    <col min="1798" max="1798" width="25.140625" bestFit="1" customWidth="1"/>
    <col min="1799" max="1799" width="12.42578125" bestFit="1" customWidth="1"/>
    <col min="1800" max="1800" width="13.28515625" bestFit="1" customWidth="1"/>
    <col min="1801" max="1801" width="11.42578125" bestFit="1" customWidth="1"/>
    <col min="1802" max="1802" width="14.28515625" bestFit="1" customWidth="1"/>
    <col min="1803" max="1803" width="10.28515625" bestFit="1" customWidth="1"/>
    <col min="1804" max="1804" width="21.140625" bestFit="1" customWidth="1"/>
    <col min="1805" max="1805" width="9.28515625" bestFit="1" customWidth="1"/>
    <col min="1806" max="1806" width="9.42578125" bestFit="1" customWidth="1"/>
    <col min="2049" max="2049" width="36.5703125" bestFit="1" customWidth="1"/>
    <col min="2050" max="2050" width="16" bestFit="1" customWidth="1"/>
    <col min="2051" max="2051" width="14.5703125" bestFit="1" customWidth="1"/>
    <col min="2052" max="2052" width="23.28515625" bestFit="1" customWidth="1"/>
    <col min="2053" max="2053" width="20.85546875" bestFit="1" customWidth="1"/>
    <col min="2054" max="2054" width="25.140625" bestFit="1" customWidth="1"/>
    <col min="2055" max="2055" width="12.42578125" bestFit="1" customWidth="1"/>
    <col min="2056" max="2056" width="13.28515625" bestFit="1" customWidth="1"/>
    <col min="2057" max="2057" width="11.42578125" bestFit="1" customWidth="1"/>
    <col min="2058" max="2058" width="14.28515625" bestFit="1" customWidth="1"/>
    <col min="2059" max="2059" width="10.28515625" bestFit="1" customWidth="1"/>
    <col min="2060" max="2060" width="21.140625" bestFit="1" customWidth="1"/>
    <col min="2061" max="2061" width="9.28515625" bestFit="1" customWidth="1"/>
    <col min="2062" max="2062" width="9.42578125" bestFit="1" customWidth="1"/>
    <col min="2305" max="2305" width="36.5703125" bestFit="1" customWidth="1"/>
    <col min="2306" max="2306" width="16" bestFit="1" customWidth="1"/>
    <col min="2307" max="2307" width="14.5703125" bestFit="1" customWidth="1"/>
    <col min="2308" max="2308" width="23.28515625" bestFit="1" customWidth="1"/>
    <col min="2309" max="2309" width="20.85546875" bestFit="1" customWidth="1"/>
    <col min="2310" max="2310" width="25.140625" bestFit="1" customWidth="1"/>
    <col min="2311" max="2311" width="12.42578125" bestFit="1" customWidth="1"/>
    <col min="2312" max="2312" width="13.28515625" bestFit="1" customWidth="1"/>
    <col min="2313" max="2313" width="11.42578125" bestFit="1" customWidth="1"/>
    <col min="2314" max="2314" width="14.28515625" bestFit="1" customWidth="1"/>
    <col min="2315" max="2315" width="10.28515625" bestFit="1" customWidth="1"/>
    <col min="2316" max="2316" width="21.140625" bestFit="1" customWidth="1"/>
    <col min="2317" max="2317" width="9.28515625" bestFit="1" customWidth="1"/>
    <col min="2318" max="2318" width="9.42578125" bestFit="1" customWidth="1"/>
    <col min="2561" max="2561" width="36.5703125" bestFit="1" customWidth="1"/>
    <col min="2562" max="2562" width="16" bestFit="1" customWidth="1"/>
    <col min="2563" max="2563" width="14.5703125" bestFit="1" customWidth="1"/>
    <col min="2564" max="2564" width="23.28515625" bestFit="1" customWidth="1"/>
    <col min="2565" max="2565" width="20.85546875" bestFit="1" customWidth="1"/>
    <col min="2566" max="2566" width="25.140625" bestFit="1" customWidth="1"/>
    <col min="2567" max="2567" width="12.42578125" bestFit="1" customWidth="1"/>
    <col min="2568" max="2568" width="13.28515625" bestFit="1" customWidth="1"/>
    <col min="2569" max="2569" width="11.42578125" bestFit="1" customWidth="1"/>
    <col min="2570" max="2570" width="14.28515625" bestFit="1" customWidth="1"/>
    <col min="2571" max="2571" width="10.28515625" bestFit="1" customWidth="1"/>
    <col min="2572" max="2572" width="21.140625" bestFit="1" customWidth="1"/>
    <col min="2573" max="2573" width="9.28515625" bestFit="1" customWidth="1"/>
    <col min="2574" max="2574" width="9.42578125" bestFit="1" customWidth="1"/>
    <col min="2817" max="2817" width="36.5703125" bestFit="1" customWidth="1"/>
    <col min="2818" max="2818" width="16" bestFit="1" customWidth="1"/>
    <col min="2819" max="2819" width="14.5703125" bestFit="1" customWidth="1"/>
    <col min="2820" max="2820" width="23.28515625" bestFit="1" customWidth="1"/>
    <col min="2821" max="2821" width="20.85546875" bestFit="1" customWidth="1"/>
    <col min="2822" max="2822" width="25.140625" bestFit="1" customWidth="1"/>
    <col min="2823" max="2823" width="12.42578125" bestFit="1" customWidth="1"/>
    <col min="2824" max="2824" width="13.28515625" bestFit="1" customWidth="1"/>
    <col min="2825" max="2825" width="11.42578125" bestFit="1" customWidth="1"/>
    <col min="2826" max="2826" width="14.28515625" bestFit="1" customWidth="1"/>
    <col min="2827" max="2827" width="10.28515625" bestFit="1" customWidth="1"/>
    <col min="2828" max="2828" width="21.140625" bestFit="1" customWidth="1"/>
    <col min="2829" max="2829" width="9.28515625" bestFit="1" customWidth="1"/>
    <col min="2830" max="2830" width="9.42578125" bestFit="1" customWidth="1"/>
    <col min="3073" max="3073" width="36.5703125" bestFit="1" customWidth="1"/>
    <col min="3074" max="3074" width="16" bestFit="1" customWidth="1"/>
    <col min="3075" max="3075" width="14.5703125" bestFit="1" customWidth="1"/>
    <col min="3076" max="3076" width="23.28515625" bestFit="1" customWidth="1"/>
    <col min="3077" max="3077" width="20.85546875" bestFit="1" customWidth="1"/>
    <col min="3078" max="3078" width="25.140625" bestFit="1" customWidth="1"/>
    <col min="3079" max="3079" width="12.42578125" bestFit="1" customWidth="1"/>
    <col min="3080" max="3080" width="13.28515625" bestFit="1" customWidth="1"/>
    <col min="3081" max="3081" width="11.42578125" bestFit="1" customWidth="1"/>
    <col min="3082" max="3082" width="14.28515625" bestFit="1" customWidth="1"/>
    <col min="3083" max="3083" width="10.28515625" bestFit="1" customWidth="1"/>
    <col min="3084" max="3084" width="21.140625" bestFit="1" customWidth="1"/>
    <col min="3085" max="3085" width="9.28515625" bestFit="1" customWidth="1"/>
    <col min="3086" max="3086" width="9.42578125" bestFit="1" customWidth="1"/>
    <col min="3329" max="3329" width="36.5703125" bestFit="1" customWidth="1"/>
    <col min="3330" max="3330" width="16" bestFit="1" customWidth="1"/>
    <col min="3331" max="3331" width="14.5703125" bestFit="1" customWidth="1"/>
    <col min="3332" max="3332" width="23.28515625" bestFit="1" customWidth="1"/>
    <col min="3333" max="3333" width="20.85546875" bestFit="1" customWidth="1"/>
    <col min="3334" max="3334" width="25.140625" bestFit="1" customWidth="1"/>
    <col min="3335" max="3335" width="12.42578125" bestFit="1" customWidth="1"/>
    <col min="3336" max="3336" width="13.28515625" bestFit="1" customWidth="1"/>
    <col min="3337" max="3337" width="11.42578125" bestFit="1" customWidth="1"/>
    <col min="3338" max="3338" width="14.28515625" bestFit="1" customWidth="1"/>
    <col min="3339" max="3339" width="10.28515625" bestFit="1" customWidth="1"/>
    <col min="3340" max="3340" width="21.140625" bestFit="1" customWidth="1"/>
    <col min="3341" max="3341" width="9.28515625" bestFit="1" customWidth="1"/>
    <col min="3342" max="3342" width="9.42578125" bestFit="1" customWidth="1"/>
    <col min="3585" max="3585" width="36.5703125" bestFit="1" customWidth="1"/>
    <col min="3586" max="3586" width="16" bestFit="1" customWidth="1"/>
    <col min="3587" max="3587" width="14.5703125" bestFit="1" customWidth="1"/>
    <col min="3588" max="3588" width="23.28515625" bestFit="1" customWidth="1"/>
    <col min="3589" max="3589" width="20.85546875" bestFit="1" customWidth="1"/>
    <col min="3590" max="3590" width="25.140625" bestFit="1" customWidth="1"/>
    <col min="3591" max="3591" width="12.42578125" bestFit="1" customWidth="1"/>
    <col min="3592" max="3592" width="13.28515625" bestFit="1" customWidth="1"/>
    <col min="3593" max="3593" width="11.42578125" bestFit="1" customWidth="1"/>
    <col min="3594" max="3594" width="14.28515625" bestFit="1" customWidth="1"/>
    <col min="3595" max="3595" width="10.28515625" bestFit="1" customWidth="1"/>
    <col min="3596" max="3596" width="21.140625" bestFit="1" customWidth="1"/>
    <col min="3597" max="3597" width="9.28515625" bestFit="1" customWidth="1"/>
    <col min="3598" max="3598" width="9.42578125" bestFit="1" customWidth="1"/>
    <col min="3841" max="3841" width="36.5703125" bestFit="1" customWidth="1"/>
    <col min="3842" max="3842" width="16" bestFit="1" customWidth="1"/>
    <col min="3843" max="3843" width="14.5703125" bestFit="1" customWidth="1"/>
    <col min="3844" max="3844" width="23.28515625" bestFit="1" customWidth="1"/>
    <col min="3845" max="3845" width="20.85546875" bestFit="1" customWidth="1"/>
    <col min="3846" max="3846" width="25.140625" bestFit="1" customWidth="1"/>
    <col min="3847" max="3847" width="12.42578125" bestFit="1" customWidth="1"/>
    <col min="3848" max="3848" width="13.28515625" bestFit="1" customWidth="1"/>
    <col min="3849" max="3849" width="11.42578125" bestFit="1" customWidth="1"/>
    <col min="3850" max="3850" width="14.28515625" bestFit="1" customWidth="1"/>
    <col min="3851" max="3851" width="10.28515625" bestFit="1" customWidth="1"/>
    <col min="3852" max="3852" width="21.140625" bestFit="1" customWidth="1"/>
    <col min="3853" max="3853" width="9.28515625" bestFit="1" customWidth="1"/>
    <col min="3854" max="3854" width="9.42578125" bestFit="1" customWidth="1"/>
    <col min="4097" max="4097" width="36.5703125" bestFit="1" customWidth="1"/>
    <col min="4098" max="4098" width="16" bestFit="1" customWidth="1"/>
    <col min="4099" max="4099" width="14.5703125" bestFit="1" customWidth="1"/>
    <col min="4100" max="4100" width="23.28515625" bestFit="1" customWidth="1"/>
    <col min="4101" max="4101" width="20.85546875" bestFit="1" customWidth="1"/>
    <col min="4102" max="4102" width="25.140625" bestFit="1" customWidth="1"/>
    <col min="4103" max="4103" width="12.42578125" bestFit="1" customWidth="1"/>
    <col min="4104" max="4104" width="13.28515625" bestFit="1" customWidth="1"/>
    <col min="4105" max="4105" width="11.42578125" bestFit="1" customWidth="1"/>
    <col min="4106" max="4106" width="14.28515625" bestFit="1" customWidth="1"/>
    <col min="4107" max="4107" width="10.28515625" bestFit="1" customWidth="1"/>
    <col min="4108" max="4108" width="21.140625" bestFit="1" customWidth="1"/>
    <col min="4109" max="4109" width="9.28515625" bestFit="1" customWidth="1"/>
    <col min="4110" max="4110" width="9.42578125" bestFit="1" customWidth="1"/>
    <col min="4353" max="4353" width="36.5703125" bestFit="1" customWidth="1"/>
    <col min="4354" max="4354" width="16" bestFit="1" customWidth="1"/>
    <col min="4355" max="4355" width="14.5703125" bestFit="1" customWidth="1"/>
    <col min="4356" max="4356" width="23.28515625" bestFit="1" customWidth="1"/>
    <col min="4357" max="4357" width="20.85546875" bestFit="1" customWidth="1"/>
    <col min="4358" max="4358" width="25.140625" bestFit="1" customWidth="1"/>
    <col min="4359" max="4359" width="12.42578125" bestFit="1" customWidth="1"/>
    <col min="4360" max="4360" width="13.28515625" bestFit="1" customWidth="1"/>
    <col min="4361" max="4361" width="11.42578125" bestFit="1" customWidth="1"/>
    <col min="4362" max="4362" width="14.28515625" bestFit="1" customWidth="1"/>
    <col min="4363" max="4363" width="10.28515625" bestFit="1" customWidth="1"/>
    <col min="4364" max="4364" width="21.140625" bestFit="1" customWidth="1"/>
    <col min="4365" max="4365" width="9.28515625" bestFit="1" customWidth="1"/>
    <col min="4366" max="4366" width="9.42578125" bestFit="1" customWidth="1"/>
    <col min="4609" max="4609" width="36.5703125" bestFit="1" customWidth="1"/>
    <col min="4610" max="4610" width="16" bestFit="1" customWidth="1"/>
    <col min="4611" max="4611" width="14.5703125" bestFit="1" customWidth="1"/>
    <col min="4612" max="4612" width="23.28515625" bestFit="1" customWidth="1"/>
    <col min="4613" max="4613" width="20.85546875" bestFit="1" customWidth="1"/>
    <col min="4614" max="4614" width="25.140625" bestFit="1" customWidth="1"/>
    <col min="4615" max="4615" width="12.42578125" bestFit="1" customWidth="1"/>
    <col min="4616" max="4616" width="13.28515625" bestFit="1" customWidth="1"/>
    <col min="4617" max="4617" width="11.42578125" bestFit="1" customWidth="1"/>
    <col min="4618" max="4618" width="14.28515625" bestFit="1" customWidth="1"/>
    <col min="4619" max="4619" width="10.28515625" bestFit="1" customWidth="1"/>
    <col min="4620" max="4620" width="21.140625" bestFit="1" customWidth="1"/>
    <col min="4621" max="4621" width="9.28515625" bestFit="1" customWidth="1"/>
    <col min="4622" max="4622" width="9.42578125" bestFit="1" customWidth="1"/>
    <col min="4865" max="4865" width="36.5703125" bestFit="1" customWidth="1"/>
    <col min="4866" max="4866" width="16" bestFit="1" customWidth="1"/>
    <col min="4867" max="4867" width="14.5703125" bestFit="1" customWidth="1"/>
    <col min="4868" max="4868" width="23.28515625" bestFit="1" customWidth="1"/>
    <col min="4869" max="4869" width="20.85546875" bestFit="1" customWidth="1"/>
    <col min="4870" max="4870" width="25.140625" bestFit="1" customWidth="1"/>
    <col min="4871" max="4871" width="12.42578125" bestFit="1" customWidth="1"/>
    <col min="4872" max="4872" width="13.28515625" bestFit="1" customWidth="1"/>
    <col min="4873" max="4873" width="11.42578125" bestFit="1" customWidth="1"/>
    <col min="4874" max="4874" width="14.28515625" bestFit="1" customWidth="1"/>
    <col min="4875" max="4875" width="10.28515625" bestFit="1" customWidth="1"/>
    <col min="4876" max="4876" width="21.140625" bestFit="1" customWidth="1"/>
    <col min="4877" max="4877" width="9.28515625" bestFit="1" customWidth="1"/>
    <col min="4878" max="4878" width="9.42578125" bestFit="1" customWidth="1"/>
    <col min="5121" max="5121" width="36.5703125" bestFit="1" customWidth="1"/>
    <col min="5122" max="5122" width="16" bestFit="1" customWidth="1"/>
    <col min="5123" max="5123" width="14.5703125" bestFit="1" customWidth="1"/>
    <col min="5124" max="5124" width="23.28515625" bestFit="1" customWidth="1"/>
    <col min="5125" max="5125" width="20.85546875" bestFit="1" customWidth="1"/>
    <col min="5126" max="5126" width="25.140625" bestFit="1" customWidth="1"/>
    <col min="5127" max="5127" width="12.42578125" bestFit="1" customWidth="1"/>
    <col min="5128" max="5128" width="13.28515625" bestFit="1" customWidth="1"/>
    <col min="5129" max="5129" width="11.42578125" bestFit="1" customWidth="1"/>
    <col min="5130" max="5130" width="14.28515625" bestFit="1" customWidth="1"/>
    <col min="5131" max="5131" width="10.28515625" bestFit="1" customWidth="1"/>
    <col min="5132" max="5132" width="21.140625" bestFit="1" customWidth="1"/>
    <col min="5133" max="5133" width="9.28515625" bestFit="1" customWidth="1"/>
    <col min="5134" max="5134" width="9.42578125" bestFit="1" customWidth="1"/>
    <col min="5377" max="5377" width="36.5703125" bestFit="1" customWidth="1"/>
    <col min="5378" max="5378" width="16" bestFit="1" customWidth="1"/>
    <col min="5379" max="5379" width="14.5703125" bestFit="1" customWidth="1"/>
    <col min="5380" max="5380" width="23.28515625" bestFit="1" customWidth="1"/>
    <col min="5381" max="5381" width="20.85546875" bestFit="1" customWidth="1"/>
    <col min="5382" max="5382" width="25.140625" bestFit="1" customWidth="1"/>
    <col min="5383" max="5383" width="12.42578125" bestFit="1" customWidth="1"/>
    <col min="5384" max="5384" width="13.28515625" bestFit="1" customWidth="1"/>
    <col min="5385" max="5385" width="11.42578125" bestFit="1" customWidth="1"/>
    <col min="5386" max="5386" width="14.28515625" bestFit="1" customWidth="1"/>
    <col min="5387" max="5387" width="10.28515625" bestFit="1" customWidth="1"/>
    <col min="5388" max="5388" width="21.140625" bestFit="1" customWidth="1"/>
    <col min="5389" max="5389" width="9.28515625" bestFit="1" customWidth="1"/>
    <col min="5390" max="5390" width="9.42578125" bestFit="1" customWidth="1"/>
    <col min="5633" max="5633" width="36.5703125" bestFit="1" customWidth="1"/>
    <col min="5634" max="5634" width="16" bestFit="1" customWidth="1"/>
    <col min="5635" max="5635" width="14.5703125" bestFit="1" customWidth="1"/>
    <col min="5636" max="5636" width="23.28515625" bestFit="1" customWidth="1"/>
    <col min="5637" max="5637" width="20.85546875" bestFit="1" customWidth="1"/>
    <col min="5638" max="5638" width="25.140625" bestFit="1" customWidth="1"/>
    <col min="5639" max="5639" width="12.42578125" bestFit="1" customWidth="1"/>
    <col min="5640" max="5640" width="13.28515625" bestFit="1" customWidth="1"/>
    <col min="5641" max="5641" width="11.42578125" bestFit="1" customWidth="1"/>
    <col min="5642" max="5642" width="14.28515625" bestFit="1" customWidth="1"/>
    <col min="5643" max="5643" width="10.28515625" bestFit="1" customWidth="1"/>
    <col min="5644" max="5644" width="21.140625" bestFit="1" customWidth="1"/>
    <col min="5645" max="5645" width="9.28515625" bestFit="1" customWidth="1"/>
    <col min="5646" max="5646" width="9.42578125" bestFit="1" customWidth="1"/>
    <col min="5889" max="5889" width="36.5703125" bestFit="1" customWidth="1"/>
    <col min="5890" max="5890" width="16" bestFit="1" customWidth="1"/>
    <col min="5891" max="5891" width="14.5703125" bestFit="1" customWidth="1"/>
    <col min="5892" max="5892" width="23.28515625" bestFit="1" customWidth="1"/>
    <col min="5893" max="5893" width="20.85546875" bestFit="1" customWidth="1"/>
    <col min="5894" max="5894" width="25.140625" bestFit="1" customWidth="1"/>
    <col min="5895" max="5895" width="12.42578125" bestFit="1" customWidth="1"/>
    <col min="5896" max="5896" width="13.28515625" bestFit="1" customWidth="1"/>
    <col min="5897" max="5897" width="11.42578125" bestFit="1" customWidth="1"/>
    <col min="5898" max="5898" width="14.28515625" bestFit="1" customWidth="1"/>
    <col min="5899" max="5899" width="10.28515625" bestFit="1" customWidth="1"/>
    <col min="5900" max="5900" width="21.140625" bestFit="1" customWidth="1"/>
    <col min="5901" max="5901" width="9.28515625" bestFit="1" customWidth="1"/>
    <col min="5902" max="5902" width="9.42578125" bestFit="1" customWidth="1"/>
    <col min="6145" max="6145" width="36.5703125" bestFit="1" customWidth="1"/>
    <col min="6146" max="6146" width="16" bestFit="1" customWidth="1"/>
    <col min="6147" max="6147" width="14.5703125" bestFit="1" customWidth="1"/>
    <col min="6148" max="6148" width="23.28515625" bestFit="1" customWidth="1"/>
    <col min="6149" max="6149" width="20.85546875" bestFit="1" customWidth="1"/>
    <col min="6150" max="6150" width="25.140625" bestFit="1" customWidth="1"/>
    <col min="6151" max="6151" width="12.42578125" bestFit="1" customWidth="1"/>
    <col min="6152" max="6152" width="13.28515625" bestFit="1" customWidth="1"/>
    <col min="6153" max="6153" width="11.42578125" bestFit="1" customWidth="1"/>
    <col min="6154" max="6154" width="14.28515625" bestFit="1" customWidth="1"/>
    <col min="6155" max="6155" width="10.28515625" bestFit="1" customWidth="1"/>
    <col min="6156" max="6156" width="21.140625" bestFit="1" customWidth="1"/>
    <col min="6157" max="6157" width="9.28515625" bestFit="1" customWidth="1"/>
    <col min="6158" max="6158" width="9.42578125" bestFit="1" customWidth="1"/>
    <col min="6401" max="6401" width="36.5703125" bestFit="1" customWidth="1"/>
    <col min="6402" max="6402" width="16" bestFit="1" customWidth="1"/>
    <col min="6403" max="6403" width="14.5703125" bestFit="1" customWidth="1"/>
    <col min="6404" max="6404" width="23.28515625" bestFit="1" customWidth="1"/>
    <col min="6405" max="6405" width="20.85546875" bestFit="1" customWidth="1"/>
    <col min="6406" max="6406" width="25.140625" bestFit="1" customWidth="1"/>
    <col min="6407" max="6407" width="12.42578125" bestFit="1" customWidth="1"/>
    <col min="6408" max="6408" width="13.28515625" bestFit="1" customWidth="1"/>
    <col min="6409" max="6409" width="11.42578125" bestFit="1" customWidth="1"/>
    <col min="6410" max="6410" width="14.28515625" bestFit="1" customWidth="1"/>
    <col min="6411" max="6411" width="10.28515625" bestFit="1" customWidth="1"/>
    <col min="6412" max="6412" width="21.140625" bestFit="1" customWidth="1"/>
    <col min="6413" max="6413" width="9.28515625" bestFit="1" customWidth="1"/>
    <col min="6414" max="6414" width="9.42578125" bestFit="1" customWidth="1"/>
    <col min="6657" max="6657" width="36.5703125" bestFit="1" customWidth="1"/>
    <col min="6658" max="6658" width="16" bestFit="1" customWidth="1"/>
    <col min="6659" max="6659" width="14.5703125" bestFit="1" customWidth="1"/>
    <col min="6660" max="6660" width="23.28515625" bestFit="1" customWidth="1"/>
    <col min="6661" max="6661" width="20.85546875" bestFit="1" customWidth="1"/>
    <col min="6662" max="6662" width="25.140625" bestFit="1" customWidth="1"/>
    <col min="6663" max="6663" width="12.42578125" bestFit="1" customWidth="1"/>
    <col min="6664" max="6664" width="13.28515625" bestFit="1" customWidth="1"/>
    <col min="6665" max="6665" width="11.42578125" bestFit="1" customWidth="1"/>
    <col min="6666" max="6666" width="14.28515625" bestFit="1" customWidth="1"/>
    <col min="6667" max="6667" width="10.28515625" bestFit="1" customWidth="1"/>
    <col min="6668" max="6668" width="21.140625" bestFit="1" customWidth="1"/>
    <col min="6669" max="6669" width="9.28515625" bestFit="1" customWidth="1"/>
    <col min="6670" max="6670" width="9.42578125" bestFit="1" customWidth="1"/>
    <col min="6913" max="6913" width="36.5703125" bestFit="1" customWidth="1"/>
    <col min="6914" max="6914" width="16" bestFit="1" customWidth="1"/>
    <col min="6915" max="6915" width="14.5703125" bestFit="1" customWidth="1"/>
    <col min="6916" max="6916" width="23.28515625" bestFit="1" customWidth="1"/>
    <col min="6917" max="6917" width="20.85546875" bestFit="1" customWidth="1"/>
    <col min="6918" max="6918" width="25.140625" bestFit="1" customWidth="1"/>
    <col min="6919" max="6919" width="12.42578125" bestFit="1" customWidth="1"/>
    <col min="6920" max="6920" width="13.28515625" bestFit="1" customWidth="1"/>
    <col min="6921" max="6921" width="11.42578125" bestFit="1" customWidth="1"/>
    <col min="6922" max="6922" width="14.28515625" bestFit="1" customWidth="1"/>
    <col min="6923" max="6923" width="10.28515625" bestFit="1" customWidth="1"/>
    <col min="6924" max="6924" width="21.140625" bestFit="1" customWidth="1"/>
    <col min="6925" max="6925" width="9.28515625" bestFit="1" customWidth="1"/>
    <col min="6926" max="6926" width="9.42578125" bestFit="1" customWidth="1"/>
    <col min="7169" max="7169" width="36.5703125" bestFit="1" customWidth="1"/>
    <col min="7170" max="7170" width="16" bestFit="1" customWidth="1"/>
    <col min="7171" max="7171" width="14.5703125" bestFit="1" customWidth="1"/>
    <col min="7172" max="7172" width="23.28515625" bestFit="1" customWidth="1"/>
    <col min="7173" max="7173" width="20.85546875" bestFit="1" customWidth="1"/>
    <col min="7174" max="7174" width="25.140625" bestFit="1" customWidth="1"/>
    <col min="7175" max="7175" width="12.42578125" bestFit="1" customWidth="1"/>
    <col min="7176" max="7176" width="13.28515625" bestFit="1" customWidth="1"/>
    <col min="7177" max="7177" width="11.42578125" bestFit="1" customWidth="1"/>
    <col min="7178" max="7178" width="14.28515625" bestFit="1" customWidth="1"/>
    <col min="7179" max="7179" width="10.28515625" bestFit="1" customWidth="1"/>
    <col min="7180" max="7180" width="21.140625" bestFit="1" customWidth="1"/>
    <col min="7181" max="7181" width="9.28515625" bestFit="1" customWidth="1"/>
    <col min="7182" max="7182" width="9.42578125" bestFit="1" customWidth="1"/>
    <col min="7425" max="7425" width="36.5703125" bestFit="1" customWidth="1"/>
    <col min="7426" max="7426" width="16" bestFit="1" customWidth="1"/>
    <col min="7427" max="7427" width="14.5703125" bestFit="1" customWidth="1"/>
    <col min="7428" max="7428" width="23.28515625" bestFit="1" customWidth="1"/>
    <col min="7429" max="7429" width="20.85546875" bestFit="1" customWidth="1"/>
    <col min="7430" max="7430" width="25.140625" bestFit="1" customWidth="1"/>
    <col min="7431" max="7431" width="12.42578125" bestFit="1" customWidth="1"/>
    <col min="7432" max="7432" width="13.28515625" bestFit="1" customWidth="1"/>
    <col min="7433" max="7433" width="11.42578125" bestFit="1" customWidth="1"/>
    <col min="7434" max="7434" width="14.28515625" bestFit="1" customWidth="1"/>
    <col min="7435" max="7435" width="10.28515625" bestFit="1" customWidth="1"/>
    <col min="7436" max="7436" width="21.140625" bestFit="1" customWidth="1"/>
    <col min="7437" max="7437" width="9.28515625" bestFit="1" customWidth="1"/>
    <col min="7438" max="7438" width="9.42578125" bestFit="1" customWidth="1"/>
    <col min="7681" max="7681" width="36.5703125" bestFit="1" customWidth="1"/>
    <col min="7682" max="7682" width="16" bestFit="1" customWidth="1"/>
    <col min="7683" max="7683" width="14.5703125" bestFit="1" customWidth="1"/>
    <col min="7684" max="7684" width="23.28515625" bestFit="1" customWidth="1"/>
    <col min="7685" max="7685" width="20.85546875" bestFit="1" customWidth="1"/>
    <col min="7686" max="7686" width="25.140625" bestFit="1" customWidth="1"/>
    <col min="7687" max="7687" width="12.42578125" bestFit="1" customWidth="1"/>
    <col min="7688" max="7688" width="13.28515625" bestFit="1" customWidth="1"/>
    <col min="7689" max="7689" width="11.42578125" bestFit="1" customWidth="1"/>
    <col min="7690" max="7690" width="14.28515625" bestFit="1" customWidth="1"/>
    <col min="7691" max="7691" width="10.28515625" bestFit="1" customWidth="1"/>
    <col min="7692" max="7692" width="21.140625" bestFit="1" customWidth="1"/>
    <col min="7693" max="7693" width="9.28515625" bestFit="1" customWidth="1"/>
    <col min="7694" max="7694" width="9.42578125" bestFit="1" customWidth="1"/>
    <col min="7937" max="7937" width="36.5703125" bestFit="1" customWidth="1"/>
    <col min="7938" max="7938" width="16" bestFit="1" customWidth="1"/>
    <col min="7939" max="7939" width="14.5703125" bestFit="1" customWidth="1"/>
    <col min="7940" max="7940" width="23.28515625" bestFit="1" customWidth="1"/>
    <col min="7941" max="7941" width="20.85546875" bestFit="1" customWidth="1"/>
    <col min="7942" max="7942" width="25.140625" bestFit="1" customWidth="1"/>
    <col min="7943" max="7943" width="12.42578125" bestFit="1" customWidth="1"/>
    <col min="7944" max="7944" width="13.28515625" bestFit="1" customWidth="1"/>
    <col min="7945" max="7945" width="11.42578125" bestFit="1" customWidth="1"/>
    <col min="7946" max="7946" width="14.28515625" bestFit="1" customWidth="1"/>
    <col min="7947" max="7947" width="10.28515625" bestFit="1" customWidth="1"/>
    <col min="7948" max="7948" width="21.140625" bestFit="1" customWidth="1"/>
    <col min="7949" max="7949" width="9.28515625" bestFit="1" customWidth="1"/>
    <col min="7950" max="7950" width="9.42578125" bestFit="1" customWidth="1"/>
    <col min="8193" max="8193" width="36.5703125" bestFit="1" customWidth="1"/>
    <col min="8194" max="8194" width="16" bestFit="1" customWidth="1"/>
    <col min="8195" max="8195" width="14.5703125" bestFit="1" customWidth="1"/>
    <col min="8196" max="8196" width="23.28515625" bestFit="1" customWidth="1"/>
    <col min="8197" max="8197" width="20.85546875" bestFit="1" customWidth="1"/>
    <col min="8198" max="8198" width="25.140625" bestFit="1" customWidth="1"/>
    <col min="8199" max="8199" width="12.42578125" bestFit="1" customWidth="1"/>
    <col min="8200" max="8200" width="13.28515625" bestFit="1" customWidth="1"/>
    <col min="8201" max="8201" width="11.42578125" bestFit="1" customWidth="1"/>
    <col min="8202" max="8202" width="14.28515625" bestFit="1" customWidth="1"/>
    <col min="8203" max="8203" width="10.28515625" bestFit="1" customWidth="1"/>
    <col min="8204" max="8204" width="21.140625" bestFit="1" customWidth="1"/>
    <col min="8205" max="8205" width="9.28515625" bestFit="1" customWidth="1"/>
    <col min="8206" max="8206" width="9.42578125" bestFit="1" customWidth="1"/>
    <col min="8449" max="8449" width="36.5703125" bestFit="1" customWidth="1"/>
    <col min="8450" max="8450" width="16" bestFit="1" customWidth="1"/>
    <col min="8451" max="8451" width="14.5703125" bestFit="1" customWidth="1"/>
    <col min="8452" max="8452" width="23.28515625" bestFit="1" customWidth="1"/>
    <col min="8453" max="8453" width="20.85546875" bestFit="1" customWidth="1"/>
    <col min="8454" max="8454" width="25.140625" bestFit="1" customWidth="1"/>
    <col min="8455" max="8455" width="12.42578125" bestFit="1" customWidth="1"/>
    <col min="8456" max="8456" width="13.28515625" bestFit="1" customWidth="1"/>
    <col min="8457" max="8457" width="11.42578125" bestFit="1" customWidth="1"/>
    <col min="8458" max="8458" width="14.28515625" bestFit="1" customWidth="1"/>
    <col min="8459" max="8459" width="10.28515625" bestFit="1" customWidth="1"/>
    <col min="8460" max="8460" width="21.140625" bestFit="1" customWidth="1"/>
    <col min="8461" max="8461" width="9.28515625" bestFit="1" customWidth="1"/>
    <col min="8462" max="8462" width="9.42578125" bestFit="1" customWidth="1"/>
    <col min="8705" max="8705" width="36.5703125" bestFit="1" customWidth="1"/>
    <col min="8706" max="8706" width="16" bestFit="1" customWidth="1"/>
    <col min="8707" max="8707" width="14.5703125" bestFit="1" customWidth="1"/>
    <col min="8708" max="8708" width="23.28515625" bestFit="1" customWidth="1"/>
    <col min="8709" max="8709" width="20.85546875" bestFit="1" customWidth="1"/>
    <col min="8710" max="8710" width="25.140625" bestFit="1" customWidth="1"/>
    <col min="8711" max="8711" width="12.42578125" bestFit="1" customWidth="1"/>
    <col min="8712" max="8712" width="13.28515625" bestFit="1" customWidth="1"/>
    <col min="8713" max="8713" width="11.42578125" bestFit="1" customWidth="1"/>
    <col min="8714" max="8714" width="14.28515625" bestFit="1" customWidth="1"/>
    <col min="8715" max="8715" width="10.28515625" bestFit="1" customWidth="1"/>
    <col min="8716" max="8716" width="21.140625" bestFit="1" customWidth="1"/>
    <col min="8717" max="8717" width="9.28515625" bestFit="1" customWidth="1"/>
    <col min="8718" max="8718" width="9.42578125" bestFit="1" customWidth="1"/>
    <col min="8961" max="8961" width="36.5703125" bestFit="1" customWidth="1"/>
    <col min="8962" max="8962" width="16" bestFit="1" customWidth="1"/>
    <col min="8963" max="8963" width="14.5703125" bestFit="1" customWidth="1"/>
    <col min="8964" max="8964" width="23.28515625" bestFit="1" customWidth="1"/>
    <col min="8965" max="8965" width="20.85546875" bestFit="1" customWidth="1"/>
    <col min="8966" max="8966" width="25.140625" bestFit="1" customWidth="1"/>
    <col min="8967" max="8967" width="12.42578125" bestFit="1" customWidth="1"/>
    <col min="8968" max="8968" width="13.28515625" bestFit="1" customWidth="1"/>
    <col min="8969" max="8969" width="11.42578125" bestFit="1" customWidth="1"/>
    <col min="8970" max="8970" width="14.28515625" bestFit="1" customWidth="1"/>
    <col min="8971" max="8971" width="10.28515625" bestFit="1" customWidth="1"/>
    <col min="8972" max="8972" width="21.140625" bestFit="1" customWidth="1"/>
    <col min="8973" max="8973" width="9.28515625" bestFit="1" customWidth="1"/>
    <col min="8974" max="8974" width="9.42578125" bestFit="1" customWidth="1"/>
    <col min="9217" max="9217" width="36.5703125" bestFit="1" customWidth="1"/>
    <col min="9218" max="9218" width="16" bestFit="1" customWidth="1"/>
    <col min="9219" max="9219" width="14.5703125" bestFit="1" customWidth="1"/>
    <col min="9220" max="9220" width="23.28515625" bestFit="1" customWidth="1"/>
    <col min="9221" max="9221" width="20.85546875" bestFit="1" customWidth="1"/>
    <col min="9222" max="9222" width="25.140625" bestFit="1" customWidth="1"/>
    <col min="9223" max="9223" width="12.42578125" bestFit="1" customWidth="1"/>
    <col min="9224" max="9224" width="13.28515625" bestFit="1" customWidth="1"/>
    <col min="9225" max="9225" width="11.42578125" bestFit="1" customWidth="1"/>
    <col min="9226" max="9226" width="14.28515625" bestFit="1" customWidth="1"/>
    <col min="9227" max="9227" width="10.28515625" bestFit="1" customWidth="1"/>
    <col min="9228" max="9228" width="21.140625" bestFit="1" customWidth="1"/>
    <col min="9229" max="9229" width="9.28515625" bestFit="1" customWidth="1"/>
    <col min="9230" max="9230" width="9.42578125" bestFit="1" customWidth="1"/>
    <col min="9473" max="9473" width="36.5703125" bestFit="1" customWidth="1"/>
    <col min="9474" max="9474" width="16" bestFit="1" customWidth="1"/>
    <col min="9475" max="9475" width="14.5703125" bestFit="1" customWidth="1"/>
    <col min="9476" max="9476" width="23.28515625" bestFit="1" customWidth="1"/>
    <col min="9477" max="9477" width="20.85546875" bestFit="1" customWidth="1"/>
    <col min="9478" max="9478" width="25.140625" bestFit="1" customWidth="1"/>
    <col min="9479" max="9479" width="12.42578125" bestFit="1" customWidth="1"/>
    <col min="9480" max="9480" width="13.28515625" bestFit="1" customWidth="1"/>
    <col min="9481" max="9481" width="11.42578125" bestFit="1" customWidth="1"/>
    <col min="9482" max="9482" width="14.28515625" bestFit="1" customWidth="1"/>
    <col min="9483" max="9483" width="10.28515625" bestFit="1" customWidth="1"/>
    <col min="9484" max="9484" width="21.140625" bestFit="1" customWidth="1"/>
    <col min="9485" max="9485" width="9.28515625" bestFit="1" customWidth="1"/>
    <col min="9486" max="9486" width="9.42578125" bestFit="1" customWidth="1"/>
    <col min="9729" max="9729" width="36.5703125" bestFit="1" customWidth="1"/>
    <col min="9730" max="9730" width="16" bestFit="1" customWidth="1"/>
    <col min="9731" max="9731" width="14.5703125" bestFit="1" customWidth="1"/>
    <col min="9732" max="9732" width="23.28515625" bestFit="1" customWidth="1"/>
    <col min="9733" max="9733" width="20.85546875" bestFit="1" customWidth="1"/>
    <col min="9734" max="9734" width="25.140625" bestFit="1" customWidth="1"/>
    <col min="9735" max="9735" width="12.42578125" bestFit="1" customWidth="1"/>
    <col min="9736" max="9736" width="13.28515625" bestFit="1" customWidth="1"/>
    <col min="9737" max="9737" width="11.42578125" bestFit="1" customWidth="1"/>
    <col min="9738" max="9738" width="14.28515625" bestFit="1" customWidth="1"/>
    <col min="9739" max="9739" width="10.28515625" bestFit="1" customWidth="1"/>
    <col min="9740" max="9740" width="21.140625" bestFit="1" customWidth="1"/>
    <col min="9741" max="9741" width="9.28515625" bestFit="1" customWidth="1"/>
    <col min="9742" max="9742" width="9.42578125" bestFit="1" customWidth="1"/>
    <col min="9985" max="9985" width="36.5703125" bestFit="1" customWidth="1"/>
    <col min="9986" max="9986" width="16" bestFit="1" customWidth="1"/>
    <col min="9987" max="9987" width="14.5703125" bestFit="1" customWidth="1"/>
    <col min="9988" max="9988" width="23.28515625" bestFit="1" customWidth="1"/>
    <col min="9989" max="9989" width="20.85546875" bestFit="1" customWidth="1"/>
    <col min="9990" max="9990" width="25.140625" bestFit="1" customWidth="1"/>
    <col min="9991" max="9991" width="12.42578125" bestFit="1" customWidth="1"/>
    <col min="9992" max="9992" width="13.28515625" bestFit="1" customWidth="1"/>
    <col min="9993" max="9993" width="11.42578125" bestFit="1" customWidth="1"/>
    <col min="9994" max="9994" width="14.28515625" bestFit="1" customWidth="1"/>
    <col min="9995" max="9995" width="10.28515625" bestFit="1" customWidth="1"/>
    <col min="9996" max="9996" width="21.140625" bestFit="1" customWidth="1"/>
    <col min="9997" max="9997" width="9.28515625" bestFit="1" customWidth="1"/>
    <col min="9998" max="9998" width="9.42578125" bestFit="1" customWidth="1"/>
    <col min="10241" max="10241" width="36.5703125" bestFit="1" customWidth="1"/>
    <col min="10242" max="10242" width="16" bestFit="1" customWidth="1"/>
    <col min="10243" max="10243" width="14.5703125" bestFit="1" customWidth="1"/>
    <col min="10244" max="10244" width="23.28515625" bestFit="1" customWidth="1"/>
    <col min="10245" max="10245" width="20.85546875" bestFit="1" customWidth="1"/>
    <col min="10246" max="10246" width="25.140625" bestFit="1" customWidth="1"/>
    <col min="10247" max="10247" width="12.42578125" bestFit="1" customWidth="1"/>
    <col min="10248" max="10248" width="13.28515625" bestFit="1" customWidth="1"/>
    <col min="10249" max="10249" width="11.42578125" bestFit="1" customWidth="1"/>
    <col min="10250" max="10250" width="14.28515625" bestFit="1" customWidth="1"/>
    <col min="10251" max="10251" width="10.28515625" bestFit="1" customWidth="1"/>
    <col min="10252" max="10252" width="21.140625" bestFit="1" customWidth="1"/>
    <col min="10253" max="10253" width="9.28515625" bestFit="1" customWidth="1"/>
    <col min="10254" max="10254" width="9.42578125" bestFit="1" customWidth="1"/>
    <col min="10497" max="10497" width="36.5703125" bestFit="1" customWidth="1"/>
    <col min="10498" max="10498" width="16" bestFit="1" customWidth="1"/>
    <col min="10499" max="10499" width="14.5703125" bestFit="1" customWidth="1"/>
    <col min="10500" max="10500" width="23.28515625" bestFit="1" customWidth="1"/>
    <col min="10501" max="10501" width="20.85546875" bestFit="1" customWidth="1"/>
    <col min="10502" max="10502" width="25.140625" bestFit="1" customWidth="1"/>
    <col min="10503" max="10503" width="12.42578125" bestFit="1" customWidth="1"/>
    <col min="10504" max="10504" width="13.28515625" bestFit="1" customWidth="1"/>
    <col min="10505" max="10505" width="11.42578125" bestFit="1" customWidth="1"/>
    <col min="10506" max="10506" width="14.28515625" bestFit="1" customWidth="1"/>
    <col min="10507" max="10507" width="10.28515625" bestFit="1" customWidth="1"/>
    <col min="10508" max="10508" width="21.140625" bestFit="1" customWidth="1"/>
    <col min="10509" max="10509" width="9.28515625" bestFit="1" customWidth="1"/>
    <col min="10510" max="10510" width="9.42578125" bestFit="1" customWidth="1"/>
    <col min="10753" max="10753" width="36.5703125" bestFit="1" customWidth="1"/>
    <col min="10754" max="10754" width="16" bestFit="1" customWidth="1"/>
    <col min="10755" max="10755" width="14.5703125" bestFit="1" customWidth="1"/>
    <col min="10756" max="10756" width="23.28515625" bestFit="1" customWidth="1"/>
    <col min="10757" max="10757" width="20.85546875" bestFit="1" customWidth="1"/>
    <col min="10758" max="10758" width="25.140625" bestFit="1" customWidth="1"/>
    <col min="10759" max="10759" width="12.42578125" bestFit="1" customWidth="1"/>
    <col min="10760" max="10760" width="13.28515625" bestFit="1" customWidth="1"/>
    <col min="10761" max="10761" width="11.42578125" bestFit="1" customWidth="1"/>
    <col min="10762" max="10762" width="14.28515625" bestFit="1" customWidth="1"/>
    <col min="10763" max="10763" width="10.28515625" bestFit="1" customWidth="1"/>
    <col min="10764" max="10764" width="21.140625" bestFit="1" customWidth="1"/>
    <col min="10765" max="10765" width="9.28515625" bestFit="1" customWidth="1"/>
    <col min="10766" max="10766" width="9.42578125" bestFit="1" customWidth="1"/>
    <col min="11009" max="11009" width="36.5703125" bestFit="1" customWidth="1"/>
    <col min="11010" max="11010" width="16" bestFit="1" customWidth="1"/>
    <col min="11011" max="11011" width="14.5703125" bestFit="1" customWidth="1"/>
    <col min="11012" max="11012" width="23.28515625" bestFit="1" customWidth="1"/>
    <col min="11013" max="11013" width="20.85546875" bestFit="1" customWidth="1"/>
    <col min="11014" max="11014" width="25.140625" bestFit="1" customWidth="1"/>
    <col min="11015" max="11015" width="12.42578125" bestFit="1" customWidth="1"/>
    <col min="11016" max="11016" width="13.28515625" bestFit="1" customWidth="1"/>
    <col min="11017" max="11017" width="11.42578125" bestFit="1" customWidth="1"/>
    <col min="11018" max="11018" width="14.28515625" bestFit="1" customWidth="1"/>
    <col min="11019" max="11019" width="10.28515625" bestFit="1" customWidth="1"/>
    <col min="11020" max="11020" width="21.140625" bestFit="1" customWidth="1"/>
    <col min="11021" max="11021" width="9.28515625" bestFit="1" customWidth="1"/>
    <col min="11022" max="11022" width="9.42578125" bestFit="1" customWidth="1"/>
    <col min="11265" max="11265" width="36.5703125" bestFit="1" customWidth="1"/>
    <col min="11266" max="11266" width="16" bestFit="1" customWidth="1"/>
    <col min="11267" max="11267" width="14.5703125" bestFit="1" customWidth="1"/>
    <col min="11268" max="11268" width="23.28515625" bestFit="1" customWidth="1"/>
    <col min="11269" max="11269" width="20.85546875" bestFit="1" customWidth="1"/>
    <col min="11270" max="11270" width="25.140625" bestFit="1" customWidth="1"/>
    <col min="11271" max="11271" width="12.42578125" bestFit="1" customWidth="1"/>
    <col min="11272" max="11272" width="13.28515625" bestFit="1" customWidth="1"/>
    <col min="11273" max="11273" width="11.42578125" bestFit="1" customWidth="1"/>
    <col min="11274" max="11274" width="14.28515625" bestFit="1" customWidth="1"/>
    <col min="11275" max="11275" width="10.28515625" bestFit="1" customWidth="1"/>
    <col min="11276" max="11276" width="21.140625" bestFit="1" customWidth="1"/>
    <col min="11277" max="11277" width="9.28515625" bestFit="1" customWidth="1"/>
    <col min="11278" max="11278" width="9.42578125" bestFit="1" customWidth="1"/>
    <col min="11521" max="11521" width="36.5703125" bestFit="1" customWidth="1"/>
    <col min="11522" max="11522" width="16" bestFit="1" customWidth="1"/>
    <col min="11523" max="11523" width="14.5703125" bestFit="1" customWidth="1"/>
    <col min="11524" max="11524" width="23.28515625" bestFit="1" customWidth="1"/>
    <col min="11525" max="11525" width="20.85546875" bestFit="1" customWidth="1"/>
    <col min="11526" max="11526" width="25.140625" bestFit="1" customWidth="1"/>
    <col min="11527" max="11527" width="12.42578125" bestFit="1" customWidth="1"/>
    <col min="11528" max="11528" width="13.28515625" bestFit="1" customWidth="1"/>
    <col min="11529" max="11529" width="11.42578125" bestFit="1" customWidth="1"/>
    <col min="11530" max="11530" width="14.28515625" bestFit="1" customWidth="1"/>
    <col min="11531" max="11531" width="10.28515625" bestFit="1" customWidth="1"/>
    <col min="11532" max="11532" width="21.140625" bestFit="1" customWidth="1"/>
    <col min="11533" max="11533" width="9.28515625" bestFit="1" customWidth="1"/>
    <col min="11534" max="11534" width="9.42578125" bestFit="1" customWidth="1"/>
    <col min="11777" max="11777" width="36.5703125" bestFit="1" customWidth="1"/>
    <col min="11778" max="11778" width="16" bestFit="1" customWidth="1"/>
    <col min="11779" max="11779" width="14.5703125" bestFit="1" customWidth="1"/>
    <col min="11780" max="11780" width="23.28515625" bestFit="1" customWidth="1"/>
    <col min="11781" max="11781" width="20.85546875" bestFit="1" customWidth="1"/>
    <col min="11782" max="11782" width="25.140625" bestFit="1" customWidth="1"/>
    <col min="11783" max="11783" width="12.42578125" bestFit="1" customWidth="1"/>
    <col min="11784" max="11784" width="13.28515625" bestFit="1" customWidth="1"/>
    <col min="11785" max="11785" width="11.42578125" bestFit="1" customWidth="1"/>
    <col min="11786" max="11786" width="14.28515625" bestFit="1" customWidth="1"/>
    <col min="11787" max="11787" width="10.28515625" bestFit="1" customWidth="1"/>
    <col min="11788" max="11788" width="21.140625" bestFit="1" customWidth="1"/>
    <col min="11789" max="11789" width="9.28515625" bestFit="1" customWidth="1"/>
    <col min="11790" max="11790" width="9.42578125" bestFit="1" customWidth="1"/>
    <col min="12033" max="12033" width="36.5703125" bestFit="1" customWidth="1"/>
    <col min="12034" max="12034" width="16" bestFit="1" customWidth="1"/>
    <col min="12035" max="12035" width="14.5703125" bestFit="1" customWidth="1"/>
    <col min="12036" max="12036" width="23.28515625" bestFit="1" customWidth="1"/>
    <col min="12037" max="12037" width="20.85546875" bestFit="1" customWidth="1"/>
    <col min="12038" max="12038" width="25.140625" bestFit="1" customWidth="1"/>
    <col min="12039" max="12039" width="12.42578125" bestFit="1" customWidth="1"/>
    <col min="12040" max="12040" width="13.28515625" bestFit="1" customWidth="1"/>
    <col min="12041" max="12041" width="11.42578125" bestFit="1" customWidth="1"/>
    <col min="12042" max="12042" width="14.28515625" bestFit="1" customWidth="1"/>
    <col min="12043" max="12043" width="10.28515625" bestFit="1" customWidth="1"/>
    <col min="12044" max="12044" width="21.140625" bestFit="1" customWidth="1"/>
    <col min="12045" max="12045" width="9.28515625" bestFit="1" customWidth="1"/>
    <col min="12046" max="12046" width="9.42578125" bestFit="1" customWidth="1"/>
    <col min="12289" max="12289" width="36.5703125" bestFit="1" customWidth="1"/>
    <col min="12290" max="12290" width="16" bestFit="1" customWidth="1"/>
    <col min="12291" max="12291" width="14.5703125" bestFit="1" customWidth="1"/>
    <col min="12292" max="12292" width="23.28515625" bestFit="1" customWidth="1"/>
    <col min="12293" max="12293" width="20.85546875" bestFit="1" customWidth="1"/>
    <col min="12294" max="12294" width="25.140625" bestFit="1" customWidth="1"/>
    <col min="12295" max="12295" width="12.42578125" bestFit="1" customWidth="1"/>
    <col min="12296" max="12296" width="13.28515625" bestFit="1" customWidth="1"/>
    <col min="12297" max="12297" width="11.42578125" bestFit="1" customWidth="1"/>
    <col min="12298" max="12298" width="14.28515625" bestFit="1" customWidth="1"/>
    <col min="12299" max="12299" width="10.28515625" bestFit="1" customWidth="1"/>
    <col min="12300" max="12300" width="21.140625" bestFit="1" customWidth="1"/>
    <col min="12301" max="12301" width="9.28515625" bestFit="1" customWidth="1"/>
    <col min="12302" max="12302" width="9.42578125" bestFit="1" customWidth="1"/>
    <col min="12545" max="12545" width="36.5703125" bestFit="1" customWidth="1"/>
    <col min="12546" max="12546" width="16" bestFit="1" customWidth="1"/>
    <col min="12547" max="12547" width="14.5703125" bestFit="1" customWidth="1"/>
    <col min="12548" max="12548" width="23.28515625" bestFit="1" customWidth="1"/>
    <col min="12549" max="12549" width="20.85546875" bestFit="1" customWidth="1"/>
    <col min="12550" max="12550" width="25.140625" bestFit="1" customWidth="1"/>
    <col min="12551" max="12551" width="12.42578125" bestFit="1" customWidth="1"/>
    <col min="12552" max="12552" width="13.28515625" bestFit="1" customWidth="1"/>
    <col min="12553" max="12553" width="11.42578125" bestFit="1" customWidth="1"/>
    <col min="12554" max="12554" width="14.28515625" bestFit="1" customWidth="1"/>
    <col min="12555" max="12555" width="10.28515625" bestFit="1" customWidth="1"/>
    <col min="12556" max="12556" width="21.140625" bestFit="1" customWidth="1"/>
    <col min="12557" max="12557" width="9.28515625" bestFit="1" customWidth="1"/>
    <col min="12558" max="12558" width="9.42578125" bestFit="1" customWidth="1"/>
    <col min="12801" max="12801" width="36.5703125" bestFit="1" customWidth="1"/>
    <col min="12802" max="12802" width="16" bestFit="1" customWidth="1"/>
    <col min="12803" max="12803" width="14.5703125" bestFit="1" customWidth="1"/>
    <col min="12804" max="12804" width="23.28515625" bestFit="1" customWidth="1"/>
    <col min="12805" max="12805" width="20.85546875" bestFit="1" customWidth="1"/>
    <col min="12806" max="12806" width="25.140625" bestFit="1" customWidth="1"/>
    <col min="12807" max="12807" width="12.42578125" bestFit="1" customWidth="1"/>
    <col min="12808" max="12808" width="13.28515625" bestFit="1" customWidth="1"/>
    <col min="12809" max="12809" width="11.42578125" bestFit="1" customWidth="1"/>
    <col min="12810" max="12810" width="14.28515625" bestFit="1" customWidth="1"/>
    <col min="12811" max="12811" width="10.28515625" bestFit="1" customWidth="1"/>
    <col min="12812" max="12812" width="21.140625" bestFit="1" customWidth="1"/>
    <col min="12813" max="12813" width="9.28515625" bestFit="1" customWidth="1"/>
    <col min="12814" max="12814" width="9.42578125" bestFit="1" customWidth="1"/>
    <col min="13057" max="13057" width="36.5703125" bestFit="1" customWidth="1"/>
    <col min="13058" max="13058" width="16" bestFit="1" customWidth="1"/>
    <col min="13059" max="13059" width="14.5703125" bestFit="1" customWidth="1"/>
    <col min="13060" max="13060" width="23.28515625" bestFit="1" customWidth="1"/>
    <col min="13061" max="13061" width="20.85546875" bestFit="1" customWidth="1"/>
    <col min="13062" max="13062" width="25.140625" bestFit="1" customWidth="1"/>
    <col min="13063" max="13063" width="12.42578125" bestFit="1" customWidth="1"/>
    <col min="13064" max="13064" width="13.28515625" bestFit="1" customWidth="1"/>
    <col min="13065" max="13065" width="11.42578125" bestFit="1" customWidth="1"/>
    <col min="13066" max="13066" width="14.28515625" bestFit="1" customWidth="1"/>
    <col min="13067" max="13067" width="10.28515625" bestFit="1" customWidth="1"/>
    <col min="13068" max="13068" width="21.140625" bestFit="1" customWidth="1"/>
    <col min="13069" max="13069" width="9.28515625" bestFit="1" customWidth="1"/>
    <col min="13070" max="13070" width="9.42578125" bestFit="1" customWidth="1"/>
    <col min="13313" max="13313" width="36.5703125" bestFit="1" customWidth="1"/>
    <col min="13314" max="13314" width="16" bestFit="1" customWidth="1"/>
    <col min="13315" max="13315" width="14.5703125" bestFit="1" customWidth="1"/>
    <col min="13316" max="13316" width="23.28515625" bestFit="1" customWidth="1"/>
    <col min="13317" max="13317" width="20.85546875" bestFit="1" customWidth="1"/>
    <col min="13318" max="13318" width="25.140625" bestFit="1" customWidth="1"/>
    <col min="13319" max="13319" width="12.42578125" bestFit="1" customWidth="1"/>
    <col min="13320" max="13320" width="13.28515625" bestFit="1" customWidth="1"/>
    <col min="13321" max="13321" width="11.42578125" bestFit="1" customWidth="1"/>
    <col min="13322" max="13322" width="14.28515625" bestFit="1" customWidth="1"/>
    <col min="13323" max="13323" width="10.28515625" bestFit="1" customWidth="1"/>
    <col min="13324" max="13324" width="21.140625" bestFit="1" customWidth="1"/>
    <col min="13325" max="13325" width="9.28515625" bestFit="1" customWidth="1"/>
    <col min="13326" max="13326" width="9.42578125" bestFit="1" customWidth="1"/>
    <col min="13569" max="13569" width="36.5703125" bestFit="1" customWidth="1"/>
    <col min="13570" max="13570" width="16" bestFit="1" customWidth="1"/>
    <col min="13571" max="13571" width="14.5703125" bestFit="1" customWidth="1"/>
    <col min="13572" max="13572" width="23.28515625" bestFit="1" customWidth="1"/>
    <col min="13573" max="13573" width="20.85546875" bestFit="1" customWidth="1"/>
    <col min="13574" max="13574" width="25.140625" bestFit="1" customWidth="1"/>
    <col min="13575" max="13575" width="12.42578125" bestFit="1" customWidth="1"/>
    <col min="13576" max="13576" width="13.28515625" bestFit="1" customWidth="1"/>
    <col min="13577" max="13577" width="11.42578125" bestFit="1" customWidth="1"/>
    <col min="13578" max="13578" width="14.28515625" bestFit="1" customWidth="1"/>
    <col min="13579" max="13579" width="10.28515625" bestFit="1" customWidth="1"/>
    <col min="13580" max="13580" width="21.140625" bestFit="1" customWidth="1"/>
    <col min="13581" max="13581" width="9.28515625" bestFit="1" customWidth="1"/>
    <col min="13582" max="13582" width="9.42578125" bestFit="1" customWidth="1"/>
    <col min="13825" max="13825" width="36.5703125" bestFit="1" customWidth="1"/>
    <col min="13826" max="13826" width="16" bestFit="1" customWidth="1"/>
    <col min="13827" max="13827" width="14.5703125" bestFit="1" customWidth="1"/>
    <col min="13828" max="13828" width="23.28515625" bestFit="1" customWidth="1"/>
    <col min="13829" max="13829" width="20.85546875" bestFit="1" customWidth="1"/>
    <col min="13830" max="13830" width="25.140625" bestFit="1" customWidth="1"/>
    <col min="13831" max="13831" width="12.42578125" bestFit="1" customWidth="1"/>
    <col min="13832" max="13832" width="13.28515625" bestFit="1" customWidth="1"/>
    <col min="13833" max="13833" width="11.42578125" bestFit="1" customWidth="1"/>
    <col min="13834" max="13834" width="14.28515625" bestFit="1" customWidth="1"/>
    <col min="13835" max="13835" width="10.28515625" bestFit="1" customWidth="1"/>
    <col min="13836" max="13836" width="21.140625" bestFit="1" customWidth="1"/>
    <col min="13837" max="13837" width="9.28515625" bestFit="1" customWidth="1"/>
    <col min="13838" max="13838" width="9.42578125" bestFit="1" customWidth="1"/>
    <col min="14081" max="14081" width="36.5703125" bestFit="1" customWidth="1"/>
    <col min="14082" max="14082" width="16" bestFit="1" customWidth="1"/>
    <col min="14083" max="14083" width="14.5703125" bestFit="1" customWidth="1"/>
    <col min="14084" max="14084" width="23.28515625" bestFit="1" customWidth="1"/>
    <col min="14085" max="14085" width="20.85546875" bestFit="1" customWidth="1"/>
    <col min="14086" max="14086" width="25.140625" bestFit="1" customWidth="1"/>
    <col min="14087" max="14087" width="12.42578125" bestFit="1" customWidth="1"/>
    <col min="14088" max="14088" width="13.28515625" bestFit="1" customWidth="1"/>
    <col min="14089" max="14089" width="11.42578125" bestFit="1" customWidth="1"/>
    <col min="14090" max="14090" width="14.28515625" bestFit="1" customWidth="1"/>
    <col min="14091" max="14091" width="10.28515625" bestFit="1" customWidth="1"/>
    <col min="14092" max="14092" width="21.140625" bestFit="1" customWidth="1"/>
    <col min="14093" max="14093" width="9.28515625" bestFit="1" customWidth="1"/>
    <col min="14094" max="14094" width="9.42578125" bestFit="1" customWidth="1"/>
    <col min="14337" max="14337" width="36.5703125" bestFit="1" customWidth="1"/>
    <col min="14338" max="14338" width="16" bestFit="1" customWidth="1"/>
    <col min="14339" max="14339" width="14.5703125" bestFit="1" customWidth="1"/>
    <col min="14340" max="14340" width="23.28515625" bestFit="1" customWidth="1"/>
    <col min="14341" max="14341" width="20.85546875" bestFit="1" customWidth="1"/>
    <col min="14342" max="14342" width="25.140625" bestFit="1" customWidth="1"/>
    <col min="14343" max="14343" width="12.42578125" bestFit="1" customWidth="1"/>
    <col min="14344" max="14344" width="13.28515625" bestFit="1" customWidth="1"/>
    <col min="14345" max="14345" width="11.42578125" bestFit="1" customWidth="1"/>
    <col min="14346" max="14346" width="14.28515625" bestFit="1" customWidth="1"/>
    <col min="14347" max="14347" width="10.28515625" bestFit="1" customWidth="1"/>
    <col min="14348" max="14348" width="21.140625" bestFit="1" customWidth="1"/>
    <col min="14349" max="14349" width="9.28515625" bestFit="1" customWidth="1"/>
    <col min="14350" max="14350" width="9.42578125" bestFit="1" customWidth="1"/>
    <col min="14593" max="14593" width="36.5703125" bestFit="1" customWidth="1"/>
    <col min="14594" max="14594" width="16" bestFit="1" customWidth="1"/>
    <col min="14595" max="14595" width="14.5703125" bestFit="1" customWidth="1"/>
    <col min="14596" max="14596" width="23.28515625" bestFit="1" customWidth="1"/>
    <col min="14597" max="14597" width="20.85546875" bestFit="1" customWidth="1"/>
    <col min="14598" max="14598" width="25.140625" bestFit="1" customWidth="1"/>
    <col min="14599" max="14599" width="12.42578125" bestFit="1" customWidth="1"/>
    <col min="14600" max="14600" width="13.28515625" bestFit="1" customWidth="1"/>
    <col min="14601" max="14601" width="11.42578125" bestFit="1" customWidth="1"/>
    <col min="14602" max="14602" width="14.28515625" bestFit="1" customWidth="1"/>
    <col min="14603" max="14603" width="10.28515625" bestFit="1" customWidth="1"/>
    <col min="14604" max="14604" width="21.140625" bestFit="1" customWidth="1"/>
    <col min="14605" max="14605" width="9.28515625" bestFit="1" customWidth="1"/>
    <col min="14606" max="14606" width="9.42578125" bestFit="1" customWidth="1"/>
    <col min="14849" max="14849" width="36.5703125" bestFit="1" customWidth="1"/>
    <col min="14850" max="14850" width="16" bestFit="1" customWidth="1"/>
    <col min="14851" max="14851" width="14.5703125" bestFit="1" customWidth="1"/>
    <col min="14852" max="14852" width="23.28515625" bestFit="1" customWidth="1"/>
    <col min="14853" max="14853" width="20.85546875" bestFit="1" customWidth="1"/>
    <col min="14854" max="14854" width="25.140625" bestFit="1" customWidth="1"/>
    <col min="14855" max="14855" width="12.42578125" bestFit="1" customWidth="1"/>
    <col min="14856" max="14856" width="13.28515625" bestFit="1" customWidth="1"/>
    <col min="14857" max="14857" width="11.42578125" bestFit="1" customWidth="1"/>
    <col min="14858" max="14858" width="14.28515625" bestFit="1" customWidth="1"/>
    <col min="14859" max="14859" width="10.28515625" bestFit="1" customWidth="1"/>
    <col min="14860" max="14860" width="21.140625" bestFit="1" customWidth="1"/>
    <col min="14861" max="14861" width="9.28515625" bestFit="1" customWidth="1"/>
    <col min="14862" max="14862" width="9.42578125" bestFit="1" customWidth="1"/>
    <col min="15105" max="15105" width="36.5703125" bestFit="1" customWidth="1"/>
    <col min="15106" max="15106" width="16" bestFit="1" customWidth="1"/>
    <col min="15107" max="15107" width="14.5703125" bestFit="1" customWidth="1"/>
    <col min="15108" max="15108" width="23.28515625" bestFit="1" customWidth="1"/>
    <col min="15109" max="15109" width="20.85546875" bestFit="1" customWidth="1"/>
    <col min="15110" max="15110" width="25.140625" bestFit="1" customWidth="1"/>
    <col min="15111" max="15111" width="12.42578125" bestFit="1" customWidth="1"/>
    <col min="15112" max="15112" width="13.28515625" bestFit="1" customWidth="1"/>
    <col min="15113" max="15113" width="11.42578125" bestFit="1" customWidth="1"/>
    <col min="15114" max="15114" width="14.28515625" bestFit="1" customWidth="1"/>
    <col min="15115" max="15115" width="10.28515625" bestFit="1" customWidth="1"/>
    <col min="15116" max="15116" width="21.140625" bestFit="1" customWidth="1"/>
    <col min="15117" max="15117" width="9.28515625" bestFit="1" customWidth="1"/>
    <col min="15118" max="15118" width="9.42578125" bestFit="1" customWidth="1"/>
    <col min="15361" max="15361" width="36.5703125" bestFit="1" customWidth="1"/>
    <col min="15362" max="15362" width="16" bestFit="1" customWidth="1"/>
    <col min="15363" max="15363" width="14.5703125" bestFit="1" customWidth="1"/>
    <col min="15364" max="15364" width="23.28515625" bestFit="1" customWidth="1"/>
    <col min="15365" max="15365" width="20.85546875" bestFit="1" customWidth="1"/>
    <col min="15366" max="15366" width="25.140625" bestFit="1" customWidth="1"/>
    <col min="15367" max="15367" width="12.42578125" bestFit="1" customWidth="1"/>
    <col min="15368" max="15368" width="13.28515625" bestFit="1" customWidth="1"/>
    <col min="15369" max="15369" width="11.42578125" bestFit="1" customWidth="1"/>
    <col min="15370" max="15370" width="14.28515625" bestFit="1" customWidth="1"/>
    <col min="15371" max="15371" width="10.28515625" bestFit="1" customWidth="1"/>
    <col min="15372" max="15372" width="21.140625" bestFit="1" customWidth="1"/>
    <col min="15373" max="15373" width="9.28515625" bestFit="1" customWidth="1"/>
    <col min="15374" max="15374" width="9.42578125" bestFit="1" customWidth="1"/>
    <col min="15617" max="15617" width="36.5703125" bestFit="1" customWidth="1"/>
    <col min="15618" max="15618" width="16" bestFit="1" customWidth="1"/>
    <col min="15619" max="15619" width="14.5703125" bestFit="1" customWidth="1"/>
    <col min="15620" max="15620" width="23.28515625" bestFit="1" customWidth="1"/>
    <col min="15621" max="15621" width="20.85546875" bestFit="1" customWidth="1"/>
    <col min="15622" max="15622" width="25.140625" bestFit="1" customWidth="1"/>
    <col min="15623" max="15623" width="12.42578125" bestFit="1" customWidth="1"/>
    <col min="15624" max="15624" width="13.28515625" bestFit="1" customWidth="1"/>
    <col min="15625" max="15625" width="11.42578125" bestFit="1" customWidth="1"/>
    <col min="15626" max="15626" width="14.28515625" bestFit="1" customWidth="1"/>
    <col min="15627" max="15627" width="10.28515625" bestFit="1" customWidth="1"/>
    <col min="15628" max="15628" width="21.140625" bestFit="1" customWidth="1"/>
    <col min="15629" max="15629" width="9.28515625" bestFit="1" customWidth="1"/>
    <col min="15630" max="15630" width="9.42578125" bestFit="1" customWidth="1"/>
    <col min="15873" max="15873" width="36.5703125" bestFit="1" customWidth="1"/>
    <col min="15874" max="15874" width="16" bestFit="1" customWidth="1"/>
    <col min="15875" max="15875" width="14.5703125" bestFit="1" customWidth="1"/>
    <col min="15876" max="15876" width="23.28515625" bestFit="1" customWidth="1"/>
    <col min="15877" max="15877" width="20.85546875" bestFit="1" customWidth="1"/>
    <col min="15878" max="15878" width="25.140625" bestFit="1" customWidth="1"/>
    <col min="15879" max="15879" width="12.42578125" bestFit="1" customWidth="1"/>
    <col min="15880" max="15880" width="13.28515625" bestFit="1" customWidth="1"/>
    <col min="15881" max="15881" width="11.42578125" bestFit="1" customWidth="1"/>
    <col min="15882" max="15882" width="14.28515625" bestFit="1" customWidth="1"/>
    <col min="15883" max="15883" width="10.28515625" bestFit="1" customWidth="1"/>
    <col min="15884" max="15884" width="21.140625" bestFit="1" customWidth="1"/>
    <col min="15885" max="15885" width="9.28515625" bestFit="1" customWidth="1"/>
    <col min="15886" max="15886" width="9.42578125" bestFit="1" customWidth="1"/>
    <col min="16129" max="16129" width="36.5703125" bestFit="1" customWidth="1"/>
    <col min="16130" max="16130" width="16" bestFit="1" customWidth="1"/>
    <col min="16131" max="16131" width="14.5703125" bestFit="1" customWidth="1"/>
    <col min="16132" max="16132" width="23.28515625" bestFit="1" customWidth="1"/>
    <col min="16133" max="16133" width="20.85546875" bestFit="1" customWidth="1"/>
    <col min="16134" max="16134" width="25.140625" bestFit="1" customWidth="1"/>
    <col min="16135" max="16135" width="12.42578125" bestFit="1" customWidth="1"/>
    <col min="16136" max="16136" width="13.28515625" bestFit="1" customWidth="1"/>
    <col min="16137" max="16137" width="11.42578125" bestFit="1" customWidth="1"/>
    <col min="16138" max="16138" width="14.28515625" bestFit="1" customWidth="1"/>
    <col min="16139" max="16139" width="10.28515625" bestFit="1" customWidth="1"/>
    <col min="16140" max="16140" width="21.140625" bestFit="1" customWidth="1"/>
    <col min="16141" max="16141" width="9.28515625" bestFit="1" customWidth="1"/>
    <col min="16142" max="16142" width="9.425781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3243</v>
      </c>
      <c r="C5" s="1594"/>
      <c r="D5" s="1594"/>
      <c r="E5" s="1595"/>
      <c r="F5" s="326" t="s">
        <v>171</v>
      </c>
      <c r="G5" s="326"/>
      <c r="H5" s="1599" t="s">
        <v>3242</v>
      </c>
      <c r="I5" s="1600"/>
      <c r="J5" s="326" t="s">
        <v>172</v>
      </c>
      <c r="K5" s="631" t="s">
        <v>3241</v>
      </c>
      <c r="L5" s="326" t="s">
        <v>436</v>
      </c>
      <c r="M5" s="326"/>
      <c r="N5" s="631" t="s">
        <v>3240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3239</v>
      </c>
      <c r="C7" s="1594"/>
      <c r="D7" s="1594"/>
      <c r="E7" s="1595"/>
      <c r="F7" s="1596" t="s">
        <v>3208</v>
      </c>
      <c r="G7" s="1596"/>
      <c r="H7" s="1593" t="s">
        <v>3238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 t="s">
        <v>3237</v>
      </c>
      <c r="C9" s="1594"/>
      <c r="D9" s="1594"/>
      <c r="E9" s="1595"/>
      <c r="F9" s="1601" t="s">
        <v>3205</v>
      </c>
      <c r="G9" s="1602"/>
      <c r="H9" s="1603" t="s">
        <v>3236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3235</v>
      </c>
      <c r="C13" s="1612"/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3"/>
      <c r="C14" s="1614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329" t="s">
        <v>3234</v>
      </c>
      <c r="C15" s="329" t="s">
        <v>3233</v>
      </c>
      <c r="D15" s="329" t="s">
        <v>3232</v>
      </c>
      <c r="E15" s="329" t="s">
        <v>3231</v>
      </c>
      <c r="F15" s="329" t="s">
        <v>3230</v>
      </c>
      <c r="G15" s="329"/>
      <c r="H15" s="623"/>
      <c r="I15" s="623"/>
      <c r="J15" s="1612"/>
      <c r="K15" s="1612"/>
      <c r="L15" s="1612"/>
      <c r="M15" s="1612"/>
      <c r="N15" s="326"/>
    </row>
    <row r="16" spans="1:14">
      <c r="A16" s="631" t="s">
        <v>197</v>
      </c>
      <c r="B16" s="331" t="s">
        <v>3229</v>
      </c>
      <c r="C16" s="329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C18" s="328"/>
      <c r="D18" s="326"/>
      <c r="E18" s="326"/>
      <c r="F18" s="631">
        <v>1</v>
      </c>
      <c r="G18" s="326" t="s">
        <v>200</v>
      </c>
      <c r="H18" s="632">
        <v>5</v>
      </c>
      <c r="I18" s="326" t="s">
        <v>201</v>
      </c>
      <c r="J18" s="632">
        <v>1</v>
      </c>
      <c r="K18" s="326" t="s">
        <v>202</v>
      </c>
      <c r="L18" s="631">
        <v>4</v>
      </c>
      <c r="M18" s="326"/>
      <c r="N18" s="326"/>
    </row>
    <row r="19" spans="1:14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86</v>
      </c>
      <c r="D21" s="326" t="s">
        <v>205</v>
      </c>
      <c r="E21" s="631">
        <v>1</v>
      </c>
      <c r="F21" s="326" t="s">
        <v>206</v>
      </c>
      <c r="G21" s="80">
        <v>0</v>
      </c>
      <c r="H21" s="326" t="s">
        <v>230</v>
      </c>
      <c r="I21" s="80">
        <f>C21+E21+G21</f>
        <v>87</v>
      </c>
      <c r="J21" s="326" t="s">
        <v>207</v>
      </c>
      <c r="K21" s="631">
        <v>53</v>
      </c>
      <c r="L21" s="326" t="s">
        <v>3187</v>
      </c>
      <c r="M21" s="326"/>
      <c r="N21" s="631">
        <v>13</v>
      </c>
    </row>
    <row r="22" spans="1:14">
      <c r="A22" s="326" t="s">
        <v>209</v>
      </c>
      <c r="B22" s="326" t="s">
        <v>210</v>
      </c>
      <c r="C22" s="631">
        <v>170</v>
      </c>
      <c r="D22" s="326" t="s">
        <v>211</v>
      </c>
      <c r="E22" s="631">
        <v>1</v>
      </c>
      <c r="F22" s="326" t="s">
        <v>212</v>
      </c>
      <c r="G22" s="631">
        <v>0</v>
      </c>
      <c r="H22" s="326" t="s">
        <v>411</v>
      </c>
      <c r="I22" s="80">
        <f>C22+E22+G22</f>
        <v>171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208</v>
      </c>
      <c r="D23" s="326" t="s">
        <v>214</v>
      </c>
      <c r="E23" s="631">
        <v>1</v>
      </c>
      <c r="F23" s="326" t="s">
        <v>215</v>
      </c>
      <c r="G23" s="631">
        <v>0</v>
      </c>
      <c r="H23" s="326" t="s">
        <v>410</v>
      </c>
      <c r="I23" s="80">
        <f>C23+E23+G23</f>
        <v>209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35">
        <f>468.8*B29</f>
        <v>3750400</v>
      </c>
      <c r="E29" s="335">
        <f>168500+300000</f>
        <v>468500</v>
      </c>
      <c r="F29" s="335"/>
      <c r="G29" s="335">
        <v>78070</v>
      </c>
      <c r="H29" s="335"/>
      <c r="I29" s="335"/>
      <c r="J29" s="335"/>
      <c r="K29" s="335"/>
      <c r="L29" s="335"/>
      <c r="M29" s="335">
        <f t="shared" ref="M29:M38" si="0">SUM(F29:L29)</f>
        <v>78070</v>
      </c>
      <c r="N29" s="323">
        <f>+M29/E29*100</f>
        <v>16.663820704375667</v>
      </c>
    </row>
    <row r="30" spans="1:14">
      <c r="A30" s="322" t="s">
        <v>234</v>
      </c>
      <c r="B30" s="322">
        <v>7000</v>
      </c>
      <c r="C30" s="322" t="s">
        <v>233</v>
      </c>
      <c r="D30" s="335">
        <f>468.8*B30</f>
        <v>3281600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35">
        <f t="shared" si="0"/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335">
        <v>18000</v>
      </c>
      <c r="F31" s="335"/>
      <c r="G31" s="335">
        <v>18000</v>
      </c>
      <c r="H31" s="335"/>
      <c r="I31" s="335"/>
      <c r="J31" s="335"/>
      <c r="K31" s="335"/>
      <c r="L31" s="335"/>
      <c r="M31" s="335">
        <f t="shared" si="0"/>
        <v>18000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335">
        <v>16000</v>
      </c>
      <c r="H32" s="335"/>
      <c r="I32" s="335"/>
      <c r="J32" s="335"/>
      <c r="K32" s="335"/>
      <c r="L32" s="335"/>
      <c r="M32" s="335">
        <f t="shared" si="0"/>
        <v>16000</v>
      </c>
      <c r="N32" s="323">
        <f t="shared" si="1"/>
        <v>100</v>
      </c>
    </row>
    <row r="33" spans="1:16">
      <c r="A33" s="322" t="s">
        <v>238</v>
      </c>
      <c r="B33" s="322">
        <v>1200</v>
      </c>
      <c r="C33" s="322" t="s">
        <v>233</v>
      </c>
      <c r="D33" s="335">
        <f>468.8*B33</f>
        <v>562560</v>
      </c>
      <c r="E33" s="335">
        <v>200000</v>
      </c>
      <c r="F33" s="335"/>
      <c r="G33" s="335">
        <v>197354</v>
      </c>
      <c r="H33" s="335"/>
      <c r="I33" s="335"/>
      <c r="J33" s="335"/>
      <c r="K33" s="335"/>
      <c r="L33" s="335"/>
      <c r="M33" s="335">
        <f t="shared" si="0"/>
        <v>197354</v>
      </c>
      <c r="N33" s="323">
        <f t="shared" si="1"/>
        <v>98.677000000000007</v>
      </c>
    </row>
    <row r="34" spans="1:16">
      <c r="A34" s="322" t="s">
        <v>667</v>
      </c>
      <c r="B34" s="322">
        <v>565</v>
      </c>
      <c r="C34" s="322" t="s">
        <v>233</v>
      </c>
      <c r="D34" s="335">
        <f>468.8*B34</f>
        <v>264872</v>
      </c>
      <c r="E34" s="335">
        <f>46360+100000</f>
        <v>146360</v>
      </c>
      <c r="F34" s="335"/>
      <c r="G34" s="335">
        <v>32000</v>
      </c>
      <c r="H34" s="335"/>
      <c r="I34" s="335"/>
      <c r="J34" s="335"/>
      <c r="K34" s="335"/>
      <c r="L34" s="335"/>
      <c r="M34" s="335">
        <f t="shared" si="0"/>
        <v>32000</v>
      </c>
      <c r="N34" s="323">
        <f t="shared" si="1"/>
        <v>21.863897239682974</v>
      </c>
    </row>
    <row r="35" spans="1:16">
      <c r="A35" s="322" t="s">
        <v>240</v>
      </c>
      <c r="B35" s="322">
        <v>1000</v>
      </c>
      <c r="C35" s="322" t="s">
        <v>233</v>
      </c>
      <c r="D35" s="335">
        <f>468.8*B35</f>
        <v>468800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35">
        <f t="shared" si="0"/>
        <v>0</v>
      </c>
      <c r="N35" s="323">
        <v>0</v>
      </c>
    </row>
    <row r="36" spans="1:16">
      <c r="A36" s="322" t="s">
        <v>394</v>
      </c>
      <c r="B36" s="322">
        <v>2750</v>
      </c>
      <c r="C36" s="322" t="s">
        <v>242</v>
      </c>
      <c r="D36" s="335">
        <f>+B36*84</f>
        <v>231000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35">
        <f t="shared" si="0"/>
        <v>30250</v>
      </c>
      <c r="N36" s="323">
        <f t="shared" si="1"/>
        <v>100</v>
      </c>
    </row>
    <row r="37" spans="1:16">
      <c r="A37" s="324" t="s">
        <v>670</v>
      </c>
      <c r="B37" s="322">
        <v>10000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35">
        <f t="shared" si="0"/>
        <v>0</v>
      </c>
      <c r="N37" s="323">
        <v>0</v>
      </c>
    </row>
    <row r="38" spans="1:16">
      <c r="A38" s="631" t="s">
        <v>245</v>
      </c>
      <c r="B38" s="322"/>
      <c r="C38" s="322"/>
      <c r="D38" s="653">
        <f t="shared" ref="D38:L38" si="2">SUM(D29:D37)</f>
        <v>8659232</v>
      </c>
      <c r="E38" s="653">
        <f t="shared" si="2"/>
        <v>879110</v>
      </c>
      <c r="F38" s="653">
        <f t="shared" si="2"/>
        <v>0</v>
      </c>
      <c r="G38" s="653">
        <f t="shared" si="2"/>
        <v>371674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53">
        <f t="shared" si="0"/>
        <v>371674</v>
      </c>
      <c r="N38" s="323">
        <f t="shared" si="1"/>
        <v>42.278440695703608</v>
      </c>
    </row>
    <row r="40" spans="1:16">
      <c r="A40" t="s">
        <v>5678</v>
      </c>
      <c r="D40" t="s">
        <v>5679</v>
      </c>
    </row>
    <row r="42" spans="1:16">
      <c r="A42" s="320" t="s">
        <v>5680</v>
      </c>
      <c r="B42" s="320"/>
      <c r="C42" s="320"/>
      <c r="D42" s="320" t="s">
        <v>5681</v>
      </c>
      <c r="E42" s="320"/>
      <c r="F42" s="320"/>
      <c r="G42" s="320"/>
      <c r="H42" s="320"/>
      <c r="J42" s="320"/>
      <c r="L42" s="320"/>
      <c r="M42" s="320"/>
      <c r="O42" s="320"/>
      <c r="P42" s="320"/>
    </row>
  </sheetData>
  <mergeCells count="29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D16:F16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ageMargins left="0.14000000000000001" right="0.14000000000000001" top="0.21" bottom="0.43" header="0.18" footer="0.24"/>
  <pageSetup paperSize="9" scale="61" orientation="landscape" r:id="rId1"/>
  <headerFooter>
    <oddFooter>&amp;L&amp;9&amp;F&amp;R&amp;9&amp;A</oddFooter>
  </headerFooter>
</worksheet>
</file>

<file path=xl/worksheets/sheet3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2"/>
  <sheetViews>
    <sheetView zoomScale="70" zoomScaleNormal="70" workbookViewId="0">
      <selection activeCell="A3" sqref="A3:C3"/>
    </sheetView>
  </sheetViews>
  <sheetFormatPr defaultRowHeight="15"/>
  <cols>
    <col min="1" max="1" width="36.5703125" bestFit="1" customWidth="1"/>
    <col min="2" max="2" width="18.140625" customWidth="1"/>
    <col min="3" max="3" width="14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1.140625" customWidth="1"/>
    <col min="16" max="16" width="7.7109375" bestFit="1" customWidth="1"/>
    <col min="257" max="257" width="36.5703125" bestFit="1" customWidth="1"/>
    <col min="258" max="258" width="18.140625" customWidth="1"/>
    <col min="259" max="259" width="14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1.140625" customWidth="1"/>
    <col min="272" max="272" width="7.7109375" bestFit="1" customWidth="1"/>
    <col min="513" max="513" width="36.5703125" bestFit="1" customWidth="1"/>
    <col min="514" max="514" width="18.140625" customWidth="1"/>
    <col min="515" max="515" width="14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1.140625" customWidth="1"/>
    <col min="528" max="528" width="7.7109375" bestFit="1" customWidth="1"/>
    <col min="769" max="769" width="36.5703125" bestFit="1" customWidth="1"/>
    <col min="770" max="770" width="18.140625" customWidth="1"/>
    <col min="771" max="771" width="14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1.140625" customWidth="1"/>
    <col min="784" max="784" width="7.7109375" bestFit="1" customWidth="1"/>
    <col min="1025" max="1025" width="36.5703125" bestFit="1" customWidth="1"/>
    <col min="1026" max="1026" width="18.140625" customWidth="1"/>
    <col min="1027" max="1027" width="14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1.140625" customWidth="1"/>
    <col min="1040" max="1040" width="7.7109375" bestFit="1" customWidth="1"/>
    <col min="1281" max="1281" width="36.5703125" bestFit="1" customWidth="1"/>
    <col min="1282" max="1282" width="18.140625" customWidth="1"/>
    <col min="1283" max="1283" width="14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1.140625" customWidth="1"/>
    <col min="1296" max="1296" width="7.7109375" bestFit="1" customWidth="1"/>
    <col min="1537" max="1537" width="36.5703125" bestFit="1" customWidth="1"/>
    <col min="1538" max="1538" width="18.140625" customWidth="1"/>
    <col min="1539" max="1539" width="14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1.140625" customWidth="1"/>
    <col min="1552" max="1552" width="7.7109375" bestFit="1" customWidth="1"/>
    <col min="1793" max="1793" width="36.5703125" bestFit="1" customWidth="1"/>
    <col min="1794" max="1794" width="18.140625" customWidth="1"/>
    <col min="1795" max="1795" width="14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1.140625" customWidth="1"/>
    <col min="1808" max="1808" width="7.7109375" bestFit="1" customWidth="1"/>
    <col min="2049" max="2049" width="36.5703125" bestFit="1" customWidth="1"/>
    <col min="2050" max="2050" width="18.140625" customWidth="1"/>
    <col min="2051" max="2051" width="14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1.140625" customWidth="1"/>
    <col min="2064" max="2064" width="7.7109375" bestFit="1" customWidth="1"/>
    <col min="2305" max="2305" width="36.5703125" bestFit="1" customWidth="1"/>
    <col min="2306" max="2306" width="18.140625" customWidth="1"/>
    <col min="2307" max="2307" width="14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1.140625" customWidth="1"/>
    <col min="2320" max="2320" width="7.7109375" bestFit="1" customWidth="1"/>
    <col min="2561" max="2561" width="36.5703125" bestFit="1" customWidth="1"/>
    <col min="2562" max="2562" width="18.140625" customWidth="1"/>
    <col min="2563" max="2563" width="14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1.140625" customWidth="1"/>
    <col min="2576" max="2576" width="7.7109375" bestFit="1" customWidth="1"/>
    <col min="2817" max="2817" width="36.5703125" bestFit="1" customWidth="1"/>
    <col min="2818" max="2818" width="18.140625" customWidth="1"/>
    <col min="2819" max="2819" width="14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1.140625" customWidth="1"/>
    <col min="2832" max="2832" width="7.7109375" bestFit="1" customWidth="1"/>
    <col min="3073" max="3073" width="36.5703125" bestFit="1" customWidth="1"/>
    <col min="3074" max="3074" width="18.140625" customWidth="1"/>
    <col min="3075" max="3075" width="14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1.140625" customWidth="1"/>
    <col min="3088" max="3088" width="7.7109375" bestFit="1" customWidth="1"/>
    <col min="3329" max="3329" width="36.5703125" bestFit="1" customWidth="1"/>
    <col min="3330" max="3330" width="18.140625" customWidth="1"/>
    <col min="3331" max="3331" width="14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1.140625" customWidth="1"/>
    <col min="3344" max="3344" width="7.7109375" bestFit="1" customWidth="1"/>
    <col min="3585" max="3585" width="36.5703125" bestFit="1" customWidth="1"/>
    <col min="3586" max="3586" width="18.140625" customWidth="1"/>
    <col min="3587" max="3587" width="14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1.140625" customWidth="1"/>
    <col min="3600" max="3600" width="7.7109375" bestFit="1" customWidth="1"/>
    <col min="3841" max="3841" width="36.5703125" bestFit="1" customWidth="1"/>
    <col min="3842" max="3842" width="18.140625" customWidth="1"/>
    <col min="3843" max="3843" width="14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1.140625" customWidth="1"/>
    <col min="3856" max="3856" width="7.7109375" bestFit="1" customWidth="1"/>
    <col min="4097" max="4097" width="36.5703125" bestFit="1" customWidth="1"/>
    <col min="4098" max="4098" width="18.140625" customWidth="1"/>
    <col min="4099" max="4099" width="14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1.140625" customWidth="1"/>
    <col min="4112" max="4112" width="7.7109375" bestFit="1" customWidth="1"/>
    <col min="4353" max="4353" width="36.5703125" bestFit="1" customWidth="1"/>
    <col min="4354" max="4354" width="18.140625" customWidth="1"/>
    <col min="4355" max="4355" width="14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1.140625" customWidth="1"/>
    <col min="4368" max="4368" width="7.7109375" bestFit="1" customWidth="1"/>
    <col min="4609" max="4609" width="36.5703125" bestFit="1" customWidth="1"/>
    <col min="4610" max="4610" width="18.140625" customWidth="1"/>
    <col min="4611" max="4611" width="14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1.140625" customWidth="1"/>
    <col min="4624" max="4624" width="7.7109375" bestFit="1" customWidth="1"/>
    <col min="4865" max="4865" width="36.5703125" bestFit="1" customWidth="1"/>
    <col min="4866" max="4866" width="18.140625" customWidth="1"/>
    <col min="4867" max="4867" width="14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1.140625" customWidth="1"/>
    <col min="4880" max="4880" width="7.7109375" bestFit="1" customWidth="1"/>
    <col min="5121" max="5121" width="36.5703125" bestFit="1" customWidth="1"/>
    <col min="5122" max="5122" width="18.140625" customWidth="1"/>
    <col min="5123" max="5123" width="14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1.140625" customWidth="1"/>
    <col min="5136" max="5136" width="7.7109375" bestFit="1" customWidth="1"/>
    <col min="5377" max="5377" width="36.5703125" bestFit="1" customWidth="1"/>
    <col min="5378" max="5378" width="18.140625" customWidth="1"/>
    <col min="5379" max="5379" width="14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1.140625" customWidth="1"/>
    <col min="5392" max="5392" width="7.7109375" bestFit="1" customWidth="1"/>
    <col min="5633" max="5633" width="36.5703125" bestFit="1" customWidth="1"/>
    <col min="5634" max="5634" width="18.140625" customWidth="1"/>
    <col min="5635" max="5635" width="14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1.140625" customWidth="1"/>
    <col min="5648" max="5648" width="7.7109375" bestFit="1" customWidth="1"/>
    <col min="5889" max="5889" width="36.5703125" bestFit="1" customWidth="1"/>
    <col min="5890" max="5890" width="18.140625" customWidth="1"/>
    <col min="5891" max="5891" width="14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1.140625" customWidth="1"/>
    <col min="5904" max="5904" width="7.7109375" bestFit="1" customWidth="1"/>
    <col min="6145" max="6145" width="36.5703125" bestFit="1" customWidth="1"/>
    <col min="6146" max="6146" width="18.140625" customWidth="1"/>
    <col min="6147" max="6147" width="14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1.140625" customWidth="1"/>
    <col min="6160" max="6160" width="7.7109375" bestFit="1" customWidth="1"/>
    <col min="6401" max="6401" width="36.5703125" bestFit="1" customWidth="1"/>
    <col min="6402" max="6402" width="18.140625" customWidth="1"/>
    <col min="6403" max="6403" width="14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1.140625" customWidth="1"/>
    <col min="6416" max="6416" width="7.7109375" bestFit="1" customWidth="1"/>
    <col min="6657" max="6657" width="36.5703125" bestFit="1" customWidth="1"/>
    <col min="6658" max="6658" width="18.140625" customWidth="1"/>
    <col min="6659" max="6659" width="14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1.140625" customWidth="1"/>
    <col min="6672" max="6672" width="7.7109375" bestFit="1" customWidth="1"/>
    <col min="6913" max="6913" width="36.5703125" bestFit="1" customWidth="1"/>
    <col min="6914" max="6914" width="18.140625" customWidth="1"/>
    <col min="6915" max="6915" width="14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1.140625" customWidth="1"/>
    <col min="6928" max="6928" width="7.7109375" bestFit="1" customWidth="1"/>
    <col min="7169" max="7169" width="36.5703125" bestFit="1" customWidth="1"/>
    <col min="7170" max="7170" width="18.140625" customWidth="1"/>
    <col min="7171" max="7171" width="14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1.140625" customWidth="1"/>
    <col min="7184" max="7184" width="7.7109375" bestFit="1" customWidth="1"/>
    <col min="7425" max="7425" width="36.5703125" bestFit="1" customWidth="1"/>
    <col min="7426" max="7426" width="18.140625" customWidth="1"/>
    <col min="7427" max="7427" width="14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1.140625" customWidth="1"/>
    <col min="7440" max="7440" width="7.7109375" bestFit="1" customWidth="1"/>
    <col min="7681" max="7681" width="36.5703125" bestFit="1" customWidth="1"/>
    <col min="7682" max="7682" width="18.140625" customWidth="1"/>
    <col min="7683" max="7683" width="14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1.140625" customWidth="1"/>
    <col min="7696" max="7696" width="7.7109375" bestFit="1" customWidth="1"/>
    <col min="7937" max="7937" width="36.5703125" bestFit="1" customWidth="1"/>
    <col min="7938" max="7938" width="18.140625" customWidth="1"/>
    <col min="7939" max="7939" width="14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1.140625" customWidth="1"/>
    <col min="7952" max="7952" width="7.7109375" bestFit="1" customWidth="1"/>
    <col min="8193" max="8193" width="36.5703125" bestFit="1" customWidth="1"/>
    <col min="8194" max="8194" width="18.140625" customWidth="1"/>
    <col min="8195" max="8195" width="14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1.140625" customWidth="1"/>
    <col min="8208" max="8208" width="7.7109375" bestFit="1" customWidth="1"/>
    <col min="8449" max="8449" width="36.5703125" bestFit="1" customWidth="1"/>
    <col min="8450" max="8450" width="18.140625" customWidth="1"/>
    <col min="8451" max="8451" width="14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1.140625" customWidth="1"/>
    <col min="8464" max="8464" width="7.7109375" bestFit="1" customWidth="1"/>
    <col min="8705" max="8705" width="36.5703125" bestFit="1" customWidth="1"/>
    <col min="8706" max="8706" width="18.140625" customWidth="1"/>
    <col min="8707" max="8707" width="14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1.140625" customWidth="1"/>
    <col min="8720" max="8720" width="7.7109375" bestFit="1" customWidth="1"/>
    <col min="8961" max="8961" width="36.5703125" bestFit="1" customWidth="1"/>
    <col min="8962" max="8962" width="18.140625" customWidth="1"/>
    <col min="8963" max="8963" width="14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1.140625" customWidth="1"/>
    <col min="8976" max="8976" width="7.7109375" bestFit="1" customWidth="1"/>
    <col min="9217" max="9217" width="36.5703125" bestFit="1" customWidth="1"/>
    <col min="9218" max="9218" width="18.140625" customWidth="1"/>
    <col min="9219" max="9219" width="14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1.140625" customWidth="1"/>
    <col min="9232" max="9232" width="7.7109375" bestFit="1" customWidth="1"/>
    <col min="9473" max="9473" width="36.5703125" bestFit="1" customWidth="1"/>
    <col min="9474" max="9474" width="18.140625" customWidth="1"/>
    <col min="9475" max="9475" width="14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1.140625" customWidth="1"/>
    <col min="9488" max="9488" width="7.7109375" bestFit="1" customWidth="1"/>
    <col min="9729" max="9729" width="36.5703125" bestFit="1" customWidth="1"/>
    <col min="9730" max="9730" width="18.140625" customWidth="1"/>
    <col min="9731" max="9731" width="14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1.140625" customWidth="1"/>
    <col min="9744" max="9744" width="7.7109375" bestFit="1" customWidth="1"/>
    <col min="9985" max="9985" width="36.5703125" bestFit="1" customWidth="1"/>
    <col min="9986" max="9986" width="18.140625" customWidth="1"/>
    <col min="9987" max="9987" width="14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1.140625" customWidth="1"/>
    <col min="10000" max="10000" width="7.7109375" bestFit="1" customWidth="1"/>
    <col min="10241" max="10241" width="36.5703125" bestFit="1" customWidth="1"/>
    <col min="10242" max="10242" width="18.140625" customWidth="1"/>
    <col min="10243" max="10243" width="14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1.140625" customWidth="1"/>
    <col min="10256" max="10256" width="7.7109375" bestFit="1" customWidth="1"/>
    <col min="10497" max="10497" width="36.5703125" bestFit="1" customWidth="1"/>
    <col min="10498" max="10498" width="18.140625" customWidth="1"/>
    <col min="10499" max="10499" width="14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1.140625" customWidth="1"/>
    <col min="10512" max="10512" width="7.7109375" bestFit="1" customWidth="1"/>
    <col min="10753" max="10753" width="36.5703125" bestFit="1" customWidth="1"/>
    <col min="10754" max="10754" width="18.140625" customWidth="1"/>
    <col min="10755" max="10755" width="14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1.140625" customWidth="1"/>
    <col min="10768" max="10768" width="7.7109375" bestFit="1" customWidth="1"/>
    <col min="11009" max="11009" width="36.5703125" bestFit="1" customWidth="1"/>
    <col min="11010" max="11010" width="18.140625" customWidth="1"/>
    <col min="11011" max="11011" width="14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1.140625" customWidth="1"/>
    <col min="11024" max="11024" width="7.7109375" bestFit="1" customWidth="1"/>
    <col min="11265" max="11265" width="36.5703125" bestFit="1" customWidth="1"/>
    <col min="11266" max="11266" width="18.140625" customWidth="1"/>
    <col min="11267" max="11267" width="14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1.140625" customWidth="1"/>
    <col min="11280" max="11280" width="7.7109375" bestFit="1" customWidth="1"/>
    <col min="11521" max="11521" width="36.5703125" bestFit="1" customWidth="1"/>
    <col min="11522" max="11522" width="18.140625" customWidth="1"/>
    <col min="11523" max="11523" width="14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1.140625" customWidth="1"/>
    <col min="11536" max="11536" width="7.7109375" bestFit="1" customWidth="1"/>
    <col min="11777" max="11777" width="36.5703125" bestFit="1" customWidth="1"/>
    <col min="11778" max="11778" width="18.140625" customWidth="1"/>
    <col min="11779" max="11779" width="14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1.140625" customWidth="1"/>
    <col min="11792" max="11792" width="7.7109375" bestFit="1" customWidth="1"/>
    <col min="12033" max="12033" width="36.5703125" bestFit="1" customWidth="1"/>
    <col min="12034" max="12034" width="18.140625" customWidth="1"/>
    <col min="12035" max="12035" width="14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1.140625" customWidth="1"/>
    <col min="12048" max="12048" width="7.7109375" bestFit="1" customWidth="1"/>
    <col min="12289" max="12289" width="36.5703125" bestFit="1" customWidth="1"/>
    <col min="12290" max="12290" width="18.140625" customWidth="1"/>
    <col min="12291" max="12291" width="14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1.140625" customWidth="1"/>
    <col min="12304" max="12304" width="7.7109375" bestFit="1" customWidth="1"/>
    <col min="12545" max="12545" width="36.5703125" bestFit="1" customWidth="1"/>
    <col min="12546" max="12546" width="18.140625" customWidth="1"/>
    <col min="12547" max="12547" width="14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1.140625" customWidth="1"/>
    <col min="12560" max="12560" width="7.7109375" bestFit="1" customWidth="1"/>
    <col min="12801" max="12801" width="36.5703125" bestFit="1" customWidth="1"/>
    <col min="12802" max="12802" width="18.140625" customWidth="1"/>
    <col min="12803" max="12803" width="14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1.140625" customWidth="1"/>
    <col min="12816" max="12816" width="7.7109375" bestFit="1" customWidth="1"/>
    <col min="13057" max="13057" width="36.5703125" bestFit="1" customWidth="1"/>
    <col min="13058" max="13058" width="18.140625" customWidth="1"/>
    <col min="13059" max="13059" width="14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1.140625" customWidth="1"/>
    <col min="13072" max="13072" width="7.7109375" bestFit="1" customWidth="1"/>
    <col min="13313" max="13313" width="36.5703125" bestFit="1" customWidth="1"/>
    <col min="13314" max="13314" width="18.140625" customWidth="1"/>
    <col min="13315" max="13315" width="14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1.140625" customWidth="1"/>
    <col min="13328" max="13328" width="7.7109375" bestFit="1" customWidth="1"/>
    <col min="13569" max="13569" width="36.5703125" bestFit="1" customWidth="1"/>
    <col min="13570" max="13570" width="18.140625" customWidth="1"/>
    <col min="13571" max="13571" width="14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1.140625" customWidth="1"/>
    <col min="13584" max="13584" width="7.7109375" bestFit="1" customWidth="1"/>
    <col min="13825" max="13825" width="36.5703125" bestFit="1" customWidth="1"/>
    <col min="13826" max="13826" width="18.140625" customWidth="1"/>
    <col min="13827" max="13827" width="14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1.140625" customWidth="1"/>
    <col min="13840" max="13840" width="7.7109375" bestFit="1" customWidth="1"/>
    <col min="14081" max="14081" width="36.5703125" bestFit="1" customWidth="1"/>
    <col min="14082" max="14082" width="18.140625" customWidth="1"/>
    <col min="14083" max="14083" width="14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1.140625" customWidth="1"/>
    <col min="14096" max="14096" width="7.7109375" bestFit="1" customWidth="1"/>
    <col min="14337" max="14337" width="36.5703125" bestFit="1" customWidth="1"/>
    <col min="14338" max="14338" width="18.140625" customWidth="1"/>
    <col min="14339" max="14339" width="14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1.140625" customWidth="1"/>
    <col min="14352" max="14352" width="7.7109375" bestFit="1" customWidth="1"/>
    <col min="14593" max="14593" width="36.5703125" bestFit="1" customWidth="1"/>
    <col min="14594" max="14594" width="18.140625" customWidth="1"/>
    <col min="14595" max="14595" width="14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1.140625" customWidth="1"/>
    <col min="14608" max="14608" width="7.7109375" bestFit="1" customWidth="1"/>
    <col min="14849" max="14849" width="36.5703125" bestFit="1" customWidth="1"/>
    <col min="14850" max="14850" width="18.140625" customWidth="1"/>
    <col min="14851" max="14851" width="14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1.140625" customWidth="1"/>
    <col min="14864" max="14864" width="7.7109375" bestFit="1" customWidth="1"/>
    <col min="15105" max="15105" width="36.5703125" bestFit="1" customWidth="1"/>
    <col min="15106" max="15106" width="18.140625" customWidth="1"/>
    <col min="15107" max="15107" width="14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1.140625" customWidth="1"/>
    <col min="15120" max="15120" width="7.7109375" bestFit="1" customWidth="1"/>
    <col min="15361" max="15361" width="36.5703125" bestFit="1" customWidth="1"/>
    <col min="15362" max="15362" width="18.140625" customWidth="1"/>
    <col min="15363" max="15363" width="14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1.140625" customWidth="1"/>
    <col min="15376" max="15376" width="7.7109375" bestFit="1" customWidth="1"/>
    <col min="15617" max="15617" width="36.5703125" bestFit="1" customWidth="1"/>
    <col min="15618" max="15618" width="18.140625" customWidth="1"/>
    <col min="15619" max="15619" width="14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1.140625" customWidth="1"/>
    <col min="15632" max="15632" width="7.7109375" bestFit="1" customWidth="1"/>
    <col min="15873" max="15873" width="36.5703125" bestFit="1" customWidth="1"/>
    <col min="15874" max="15874" width="18.140625" customWidth="1"/>
    <col min="15875" max="15875" width="14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1.140625" customWidth="1"/>
    <col min="15888" max="15888" width="7.7109375" bestFit="1" customWidth="1"/>
    <col min="16129" max="16129" width="36.5703125" bestFit="1" customWidth="1"/>
    <col min="16130" max="16130" width="18.140625" customWidth="1"/>
    <col min="16131" max="16131" width="14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1.140625" customWidth="1"/>
    <col min="16144" max="16144" width="7.710937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593" t="s">
        <v>3262</v>
      </c>
      <c r="C5" s="1594"/>
      <c r="D5" s="1594"/>
      <c r="E5" s="1595"/>
      <c r="F5" s="326" t="s">
        <v>171</v>
      </c>
      <c r="G5" s="326"/>
      <c r="H5" s="1599" t="s">
        <v>3261</v>
      </c>
      <c r="I5" s="1600"/>
      <c r="J5" s="326" t="s">
        <v>172</v>
      </c>
      <c r="K5" s="631" t="s">
        <v>3260</v>
      </c>
      <c r="L5" s="326" t="s">
        <v>436</v>
      </c>
      <c r="M5" s="326"/>
      <c r="N5" s="631" t="s">
        <v>3259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3258</v>
      </c>
      <c r="C7" s="1594"/>
      <c r="D7" s="1594"/>
      <c r="E7" s="1595"/>
      <c r="F7" s="1596" t="s">
        <v>3208</v>
      </c>
      <c r="G7" s="1596"/>
      <c r="H7" s="1593" t="s">
        <v>3257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 t="s">
        <v>3256</v>
      </c>
      <c r="C9" s="1594"/>
      <c r="D9" s="1594"/>
      <c r="E9" s="1595"/>
      <c r="F9" s="1601" t="s">
        <v>3205</v>
      </c>
      <c r="G9" s="1602"/>
      <c r="H9" s="1603" t="s">
        <v>3255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3254</v>
      </c>
      <c r="C13" s="1612"/>
      <c r="D13" s="1612" t="s">
        <v>3253</v>
      </c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31.5" customHeight="1">
      <c r="A14" s="631" t="s">
        <v>187</v>
      </c>
      <c r="B14" s="1613" t="s">
        <v>3252</v>
      </c>
      <c r="C14" s="1614"/>
      <c r="D14" s="1612" t="s">
        <v>3251</v>
      </c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31.5" customHeight="1">
      <c r="A15" s="631" t="s">
        <v>192</v>
      </c>
      <c r="B15" s="329" t="s">
        <v>3250</v>
      </c>
      <c r="C15" s="329" t="s">
        <v>3249</v>
      </c>
      <c r="D15" s="329" t="s">
        <v>3248</v>
      </c>
      <c r="E15" s="329" t="s">
        <v>3247</v>
      </c>
      <c r="F15" s="623"/>
      <c r="G15" s="329" t="s">
        <v>3246</v>
      </c>
      <c r="H15" s="623"/>
      <c r="I15" s="623"/>
      <c r="J15" s="1612"/>
      <c r="K15" s="1612"/>
      <c r="L15" s="1612"/>
      <c r="M15" s="1612"/>
      <c r="N15" s="326"/>
    </row>
    <row r="16" spans="1:14" ht="31.5" customHeight="1">
      <c r="A16" s="631" t="s">
        <v>197</v>
      </c>
      <c r="B16" s="70" t="s">
        <v>3245</v>
      </c>
      <c r="C16" s="329"/>
      <c r="D16" s="1612" t="s">
        <v>3244</v>
      </c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C18" s="328"/>
      <c r="D18" s="326"/>
      <c r="E18" s="326"/>
      <c r="F18" s="631">
        <v>2</v>
      </c>
      <c r="G18" s="326" t="s">
        <v>200</v>
      </c>
      <c r="H18" s="632">
        <v>14</v>
      </c>
      <c r="I18" s="326" t="s">
        <v>201</v>
      </c>
      <c r="J18" s="632">
        <v>1</v>
      </c>
      <c r="K18" s="326" t="s">
        <v>202</v>
      </c>
      <c r="L18" s="631">
        <v>5</v>
      </c>
      <c r="M18" s="326"/>
      <c r="N18" s="326"/>
    </row>
    <row r="19" spans="1:14" ht="15" customHeight="1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128</v>
      </c>
      <c r="D21" s="326" t="s">
        <v>205</v>
      </c>
      <c r="E21" s="631">
        <v>30</v>
      </c>
      <c r="F21" s="326" t="s">
        <v>206</v>
      </c>
      <c r="G21" s="80">
        <v>18</v>
      </c>
      <c r="H21" s="326" t="s">
        <v>230</v>
      </c>
      <c r="I21" s="80">
        <f>C21+E21+G21</f>
        <v>176</v>
      </c>
      <c r="J21" s="326" t="s">
        <v>207</v>
      </c>
      <c r="K21" s="631">
        <v>79</v>
      </c>
      <c r="L21" s="326" t="s">
        <v>3187</v>
      </c>
      <c r="M21" s="326"/>
      <c r="N21" s="631">
        <v>19</v>
      </c>
    </row>
    <row r="22" spans="1:14" ht="21.75" customHeight="1">
      <c r="A22" s="326" t="s">
        <v>209</v>
      </c>
      <c r="B22" s="326" t="s">
        <v>210</v>
      </c>
      <c r="C22" s="631">
        <f>41+241</f>
        <v>282</v>
      </c>
      <c r="D22" s="326" t="s">
        <v>211</v>
      </c>
      <c r="E22" s="631">
        <f>5+42</f>
        <v>47</v>
      </c>
      <c r="F22" s="326" t="s">
        <v>212</v>
      </c>
      <c r="G22" s="631">
        <f>38+4</f>
        <v>42</v>
      </c>
      <c r="H22" s="326" t="s">
        <v>411</v>
      </c>
      <c r="I22" s="80">
        <f>C22+E22+G22</f>
        <v>371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f>58+253</f>
        <v>311</v>
      </c>
      <c r="D23" s="326" t="s">
        <v>214</v>
      </c>
      <c r="E23" s="631">
        <f>6+51</f>
        <v>57</v>
      </c>
      <c r="F23" s="326" t="s">
        <v>215</v>
      </c>
      <c r="G23" s="631">
        <f>45+7</f>
        <v>52</v>
      </c>
      <c r="H23" s="326" t="s">
        <v>410</v>
      </c>
      <c r="I23" s="80">
        <f>C23+E23+G23</f>
        <v>420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35">
        <f>476.4*B29</f>
        <v>3811200</v>
      </c>
      <c r="E29" s="335">
        <f>168500+300000</f>
        <v>468500</v>
      </c>
      <c r="F29" s="335"/>
      <c r="G29" s="335">
        <v>121335</v>
      </c>
      <c r="H29" s="335"/>
      <c r="I29" s="335"/>
      <c r="J29" s="335"/>
      <c r="K29" s="335"/>
      <c r="L29" s="335"/>
      <c r="M29" s="335">
        <f t="shared" ref="M29:M38" si="0">SUM(F29:L29)</f>
        <v>121335</v>
      </c>
      <c r="N29" s="323">
        <f>+M29/E29*100</f>
        <v>25.898612593383135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35">
        <f>476.4*B30</f>
        <v>3334800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35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335">
        <v>18000</v>
      </c>
      <c r="F31" s="335"/>
      <c r="G31" s="335">
        <v>18000</v>
      </c>
      <c r="H31" s="335"/>
      <c r="I31" s="335"/>
      <c r="J31" s="335"/>
      <c r="K31" s="335"/>
      <c r="L31" s="335"/>
      <c r="M31" s="335">
        <f t="shared" si="0"/>
        <v>18000</v>
      </c>
      <c r="N31" s="323">
        <f t="shared" ref="N31:N38" si="1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335">
        <v>16000</v>
      </c>
      <c r="H32" s="335"/>
      <c r="I32" s="335"/>
      <c r="J32" s="335"/>
      <c r="K32" s="335"/>
      <c r="L32" s="335"/>
      <c r="M32" s="335">
        <f t="shared" si="0"/>
        <v>16000</v>
      </c>
      <c r="N32" s="323">
        <f t="shared" si="1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35">
        <f>476.4*B33</f>
        <v>571680</v>
      </c>
      <c r="E33" s="335">
        <v>200000</v>
      </c>
      <c r="F33" s="335"/>
      <c r="G33" s="335">
        <v>191055</v>
      </c>
      <c r="H33" s="335"/>
      <c r="I33" s="335"/>
      <c r="J33" s="335"/>
      <c r="K33" s="335"/>
      <c r="L33" s="335"/>
      <c r="M33" s="335">
        <f t="shared" si="0"/>
        <v>191055</v>
      </c>
      <c r="N33" s="323">
        <f t="shared" si="1"/>
        <v>95.527500000000003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35">
        <f>476.4*B34</f>
        <v>269166</v>
      </c>
      <c r="E34" s="335">
        <f>47640+100000</f>
        <v>147640</v>
      </c>
      <c r="F34" s="335"/>
      <c r="G34" s="335">
        <v>25000</v>
      </c>
      <c r="H34" s="335"/>
      <c r="I34" s="335"/>
      <c r="J34" s="335"/>
      <c r="K34" s="335"/>
      <c r="L34" s="335"/>
      <c r="M34" s="335">
        <f t="shared" si="0"/>
        <v>25000</v>
      </c>
      <c r="N34" s="323">
        <f t="shared" si="1"/>
        <v>16.933080465998373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35">
        <f>476.4*B35</f>
        <v>476400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35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35">
        <f>+B36*84</f>
        <v>231000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35">
        <f t="shared" si="0"/>
        <v>30250</v>
      </c>
      <c r="N36" s="323">
        <f t="shared" si="1"/>
        <v>100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35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653">
        <f t="shared" ref="D38:L38" si="2">SUM(D29:D37)</f>
        <v>8794246</v>
      </c>
      <c r="E38" s="653">
        <f t="shared" si="2"/>
        <v>880390</v>
      </c>
      <c r="F38" s="653">
        <f t="shared" si="2"/>
        <v>0</v>
      </c>
      <c r="G38" s="653">
        <f t="shared" si="2"/>
        <v>401640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53">
        <f t="shared" si="0"/>
        <v>401640</v>
      </c>
      <c r="N38" s="323">
        <f t="shared" si="1"/>
        <v>45.620690830200253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29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D16:F16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37" header="0.39" footer="0.23"/>
  <pageSetup paperSize="9" scale="68" orientation="landscape" r:id="rId1"/>
  <headerFooter>
    <oddFooter>&amp;L&amp;9&amp;F&amp;R&amp;9&amp;A</oddFooter>
  </headerFooter>
</worksheet>
</file>

<file path=xl/worksheets/sheet315.xml><?xml version="1.0" encoding="utf-8"?>
<worksheet xmlns="http://schemas.openxmlformats.org/spreadsheetml/2006/main" xmlns:r="http://schemas.openxmlformats.org/officeDocument/2006/relationships">
  <dimension ref="A1:N42"/>
  <sheetViews>
    <sheetView zoomScale="80" zoomScaleNormal="80" workbookViewId="0">
      <selection activeCell="A3" sqref="A3:C3"/>
    </sheetView>
  </sheetViews>
  <sheetFormatPr defaultRowHeight="15"/>
  <cols>
    <col min="1" max="1" width="36.5703125" bestFit="1" customWidth="1"/>
    <col min="2" max="2" width="18.85546875" bestFit="1" customWidth="1"/>
    <col min="3" max="3" width="10" bestFit="1" customWidth="1"/>
    <col min="4" max="4" width="23.140625" bestFit="1" customWidth="1"/>
    <col min="5" max="5" width="15.85546875" customWidth="1"/>
    <col min="6" max="6" width="25" bestFit="1" customWidth="1"/>
    <col min="7" max="7" width="12.28515625" bestFit="1" customWidth="1"/>
    <col min="8" max="8" width="13.140625" bestFit="1" customWidth="1"/>
    <col min="9" max="9" width="11.28515625" bestFit="1" customWidth="1"/>
    <col min="10" max="10" width="14.140625" bestFit="1" customWidth="1"/>
    <col min="11" max="11" width="10.140625" bestFit="1" customWidth="1"/>
    <col min="12" max="12" width="16.28515625" customWidth="1"/>
    <col min="13" max="13" width="12.85546875" customWidth="1"/>
    <col min="14" max="14" width="9.28515625" bestFit="1" customWidth="1"/>
    <col min="257" max="257" width="36.5703125" bestFit="1" customWidth="1"/>
    <col min="258" max="258" width="18.85546875" bestFit="1" customWidth="1"/>
    <col min="259" max="259" width="10" bestFit="1" customWidth="1"/>
    <col min="260" max="260" width="23.140625" bestFit="1" customWidth="1"/>
    <col min="261" max="261" width="15.85546875" customWidth="1"/>
    <col min="262" max="262" width="25" bestFit="1" customWidth="1"/>
    <col min="263" max="263" width="12.28515625" bestFit="1" customWidth="1"/>
    <col min="264" max="264" width="13.140625" bestFit="1" customWidth="1"/>
    <col min="265" max="265" width="11.28515625" bestFit="1" customWidth="1"/>
    <col min="266" max="266" width="14.140625" bestFit="1" customWidth="1"/>
    <col min="267" max="267" width="10.140625" bestFit="1" customWidth="1"/>
    <col min="268" max="268" width="16.28515625" customWidth="1"/>
    <col min="269" max="269" width="12.85546875" customWidth="1"/>
    <col min="270" max="270" width="9.28515625" bestFit="1" customWidth="1"/>
    <col min="513" max="513" width="36.5703125" bestFit="1" customWidth="1"/>
    <col min="514" max="514" width="18.85546875" bestFit="1" customWidth="1"/>
    <col min="515" max="515" width="10" bestFit="1" customWidth="1"/>
    <col min="516" max="516" width="23.140625" bestFit="1" customWidth="1"/>
    <col min="517" max="517" width="15.85546875" customWidth="1"/>
    <col min="518" max="518" width="25" bestFit="1" customWidth="1"/>
    <col min="519" max="519" width="12.28515625" bestFit="1" customWidth="1"/>
    <col min="520" max="520" width="13.140625" bestFit="1" customWidth="1"/>
    <col min="521" max="521" width="11.28515625" bestFit="1" customWidth="1"/>
    <col min="522" max="522" width="14.140625" bestFit="1" customWidth="1"/>
    <col min="523" max="523" width="10.140625" bestFit="1" customWidth="1"/>
    <col min="524" max="524" width="16.28515625" customWidth="1"/>
    <col min="525" max="525" width="12.85546875" customWidth="1"/>
    <col min="526" max="526" width="9.28515625" bestFit="1" customWidth="1"/>
    <col min="769" max="769" width="36.5703125" bestFit="1" customWidth="1"/>
    <col min="770" max="770" width="18.85546875" bestFit="1" customWidth="1"/>
    <col min="771" max="771" width="10" bestFit="1" customWidth="1"/>
    <col min="772" max="772" width="23.140625" bestFit="1" customWidth="1"/>
    <col min="773" max="773" width="15.85546875" customWidth="1"/>
    <col min="774" max="774" width="25" bestFit="1" customWidth="1"/>
    <col min="775" max="775" width="12.28515625" bestFit="1" customWidth="1"/>
    <col min="776" max="776" width="13.140625" bestFit="1" customWidth="1"/>
    <col min="777" max="777" width="11.28515625" bestFit="1" customWidth="1"/>
    <col min="778" max="778" width="14.140625" bestFit="1" customWidth="1"/>
    <col min="779" max="779" width="10.140625" bestFit="1" customWidth="1"/>
    <col min="780" max="780" width="16.28515625" customWidth="1"/>
    <col min="781" max="781" width="12.85546875" customWidth="1"/>
    <col min="782" max="782" width="9.28515625" bestFit="1" customWidth="1"/>
    <col min="1025" max="1025" width="36.5703125" bestFit="1" customWidth="1"/>
    <col min="1026" max="1026" width="18.85546875" bestFit="1" customWidth="1"/>
    <col min="1027" max="1027" width="10" bestFit="1" customWidth="1"/>
    <col min="1028" max="1028" width="23.140625" bestFit="1" customWidth="1"/>
    <col min="1029" max="1029" width="15.85546875" customWidth="1"/>
    <col min="1030" max="1030" width="25" bestFit="1" customWidth="1"/>
    <col min="1031" max="1031" width="12.28515625" bestFit="1" customWidth="1"/>
    <col min="1032" max="1032" width="13.140625" bestFit="1" customWidth="1"/>
    <col min="1033" max="1033" width="11.28515625" bestFit="1" customWidth="1"/>
    <col min="1034" max="1034" width="14.140625" bestFit="1" customWidth="1"/>
    <col min="1035" max="1035" width="10.140625" bestFit="1" customWidth="1"/>
    <col min="1036" max="1036" width="16.28515625" customWidth="1"/>
    <col min="1037" max="1037" width="12.85546875" customWidth="1"/>
    <col min="1038" max="1038" width="9.28515625" bestFit="1" customWidth="1"/>
    <col min="1281" max="1281" width="36.5703125" bestFit="1" customWidth="1"/>
    <col min="1282" max="1282" width="18.85546875" bestFit="1" customWidth="1"/>
    <col min="1283" max="1283" width="10" bestFit="1" customWidth="1"/>
    <col min="1284" max="1284" width="23.140625" bestFit="1" customWidth="1"/>
    <col min="1285" max="1285" width="15.85546875" customWidth="1"/>
    <col min="1286" max="1286" width="25" bestFit="1" customWidth="1"/>
    <col min="1287" max="1287" width="12.28515625" bestFit="1" customWidth="1"/>
    <col min="1288" max="1288" width="13.140625" bestFit="1" customWidth="1"/>
    <col min="1289" max="1289" width="11.28515625" bestFit="1" customWidth="1"/>
    <col min="1290" max="1290" width="14.140625" bestFit="1" customWidth="1"/>
    <col min="1291" max="1291" width="10.140625" bestFit="1" customWidth="1"/>
    <col min="1292" max="1292" width="16.28515625" customWidth="1"/>
    <col min="1293" max="1293" width="12.85546875" customWidth="1"/>
    <col min="1294" max="1294" width="9.28515625" bestFit="1" customWidth="1"/>
    <col min="1537" max="1537" width="36.5703125" bestFit="1" customWidth="1"/>
    <col min="1538" max="1538" width="18.85546875" bestFit="1" customWidth="1"/>
    <col min="1539" max="1539" width="10" bestFit="1" customWidth="1"/>
    <col min="1540" max="1540" width="23.140625" bestFit="1" customWidth="1"/>
    <col min="1541" max="1541" width="15.85546875" customWidth="1"/>
    <col min="1542" max="1542" width="25" bestFit="1" customWidth="1"/>
    <col min="1543" max="1543" width="12.28515625" bestFit="1" customWidth="1"/>
    <col min="1544" max="1544" width="13.140625" bestFit="1" customWidth="1"/>
    <col min="1545" max="1545" width="11.28515625" bestFit="1" customWidth="1"/>
    <col min="1546" max="1546" width="14.140625" bestFit="1" customWidth="1"/>
    <col min="1547" max="1547" width="10.140625" bestFit="1" customWidth="1"/>
    <col min="1548" max="1548" width="16.28515625" customWidth="1"/>
    <col min="1549" max="1549" width="12.85546875" customWidth="1"/>
    <col min="1550" max="1550" width="9.28515625" bestFit="1" customWidth="1"/>
    <col min="1793" max="1793" width="36.5703125" bestFit="1" customWidth="1"/>
    <col min="1794" max="1794" width="18.85546875" bestFit="1" customWidth="1"/>
    <col min="1795" max="1795" width="10" bestFit="1" customWidth="1"/>
    <col min="1796" max="1796" width="23.140625" bestFit="1" customWidth="1"/>
    <col min="1797" max="1797" width="15.85546875" customWidth="1"/>
    <col min="1798" max="1798" width="25" bestFit="1" customWidth="1"/>
    <col min="1799" max="1799" width="12.28515625" bestFit="1" customWidth="1"/>
    <col min="1800" max="1800" width="13.140625" bestFit="1" customWidth="1"/>
    <col min="1801" max="1801" width="11.28515625" bestFit="1" customWidth="1"/>
    <col min="1802" max="1802" width="14.140625" bestFit="1" customWidth="1"/>
    <col min="1803" max="1803" width="10.140625" bestFit="1" customWidth="1"/>
    <col min="1804" max="1804" width="16.28515625" customWidth="1"/>
    <col min="1805" max="1805" width="12.85546875" customWidth="1"/>
    <col min="1806" max="1806" width="9.28515625" bestFit="1" customWidth="1"/>
    <col min="2049" max="2049" width="36.5703125" bestFit="1" customWidth="1"/>
    <col min="2050" max="2050" width="18.85546875" bestFit="1" customWidth="1"/>
    <col min="2051" max="2051" width="10" bestFit="1" customWidth="1"/>
    <col min="2052" max="2052" width="23.140625" bestFit="1" customWidth="1"/>
    <col min="2053" max="2053" width="15.85546875" customWidth="1"/>
    <col min="2054" max="2054" width="25" bestFit="1" customWidth="1"/>
    <col min="2055" max="2055" width="12.28515625" bestFit="1" customWidth="1"/>
    <col min="2056" max="2056" width="13.140625" bestFit="1" customWidth="1"/>
    <col min="2057" max="2057" width="11.28515625" bestFit="1" customWidth="1"/>
    <col min="2058" max="2058" width="14.140625" bestFit="1" customWidth="1"/>
    <col min="2059" max="2059" width="10.140625" bestFit="1" customWidth="1"/>
    <col min="2060" max="2060" width="16.28515625" customWidth="1"/>
    <col min="2061" max="2061" width="12.85546875" customWidth="1"/>
    <col min="2062" max="2062" width="9.28515625" bestFit="1" customWidth="1"/>
    <col min="2305" max="2305" width="36.5703125" bestFit="1" customWidth="1"/>
    <col min="2306" max="2306" width="18.85546875" bestFit="1" customWidth="1"/>
    <col min="2307" max="2307" width="10" bestFit="1" customWidth="1"/>
    <col min="2308" max="2308" width="23.140625" bestFit="1" customWidth="1"/>
    <col min="2309" max="2309" width="15.85546875" customWidth="1"/>
    <col min="2310" max="2310" width="25" bestFit="1" customWidth="1"/>
    <col min="2311" max="2311" width="12.28515625" bestFit="1" customWidth="1"/>
    <col min="2312" max="2312" width="13.140625" bestFit="1" customWidth="1"/>
    <col min="2313" max="2313" width="11.28515625" bestFit="1" customWidth="1"/>
    <col min="2314" max="2314" width="14.140625" bestFit="1" customWidth="1"/>
    <col min="2315" max="2315" width="10.140625" bestFit="1" customWidth="1"/>
    <col min="2316" max="2316" width="16.28515625" customWidth="1"/>
    <col min="2317" max="2317" width="12.85546875" customWidth="1"/>
    <col min="2318" max="2318" width="9.28515625" bestFit="1" customWidth="1"/>
    <col min="2561" max="2561" width="36.5703125" bestFit="1" customWidth="1"/>
    <col min="2562" max="2562" width="18.85546875" bestFit="1" customWidth="1"/>
    <col min="2563" max="2563" width="10" bestFit="1" customWidth="1"/>
    <col min="2564" max="2564" width="23.140625" bestFit="1" customWidth="1"/>
    <col min="2565" max="2565" width="15.85546875" customWidth="1"/>
    <col min="2566" max="2566" width="25" bestFit="1" customWidth="1"/>
    <col min="2567" max="2567" width="12.28515625" bestFit="1" customWidth="1"/>
    <col min="2568" max="2568" width="13.140625" bestFit="1" customWidth="1"/>
    <col min="2569" max="2569" width="11.28515625" bestFit="1" customWidth="1"/>
    <col min="2570" max="2570" width="14.140625" bestFit="1" customWidth="1"/>
    <col min="2571" max="2571" width="10.140625" bestFit="1" customWidth="1"/>
    <col min="2572" max="2572" width="16.28515625" customWidth="1"/>
    <col min="2573" max="2573" width="12.85546875" customWidth="1"/>
    <col min="2574" max="2574" width="9.28515625" bestFit="1" customWidth="1"/>
    <col min="2817" max="2817" width="36.5703125" bestFit="1" customWidth="1"/>
    <col min="2818" max="2818" width="18.85546875" bestFit="1" customWidth="1"/>
    <col min="2819" max="2819" width="10" bestFit="1" customWidth="1"/>
    <col min="2820" max="2820" width="23.140625" bestFit="1" customWidth="1"/>
    <col min="2821" max="2821" width="15.85546875" customWidth="1"/>
    <col min="2822" max="2822" width="25" bestFit="1" customWidth="1"/>
    <col min="2823" max="2823" width="12.28515625" bestFit="1" customWidth="1"/>
    <col min="2824" max="2824" width="13.140625" bestFit="1" customWidth="1"/>
    <col min="2825" max="2825" width="11.28515625" bestFit="1" customWidth="1"/>
    <col min="2826" max="2826" width="14.140625" bestFit="1" customWidth="1"/>
    <col min="2827" max="2827" width="10.140625" bestFit="1" customWidth="1"/>
    <col min="2828" max="2828" width="16.28515625" customWidth="1"/>
    <col min="2829" max="2829" width="12.85546875" customWidth="1"/>
    <col min="2830" max="2830" width="9.28515625" bestFit="1" customWidth="1"/>
    <col min="3073" max="3073" width="36.5703125" bestFit="1" customWidth="1"/>
    <col min="3074" max="3074" width="18.85546875" bestFit="1" customWidth="1"/>
    <col min="3075" max="3075" width="10" bestFit="1" customWidth="1"/>
    <col min="3076" max="3076" width="23.140625" bestFit="1" customWidth="1"/>
    <col min="3077" max="3077" width="15.85546875" customWidth="1"/>
    <col min="3078" max="3078" width="25" bestFit="1" customWidth="1"/>
    <col min="3079" max="3079" width="12.28515625" bestFit="1" customWidth="1"/>
    <col min="3080" max="3080" width="13.140625" bestFit="1" customWidth="1"/>
    <col min="3081" max="3081" width="11.28515625" bestFit="1" customWidth="1"/>
    <col min="3082" max="3082" width="14.140625" bestFit="1" customWidth="1"/>
    <col min="3083" max="3083" width="10.140625" bestFit="1" customWidth="1"/>
    <col min="3084" max="3084" width="16.28515625" customWidth="1"/>
    <col min="3085" max="3085" width="12.85546875" customWidth="1"/>
    <col min="3086" max="3086" width="9.28515625" bestFit="1" customWidth="1"/>
    <col min="3329" max="3329" width="36.5703125" bestFit="1" customWidth="1"/>
    <col min="3330" max="3330" width="18.85546875" bestFit="1" customWidth="1"/>
    <col min="3331" max="3331" width="10" bestFit="1" customWidth="1"/>
    <col min="3332" max="3332" width="23.140625" bestFit="1" customWidth="1"/>
    <col min="3333" max="3333" width="15.85546875" customWidth="1"/>
    <col min="3334" max="3334" width="25" bestFit="1" customWidth="1"/>
    <col min="3335" max="3335" width="12.28515625" bestFit="1" customWidth="1"/>
    <col min="3336" max="3336" width="13.140625" bestFit="1" customWidth="1"/>
    <col min="3337" max="3337" width="11.28515625" bestFit="1" customWidth="1"/>
    <col min="3338" max="3338" width="14.140625" bestFit="1" customWidth="1"/>
    <col min="3339" max="3339" width="10.140625" bestFit="1" customWidth="1"/>
    <col min="3340" max="3340" width="16.28515625" customWidth="1"/>
    <col min="3341" max="3341" width="12.85546875" customWidth="1"/>
    <col min="3342" max="3342" width="9.28515625" bestFit="1" customWidth="1"/>
    <col min="3585" max="3585" width="36.5703125" bestFit="1" customWidth="1"/>
    <col min="3586" max="3586" width="18.85546875" bestFit="1" customWidth="1"/>
    <col min="3587" max="3587" width="10" bestFit="1" customWidth="1"/>
    <col min="3588" max="3588" width="23.140625" bestFit="1" customWidth="1"/>
    <col min="3589" max="3589" width="15.85546875" customWidth="1"/>
    <col min="3590" max="3590" width="25" bestFit="1" customWidth="1"/>
    <col min="3591" max="3591" width="12.28515625" bestFit="1" customWidth="1"/>
    <col min="3592" max="3592" width="13.140625" bestFit="1" customWidth="1"/>
    <col min="3593" max="3593" width="11.28515625" bestFit="1" customWidth="1"/>
    <col min="3594" max="3594" width="14.140625" bestFit="1" customWidth="1"/>
    <col min="3595" max="3595" width="10.140625" bestFit="1" customWidth="1"/>
    <col min="3596" max="3596" width="16.28515625" customWidth="1"/>
    <col min="3597" max="3597" width="12.85546875" customWidth="1"/>
    <col min="3598" max="3598" width="9.28515625" bestFit="1" customWidth="1"/>
    <col min="3841" max="3841" width="36.5703125" bestFit="1" customWidth="1"/>
    <col min="3842" max="3842" width="18.85546875" bestFit="1" customWidth="1"/>
    <col min="3843" max="3843" width="10" bestFit="1" customWidth="1"/>
    <col min="3844" max="3844" width="23.140625" bestFit="1" customWidth="1"/>
    <col min="3845" max="3845" width="15.85546875" customWidth="1"/>
    <col min="3846" max="3846" width="25" bestFit="1" customWidth="1"/>
    <col min="3847" max="3847" width="12.28515625" bestFit="1" customWidth="1"/>
    <col min="3848" max="3848" width="13.140625" bestFit="1" customWidth="1"/>
    <col min="3849" max="3849" width="11.28515625" bestFit="1" customWidth="1"/>
    <col min="3850" max="3850" width="14.140625" bestFit="1" customWidth="1"/>
    <col min="3851" max="3851" width="10.140625" bestFit="1" customWidth="1"/>
    <col min="3852" max="3852" width="16.28515625" customWidth="1"/>
    <col min="3853" max="3853" width="12.85546875" customWidth="1"/>
    <col min="3854" max="3854" width="9.28515625" bestFit="1" customWidth="1"/>
    <col min="4097" max="4097" width="36.5703125" bestFit="1" customWidth="1"/>
    <col min="4098" max="4098" width="18.85546875" bestFit="1" customWidth="1"/>
    <col min="4099" max="4099" width="10" bestFit="1" customWidth="1"/>
    <col min="4100" max="4100" width="23.140625" bestFit="1" customWidth="1"/>
    <col min="4101" max="4101" width="15.85546875" customWidth="1"/>
    <col min="4102" max="4102" width="25" bestFit="1" customWidth="1"/>
    <col min="4103" max="4103" width="12.28515625" bestFit="1" customWidth="1"/>
    <col min="4104" max="4104" width="13.140625" bestFit="1" customWidth="1"/>
    <col min="4105" max="4105" width="11.28515625" bestFit="1" customWidth="1"/>
    <col min="4106" max="4106" width="14.140625" bestFit="1" customWidth="1"/>
    <col min="4107" max="4107" width="10.140625" bestFit="1" customWidth="1"/>
    <col min="4108" max="4108" width="16.28515625" customWidth="1"/>
    <col min="4109" max="4109" width="12.85546875" customWidth="1"/>
    <col min="4110" max="4110" width="9.28515625" bestFit="1" customWidth="1"/>
    <col min="4353" max="4353" width="36.5703125" bestFit="1" customWidth="1"/>
    <col min="4354" max="4354" width="18.85546875" bestFit="1" customWidth="1"/>
    <col min="4355" max="4355" width="10" bestFit="1" customWidth="1"/>
    <col min="4356" max="4356" width="23.140625" bestFit="1" customWidth="1"/>
    <col min="4357" max="4357" width="15.85546875" customWidth="1"/>
    <col min="4358" max="4358" width="25" bestFit="1" customWidth="1"/>
    <col min="4359" max="4359" width="12.28515625" bestFit="1" customWidth="1"/>
    <col min="4360" max="4360" width="13.140625" bestFit="1" customWidth="1"/>
    <col min="4361" max="4361" width="11.28515625" bestFit="1" customWidth="1"/>
    <col min="4362" max="4362" width="14.140625" bestFit="1" customWidth="1"/>
    <col min="4363" max="4363" width="10.140625" bestFit="1" customWidth="1"/>
    <col min="4364" max="4364" width="16.28515625" customWidth="1"/>
    <col min="4365" max="4365" width="12.85546875" customWidth="1"/>
    <col min="4366" max="4366" width="9.28515625" bestFit="1" customWidth="1"/>
    <col min="4609" max="4609" width="36.5703125" bestFit="1" customWidth="1"/>
    <col min="4610" max="4610" width="18.85546875" bestFit="1" customWidth="1"/>
    <col min="4611" max="4611" width="10" bestFit="1" customWidth="1"/>
    <col min="4612" max="4612" width="23.140625" bestFit="1" customWidth="1"/>
    <col min="4613" max="4613" width="15.85546875" customWidth="1"/>
    <col min="4614" max="4614" width="25" bestFit="1" customWidth="1"/>
    <col min="4615" max="4615" width="12.28515625" bestFit="1" customWidth="1"/>
    <col min="4616" max="4616" width="13.140625" bestFit="1" customWidth="1"/>
    <col min="4617" max="4617" width="11.28515625" bestFit="1" customWidth="1"/>
    <col min="4618" max="4618" width="14.140625" bestFit="1" customWidth="1"/>
    <col min="4619" max="4619" width="10.140625" bestFit="1" customWidth="1"/>
    <col min="4620" max="4620" width="16.28515625" customWidth="1"/>
    <col min="4621" max="4621" width="12.85546875" customWidth="1"/>
    <col min="4622" max="4622" width="9.28515625" bestFit="1" customWidth="1"/>
    <col min="4865" max="4865" width="36.5703125" bestFit="1" customWidth="1"/>
    <col min="4866" max="4866" width="18.85546875" bestFit="1" customWidth="1"/>
    <col min="4867" max="4867" width="10" bestFit="1" customWidth="1"/>
    <col min="4868" max="4868" width="23.140625" bestFit="1" customWidth="1"/>
    <col min="4869" max="4869" width="15.85546875" customWidth="1"/>
    <col min="4870" max="4870" width="25" bestFit="1" customWidth="1"/>
    <col min="4871" max="4871" width="12.28515625" bestFit="1" customWidth="1"/>
    <col min="4872" max="4872" width="13.140625" bestFit="1" customWidth="1"/>
    <col min="4873" max="4873" width="11.28515625" bestFit="1" customWidth="1"/>
    <col min="4874" max="4874" width="14.140625" bestFit="1" customWidth="1"/>
    <col min="4875" max="4875" width="10.140625" bestFit="1" customWidth="1"/>
    <col min="4876" max="4876" width="16.28515625" customWidth="1"/>
    <col min="4877" max="4877" width="12.85546875" customWidth="1"/>
    <col min="4878" max="4878" width="9.28515625" bestFit="1" customWidth="1"/>
    <col min="5121" max="5121" width="36.5703125" bestFit="1" customWidth="1"/>
    <col min="5122" max="5122" width="18.85546875" bestFit="1" customWidth="1"/>
    <col min="5123" max="5123" width="10" bestFit="1" customWidth="1"/>
    <col min="5124" max="5124" width="23.140625" bestFit="1" customWidth="1"/>
    <col min="5125" max="5125" width="15.85546875" customWidth="1"/>
    <col min="5126" max="5126" width="25" bestFit="1" customWidth="1"/>
    <col min="5127" max="5127" width="12.28515625" bestFit="1" customWidth="1"/>
    <col min="5128" max="5128" width="13.140625" bestFit="1" customWidth="1"/>
    <col min="5129" max="5129" width="11.28515625" bestFit="1" customWidth="1"/>
    <col min="5130" max="5130" width="14.140625" bestFit="1" customWidth="1"/>
    <col min="5131" max="5131" width="10.140625" bestFit="1" customWidth="1"/>
    <col min="5132" max="5132" width="16.28515625" customWidth="1"/>
    <col min="5133" max="5133" width="12.85546875" customWidth="1"/>
    <col min="5134" max="5134" width="9.28515625" bestFit="1" customWidth="1"/>
    <col min="5377" max="5377" width="36.5703125" bestFit="1" customWidth="1"/>
    <col min="5378" max="5378" width="18.85546875" bestFit="1" customWidth="1"/>
    <col min="5379" max="5379" width="10" bestFit="1" customWidth="1"/>
    <col min="5380" max="5380" width="23.140625" bestFit="1" customWidth="1"/>
    <col min="5381" max="5381" width="15.85546875" customWidth="1"/>
    <col min="5382" max="5382" width="25" bestFit="1" customWidth="1"/>
    <col min="5383" max="5383" width="12.28515625" bestFit="1" customWidth="1"/>
    <col min="5384" max="5384" width="13.140625" bestFit="1" customWidth="1"/>
    <col min="5385" max="5385" width="11.28515625" bestFit="1" customWidth="1"/>
    <col min="5386" max="5386" width="14.140625" bestFit="1" customWidth="1"/>
    <col min="5387" max="5387" width="10.140625" bestFit="1" customWidth="1"/>
    <col min="5388" max="5388" width="16.28515625" customWidth="1"/>
    <col min="5389" max="5389" width="12.85546875" customWidth="1"/>
    <col min="5390" max="5390" width="9.28515625" bestFit="1" customWidth="1"/>
    <col min="5633" max="5633" width="36.5703125" bestFit="1" customWidth="1"/>
    <col min="5634" max="5634" width="18.85546875" bestFit="1" customWidth="1"/>
    <col min="5635" max="5635" width="10" bestFit="1" customWidth="1"/>
    <col min="5636" max="5636" width="23.140625" bestFit="1" customWidth="1"/>
    <col min="5637" max="5637" width="15.85546875" customWidth="1"/>
    <col min="5638" max="5638" width="25" bestFit="1" customWidth="1"/>
    <col min="5639" max="5639" width="12.28515625" bestFit="1" customWidth="1"/>
    <col min="5640" max="5640" width="13.140625" bestFit="1" customWidth="1"/>
    <col min="5641" max="5641" width="11.28515625" bestFit="1" customWidth="1"/>
    <col min="5642" max="5642" width="14.140625" bestFit="1" customWidth="1"/>
    <col min="5643" max="5643" width="10.140625" bestFit="1" customWidth="1"/>
    <col min="5644" max="5644" width="16.28515625" customWidth="1"/>
    <col min="5645" max="5645" width="12.85546875" customWidth="1"/>
    <col min="5646" max="5646" width="9.28515625" bestFit="1" customWidth="1"/>
    <col min="5889" max="5889" width="36.5703125" bestFit="1" customWidth="1"/>
    <col min="5890" max="5890" width="18.85546875" bestFit="1" customWidth="1"/>
    <col min="5891" max="5891" width="10" bestFit="1" customWidth="1"/>
    <col min="5892" max="5892" width="23.140625" bestFit="1" customWidth="1"/>
    <col min="5893" max="5893" width="15.85546875" customWidth="1"/>
    <col min="5894" max="5894" width="25" bestFit="1" customWidth="1"/>
    <col min="5895" max="5895" width="12.28515625" bestFit="1" customWidth="1"/>
    <col min="5896" max="5896" width="13.140625" bestFit="1" customWidth="1"/>
    <col min="5897" max="5897" width="11.28515625" bestFit="1" customWidth="1"/>
    <col min="5898" max="5898" width="14.140625" bestFit="1" customWidth="1"/>
    <col min="5899" max="5899" width="10.140625" bestFit="1" customWidth="1"/>
    <col min="5900" max="5900" width="16.28515625" customWidth="1"/>
    <col min="5901" max="5901" width="12.85546875" customWidth="1"/>
    <col min="5902" max="5902" width="9.28515625" bestFit="1" customWidth="1"/>
    <col min="6145" max="6145" width="36.5703125" bestFit="1" customWidth="1"/>
    <col min="6146" max="6146" width="18.85546875" bestFit="1" customWidth="1"/>
    <col min="6147" max="6147" width="10" bestFit="1" customWidth="1"/>
    <col min="6148" max="6148" width="23.140625" bestFit="1" customWidth="1"/>
    <col min="6149" max="6149" width="15.85546875" customWidth="1"/>
    <col min="6150" max="6150" width="25" bestFit="1" customWidth="1"/>
    <col min="6151" max="6151" width="12.28515625" bestFit="1" customWidth="1"/>
    <col min="6152" max="6152" width="13.140625" bestFit="1" customWidth="1"/>
    <col min="6153" max="6153" width="11.28515625" bestFit="1" customWidth="1"/>
    <col min="6154" max="6154" width="14.140625" bestFit="1" customWidth="1"/>
    <col min="6155" max="6155" width="10.140625" bestFit="1" customWidth="1"/>
    <col min="6156" max="6156" width="16.28515625" customWidth="1"/>
    <col min="6157" max="6157" width="12.85546875" customWidth="1"/>
    <col min="6158" max="6158" width="9.28515625" bestFit="1" customWidth="1"/>
    <col min="6401" max="6401" width="36.5703125" bestFit="1" customWidth="1"/>
    <col min="6402" max="6402" width="18.85546875" bestFit="1" customWidth="1"/>
    <col min="6403" max="6403" width="10" bestFit="1" customWidth="1"/>
    <col min="6404" max="6404" width="23.140625" bestFit="1" customWidth="1"/>
    <col min="6405" max="6405" width="15.85546875" customWidth="1"/>
    <col min="6406" max="6406" width="25" bestFit="1" customWidth="1"/>
    <col min="6407" max="6407" width="12.28515625" bestFit="1" customWidth="1"/>
    <col min="6408" max="6408" width="13.140625" bestFit="1" customWidth="1"/>
    <col min="6409" max="6409" width="11.28515625" bestFit="1" customWidth="1"/>
    <col min="6410" max="6410" width="14.140625" bestFit="1" customWidth="1"/>
    <col min="6411" max="6411" width="10.140625" bestFit="1" customWidth="1"/>
    <col min="6412" max="6412" width="16.28515625" customWidth="1"/>
    <col min="6413" max="6413" width="12.85546875" customWidth="1"/>
    <col min="6414" max="6414" width="9.28515625" bestFit="1" customWidth="1"/>
    <col min="6657" max="6657" width="36.5703125" bestFit="1" customWidth="1"/>
    <col min="6658" max="6658" width="18.85546875" bestFit="1" customWidth="1"/>
    <col min="6659" max="6659" width="10" bestFit="1" customWidth="1"/>
    <col min="6660" max="6660" width="23.140625" bestFit="1" customWidth="1"/>
    <col min="6661" max="6661" width="15.85546875" customWidth="1"/>
    <col min="6662" max="6662" width="25" bestFit="1" customWidth="1"/>
    <col min="6663" max="6663" width="12.28515625" bestFit="1" customWidth="1"/>
    <col min="6664" max="6664" width="13.140625" bestFit="1" customWidth="1"/>
    <col min="6665" max="6665" width="11.28515625" bestFit="1" customWidth="1"/>
    <col min="6666" max="6666" width="14.140625" bestFit="1" customWidth="1"/>
    <col min="6667" max="6667" width="10.140625" bestFit="1" customWidth="1"/>
    <col min="6668" max="6668" width="16.28515625" customWidth="1"/>
    <col min="6669" max="6669" width="12.85546875" customWidth="1"/>
    <col min="6670" max="6670" width="9.28515625" bestFit="1" customWidth="1"/>
    <col min="6913" max="6913" width="36.5703125" bestFit="1" customWidth="1"/>
    <col min="6914" max="6914" width="18.85546875" bestFit="1" customWidth="1"/>
    <col min="6915" max="6915" width="10" bestFit="1" customWidth="1"/>
    <col min="6916" max="6916" width="23.140625" bestFit="1" customWidth="1"/>
    <col min="6917" max="6917" width="15.85546875" customWidth="1"/>
    <col min="6918" max="6918" width="25" bestFit="1" customWidth="1"/>
    <col min="6919" max="6919" width="12.28515625" bestFit="1" customWidth="1"/>
    <col min="6920" max="6920" width="13.140625" bestFit="1" customWidth="1"/>
    <col min="6921" max="6921" width="11.28515625" bestFit="1" customWidth="1"/>
    <col min="6922" max="6922" width="14.140625" bestFit="1" customWidth="1"/>
    <col min="6923" max="6923" width="10.140625" bestFit="1" customWidth="1"/>
    <col min="6924" max="6924" width="16.28515625" customWidth="1"/>
    <col min="6925" max="6925" width="12.85546875" customWidth="1"/>
    <col min="6926" max="6926" width="9.28515625" bestFit="1" customWidth="1"/>
    <col min="7169" max="7169" width="36.5703125" bestFit="1" customWidth="1"/>
    <col min="7170" max="7170" width="18.85546875" bestFit="1" customWidth="1"/>
    <col min="7171" max="7171" width="10" bestFit="1" customWidth="1"/>
    <col min="7172" max="7172" width="23.140625" bestFit="1" customWidth="1"/>
    <col min="7173" max="7173" width="15.85546875" customWidth="1"/>
    <col min="7174" max="7174" width="25" bestFit="1" customWidth="1"/>
    <col min="7175" max="7175" width="12.28515625" bestFit="1" customWidth="1"/>
    <col min="7176" max="7176" width="13.140625" bestFit="1" customWidth="1"/>
    <col min="7177" max="7177" width="11.28515625" bestFit="1" customWidth="1"/>
    <col min="7178" max="7178" width="14.140625" bestFit="1" customWidth="1"/>
    <col min="7179" max="7179" width="10.140625" bestFit="1" customWidth="1"/>
    <col min="7180" max="7180" width="16.28515625" customWidth="1"/>
    <col min="7181" max="7181" width="12.85546875" customWidth="1"/>
    <col min="7182" max="7182" width="9.28515625" bestFit="1" customWidth="1"/>
    <col min="7425" max="7425" width="36.5703125" bestFit="1" customWidth="1"/>
    <col min="7426" max="7426" width="18.85546875" bestFit="1" customWidth="1"/>
    <col min="7427" max="7427" width="10" bestFit="1" customWidth="1"/>
    <col min="7428" max="7428" width="23.140625" bestFit="1" customWidth="1"/>
    <col min="7429" max="7429" width="15.85546875" customWidth="1"/>
    <col min="7430" max="7430" width="25" bestFit="1" customWidth="1"/>
    <col min="7431" max="7431" width="12.28515625" bestFit="1" customWidth="1"/>
    <col min="7432" max="7432" width="13.140625" bestFit="1" customWidth="1"/>
    <col min="7433" max="7433" width="11.28515625" bestFit="1" customWidth="1"/>
    <col min="7434" max="7434" width="14.140625" bestFit="1" customWidth="1"/>
    <col min="7435" max="7435" width="10.140625" bestFit="1" customWidth="1"/>
    <col min="7436" max="7436" width="16.28515625" customWidth="1"/>
    <col min="7437" max="7437" width="12.85546875" customWidth="1"/>
    <col min="7438" max="7438" width="9.28515625" bestFit="1" customWidth="1"/>
    <col min="7681" max="7681" width="36.5703125" bestFit="1" customWidth="1"/>
    <col min="7682" max="7682" width="18.85546875" bestFit="1" customWidth="1"/>
    <col min="7683" max="7683" width="10" bestFit="1" customWidth="1"/>
    <col min="7684" max="7684" width="23.140625" bestFit="1" customWidth="1"/>
    <col min="7685" max="7685" width="15.85546875" customWidth="1"/>
    <col min="7686" max="7686" width="25" bestFit="1" customWidth="1"/>
    <col min="7687" max="7687" width="12.28515625" bestFit="1" customWidth="1"/>
    <col min="7688" max="7688" width="13.140625" bestFit="1" customWidth="1"/>
    <col min="7689" max="7689" width="11.28515625" bestFit="1" customWidth="1"/>
    <col min="7690" max="7690" width="14.140625" bestFit="1" customWidth="1"/>
    <col min="7691" max="7691" width="10.140625" bestFit="1" customWidth="1"/>
    <col min="7692" max="7692" width="16.28515625" customWidth="1"/>
    <col min="7693" max="7693" width="12.85546875" customWidth="1"/>
    <col min="7694" max="7694" width="9.28515625" bestFit="1" customWidth="1"/>
    <col min="7937" max="7937" width="36.5703125" bestFit="1" customWidth="1"/>
    <col min="7938" max="7938" width="18.85546875" bestFit="1" customWidth="1"/>
    <col min="7939" max="7939" width="10" bestFit="1" customWidth="1"/>
    <col min="7940" max="7940" width="23.140625" bestFit="1" customWidth="1"/>
    <col min="7941" max="7941" width="15.85546875" customWidth="1"/>
    <col min="7942" max="7942" width="25" bestFit="1" customWidth="1"/>
    <col min="7943" max="7943" width="12.28515625" bestFit="1" customWidth="1"/>
    <col min="7944" max="7944" width="13.140625" bestFit="1" customWidth="1"/>
    <col min="7945" max="7945" width="11.28515625" bestFit="1" customWidth="1"/>
    <col min="7946" max="7946" width="14.140625" bestFit="1" customWidth="1"/>
    <col min="7947" max="7947" width="10.140625" bestFit="1" customWidth="1"/>
    <col min="7948" max="7948" width="16.28515625" customWidth="1"/>
    <col min="7949" max="7949" width="12.85546875" customWidth="1"/>
    <col min="7950" max="7950" width="9.28515625" bestFit="1" customWidth="1"/>
    <col min="8193" max="8193" width="36.5703125" bestFit="1" customWidth="1"/>
    <col min="8194" max="8194" width="18.85546875" bestFit="1" customWidth="1"/>
    <col min="8195" max="8195" width="10" bestFit="1" customWidth="1"/>
    <col min="8196" max="8196" width="23.140625" bestFit="1" customWidth="1"/>
    <col min="8197" max="8197" width="15.85546875" customWidth="1"/>
    <col min="8198" max="8198" width="25" bestFit="1" customWidth="1"/>
    <col min="8199" max="8199" width="12.28515625" bestFit="1" customWidth="1"/>
    <col min="8200" max="8200" width="13.140625" bestFit="1" customWidth="1"/>
    <col min="8201" max="8201" width="11.28515625" bestFit="1" customWidth="1"/>
    <col min="8202" max="8202" width="14.140625" bestFit="1" customWidth="1"/>
    <col min="8203" max="8203" width="10.140625" bestFit="1" customWidth="1"/>
    <col min="8204" max="8204" width="16.28515625" customWidth="1"/>
    <col min="8205" max="8205" width="12.85546875" customWidth="1"/>
    <col min="8206" max="8206" width="9.28515625" bestFit="1" customWidth="1"/>
    <col min="8449" max="8449" width="36.5703125" bestFit="1" customWidth="1"/>
    <col min="8450" max="8450" width="18.85546875" bestFit="1" customWidth="1"/>
    <col min="8451" max="8451" width="10" bestFit="1" customWidth="1"/>
    <col min="8452" max="8452" width="23.140625" bestFit="1" customWidth="1"/>
    <col min="8453" max="8453" width="15.85546875" customWidth="1"/>
    <col min="8454" max="8454" width="25" bestFit="1" customWidth="1"/>
    <col min="8455" max="8455" width="12.28515625" bestFit="1" customWidth="1"/>
    <col min="8456" max="8456" width="13.140625" bestFit="1" customWidth="1"/>
    <col min="8457" max="8457" width="11.28515625" bestFit="1" customWidth="1"/>
    <col min="8458" max="8458" width="14.140625" bestFit="1" customWidth="1"/>
    <col min="8459" max="8459" width="10.140625" bestFit="1" customWidth="1"/>
    <col min="8460" max="8460" width="16.28515625" customWidth="1"/>
    <col min="8461" max="8461" width="12.85546875" customWidth="1"/>
    <col min="8462" max="8462" width="9.28515625" bestFit="1" customWidth="1"/>
    <col min="8705" max="8705" width="36.5703125" bestFit="1" customWidth="1"/>
    <col min="8706" max="8706" width="18.85546875" bestFit="1" customWidth="1"/>
    <col min="8707" max="8707" width="10" bestFit="1" customWidth="1"/>
    <col min="8708" max="8708" width="23.140625" bestFit="1" customWidth="1"/>
    <col min="8709" max="8709" width="15.85546875" customWidth="1"/>
    <col min="8710" max="8710" width="25" bestFit="1" customWidth="1"/>
    <col min="8711" max="8711" width="12.28515625" bestFit="1" customWidth="1"/>
    <col min="8712" max="8712" width="13.140625" bestFit="1" customWidth="1"/>
    <col min="8713" max="8713" width="11.28515625" bestFit="1" customWidth="1"/>
    <col min="8714" max="8714" width="14.140625" bestFit="1" customWidth="1"/>
    <col min="8715" max="8715" width="10.140625" bestFit="1" customWidth="1"/>
    <col min="8716" max="8716" width="16.28515625" customWidth="1"/>
    <col min="8717" max="8717" width="12.85546875" customWidth="1"/>
    <col min="8718" max="8718" width="9.28515625" bestFit="1" customWidth="1"/>
    <col min="8961" max="8961" width="36.5703125" bestFit="1" customWidth="1"/>
    <col min="8962" max="8962" width="18.85546875" bestFit="1" customWidth="1"/>
    <col min="8963" max="8963" width="10" bestFit="1" customWidth="1"/>
    <col min="8964" max="8964" width="23.140625" bestFit="1" customWidth="1"/>
    <col min="8965" max="8965" width="15.85546875" customWidth="1"/>
    <col min="8966" max="8966" width="25" bestFit="1" customWidth="1"/>
    <col min="8967" max="8967" width="12.28515625" bestFit="1" customWidth="1"/>
    <col min="8968" max="8968" width="13.140625" bestFit="1" customWidth="1"/>
    <col min="8969" max="8969" width="11.28515625" bestFit="1" customWidth="1"/>
    <col min="8970" max="8970" width="14.140625" bestFit="1" customWidth="1"/>
    <col min="8971" max="8971" width="10.140625" bestFit="1" customWidth="1"/>
    <col min="8972" max="8972" width="16.28515625" customWidth="1"/>
    <col min="8973" max="8973" width="12.85546875" customWidth="1"/>
    <col min="8974" max="8974" width="9.28515625" bestFit="1" customWidth="1"/>
    <col min="9217" max="9217" width="36.5703125" bestFit="1" customWidth="1"/>
    <col min="9218" max="9218" width="18.85546875" bestFit="1" customWidth="1"/>
    <col min="9219" max="9219" width="10" bestFit="1" customWidth="1"/>
    <col min="9220" max="9220" width="23.140625" bestFit="1" customWidth="1"/>
    <col min="9221" max="9221" width="15.85546875" customWidth="1"/>
    <col min="9222" max="9222" width="25" bestFit="1" customWidth="1"/>
    <col min="9223" max="9223" width="12.28515625" bestFit="1" customWidth="1"/>
    <col min="9224" max="9224" width="13.140625" bestFit="1" customWidth="1"/>
    <col min="9225" max="9225" width="11.28515625" bestFit="1" customWidth="1"/>
    <col min="9226" max="9226" width="14.140625" bestFit="1" customWidth="1"/>
    <col min="9227" max="9227" width="10.140625" bestFit="1" customWidth="1"/>
    <col min="9228" max="9228" width="16.28515625" customWidth="1"/>
    <col min="9229" max="9229" width="12.85546875" customWidth="1"/>
    <col min="9230" max="9230" width="9.28515625" bestFit="1" customWidth="1"/>
    <col min="9473" max="9473" width="36.5703125" bestFit="1" customWidth="1"/>
    <col min="9474" max="9474" width="18.85546875" bestFit="1" customWidth="1"/>
    <col min="9475" max="9475" width="10" bestFit="1" customWidth="1"/>
    <col min="9476" max="9476" width="23.140625" bestFit="1" customWidth="1"/>
    <col min="9477" max="9477" width="15.85546875" customWidth="1"/>
    <col min="9478" max="9478" width="25" bestFit="1" customWidth="1"/>
    <col min="9479" max="9479" width="12.28515625" bestFit="1" customWidth="1"/>
    <col min="9480" max="9480" width="13.140625" bestFit="1" customWidth="1"/>
    <col min="9481" max="9481" width="11.28515625" bestFit="1" customWidth="1"/>
    <col min="9482" max="9482" width="14.140625" bestFit="1" customWidth="1"/>
    <col min="9483" max="9483" width="10.140625" bestFit="1" customWidth="1"/>
    <col min="9484" max="9484" width="16.28515625" customWidth="1"/>
    <col min="9485" max="9485" width="12.85546875" customWidth="1"/>
    <col min="9486" max="9486" width="9.28515625" bestFit="1" customWidth="1"/>
    <col min="9729" max="9729" width="36.5703125" bestFit="1" customWidth="1"/>
    <col min="9730" max="9730" width="18.85546875" bestFit="1" customWidth="1"/>
    <col min="9731" max="9731" width="10" bestFit="1" customWidth="1"/>
    <col min="9732" max="9732" width="23.140625" bestFit="1" customWidth="1"/>
    <col min="9733" max="9733" width="15.85546875" customWidth="1"/>
    <col min="9734" max="9734" width="25" bestFit="1" customWidth="1"/>
    <col min="9735" max="9735" width="12.28515625" bestFit="1" customWidth="1"/>
    <col min="9736" max="9736" width="13.140625" bestFit="1" customWidth="1"/>
    <col min="9737" max="9737" width="11.28515625" bestFit="1" customWidth="1"/>
    <col min="9738" max="9738" width="14.140625" bestFit="1" customWidth="1"/>
    <col min="9739" max="9739" width="10.140625" bestFit="1" customWidth="1"/>
    <col min="9740" max="9740" width="16.28515625" customWidth="1"/>
    <col min="9741" max="9741" width="12.85546875" customWidth="1"/>
    <col min="9742" max="9742" width="9.28515625" bestFit="1" customWidth="1"/>
    <col min="9985" max="9985" width="36.5703125" bestFit="1" customWidth="1"/>
    <col min="9986" max="9986" width="18.85546875" bestFit="1" customWidth="1"/>
    <col min="9987" max="9987" width="10" bestFit="1" customWidth="1"/>
    <col min="9988" max="9988" width="23.140625" bestFit="1" customWidth="1"/>
    <col min="9989" max="9989" width="15.85546875" customWidth="1"/>
    <col min="9990" max="9990" width="25" bestFit="1" customWidth="1"/>
    <col min="9991" max="9991" width="12.28515625" bestFit="1" customWidth="1"/>
    <col min="9992" max="9992" width="13.140625" bestFit="1" customWidth="1"/>
    <col min="9993" max="9993" width="11.28515625" bestFit="1" customWidth="1"/>
    <col min="9994" max="9994" width="14.140625" bestFit="1" customWidth="1"/>
    <col min="9995" max="9995" width="10.140625" bestFit="1" customWidth="1"/>
    <col min="9996" max="9996" width="16.28515625" customWidth="1"/>
    <col min="9997" max="9997" width="12.85546875" customWidth="1"/>
    <col min="9998" max="9998" width="9.28515625" bestFit="1" customWidth="1"/>
    <col min="10241" max="10241" width="36.5703125" bestFit="1" customWidth="1"/>
    <col min="10242" max="10242" width="18.85546875" bestFit="1" customWidth="1"/>
    <col min="10243" max="10243" width="10" bestFit="1" customWidth="1"/>
    <col min="10244" max="10244" width="23.140625" bestFit="1" customWidth="1"/>
    <col min="10245" max="10245" width="15.85546875" customWidth="1"/>
    <col min="10246" max="10246" width="25" bestFit="1" customWidth="1"/>
    <col min="10247" max="10247" width="12.28515625" bestFit="1" customWidth="1"/>
    <col min="10248" max="10248" width="13.140625" bestFit="1" customWidth="1"/>
    <col min="10249" max="10249" width="11.28515625" bestFit="1" customWidth="1"/>
    <col min="10250" max="10250" width="14.140625" bestFit="1" customWidth="1"/>
    <col min="10251" max="10251" width="10.140625" bestFit="1" customWidth="1"/>
    <col min="10252" max="10252" width="16.28515625" customWidth="1"/>
    <col min="10253" max="10253" width="12.85546875" customWidth="1"/>
    <col min="10254" max="10254" width="9.28515625" bestFit="1" customWidth="1"/>
    <col min="10497" max="10497" width="36.5703125" bestFit="1" customWidth="1"/>
    <col min="10498" max="10498" width="18.85546875" bestFit="1" customWidth="1"/>
    <col min="10499" max="10499" width="10" bestFit="1" customWidth="1"/>
    <col min="10500" max="10500" width="23.140625" bestFit="1" customWidth="1"/>
    <col min="10501" max="10501" width="15.85546875" customWidth="1"/>
    <col min="10502" max="10502" width="25" bestFit="1" customWidth="1"/>
    <col min="10503" max="10503" width="12.28515625" bestFit="1" customWidth="1"/>
    <col min="10504" max="10504" width="13.140625" bestFit="1" customWidth="1"/>
    <col min="10505" max="10505" width="11.28515625" bestFit="1" customWidth="1"/>
    <col min="10506" max="10506" width="14.140625" bestFit="1" customWidth="1"/>
    <col min="10507" max="10507" width="10.140625" bestFit="1" customWidth="1"/>
    <col min="10508" max="10508" width="16.28515625" customWidth="1"/>
    <col min="10509" max="10509" width="12.85546875" customWidth="1"/>
    <col min="10510" max="10510" width="9.28515625" bestFit="1" customWidth="1"/>
    <col min="10753" max="10753" width="36.5703125" bestFit="1" customWidth="1"/>
    <col min="10754" max="10754" width="18.85546875" bestFit="1" customWidth="1"/>
    <col min="10755" max="10755" width="10" bestFit="1" customWidth="1"/>
    <col min="10756" max="10756" width="23.140625" bestFit="1" customWidth="1"/>
    <col min="10757" max="10757" width="15.85546875" customWidth="1"/>
    <col min="10758" max="10758" width="25" bestFit="1" customWidth="1"/>
    <col min="10759" max="10759" width="12.28515625" bestFit="1" customWidth="1"/>
    <col min="10760" max="10760" width="13.140625" bestFit="1" customWidth="1"/>
    <col min="10761" max="10761" width="11.28515625" bestFit="1" customWidth="1"/>
    <col min="10762" max="10762" width="14.140625" bestFit="1" customWidth="1"/>
    <col min="10763" max="10763" width="10.140625" bestFit="1" customWidth="1"/>
    <col min="10764" max="10764" width="16.28515625" customWidth="1"/>
    <col min="10765" max="10765" width="12.85546875" customWidth="1"/>
    <col min="10766" max="10766" width="9.28515625" bestFit="1" customWidth="1"/>
    <col min="11009" max="11009" width="36.5703125" bestFit="1" customWidth="1"/>
    <col min="11010" max="11010" width="18.85546875" bestFit="1" customWidth="1"/>
    <col min="11011" max="11011" width="10" bestFit="1" customWidth="1"/>
    <col min="11012" max="11012" width="23.140625" bestFit="1" customWidth="1"/>
    <col min="11013" max="11013" width="15.85546875" customWidth="1"/>
    <col min="11014" max="11014" width="25" bestFit="1" customWidth="1"/>
    <col min="11015" max="11015" width="12.28515625" bestFit="1" customWidth="1"/>
    <col min="11016" max="11016" width="13.140625" bestFit="1" customWidth="1"/>
    <col min="11017" max="11017" width="11.28515625" bestFit="1" customWidth="1"/>
    <col min="11018" max="11018" width="14.140625" bestFit="1" customWidth="1"/>
    <col min="11019" max="11019" width="10.140625" bestFit="1" customWidth="1"/>
    <col min="11020" max="11020" width="16.28515625" customWidth="1"/>
    <col min="11021" max="11021" width="12.85546875" customWidth="1"/>
    <col min="11022" max="11022" width="9.28515625" bestFit="1" customWidth="1"/>
    <col min="11265" max="11265" width="36.5703125" bestFit="1" customWidth="1"/>
    <col min="11266" max="11266" width="18.85546875" bestFit="1" customWidth="1"/>
    <col min="11267" max="11267" width="10" bestFit="1" customWidth="1"/>
    <col min="11268" max="11268" width="23.140625" bestFit="1" customWidth="1"/>
    <col min="11269" max="11269" width="15.85546875" customWidth="1"/>
    <col min="11270" max="11270" width="25" bestFit="1" customWidth="1"/>
    <col min="11271" max="11271" width="12.28515625" bestFit="1" customWidth="1"/>
    <col min="11272" max="11272" width="13.140625" bestFit="1" customWidth="1"/>
    <col min="11273" max="11273" width="11.28515625" bestFit="1" customWidth="1"/>
    <col min="11274" max="11274" width="14.140625" bestFit="1" customWidth="1"/>
    <col min="11275" max="11275" width="10.140625" bestFit="1" customWidth="1"/>
    <col min="11276" max="11276" width="16.28515625" customWidth="1"/>
    <col min="11277" max="11277" width="12.85546875" customWidth="1"/>
    <col min="11278" max="11278" width="9.28515625" bestFit="1" customWidth="1"/>
    <col min="11521" max="11521" width="36.5703125" bestFit="1" customWidth="1"/>
    <col min="11522" max="11522" width="18.85546875" bestFit="1" customWidth="1"/>
    <col min="11523" max="11523" width="10" bestFit="1" customWidth="1"/>
    <col min="11524" max="11524" width="23.140625" bestFit="1" customWidth="1"/>
    <col min="11525" max="11525" width="15.85546875" customWidth="1"/>
    <col min="11526" max="11526" width="25" bestFit="1" customWidth="1"/>
    <col min="11527" max="11527" width="12.28515625" bestFit="1" customWidth="1"/>
    <col min="11528" max="11528" width="13.140625" bestFit="1" customWidth="1"/>
    <col min="11529" max="11529" width="11.28515625" bestFit="1" customWidth="1"/>
    <col min="11530" max="11530" width="14.140625" bestFit="1" customWidth="1"/>
    <col min="11531" max="11531" width="10.140625" bestFit="1" customWidth="1"/>
    <col min="11532" max="11532" width="16.28515625" customWidth="1"/>
    <col min="11533" max="11533" width="12.85546875" customWidth="1"/>
    <col min="11534" max="11534" width="9.28515625" bestFit="1" customWidth="1"/>
    <col min="11777" max="11777" width="36.5703125" bestFit="1" customWidth="1"/>
    <col min="11778" max="11778" width="18.85546875" bestFit="1" customWidth="1"/>
    <col min="11779" max="11779" width="10" bestFit="1" customWidth="1"/>
    <col min="11780" max="11780" width="23.140625" bestFit="1" customWidth="1"/>
    <col min="11781" max="11781" width="15.85546875" customWidth="1"/>
    <col min="11782" max="11782" width="25" bestFit="1" customWidth="1"/>
    <col min="11783" max="11783" width="12.28515625" bestFit="1" customWidth="1"/>
    <col min="11784" max="11784" width="13.140625" bestFit="1" customWidth="1"/>
    <col min="11785" max="11785" width="11.28515625" bestFit="1" customWidth="1"/>
    <col min="11786" max="11786" width="14.140625" bestFit="1" customWidth="1"/>
    <col min="11787" max="11787" width="10.140625" bestFit="1" customWidth="1"/>
    <col min="11788" max="11788" width="16.28515625" customWidth="1"/>
    <col min="11789" max="11789" width="12.85546875" customWidth="1"/>
    <col min="11790" max="11790" width="9.28515625" bestFit="1" customWidth="1"/>
    <col min="12033" max="12033" width="36.5703125" bestFit="1" customWidth="1"/>
    <col min="12034" max="12034" width="18.85546875" bestFit="1" customWidth="1"/>
    <col min="12035" max="12035" width="10" bestFit="1" customWidth="1"/>
    <col min="12036" max="12036" width="23.140625" bestFit="1" customWidth="1"/>
    <col min="12037" max="12037" width="15.85546875" customWidth="1"/>
    <col min="12038" max="12038" width="25" bestFit="1" customWidth="1"/>
    <col min="12039" max="12039" width="12.28515625" bestFit="1" customWidth="1"/>
    <col min="12040" max="12040" width="13.140625" bestFit="1" customWidth="1"/>
    <col min="12041" max="12041" width="11.28515625" bestFit="1" customWidth="1"/>
    <col min="12042" max="12042" width="14.140625" bestFit="1" customWidth="1"/>
    <col min="12043" max="12043" width="10.140625" bestFit="1" customWidth="1"/>
    <col min="12044" max="12044" width="16.28515625" customWidth="1"/>
    <col min="12045" max="12045" width="12.85546875" customWidth="1"/>
    <col min="12046" max="12046" width="9.28515625" bestFit="1" customWidth="1"/>
    <col min="12289" max="12289" width="36.5703125" bestFit="1" customWidth="1"/>
    <col min="12290" max="12290" width="18.85546875" bestFit="1" customWidth="1"/>
    <col min="12291" max="12291" width="10" bestFit="1" customWidth="1"/>
    <col min="12292" max="12292" width="23.140625" bestFit="1" customWidth="1"/>
    <col min="12293" max="12293" width="15.85546875" customWidth="1"/>
    <col min="12294" max="12294" width="25" bestFit="1" customWidth="1"/>
    <col min="12295" max="12295" width="12.28515625" bestFit="1" customWidth="1"/>
    <col min="12296" max="12296" width="13.140625" bestFit="1" customWidth="1"/>
    <col min="12297" max="12297" width="11.28515625" bestFit="1" customWidth="1"/>
    <col min="12298" max="12298" width="14.140625" bestFit="1" customWidth="1"/>
    <col min="12299" max="12299" width="10.140625" bestFit="1" customWidth="1"/>
    <col min="12300" max="12300" width="16.28515625" customWidth="1"/>
    <col min="12301" max="12301" width="12.85546875" customWidth="1"/>
    <col min="12302" max="12302" width="9.28515625" bestFit="1" customWidth="1"/>
    <col min="12545" max="12545" width="36.5703125" bestFit="1" customWidth="1"/>
    <col min="12546" max="12546" width="18.85546875" bestFit="1" customWidth="1"/>
    <col min="12547" max="12547" width="10" bestFit="1" customWidth="1"/>
    <col min="12548" max="12548" width="23.140625" bestFit="1" customWidth="1"/>
    <col min="12549" max="12549" width="15.85546875" customWidth="1"/>
    <col min="12550" max="12550" width="25" bestFit="1" customWidth="1"/>
    <col min="12551" max="12551" width="12.28515625" bestFit="1" customWidth="1"/>
    <col min="12552" max="12552" width="13.140625" bestFit="1" customWidth="1"/>
    <col min="12553" max="12553" width="11.28515625" bestFit="1" customWidth="1"/>
    <col min="12554" max="12554" width="14.140625" bestFit="1" customWidth="1"/>
    <col min="12555" max="12555" width="10.140625" bestFit="1" customWidth="1"/>
    <col min="12556" max="12556" width="16.28515625" customWidth="1"/>
    <col min="12557" max="12557" width="12.85546875" customWidth="1"/>
    <col min="12558" max="12558" width="9.28515625" bestFit="1" customWidth="1"/>
    <col min="12801" max="12801" width="36.5703125" bestFit="1" customWidth="1"/>
    <col min="12802" max="12802" width="18.85546875" bestFit="1" customWidth="1"/>
    <col min="12803" max="12803" width="10" bestFit="1" customWidth="1"/>
    <col min="12804" max="12804" width="23.140625" bestFit="1" customWidth="1"/>
    <col min="12805" max="12805" width="15.85546875" customWidth="1"/>
    <col min="12806" max="12806" width="25" bestFit="1" customWidth="1"/>
    <col min="12807" max="12807" width="12.28515625" bestFit="1" customWidth="1"/>
    <col min="12808" max="12808" width="13.140625" bestFit="1" customWidth="1"/>
    <col min="12809" max="12809" width="11.28515625" bestFit="1" customWidth="1"/>
    <col min="12810" max="12810" width="14.140625" bestFit="1" customWidth="1"/>
    <col min="12811" max="12811" width="10.140625" bestFit="1" customWidth="1"/>
    <col min="12812" max="12812" width="16.28515625" customWidth="1"/>
    <col min="12813" max="12813" width="12.85546875" customWidth="1"/>
    <col min="12814" max="12814" width="9.28515625" bestFit="1" customWidth="1"/>
    <col min="13057" max="13057" width="36.5703125" bestFit="1" customWidth="1"/>
    <col min="13058" max="13058" width="18.85546875" bestFit="1" customWidth="1"/>
    <col min="13059" max="13059" width="10" bestFit="1" customWidth="1"/>
    <col min="13060" max="13060" width="23.140625" bestFit="1" customWidth="1"/>
    <col min="13061" max="13061" width="15.85546875" customWidth="1"/>
    <col min="13062" max="13062" width="25" bestFit="1" customWidth="1"/>
    <col min="13063" max="13063" width="12.28515625" bestFit="1" customWidth="1"/>
    <col min="13064" max="13064" width="13.140625" bestFit="1" customWidth="1"/>
    <col min="13065" max="13065" width="11.28515625" bestFit="1" customWidth="1"/>
    <col min="13066" max="13066" width="14.140625" bestFit="1" customWidth="1"/>
    <col min="13067" max="13067" width="10.140625" bestFit="1" customWidth="1"/>
    <col min="13068" max="13068" width="16.28515625" customWidth="1"/>
    <col min="13069" max="13069" width="12.85546875" customWidth="1"/>
    <col min="13070" max="13070" width="9.28515625" bestFit="1" customWidth="1"/>
    <col min="13313" max="13313" width="36.5703125" bestFit="1" customWidth="1"/>
    <col min="13314" max="13314" width="18.85546875" bestFit="1" customWidth="1"/>
    <col min="13315" max="13315" width="10" bestFit="1" customWidth="1"/>
    <col min="13316" max="13316" width="23.140625" bestFit="1" customWidth="1"/>
    <col min="13317" max="13317" width="15.85546875" customWidth="1"/>
    <col min="13318" max="13318" width="25" bestFit="1" customWidth="1"/>
    <col min="13319" max="13319" width="12.28515625" bestFit="1" customWidth="1"/>
    <col min="13320" max="13320" width="13.140625" bestFit="1" customWidth="1"/>
    <col min="13321" max="13321" width="11.28515625" bestFit="1" customWidth="1"/>
    <col min="13322" max="13322" width="14.140625" bestFit="1" customWidth="1"/>
    <col min="13323" max="13323" width="10.140625" bestFit="1" customWidth="1"/>
    <col min="13324" max="13324" width="16.28515625" customWidth="1"/>
    <col min="13325" max="13325" width="12.85546875" customWidth="1"/>
    <col min="13326" max="13326" width="9.28515625" bestFit="1" customWidth="1"/>
    <col min="13569" max="13569" width="36.5703125" bestFit="1" customWidth="1"/>
    <col min="13570" max="13570" width="18.85546875" bestFit="1" customWidth="1"/>
    <col min="13571" max="13571" width="10" bestFit="1" customWidth="1"/>
    <col min="13572" max="13572" width="23.140625" bestFit="1" customWidth="1"/>
    <col min="13573" max="13573" width="15.85546875" customWidth="1"/>
    <col min="13574" max="13574" width="25" bestFit="1" customWidth="1"/>
    <col min="13575" max="13575" width="12.28515625" bestFit="1" customWidth="1"/>
    <col min="13576" max="13576" width="13.140625" bestFit="1" customWidth="1"/>
    <col min="13577" max="13577" width="11.28515625" bestFit="1" customWidth="1"/>
    <col min="13578" max="13578" width="14.140625" bestFit="1" customWidth="1"/>
    <col min="13579" max="13579" width="10.140625" bestFit="1" customWidth="1"/>
    <col min="13580" max="13580" width="16.28515625" customWidth="1"/>
    <col min="13581" max="13581" width="12.85546875" customWidth="1"/>
    <col min="13582" max="13582" width="9.28515625" bestFit="1" customWidth="1"/>
    <col min="13825" max="13825" width="36.5703125" bestFit="1" customWidth="1"/>
    <col min="13826" max="13826" width="18.85546875" bestFit="1" customWidth="1"/>
    <col min="13827" max="13827" width="10" bestFit="1" customWidth="1"/>
    <col min="13828" max="13828" width="23.140625" bestFit="1" customWidth="1"/>
    <col min="13829" max="13829" width="15.85546875" customWidth="1"/>
    <col min="13830" max="13830" width="25" bestFit="1" customWidth="1"/>
    <col min="13831" max="13831" width="12.28515625" bestFit="1" customWidth="1"/>
    <col min="13832" max="13832" width="13.140625" bestFit="1" customWidth="1"/>
    <col min="13833" max="13833" width="11.28515625" bestFit="1" customWidth="1"/>
    <col min="13834" max="13834" width="14.140625" bestFit="1" customWidth="1"/>
    <col min="13835" max="13835" width="10.140625" bestFit="1" customWidth="1"/>
    <col min="13836" max="13836" width="16.28515625" customWidth="1"/>
    <col min="13837" max="13837" width="12.85546875" customWidth="1"/>
    <col min="13838" max="13838" width="9.28515625" bestFit="1" customWidth="1"/>
    <col min="14081" max="14081" width="36.5703125" bestFit="1" customWidth="1"/>
    <col min="14082" max="14082" width="18.85546875" bestFit="1" customWidth="1"/>
    <col min="14083" max="14083" width="10" bestFit="1" customWidth="1"/>
    <col min="14084" max="14084" width="23.140625" bestFit="1" customWidth="1"/>
    <col min="14085" max="14085" width="15.85546875" customWidth="1"/>
    <col min="14086" max="14086" width="25" bestFit="1" customWidth="1"/>
    <col min="14087" max="14087" width="12.28515625" bestFit="1" customWidth="1"/>
    <col min="14088" max="14088" width="13.140625" bestFit="1" customWidth="1"/>
    <col min="14089" max="14089" width="11.28515625" bestFit="1" customWidth="1"/>
    <col min="14090" max="14090" width="14.140625" bestFit="1" customWidth="1"/>
    <col min="14091" max="14091" width="10.140625" bestFit="1" customWidth="1"/>
    <col min="14092" max="14092" width="16.28515625" customWidth="1"/>
    <col min="14093" max="14093" width="12.85546875" customWidth="1"/>
    <col min="14094" max="14094" width="9.28515625" bestFit="1" customWidth="1"/>
    <col min="14337" max="14337" width="36.5703125" bestFit="1" customWidth="1"/>
    <col min="14338" max="14338" width="18.85546875" bestFit="1" customWidth="1"/>
    <col min="14339" max="14339" width="10" bestFit="1" customWidth="1"/>
    <col min="14340" max="14340" width="23.140625" bestFit="1" customWidth="1"/>
    <col min="14341" max="14341" width="15.85546875" customWidth="1"/>
    <col min="14342" max="14342" width="25" bestFit="1" customWidth="1"/>
    <col min="14343" max="14343" width="12.28515625" bestFit="1" customWidth="1"/>
    <col min="14344" max="14344" width="13.140625" bestFit="1" customWidth="1"/>
    <col min="14345" max="14345" width="11.28515625" bestFit="1" customWidth="1"/>
    <col min="14346" max="14346" width="14.140625" bestFit="1" customWidth="1"/>
    <col min="14347" max="14347" width="10.140625" bestFit="1" customWidth="1"/>
    <col min="14348" max="14348" width="16.28515625" customWidth="1"/>
    <col min="14349" max="14349" width="12.85546875" customWidth="1"/>
    <col min="14350" max="14350" width="9.28515625" bestFit="1" customWidth="1"/>
    <col min="14593" max="14593" width="36.5703125" bestFit="1" customWidth="1"/>
    <col min="14594" max="14594" width="18.85546875" bestFit="1" customWidth="1"/>
    <col min="14595" max="14595" width="10" bestFit="1" customWidth="1"/>
    <col min="14596" max="14596" width="23.140625" bestFit="1" customWidth="1"/>
    <col min="14597" max="14597" width="15.85546875" customWidth="1"/>
    <col min="14598" max="14598" width="25" bestFit="1" customWidth="1"/>
    <col min="14599" max="14599" width="12.28515625" bestFit="1" customWidth="1"/>
    <col min="14600" max="14600" width="13.140625" bestFit="1" customWidth="1"/>
    <col min="14601" max="14601" width="11.28515625" bestFit="1" customWidth="1"/>
    <col min="14602" max="14602" width="14.140625" bestFit="1" customWidth="1"/>
    <col min="14603" max="14603" width="10.140625" bestFit="1" customWidth="1"/>
    <col min="14604" max="14604" width="16.28515625" customWidth="1"/>
    <col min="14605" max="14605" width="12.85546875" customWidth="1"/>
    <col min="14606" max="14606" width="9.28515625" bestFit="1" customWidth="1"/>
    <col min="14849" max="14849" width="36.5703125" bestFit="1" customWidth="1"/>
    <col min="14850" max="14850" width="18.85546875" bestFit="1" customWidth="1"/>
    <col min="14851" max="14851" width="10" bestFit="1" customWidth="1"/>
    <col min="14852" max="14852" width="23.140625" bestFit="1" customWidth="1"/>
    <col min="14853" max="14853" width="15.85546875" customWidth="1"/>
    <col min="14854" max="14854" width="25" bestFit="1" customWidth="1"/>
    <col min="14855" max="14855" width="12.28515625" bestFit="1" customWidth="1"/>
    <col min="14856" max="14856" width="13.140625" bestFit="1" customWidth="1"/>
    <col min="14857" max="14857" width="11.28515625" bestFit="1" customWidth="1"/>
    <col min="14858" max="14858" width="14.140625" bestFit="1" customWidth="1"/>
    <col min="14859" max="14859" width="10.140625" bestFit="1" customWidth="1"/>
    <col min="14860" max="14860" width="16.28515625" customWidth="1"/>
    <col min="14861" max="14861" width="12.85546875" customWidth="1"/>
    <col min="14862" max="14862" width="9.28515625" bestFit="1" customWidth="1"/>
    <col min="15105" max="15105" width="36.5703125" bestFit="1" customWidth="1"/>
    <col min="15106" max="15106" width="18.85546875" bestFit="1" customWidth="1"/>
    <col min="15107" max="15107" width="10" bestFit="1" customWidth="1"/>
    <col min="15108" max="15108" width="23.140625" bestFit="1" customWidth="1"/>
    <col min="15109" max="15109" width="15.85546875" customWidth="1"/>
    <col min="15110" max="15110" width="25" bestFit="1" customWidth="1"/>
    <col min="15111" max="15111" width="12.28515625" bestFit="1" customWidth="1"/>
    <col min="15112" max="15112" width="13.140625" bestFit="1" customWidth="1"/>
    <col min="15113" max="15113" width="11.28515625" bestFit="1" customWidth="1"/>
    <col min="15114" max="15114" width="14.140625" bestFit="1" customWidth="1"/>
    <col min="15115" max="15115" width="10.140625" bestFit="1" customWidth="1"/>
    <col min="15116" max="15116" width="16.28515625" customWidth="1"/>
    <col min="15117" max="15117" width="12.85546875" customWidth="1"/>
    <col min="15118" max="15118" width="9.28515625" bestFit="1" customWidth="1"/>
    <col min="15361" max="15361" width="36.5703125" bestFit="1" customWidth="1"/>
    <col min="15362" max="15362" width="18.85546875" bestFit="1" customWidth="1"/>
    <col min="15363" max="15363" width="10" bestFit="1" customWidth="1"/>
    <col min="15364" max="15364" width="23.140625" bestFit="1" customWidth="1"/>
    <col min="15365" max="15365" width="15.85546875" customWidth="1"/>
    <col min="15366" max="15366" width="25" bestFit="1" customWidth="1"/>
    <col min="15367" max="15367" width="12.28515625" bestFit="1" customWidth="1"/>
    <col min="15368" max="15368" width="13.140625" bestFit="1" customWidth="1"/>
    <col min="15369" max="15369" width="11.28515625" bestFit="1" customWidth="1"/>
    <col min="15370" max="15370" width="14.140625" bestFit="1" customWidth="1"/>
    <col min="15371" max="15371" width="10.140625" bestFit="1" customWidth="1"/>
    <col min="15372" max="15372" width="16.28515625" customWidth="1"/>
    <col min="15373" max="15373" width="12.85546875" customWidth="1"/>
    <col min="15374" max="15374" width="9.28515625" bestFit="1" customWidth="1"/>
    <col min="15617" max="15617" width="36.5703125" bestFit="1" customWidth="1"/>
    <col min="15618" max="15618" width="18.85546875" bestFit="1" customWidth="1"/>
    <col min="15619" max="15619" width="10" bestFit="1" customWidth="1"/>
    <col min="15620" max="15620" width="23.140625" bestFit="1" customWidth="1"/>
    <col min="15621" max="15621" width="15.85546875" customWidth="1"/>
    <col min="15622" max="15622" width="25" bestFit="1" customWidth="1"/>
    <col min="15623" max="15623" width="12.28515625" bestFit="1" customWidth="1"/>
    <col min="15624" max="15624" width="13.140625" bestFit="1" customWidth="1"/>
    <col min="15625" max="15625" width="11.28515625" bestFit="1" customWidth="1"/>
    <col min="15626" max="15626" width="14.140625" bestFit="1" customWidth="1"/>
    <col min="15627" max="15627" width="10.140625" bestFit="1" customWidth="1"/>
    <col min="15628" max="15628" width="16.28515625" customWidth="1"/>
    <col min="15629" max="15629" width="12.85546875" customWidth="1"/>
    <col min="15630" max="15630" width="9.28515625" bestFit="1" customWidth="1"/>
    <col min="15873" max="15873" width="36.5703125" bestFit="1" customWidth="1"/>
    <col min="15874" max="15874" width="18.85546875" bestFit="1" customWidth="1"/>
    <col min="15875" max="15875" width="10" bestFit="1" customWidth="1"/>
    <col min="15876" max="15876" width="23.140625" bestFit="1" customWidth="1"/>
    <col min="15877" max="15877" width="15.85546875" customWidth="1"/>
    <col min="15878" max="15878" width="25" bestFit="1" customWidth="1"/>
    <col min="15879" max="15879" width="12.28515625" bestFit="1" customWidth="1"/>
    <col min="15880" max="15880" width="13.140625" bestFit="1" customWidth="1"/>
    <col min="15881" max="15881" width="11.28515625" bestFit="1" customWidth="1"/>
    <col min="15882" max="15882" width="14.140625" bestFit="1" customWidth="1"/>
    <col min="15883" max="15883" width="10.140625" bestFit="1" customWidth="1"/>
    <col min="15884" max="15884" width="16.28515625" customWidth="1"/>
    <col min="15885" max="15885" width="12.85546875" customWidth="1"/>
    <col min="15886" max="15886" width="9.28515625" bestFit="1" customWidth="1"/>
    <col min="16129" max="16129" width="36.5703125" bestFit="1" customWidth="1"/>
    <col min="16130" max="16130" width="18.85546875" bestFit="1" customWidth="1"/>
    <col min="16131" max="16131" width="10" bestFit="1" customWidth="1"/>
    <col min="16132" max="16132" width="23.140625" bestFit="1" customWidth="1"/>
    <col min="16133" max="16133" width="15.85546875" customWidth="1"/>
    <col min="16134" max="16134" width="25" bestFit="1" customWidth="1"/>
    <col min="16135" max="16135" width="12.28515625" bestFit="1" customWidth="1"/>
    <col min="16136" max="16136" width="13.140625" bestFit="1" customWidth="1"/>
    <col min="16137" max="16137" width="11.28515625" bestFit="1" customWidth="1"/>
    <col min="16138" max="16138" width="14.140625" bestFit="1" customWidth="1"/>
    <col min="16139" max="16139" width="10.140625" bestFit="1" customWidth="1"/>
    <col min="16140" max="16140" width="16.28515625" customWidth="1"/>
    <col min="16141" max="16141" width="12.8554687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3279</v>
      </c>
      <c r="C5" s="1594"/>
      <c r="D5" s="1594"/>
      <c r="E5" s="1595"/>
      <c r="F5" s="326" t="s">
        <v>171</v>
      </c>
      <c r="G5" s="326"/>
      <c r="H5" s="1599" t="s">
        <v>3278</v>
      </c>
      <c r="I5" s="1600"/>
      <c r="J5" s="326" t="s">
        <v>172</v>
      </c>
      <c r="K5" s="631" t="s">
        <v>3277</v>
      </c>
      <c r="L5" s="326" t="s">
        <v>436</v>
      </c>
      <c r="M5" s="326"/>
      <c r="N5" s="631" t="s">
        <v>3276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3275</v>
      </c>
      <c r="C7" s="1594"/>
      <c r="D7" s="1594"/>
      <c r="E7" s="1595"/>
      <c r="F7" s="1596" t="s">
        <v>3208</v>
      </c>
      <c r="G7" s="1596"/>
      <c r="H7" s="1593" t="s">
        <v>3274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03" t="s">
        <v>3273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4.5" customHeight="1">
      <c r="A13" s="631" t="s">
        <v>838</v>
      </c>
      <c r="B13" s="1612" t="s">
        <v>3272</v>
      </c>
      <c r="C13" s="1612"/>
      <c r="D13" s="1612" t="s">
        <v>3271</v>
      </c>
      <c r="E13" s="1612"/>
      <c r="F13" s="1612"/>
      <c r="G13" s="1612" t="s">
        <v>3270</v>
      </c>
      <c r="H13" s="1612"/>
      <c r="I13" s="1612"/>
      <c r="J13" s="1613" t="s">
        <v>3269</v>
      </c>
      <c r="K13" s="1617"/>
      <c r="L13" s="1617"/>
      <c r="M13" s="1614"/>
      <c r="N13" s="326"/>
    </row>
    <row r="14" spans="1:14">
      <c r="A14" s="631" t="s">
        <v>187</v>
      </c>
      <c r="B14" s="1613" t="s">
        <v>3268</v>
      </c>
      <c r="C14" s="1614"/>
      <c r="D14" s="1612"/>
      <c r="E14" s="1612"/>
      <c r="F14" s="1612"/>
      <c r="G14" s="1612"/>
      <c r="H14" s="1612"/>
      <c r="I14" s="1612"/>
      <c r="J14" s="1613"/>
      <c r="K14" s="1617"/>
      <c r="L14" s="1617"/>
      <c r="M14" s="1614"/>
      <c r="N14" s="326"/>
    </row>
    <row r="15" spans="1:14">
      <c r="A15" s="631" t="s">
        <v>192</v>
      </c>
      <c r="B15" s="329" t="s">
        <v>3267</v>
      </c>
      <c r="C15" s="329" t="s">
        <v>3266</v>
      </c>
      <c r="D15" s="329" t="s">
        <v>3265</v>
      </c>
      <c r="E15" s="329" t="s">
        <v>3264</v>
      </c>
      <c r="F15" s="329" t="s">
        <v>3263</v>
      </c>
      <c r="G15" s="329"/>
      <c r="H15" s="623"/>
      <c r="I15" s="623"/>
      <c r="J15" s="1612"/>
      <c r="K15" s="1612"/>
      <c r="L15" s="1612"/>
      <c r="M15" s="1612"/>
      <c r="N15" s="326"/>
    </row>
    <row r="16" spans="1:14">
      <c r="A16" s="631" t="s">
        <v>197</v>
      </c>
      <c r="B16" s="70"/>
      <c r="C16" s="329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C18" s="328"/>
      <c r="D18" s="326"/>
      <c r="E18" s="326"/>
      <c r="F18" s="631">
        <v>12</v>
      </c>
      <c r="G18" s="326" t="s">
        <v>200</v>
      </c>
      <c r="H18" s="632">
        <v>13</v>
      </c>
      <c r="I18" s="326" t="s">
        <v>201</v>
      </c>
      <c r="J18" s="632">
        <v>1</v>
      </c>
      <c r="K18" s="326" t="s">
        <v>202</v>
      </c>
      <c r="L18" s="631">
        <v>5</v>
      </c>
      <c r="M18" s="326"/>
      <c r="N18" s="326"/>
    </row>
    <row r="19" spans="1:14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f>33+46+69+44+102+26+24+12</f>
        <v>356</v>
      </c>
      <c r="D21" s="326" t="s">
        <v>205</v>
      </c>
      <c r="E21" s="631">
        <f>0</f>
        <v>0</v>
      </c>
      <c r="F21" s="326" t="s">
        <v>206</v>
      </c>
      <c r="G21" s="80">
        <v>26</v>
      </c>
      <c r="H21" s="326" t="s">
        <v>230</v>
      </c>
      <c r="I21" s="80">
        <f>C21+E21+G21</f>
        <v>382</v>
      </c>
      <c r="J21" s="326" t="s">
        <v>207</v>
      </c>
      <c r="K21" s="631">
        <f>6+4+5+8+12+12+10+12</f>
        <v>69</v>
      </c>
      <c r="L21" s="326" t="s">
        <v>3187</v>
      </c>
      <c r="M21" s="326"/>
      <c r="N21" s="631">
        <v>20</v>
      </c>
    </row>
    <row r="22" spans="1:14">
      <c r="A22" s="326" t="s">
        <v>209</v>
      </c>
      <c r="B22" s="326" t="s">
        <v>210</v>
      </c>
      <c r="C22" s="631">
        <f>96+95+165+152+160+63+75+35</f>
        <v>841</v>
      </c>
      <c r="D22" s="326" t="s">
        <v>211</v>
      </c>
      <c r="E22" s="631">
        <f>0</f>
        <v>0</v>
      </c>
      <c r="F22" s="326" t="s">
        <v>212</v>
      </c>
      <c r="G22" s="631">
        <v>41</v>
      </c>
      <c r="H22" s="326" t="s">
        <v>411</v>
      </c>
      <c r="I22" s="80">
        <f>C22+E22+G22</f>
        <v>882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f>69+119+120+83+156+42+43+25</f>
        <v>657</v>
      </c>
      <c r="D23" s="326" t="s">
        <v>214</v>
      </c>
      <c r="E23" s="631">
        <v>0</v>
      </c>
      <c r="F23" s="326" t="s">
        <v>215</v>
      </c>
      <c r="G23" s="631">
        <v>42</v>
      </c>
      <c r="H23" s="326" t="s">
        <v>410</v>
      </c>
      <c r="I23" s="80">
        <f>C23+E23+G23</f>
        <v>699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35">
        <f>503.4*B29</f>
        <v>4027200</v>
      </c>
      <c r="E29" s="335">
        <f>168500+300000</f>
        <v>468500</v>
      </c>
      <c r="F29" s="335"/>
      <c r="G29" s="335">
        <v>138410</v>
      </c>
      <c r="H29" s="335"/>
      <c r="I29" s="335"/>
      <c r="J29" s="335"/>
      <c r="K29" s="335"/>
      <c r="L29" s="335"/>
      <c r="M29" s="322">
        <f t="shared" ref="M29:M38" si="0">SUM(F29:L29)</f>
        <v>138410</v>
      </c>
      <c r="N29" s="323">
        <f>+M29/E29*100</f>
        <v>29.543223052294561</v>
      </c>
    </row>
    <row r="30" spans="1:14">
      <c r="A30" s="322" t="s">
        <v>234</v>
      </c>
      <c r="B30" s="322">
        <v>7000</v>
      </c>
      <c r="C30" s="322" t="s">
        <v>233</v>
      </c>
      <c r="D30" s="335">
        <f>503.4*B30</f>
        <v>3523800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22">
        <f t="shared" si="0"/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335">
        <v>18000</v>
      </c>
      <c r="F31" s="335"/>
      <c r="G31" s="335">
        <v>18000</v>
      </c>
      <c r="H31" s="335"/>
      <c r="I31" s="335"/>
      <c r="J31" s="335"/>
      <c r="K31" s="335"/>
      <c r="L31" s="335"/>
      <c r="M31" s="322">
        <f t="shared" si="0"/>
        <v>18000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335">
        <v>16000</v>
      </c>
      <c r="H32" s="335"/>
      <c r="I32" s="335"/>
      <c r="J32" s="335"/>
      <c r="K32" s="335"/>
      <c r="L32" s="335"/>
      <c r="M32" s="322">
        <f t="shared" si="0"/>
        <v>16000</v>
      </c>
      <c r="N32" s="323">
        <f t="shared" si="1"/>
        <v>100</v>
      </c>
    </row>
    <row r="33" spans="1:14">
      <c r="A33" s="322" t="s">
        <v>238</v>
      </c>
      <c r="B33" s="322">
        <v>1200</v>
      </c>
      <c r="C33" s="322" t="s">
        <v>233</v>
      </c>
      <c r="D33" s="335">
        <f>503.4*B33</f>
        <v>604080</v>
      </c>
      <c r="E33" s="335">
        <v>200000</v>
      </c>
      <c r="F33" s="335"/>
      <c r="G33" s="335">
        <v>159037</v>
      </c>
      <c r="H33" s="335"/>
      <c r="I33" s="335"/>
      <c r="J33" s="335"/>
      <c r="K33" s="335"/>
      <c r="L33" s="335"/>
      <c r="M33" s="322">
        <f t="shared" si="0"/>
        <v>159037</v>
      </c>
      <c r="N33" s="323">
        <f t="shared" si="1"/>
        <v>79.518500000000003</v>
      </c>
    </row>
    <row r="34" spans="1:14">
      <c r="A34" s="322" t="s">
        <v>667</v>
      </c>
      <c r="B34" s="322">
        <v>565</v>
      </c>
      <c r="C34" s="322" t="s">
        <v>233</v>
      </c>
      <c r="D34" s="335">
        <f>503.4*B34</f>
        <v>284421</v>
      </c>
      <c r="E34" s="335">
        <f>50340+100000</f>
        <v>150340</v>
      </c>
      <c r="F34" s="335"/>
      <c r="G34" s="335">
        <v>5000</v>
      </c>
      <c r="H34" s="335"/>
      <c r="I34" s="335"/>
      <c r="J34" s="335"/>
      <c r="K34" s="335"/>
      <c r="L34" s="335"/>
      <c r="M34" s="322">
        <f t="shared" si="0"/>
        <v>5000</v>
      </c>
      <c r="N34" s="323">
        <f t="shared" si="1"/>
        <v>3.3257948649727282</v>
      </c>
    </row>
    <row r="35" spans="1:14">
      <c r="A35" s="322" t="s">
        <v>240</v>
      </c>
      <c r="B35" s="322">
        <v>1000</v>
      </c>
      <c r="C35" s="322" t="s">
        <v>233</v>
      </c>
      <c r="D35" s="335">
        <f>503.4*B35</f>
        <v>503400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f>+B36*84</f>
        <v>231000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22">
        <f t="shared" si="0"/>
        <v>30250</v>
      </c>
      <c r="N36" s="323">
        <f t="shared" si="1"/>
        <v>100</v>
      </c>
    </row>
    <row r="37" spans="1:14">
      <c r="A37" s="324" t="s">
        <v>670</v>
      </c>
      <c r="B37" s="322">
        <v>10000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653">
        <f t="shared" ref="D38:L38" si="2">SUM(D29:D37)</f>
        <v>9273901</v>
      </c>
      <c r="E38" s="653">
        <f t="shared" si="2"/>
        <v>883090</v>
      </c>
      <c r="F38" s="653">
        <f t="shared" si="2"/>
        <v>0</v>
      </c>
      <c r="G38" s="653">
        <f t="shared" si="2"/>
        <v>366697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366697</v>
      </c>
      <c r="N38" s="323">
        <f t="shared" si="1"/>
        <v>41.524306695806764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29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D16:F16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ageMargins left="0.14000000000000001" right="0.14000000000000001" top="0.75" bottom="0.48" header="0.3" footer="0.3"/>
  <pageSetup paperSize="9" scale="61" orientation="landscape" r:id="rId1"/>
  <headerFooter>
    <oddFooter>&amp;L&amp;9&amp;F&amp;R&amp;9&amp;A</oddFooter>
  </headerFooter>
</worksheet>
</file>

<file path=xl/worksheets/sheet316.xml><?xml version="1.0" encoding="utf-8"?>
<worksheet xmlns="http://schemas.openxmlformats.org/spreadsheetml/2006/main" xmlns:r="http://schemas.openxmlformats.org/officeDocument/2006/relationships">
  <dimension ref="A1:N42"/>
  <sheetViews>
    <sheetView zoomScale="80" zoomScaleNormal="80" workbookViewId="0">
      <selection activeCell="A3" sqref="A3:C3"/>
    </sheetView>
  </sheetViews>
  <sheetFormatPr defaultRowHeight="15"/>
  <cols>
    <col min="1" max="1" width="36.5703125" bestFit="1" customWidth="1"/>
    <col min="2" max="2" width="15.85546875" bestFit="1" customWidth="1"/>
    <col min="3" max="3" width="14.42578125" bestFit="1" customWidth="1"/>
    <col min="4" max="4" width="23.140625" bestFit="1" customWidth="1"/>
    <col min="5" max="5" width="20.7109375" bestFit="1" customWidth="1"/>
    <col min="6" max="6" width="25" bestFit="1" customWidth="1"/>
    <col min="7" max="7" width="12.28515625" bestFit="1" customWidth="1"/>
    <col min="8" max="8" width="13.140625" bestFit="1" customWidth="1"/>
    <col min="9" max="9" width="11.28515625" bestFit="1" customWidth="1"/>
    <col min="10" max="10" width="12.140625" customWidth="1"/>
    <col min="11" max="11" width="10.140625" bestFit="1" customWidth="1"/>
    <col min="12" max="12" width="21" bestFit="1" customWidth="1"/>
    <col min="13" max="13" width="7" bestFit="1" customWidth="1"/>
    <col min="14" max="14" width="9.28515625" bestFit="1" customWidth="1"/>
    <col min="257" max="257" width="36.5703125" bestFit="1" customWidth="1"/>
    <col min="258" max="258" width="15.85546875" bestFit="1" customWidth="1"/>
    <col min="259" max="259" width="14.42578125" bestFit="1" customWidth="1"/>
    <col min="260" max="260" width="23.140625" bestFit="1" customWidth="1"/>
    <col min="261" max="261" width="20.7109375" bestFit="1" customWidth="1"/>
    <col min="262" max="262" width="25" bestFit="1" customWidth="1"/>
    <col min="263" max="263" width="12.28515625" bestFit="1" customWidth="1"/>
    <col min="264" max="264" width="13.140625" bestFit="1" customWidth="1"/>
    <col min="265" max="265" width="11.28515625" bestFit="1" customWidth="1"/>
    <col min="266" max="266" width="12.140625" customWidth="1"/>
    <col min="267" max="267" width="10.140625" bestFit="1" customWidth="1"/>
    <col min="268" max="268" width="21" bestFit="1" customWidth="1"/>
    <col min="269" max="269" width="7" bestFit="1" customWidth="1"/>
    <col min="270" max="270" width="9.28515625" bestFit="1" customWidth="1"/>
    <col min="513" max="513" width="36.5703125" bestFit="1" customWidth="1"/>
    <col min="514" max="514" width="15.85546875" bestFit="1" customWidth="1"/>
    <col min="515" max="515" width="14.42578125" bestFit="1" customWidth="1"/>
    <col min="516" max="516" width="23.140625" bestFit="1" customWidth="1"/>
    <col min="517" max="517" width="20.7109375" bestFit="1" customWidth="1"/>
    <col min="518" max="518" width="25" bestFit="1" customWidth="1"/>
    <col min="519" max="519" width="12.28515625" bestFit="1" customWidth="1"/>
    <col min="520" max="520" width="13.140625" bestFit="1" customWidth="1"/>
    <col min="521" max="521" width="11.28515625" bestFit="1" customWidth="1"/>
    <col min="522" max="522" width="12.140625" customWidth="1"/>
    <col min="523" max="523" width="10.140625" bestFit="1" customWidth="1"/>
    <col min="524" max="524" width="21" bestFit="1" customWidth="1"/>
    <col min="525" max="525" width="7" bestFit="1" customWidth="1"/>
    <col min="526" max="526" width="9.28515625" bestFit="1" customWidth="1"/>
    <col min="769" max="769" width="36.5703125" bestFit="1" customWidth="1"/>
    <col min="770" max="770" width="15.85546875" bestFit="1" customWidth="1"/>
    <col min="771" max="771" width="14.42578125" bestFit="1" customWidth="1"/>
    <col min="772" max="772" width="23.140625" bestFit="1" customWidth="1"/>
    <col min="773" max="773" width="20.7109375" bestFit="1" customWidth="1"/>
    <col min="774" max="774" width="25" bestFit="1" customWidth="1"/>
    <col min="775" max="775" width="12.28515625" bestFit="1" customWidth="1"/>
    <col min="776" max="776" width="13.140625" bestFit="1" customWidth="1"/>
    <col min="777" max="777" width="11.28515625" bestFit="1" customWidth="1"/>
    <col min="778" max="778" width="12.140625" customWidth="1"/>
    <col min="779" max="779" width="10.140625" bestFit="1" customWidth="1"/>
    <col min="780" max="780" width="21" bestFit="1" customWidth="1"/>
    <col min="781" max="781" width="7" bestFit="1" customWidth="1"/>
    <col min="782" max="782" width="9.28515625" bestFit="1" customWidth="1"/>
    <col min="1025" max="1025" width="36.5703125" bestFit="1" customWidth="1"/>
    <col min="1026" max="1026" width="15.85546875" bestFit="1" customWidth="1"/>
    <col min="1027" max="1027" width="14.42578125" bestFit="1" customWidth="1"/>
    <col min="1028" max="1028" width="23.140625" bestFit="1" customWidth="1"/>
    <col min="1029" max="1029" width="20.7109375" bestFit="1" customWidth="1"/>
    <col min="1030" max="1030" width="25" bestFit="1" customWidth="1"/>
    <col min="1031" max="1031" width="12.28515625" bestFit="1" customWidth="1"/>
    <col min="1032" max="1032" width="13.140625" bestFit="1" customWidth="1"/>
    <col min="1033" max="1033" width="11.28515625" bestFit="1" customWidth="1"/>
    <col min="1034" max="1034" width="12.140625" customWidth="1"/>
    <col min="1035" max="1035" width="10.140625" bestFit="1" customWidth="1"/>
    <col min="1036" max="1036" width="21" bestFit="1" customWidth="1"/>
    <col min="1037" max="1037" width="7" bestFit="1" customWidth="1"/>
    <col min="1038" max="1038" width="9.28515625" bestFit="1" customWidth="1"/>
    <col min="1281" max="1281" width="36.5703125" bestFit="1" customWidth="1"/>
    <col min="1282" max="1282" width="15.85546875" bestFit="1" customWidth="1"/>
    <col min="1283" max="1283" width="14.42578125" bestFit="1" customWidth="1"/>
    <col min="1284" max="1284" width="23.140625" bestFit="1" customWidth="1"/>
    <col min="1285" max="1285" width="20.7109375" bestFit="1" customWidth="1"/>
    <col min="1286" max="1286" width="25" bestFit="1" customWidth="1"/>
    <col min="1287" max="1287" width="12.28515625" bestFit="1" customWidth="1"/>
    <col min="1288" max="1288" width="13.140625" bestFit="1" customWidth="1"/>
    <col min="1289" max="1289" width="11.28515625" bestFit="1" customWidth="1"/>
    <col min="1290" max="1290" width="12.140625" customWidth="1"/>
    <col min="1291" max="1291" width="10.140625" bestFit="1" customWidth="1"/>
    <col min="1292" max="1292" width="21" bestFit="1" customWidth="1"/>
    <col min="1293" max="1293" width="7" bestFit="1" customWidth="1"/>
    <col min="1294" max="1294" width="9.28515625" bestFit="1" customWidth="1"/>
    <col min="1537" max="1537" width="36.5703125" bestFit="1" customWidth="1"/>
    <col min="1538" max="1538" width="15.85546875" bestFit="1" customWidth="1"/>
    <col min="1539" max="1539" width="14.42578125" bestFit="1" customWidth="1"/>
    <col min="1540" max="1540" width="23.140625" bestFit="1" customWidth="1"/>
    <col min="1541" max="1541" width="20.7109375" bestFit="1" customWidth="1"/>
    <col min="1542" max="1542" width="25" bestFit="1" customWidth="1"/>
    <col min="1543" max="1543" width="12.28515625" bestFit="1" customWidth="1"/>
    <col min="1544" max="1544" width="13.140625" bestFit="1" customWidth="1"/>
    <col min="1545" max="1545" width="11.28515625" bestFit="1" customWidth="1"/>
    <col min="1546" max="1546" width="12.140625" customWidth="1"/>
    <col min="1547" max="1547" width="10.140625" bestFit="1" customWidth="1"/>
    <col min="1548" max="1548" width="21" bestFit="1" customWidth="1"/>
    <col min="1549" max="1549" width="7" bestFit="1" customWidth="1"/>
    <col min="1550" max="1550" width="9.28515625" bestFit="1" customWidth="1"/>
    <col min="1793" max="1793" width="36.5703125" bestFit="1" customWidth="1"/>
    <col min="1794" max="1794" width="15.85546875" bestFit="1" customWidth="1"/>
    <col min="1795" max="1795" width="14.42578125" bestFit="1" customWidth="1"/>
    <col min="1796" max="1796" width="23.140625" bestFit="1" customWidth="1"/>
    <col min="1797" max="1797" width="20.7109375" bestFit="1" customWidth="1"/>
    <col min="1798" max="1798" width="25" bestFit="1" customWidth="1"/>
    <col min="1799" max="1799" width="12.28515625" bestFit="1" customWidth="1"/>
    <col min="1800" max="1800" width="13.140625" bestFit="1" customWidth="1"/>
    <col min="1801" max="1801" width="11.28515625" bestFit="1" customWidth="1"/>
    <col min="1802" max="1802" width="12.140625" customWidth="1"/>
    <col min="1803" max="1803" width="10.140625" bestFit="1" customWidth="1"/>
    <col min="1804" max="1804" width="21" bestFit="1" customWidth="1"/>
    <col min="1805" max="1805" width="7" bestFit="1" customWidth="1"/>
    <col min="1806" max="1806" width="9.28515625" bestFit="1" customWidth="1"/>
    <col min="2049" max="2049" width="36.5703125" bestFit="1" customWidth="1"/>
    <col min="2050" max="2050" width="15.85546875" bestFit="1" customWidth="1"/>
    <col min="2051" max="2051" width="14.42578125" bestFit="1" customWidth="1"/>
    <col min="2052" max="2052" width="23.140625" bestFit="1" customWidth="1"/>
    <col min="2053" max="2053" width="20.7109375" bestFit="1" customWidth="1"/>
    <col min="2054" max="2054" width="25" bestFit="1" customWidth="1"/>
    <col min="2055" max="2055" width="12.28515625" bestFit="1" customWidth="1"/>
    <col min="2056" max="2056" width="13.140625" bestFit="1" customWidth="1"/>
    <col min="2057" max="2057" width="11.28515625" bestFit="1" customWidth="1"/>
    <col min="2058" max="2058" width="12.140625" customWidth="1"/>
    <col min="2059" max="2059" width="10.140625" bestFit="1" customWidth="1"/>
    <col min="2060" max="2060" width="21" bestFit="1" customWidth="1"/>
    <col min="2061" max="2061" width="7" bestFit="1" customWidth="1"/>
    <col min="2062" max="2062" width="9.28515625" bestFit="1" customWidth="1"/>
    <col min="2305" max="2305" width="36.5703125" bestFit="1" customWidth="1"/>
    <col min="2306" max="2306" width="15.85546875" bestFit="1" customWidth="1"/>
    <col min="2307" max="2307" width="14.42578125" bestFit="1" customWidth="1"/>
    <col min="2308" max="2308" width="23.140625" bestFit="1" customWidth="1"/>
    <col min="2309" max="2309" width="20.7109375" bestFit="1" customWidth="1"/>
    <col min="2310" max="2310" width="25" bestFit="1" customWidth="1"/>
    <col min="2311" max="2311" width="12.28515625" bestFit="1" customWidth="1"/>
    <col min="2312" max="2312" width="13.140625" bestFit="1" customWidth="1"/>
    <col min="2313" max="2313" width="11.28515625" bestFit="1" customWidth="1"/>
    <col min="2314" max="2314" width="12.140625" customWidth="1"/>
    <col min="2315" max="2315" width="10.140625" bestFit="1" customWidth="1"/>
    <col min="2316" max="2316" width="21" bestFit="1" customWidth="1"/>
    <col min="2317" max="2317" width="7" bestFit="1" customWidth="1"/>
    <col min="2318" max="2318" width="9.28515625" bestFit="1" customWidth="1"/>
    <col min="2561" max="2561" width="36.5703125" bestFit="1" customWidth="1"/>
    <col min="2562" max="2562" width="15.85546875" bestFit="1" customWidth="1"/>
    <col min="2563" max="2563" width="14.42578125" bestFit="1" customWidth="1"/>
    <col min="2564" max="2564" width="23.140625" bestFit="1" customWidth="1"/>
    <col min="2565" max="2565" width="20.7109375" bestFit="1" customWidth="1"/>
    <col min="2566" max="2566" width="25" bestFit="1" customWidth="1"/>
    <col min="2567" max="2567" width="12.28515625" bestFit="1" customWidth="1"/>
    <col min="2568" max="2568" width="13.140625" bestFit="1" customWidth="1"/>
    <col min="2569" max="2569" width="11.28515625" bestFit="1" customWidth="1"/>
    <col min="2570" max="2570" width="12.140625" customWidth="1"/>
    <col min="2571" max="2571" width="10.140625" bestFit="1" customWidth="1"/>
    <col min="2572" max="2572" width="21" bestFit="1" customWidth="1"/>
    <col min="2573" max="2573" width="7" bestFit="1" customWidth="1"/>
    <col min="2574" max="2574" width="9.28515625" bestFit="1" customWidth="1"/>
    <col min="2817" max="2817" width="36.5703125" bestFit="1" customWidth="1"/>
    <col min="2818" max="2818" width="15.85546875" bestFit="1" customWidth="1"/>
    <col min="2819" max="2819" width="14.42578125" bestFit="1" customWidth="1"/>
    <col min="2820" max="2820" width="23.140625" bestFit="1" customWidth="1"/>
    <col min="2821" max="2821" width="20.7109375" bestFit="1" customWidth="1"/>
    <col min="2822" max="2822" width="25" bestFit="1" customWidth="1"/>
    <col min="2823" max="2823" width="12.28515625" bestFit="1" customWidth="1"/>
    <col min="2824" max="2824" width="13.140625" bestFit="1" customWidth="1"/>
    <col min="2825" max="2825" width="11.28515625" bestFit="1" customWidth="1"/>
    <col min="2826" max="2826" width="12.140625" customWidth="1"/>
    <col min="2827" max="2827" width="10.140625" bestFit="1" customWidth="1"/>
    <col min="2828" max="2828" width="21" bestFit="1" customWidth="1"/>
    <col min="2829" max="2829" width="7" bestFit="1" customWidth="1"/>
    <col min="2830" max="2830" width="9.28515625" bestFit="1" customWidth="1"/>
    <col min="3073" max="3073" width="36.5703125" bestFit="1" customWidth="1"/>
    <col min="3074" max="3074" width="15.85546875" bestFit="1" customWidth="1"/>
    <col min="3075" max="3075" width="14.42578125" bestFit="1" customWidth="1"/>
    <col min="3076" max="3076" width="23.140625" bestFit="1" customWidth="1"/>
    <col min="3077" max="3077" width="20.7109375" bestFit="1" customWidth="1"/>
    <col min="3078" max="3078" width="25" bestFit="1" customWidth="1"/>
    <col min="3079" max="3079" width="12.28515625" bestFit="1" customWidth="1"/>
    <col min="3080" max="3080" width="13.140625" bestFit="1" customWidth="1"/>
    <col min="3081" max="3081" width="11.28515625" bestFit="1" customWidth="1"/>
    <col min="3082" max="3082" width="12.140625" customWidth="1"/>
    <col min="3083" max="3083" width="10.140625" bestFit="1" customWidth="1"/>
    <col min="3084" max="3084" width="21" bestFit="1" customWidth="1"/>
    <col min="3085" max="3085" width="7" bestFit="1" customWidth="1"/>
    <col min="3086" max="3086" width="9.28515625" bestFit="1" customWidth="1"/>
    <col min="3329" max="3329" width="36.5703125" bestFit="1" customWidth="1"/>
    <col min="3330" max="3330" width="15.85546875" bestFit="1" customWidth="1"/>
    <col min="3331" max="3331" width="14.42578125" bestFit="1" customWidth="1"/>
    <col min="3332" max="3332" width="23.140625" bestFit="1" customWidth="1"/>
    <col min="3333" max="3333" width="20.7109375" bestFit="1" customWidth="1"/>
    <col min="3334" max="3334" width="25" bestFit="1" customWidth="1"/>
    <col min="3335" max="3335" width="12.28515625" bestFit="1" customWidth="1"/>
    <col min="3336" max="3336" width="13.140625" bestFit="1" customWidth="1"/>
    <col min="3337" max="3337" width="11.28515625" bestFit="1" customWidth="1"/>
    <col min="3338" max="3338" width="12.140625" customWidth="1"/>
    <col min="3339" max="3339" width="10.140625" bestFit="1" customWidth="1"/>
    <col min="3340" max="3340" width="21" bestFit="1" customWidth="1"/>
    <col min="3341" max="3341" width="7" bestFit="1" customWidth="1"/>
    <col min="3342" max="3342" width="9.28515625" bestFit="1" customWidth="1"/>
    <col min="3585" max="3585" width="36.5703125" bestFit="1" customWidth="1"/>
    <col min="3586" max="3586" width="15.85546875" bestFit="1" customWidth="1"/>
    <col min="3587" max="3587" width="14.42578125" bestFit="1" customWidth="1"/>
    <col min="3588" max="3588" width="23.140625" bestFit="1" customWidth="1"/>
    <col min="3589" max="3589" width="20.7109375" bestFit="1" customWidth="1"/>
    <col min="3590" max="3590" width="25" bestFit="1" customWidth="1"/>
    <col min="3591" max="3591" width="12.28515625" bestFit="1" customWidth="1"/>
    <col min="3592" max="3592" width="13.140625" bestFit="1" customWidth="1"/>
    <col min="3593" max="3593" width="11.28515625" bestFit="1" customWidth="1"/>
    <col min="3594" max="3594" width="12.140625" customWidth="1"/>
    <col min="3595" max="3595" width="10.140625" bestFit="1" customWidth="1"/>
    <col min="3596" max="3596" width="21" bestFit="1" customWidth="1"/>
    <col min="3597" max="3597" width="7" bestFit="1" customWidth="1"/>
    <col min="3598" max="3598" width="9.28515625" bestFit="1" customWidth="1"/>
    <col min="3841" max="3841" width="36.5703125" bestFit="1" customWidth="1"/>
    <col min="3842" max="3842" width="15.85546875" bestFit="1" customWidth="1"/>
    <col min="3843" max="3843" width="14.42578125" bestFit="1" customWidth="1"/>
    <col min="3844" max="3844" width="23.140625" bestFit="1" customWidth="1"/>
    <col min="3845" max="3845" width="20.7109375" bestFit="1" customWidth="1"/>
    <col min="3846" max="3846" width="25" bestFit="1" customWidth="1"/>
    <col min="3847" max="3847" width="12.28515625" bestFit="1" customWidth="1"/>
    <col min="3848" max="3848" width="13.140625" bestFit="1" customWidth="1"/>
    <col min="3849" max="3849" width="11.28515625" bestFit="1" customWidth="1"/>
    <col min="3850" max="3850" width="12.140625" customWidth="1"/>
    <col min="3851" max="3851" width="10.140625" bestFit="1" customWidth="1"/>
    <col min="3852" max="3852" width="21" bestFit="1" customWidth="1"/>
    <col min="3853" max="3853" width="7" bestFit="1" customWidth="1"/>
    <col min="3854" max="3854" width="9.28515625" bestFit="1" customWidth="1"/>
    <col min="4097" max="4097" width="36.5703125" bestFit="1" customWidth="1"/>
    <col min="4098" max="4098" width="15.85546875" bestFit="1" customWidth="1"/>
    <col min="4099" max="4099" width="14.42578125" bestFit="1" customWidth="1"/>
    <col min="4100" max="4100" width="23.140625" bestFit="1" customWidth="1"/>
    <col min="4101" max="4101" width="20.7109375" bestFit="1" customWidth="1"/>
    <col min="4102" max="4102" width="25" bestFit="1" customWidth="1"/>
    <col min="4103" max="4103" width="12.28515625" bestFit="1" customWidth="1"/>
    <col min="4104" max="4104" width="13.140625" bestFit="1" customWidth="1"/>
    <col min="4105" max="4105" width="11.28515625" bestFit="1" customWidth="1"/>
    <col min="4106" max="4106" width="12.140625" customWidth="1"/>
    <col min="4107" max="4107" width="10.140625" bestFit="1" customWidth="1"/>
    <col min="4108" max="4108" width="21" bestFit="1" customWidth="1"/>
    <col min="4109" max="4109" width="7" bestFit="1" customWidth="1"/>
    <col min="4110" max="4110" width="9.28515625" bestFit="1" customWidth="1"/>
    <col min="4353" max="4353" width="36.5703125" bestFit="1" customWidth="1"/>
    <col min="4354" max="4354" width="15.85546875" bestFit="1" customWidth="1"/>
    <col min="4355" max="4355" width="14.42578125" bestFit="1" customWidth="1"/>
    <col min="4356" max="4356" width="23.140625" bestFit="1" customWidth="1"/>
    <col min="4357" max="4357" width="20.7109375" bestFit="1" customWidth="1"/>
    <col min="4358" max="4358" width="25" bestFit="1" customWidth="1"/>
    <col min="4359" max="4359" width="12.28515625" bestFit="1" customWidth="1"/>
    <col min="4360" max="4360" width="13.140625" bestFit="1" customWidth="1"/>
    <col min="4361" max="4361" width="11.28515625" bestFit="1" customWidth="1"/>
    <col min="4362" max="4362" width="12.140625" customWidth="1"/>
    <col min="4363" max="4363" width="10.140625" bestFit="1" customWidth="1"/>
    <col min="4364" max="4364" width="21" bestFit="1" customWidth="1"/>
    <col min="4365" max="4365" width="7" bestFit="1" customWidth="1"/>
    <col min="4366" max="4366" width="9.28515625" bestFit="1" customWidth="1"/>
    <col min="4609" max="4609" width="36.5703125" bestFit="1" customWidth="1"/>
    <col min="4610" max="4610" width="15.85546875" bestFit="1" customWidth="1"/>
    <col min="4611" max="4611" width="14.42578125" bestFit="1" customWidth="1"/>
    <col min="4612" max="4612" width="23.140625" bestFit="1" customWidth="1"/>
    <col min="4613" max="4613" width="20.7109375" bestFit="1" customWidth="1"/>
    <col min="4614" max="4614" width="25" bestFit="1" customWidth="1"/>
    <col min="4615" max="4615" width="12.28515625" bestFit="1" customWidth="1"/>
    <col min="4616" max="4616" width="13.140625" bestFit="1" customWidth="1"/>
    <col min="4617" max="4617" width="11.28515625" bestFit="1" customWidth="1"/>
    <col min="4618" max="4618" width="12.140625" customWidth="1"/>
    <col min="4619" max="4619" width="10.140625" bestFit="1" customWidth="1"/>
    <col min="4620" max="4620" width="21" bestFit="1" customWidth="1"/>
    <col min="4621" max="4621" width="7" bestFit="1" customWidth="1"/>
    <col min="4622" max="4622" width="9.28515625" bestFit="1" customWidth="1"/>
    <col min="4865" max="4865" width="36.5703125" bestFit="1" customWidth="1"/>
    <col min="4866" max="4866" width="15.85546875" bestFit="1" customWidth="1"/>
    <col min="4867" max="4867" width="14.42578125" bestFit="1" customWidth="1"/>
    <col min="4868" max="4868" width="23.140625" bestFit="1" customWidth="1"/>
    <col min="4869" max="4869" width="20.7109375" bestFit="1" customWidth="1"/>
    <col min="4870" max="4870" width="25" bestFit="1" customWidth="1"/>
    <col min="4871" max="4871" width="12.28515625" bestFit="1" customWidth="1"/>
    <col min="4872" max="4872" width="13.140625" bestFit="1" customWidth="1"/>
    <col min="4873" max="4873" width="11.28515625" bestFit="1" customWidth="1"/>
    <col min="4874" max="4874" width="12.140625" customWidth="1"/>
    <col min="4875" max="4875" width="10.140625" bestFit="1" customWidth="1"/>
    <col min="4876" max="4876" width="21" bestFit="1" customWidth="1"/>
    <col min="4877" max="4877" width="7" bestFit="1" customWidth="1"/>
    <col min="4878" max="4878" width="9.28515625" bestFit="1" customWidth="1"/>
    <col min="5121" max="5121" width="36.5703125" bestFit="1" customWidth="1"/>
    <col min="5122" max="5122" width="15.85546875" bestFit="1" customWidth="1"/>
    <col min="5123" max="5123" width="14.42578125" bestFit="1" customWidth="1"/>
    <col min="5124" max="5124" width="23.140625" bestFit="1" customWidth="1"/>
    <col min="5125" max="5125" width="20.7109375" bestFit="1" customWidth="1"/>
    <col min="5126" max="5126" width="25" bestFit="1" customWidth="1"/>
    <col min="5127" max="5127" width="12.28515625" bestFit="1" customWidth="1"/>
    <col min="5128" max="5128" width="13.140625" bestFit="1" customWidth="1"/>
    <col min="5129" max="5129" width="11.28515625" bestFit="1" customWidth="1"/>
    <col min="5130" max="5130" width="12.140625" customWidth="1"/>
    <col min="5131" max="5131" width="10.140625" bestFit="1" customWidth="1"/>
    <col min="5132" max="5132" width="21" bestFit="1" customWidth="1"/>
    <col min="5133" max="5133" width="7" bestFit="1" customWidth="1"/>
    <col min="5134" max="5134" width="9.28515625" bestFit="1" customWidth="1"/>
    <col min="5377" max="5377" width="36.5703125" bestFit="1" customWidth="1"/>
    <col min="5378" max="5378" width="15.85546875" bestFit="1" customWidth="1"/>
    <col min="5379" max="5379" width="14.42578125" bestFit="1" customWidth="1"/>
    <col min="5380" max="5380" width="23.140625" bestFit="1" customWidth="1"/>
    <col min="5381" max="5381" width="20.7109375" bestFit="1" customWidth="1"/>
    <col min="5382" max="5382" width="25" bestFit="1" customWidth="1"/>
    <col min="5383" max="5383" width="12.28515625" bestFit="1" customWidth="1"/>
    <col min="5384" max="5384" width="13.140625" bestFit="1" customWidth="1"/>
    <col min="5385" max="5385" width="11.28515625" bestFit="1" customWidth="1"/>
    <col min="5386" max="5386" width="12.140625" customWidth="1"/>
    <col min="5387" max="5387" width="10.140625" bestFit="1" customWidth="1"/>
    <col min="5388" max="5388" width="21" bestFit="1" customWidth="1"/>
    <col min="5389" max="5389" width="7" bestFit="1" customWidth="1"/>
    <col min="5390" max="5390" width="9.28515625" bestFit="1" customWidth="1"/>
    <col min="5633" max="5633" width="36.5703125" bestFit="1" customWidth="1"/>
    <col min="5634" max="5634" width="15.85546875" bestFit="1" customWidth="1"/>
    <col min="5635" max="5635" width="14.42578125" bestFit="1" customWidth="1"/>
    <col min="5636" max="5636" width="23.140625" bestFit="1" customWidth="1"/>
    <col min="5637" max="5637" width="20.7109375" bestFit="1" customWidth="1"/>
    <col min="5638" max="5638" width="25" bestFit="1" customWidth="1"/>
    <col min="5639" max="5639" width="12.28515625" bestFit="1" customWidth="1"/>
    <col min="5640" max="5640" width="13.140625" bestFit="1" customWidth="1"/>
    <col min="5641" max="5641" width="11.28515625" bestFit="1" customWidth="1"/>
    <col min="5642" max="5642" width="12.140625" customWidth="1"/>
    <col min="5643" max="5643" width="10.140625" bestFit="1" customWidth="1"/>
    <col min="5644" max="5644" width="21" bestFit="1" customWidth="1"/>
    <col min="5645" max="5645" width="7" bestFit="1" customWidth="1"/>
    <col min="5646" max="5646" width="9.28515625" bestFit="1" customWidth="1"/>
    <col min="5889" max="5889" width="36.5703125" bestFit="1" customWidth="1"/>
    <col min="5890" max="5890" width="15.85546875" bestFit="1" customWidth="1"/>
    <col min="5891" max="5891" width="14.42578125" bestFit="1" customWidth="1"/>
    <col min="5892" max="5892" width="23.140625" bestFit="1" customWidth="1"/>
    <col min="5893" max="5893" width="20.7109375" bestFit="1" customWidth="1"/>
    <col min="5894" max="5894" width="25" bestFit="1" customWidth="1"/>
    <col min="5895" max="5895" width="12.28515625" bestFit="1" customWidth="1"/>
    <col min="5896" max="5896" width="13.140625" bestFit="1" customWidth="1"/>
    <col min="5897" max="5897" width="11.28515625" bestFit="1" customWidth="1"/>
    <col min="5898" max="5898" width="12.140625" customWidth="1"/>
    <col min="5899" max="5899" width="10.140625" bestFit="1" customWidth="1"/>
    <col min="5900" max="5900" width="21" bestFit="1" customWidth="1"/>
    <col min="5901" max="5901" width="7" bestFit="1" customWidth="1"/>
    <col min="5902" max="5902" width="9.28515625" bestFit="1" customWidth="1"/>
    <col min="6145" max="6145" width="36.5703125" bestFit="1" customWidth="1"/>
    <col min="6146" max="6146" width="15.85546875" bestFit="1" customWidth="1"/>
    <col min="6147" max="6147" width="14.42578125" bestFit="1" customWidth="1"/>
    <col min="6148" max="6148" width="23.140625" bestFit="1" customWidth="1"/>
    <col min="6149" max="6149" width="20.7109375" bestFit="1" customWidth="1"/>
    <col min="6150" max="6150" width="25" bestFit="1" customWidth="1"/>
    <col min="6151" max="6151" width="12.28515625" bestFit="1" customWidth="1"/>
    <col min="6152" max="6152" width="13.140625" bestFit="1" customWidth="1"/>
    <col min="6153" max="6153" width="11.28515625" bestFit="1" customWidth="1"/>
    <col min="6154" max="6154" width="12.140625" customWidth="1"/>
    <col min="6155" max="6155" width="10.140625" bestFit="1" customWidth="1"/>
    <col min="6156" max="6156" width="21" bestFit="1" customWidth="1"/>
    <col min="6157" max="6157" width="7" bestFit="1" customWidth="1"/>
    <col min="6158" max="6158" width="9.28515625" bestFit="1" customWidth="1"/>
    <col min="6401" max="6401" width="36.5703125" bestFit="1" customWidth="1"/>
    <col min="6402" max="6402" width="15.85546875" bestFit="1" customWidth="1"/>
    <col min="6403" max="6403" width="14.42578125" bestFit="1" customWidth="1"/>
    <col min="6404" max="6404" width="23.140625" bestFit="1" customWidth="1"/>
    <col min="6405" max="6405" width="20.7109375" bestFit="1" customWidth="1"/>
    <col min="6406" max="6406" width="25" bestFit="1" customWidth="1"/>
    <col min="6407" max="6407" width="12.28515625" bestFit="1" customWidth="1"/>
    <col min="6408" max="6408" width="13.140625" bestFit="1" customWidth="1"/>
    <col min="6409" max="6409" width="11.28515625" bestFit="1" customWidth="1"/>
    <col min="6410" max="6410" width="12.140625" customWidth="1"/>
    <col min="6411" max="6411" width="10.140625" bestFit="1" customWidth="1"/>
    <col min="6412" max="6412" width="21" bestFit="1" customWidth="1"/>
    <col min="6413" max="6413" width="7" bestFit="1" customWidth="1"/>
    <col min="6414" max="6414" width="9.28515625" bestFit="1" customWidth="1"/>
    <col min="6657" max="6657" width="36.5703125" bestFit="1" customWidth="1"/>
    <col min="6658" max="6658" width="15.85546875" bestFit="1" customWidth="1"/>
    <col min="6659" max="6659" width="14.42578125" bestFit="1" customWidth="1"/>
    <col min="6660" max="6660" width="23.140625" bestFit="1" customWidth="1"/>
    <col min="6661" max="6661" width="20.7109375" bestFit="1" customWidth="1"/>
    <col min="6662" max="6662" width="25" bestFit="1" customWidth="1"/>
    <col min="6663" max="6663" width="12.28515625" bestFit="1" customWidth="1"/>
    <col min="6664" max="6664" width="13.140625" bestFit="1" customWidth="1"/>
    <col min="6665" max="6665" width="11.28515625" bestFit="1" customWidth="1"/>
    <col min="6666" max="6666" width="12.140625" customWidth="1"/>
    <col min="6667" max="6667" width="10.140625" bestFit="1" customWidth="1"/>
    <col min="6668" max="6668" width="21" bestFit="1" customWidth="1"/>
    <col min="6669" max="6669" width="7" bestFit="1" customWidth="1"/>
    <col min="6670" max="6670" width="9.28515625" bestFit="1" customWidth="1"/>
    <col min="6913" max="6913" width="36.5703125" bestFit="1" customWidth="1"/>
    <col min="6914" max="6914" width="15.85546875" bestFit="1" customWidth="1"/>
    <col min="6915" max="6915" width="14.42578125" bestFit="1" customWidth="1"/>
    <col min="6916" max="6916" width="23.140625" bestFit="1" customWidth="1"/>
    <col min="6917" max="6917" width="20.7109375" bestFit="1" customWidth="1"/>
    <col min="6918" max="6918" width="25" bestFit="1" customWidth="1"/>
    <col min="6919" max="6919" width="12.28515625" bestFit="1" customWidth="1"/>
    <col min="6920" max="6920" width="13.140625" bestFit="1" customWidth="1"/>
    <col min="6921" max="6921" width="11.28515625" bestFit="1" customWidth="1"/>
    <col min="6922" max="6922" width="12.140625" customWidth="1"/>
    <col min="6923" max="6923" width="10.140625" bestFit="1" customWidth="1"/>
    <col min="6924" max="6924" width="21" bestFit="1" customWidth="1"/>
    <col min="6925" max="6925" width="7" bestFit="1" customWidth="1"/>
    <col min="6926" max="6926" width="9.28515625" bestFit="1" customWidth="1"/>
    <col min="7169" max="7169" width="36.5703125" bestFit="1" customWidth="1"/>
    <col min="7170" max="7170" width="15.85546875" bestFit="1" customWidth="1"/>
    <col min="7171" max="7171" width="14.42578125" bestFit="1" customWidth="1"/>
    <col min="7172" max="7172" width="23.140625" bestFit="1" customWidth="1"/>
    <col min="7173" max="7173" width="20.7109375" bestFit="1" customWidth="1"/>
    <col min="7174" max="7174" width="25" bestFit="1" customWidth="1"/>
    <col min="7175" max="7175" width="12.28515625" bestFit="1" customWidth="1"/>
    <col min="7176" max="7176" width="13.140625" bestFit="1" customWidth="1"/>
    <col min="7177" max="7177" width="11.28515625" bestFit="1" customWidth="1"/>
    <col min="7178" max="7178" width="12.140625" customWidth="1"/>
    <col min="7179" max="7179" width="10.140625" bestFit="1" customWidth="1"/>
    <col min="7180" max="7180" width="21" bestFit="1" customWidth="1"/>
    <col min="7181" max="7181" width="7" bestFit="1" customWidth="1"/>
    <col min="7182" max="7182" width="9.28515625" bestFit="1" customWidth="1"/>
    <col min="7425" max="7425" width="36.5703125" bestFit="1" customWidth="1"/>
    <col min="7426" max="7426" width="15.85546875" bestFit="1" customWidth="1"/>
    <col min="7427" max="7427" width="14.42578125" bestFit="1" customWidth="1"/>
    <col min="7428" max="7428" width="23.140625" bestFit="1" customWidth="1"/>
    <col min="7429" max="7429" width="20.7109375" bestFit="1" customWidth="1"/>
    <col min="7430" max="7430" width="25" bestFit="1" customWidth="1"/>
    <col min="7431" max="7431" width="12.28515625" bestFit="1" customWidth="1"/>
    <col min="7432" max="7432" width="13.140625" bestFit="1" customWidth="1"/>
    <col min="7433" max="7433" width="11.28515625" bestFit="1" customWidth="1"/>
    <col min="7434" max="7434" width="12.140625" customWidth="1"/>
    <col min="7435" max="7435" width="10.140625" bestFit="1" customWidth="1"/>
    <col min="7436" max="7436" width="21" bestFit="1" customWidth="1"/>
    <col min="7437" max="7437" width="7" bestFit="1" customWidth="1"/>
    <col min="7438" max="7438" width="9.28515625" bestFit="1" customWidth="1"/>
    <col min="7681" max="7681" width="36.5703125" bestFit="1" customWidth="1"/>
    <col min="7682" max="7682" width="15.85546875" bestFit="1" customWidth="1"/>
    <col min="7683" max="7683" width="14.42578125" bestFit="1" customWidth="1"/>
    <col min="7684" max="7684" width="23.140625" bestFit="1" customWidth="1"/>
    <col min="7685" max="7685" width="20.7109375" bestFit="1" customWidth="1"/>
    <col min="7686" max="7686" width="25" bestFit="1" customWidth="1"/>
    <col min="7687" max="7687" width="12.28515625" bestFit="1" customWidth="1"/>
    <col min="7688" max="7688" width="13.140625" bestFit="1" customWidth="1"/>
    <col min="7689" max="7689" width="11.28515625" bestFit="1" customWidth="1"/>
    <col min="7690" max="7690" width="12.140625" customWidth="1"/>
    <col min="7691" max="7691" width="10.140625" bestFit="1" customWidth="1"/>
    <col min="7692" max="7692" width="21" bestFit="1" customWidth="1"/>
    <col min="7693" max="7693" width="7" bestFit="1" customWidth="1"/>
    <col min="7694" max="7694" width="9.28515625" bestFit="1" customWidth="1"/>
    <col min="7937" max="7937" width="36.5703125" bestFit="1" customWidth="1"/>
    <col min="7938" max="7938" width="15.85546875" bestFit="1" customWidth="1"/>
    <col min="7939" max="7939" width="14.42578125" bestFit="1" customWidth="1"/>
    <col min="7940" max="7940" width="23.140625" bestFit="1" customWidth="1"/>
    <col min="7941" max="7941" width="20.7109375" bestFit="1" customWidth="1"/>
    <col min="7942" max="7942" width="25" bestFit="1" customWidth="1"/>
    <col min="7943" max="7943" width="12.28515625" bestFit="1" customWidth="1"/>
    <col min="7944" max="7944" width="13.140625" bestFit="1" customWidth="1"/>
    <col min="7945" max="7945" width="11.28515625" bestFit="1" customWidth="1"/>
    <col min="7946" max="7946" width="12.140625" customWidth="1"/>
    <col min="7947" max="7947" width="10.140625" bestFit="1" customWidth="1"/>
    <col min="7948" max="7948" width="21" bestFit="1" customWidth="1"/>
    <col min="7949" max="7949" width="7" bestFit="1" customWidth="1"/>
    <col min="7950" max="7950" width="9.28515625" bestFit="1" customWidth="1"/>
    <col min="8193" max="8193" width="36.5703125" bestFit="1" customWidth="1"/>
    <col min="8194" max="8194" width="15.85546875" bestFit="1" customWidth="1"/>
    <col min="8195" max="8195" width="14.42578125" bestFit="1" customWidth="1"/>
    <col min="8196" max="8196" width="23.140625" bestFit="1" customWidth="1"/>
    <col min="8197" max="8197" width="20.7109375" bestFit="1" customWidth="1"/>
    <col min="8198" max="8198" width="25" bestFit="1" customWidth="1"/>
    <col min="8199" max="8199" width="12.28515625" bestFit="1" customWidth="1"/>
    <col min="8200" max="8200" width="13.140625" bestFit="1" customWidth="1"/>
    <col min="8201" max="8201" width="11.28515625" bestFit="1" customWidth="1"/>
    <col min="8202" max="8202" width="12.140625" customWidth="1"/>
    <col min="8203" max="8203" width="10.140625" bestFit="1" customWidth="1"/>
    <col min="8204" max="8204" width="21" bestFit="1" customWidth="1"/>
    <col min="8205" max="8205" width="7" bestFit="1" customWidth="1"/>
    <col min="8206" max="8206" width="9.28515625" bestFit="1" customWidth="1"/>
    <col min="8449" max="8449" width="36.5703125" bestFit="1" customWidth="1"/>
    <col min="8450" max="8450" width="15.85546875" bestFit="1" customWidth="1"/>
    <col min="8451" max="8451" width="14.42578125" bestFit="1" customWidth="1"/>
    <col min="8452" max="8452" width="23.140625" bestFit="1" customWidth="1"/>
    <col min="8453" max="8453" width="20.7109375" bestFit="1" customWidth="1"/>
    <col min="8454" max="8454" width="25" bestFit="1" customWidth="1"/>
    <col min="8455" max="8455" width="12.28515625" bestFit="1" customWidth="1"/>
    <col min="8456" max="8456" width="13.140625" bestFit="1" customWidth="1"/>
    <col min="8457" max="8457" width="11.28515625" bestFit="1" customWidth="1"/>
    <col min="8458" max="8458" width="12.140625" customWidth="1"/>
    <col min="8459" max="8459" width="10.140625" bestFit="1" customWidth="1"/>
    <col min="8460" max="8460" width="21" bestFit="1" customWidth="1"/>
    <col min="8461" max="8461" width="7" bestFit="1" customWidth="1"/>
    <col min="8462" max="8462" width="9.28515625" bestFit="1" customWidth="1"/>
    <col min="8705" max="8705" width="36.5703125" bestFit="1" customWidth="1"/>
    <col min="8706" max="8706" width="15.85546875" bestFit="1" customWidth="1"/>
    <col min="8707" max="8707" width="14.42578125" bestFit="1" customWidth="1"/>
    <col min="8708" max="8708" width="23.140625" bestFit="1" customWidth="1"/>
    <col min="8709" max="8709" width="20.7109375" bestFit="1" customWidth="1"/>
    <col min="8710" max="8710" width="25" bestFit="1" customWidth="1"/>
    <col min="8711" max="8711" width="12.28515625" bestFit="1" customWidth="1"/>
    <col min="8712" max="8712" width="13.140625" bestFit="1" customWidth="1"/>
    <col min="8713" max="8713" width="11.28515625" bestFit="1" customWidth="1"/>
    <col min="8714" max="8714" width="12.140625" customWidth="1"/>
    <col min="8715" max="8715" width="10.140625" bestFit="1" customWidth="1"/>
    <col min="8716" max="8716" width="21" bestFit="1" customWidth="1"/>
    <col min="8717" max="8717" width="7" bestFit="1" customWidth="1"/>
    <col min="8718" max="8718" width="9.28515625" bestFit="1" customWidth="1"/>
    <col min="8961" max="8961" width="36.5703125" bestFit="1" customWidth="1"/>
    <col min="8962" max="8962" width="15.85546875" bestFit="1" customWidth="1"/>
    <col min="8963" max="8963" width="14.42578125" bestFit="1" customWidth="1"/>
    <col min="8964" max="8964" width="23.140625" bestFit="1" customWidth="1"/>
    <col min="8965" max="8965" width="20.7109375" bestFit="1" customWidth="1"/>
    <col min="8966" max="8966" width="25" bestFit="1" customWidth="1"/>
    <col min="8967" max="8967" width="12.28515625" bestFit="1" customWidth="1"/>
    <col min="8968" max="8968" width="13.140625" bestFit="1" customWidth="1"/>
    <col min="8969" max="8969" width="11.28515625" bestFit="1" customWidth="1"/>
    <col min="8970" max="8970" width="12.140625" customWidth="1"/>
    <col min="8971" max="8971" width="10.140625" bestFit="1" customWidth="1"/>
    <col min="8972" max="8972" width="21" bestFit="1" customWidth="1"/>
    <col min="8973" max="8973" width="7" bestFit="1" customWidth="1"/>
    <col min="8974" max="8974" width="9.28515625" bestFit="1" customWidth="1"/>
    <col min="9217" max="9217" width="36.5703125" bestFit="1" customWidth="1"/>
    <col min="9218" max="9218" width="15.85546875" bestFit="1" customWidth="1"/>
    <col min="9219" max="9219" width="14.42578125" bestFit="1" customWidth="1"/>
    <col min="9220" max="9220" width="23.140625" bestFit="1" customWidth="1"/>
    <col min="9221" max="9221" width="20.7109375" bestFit="1" customWidth="1"/>
    <col min="9222" max="9222" width="25" bestFit="1" customWidth="1"/>
    <col min="9223" max="9223" width="12.28515625" bestFit="1" customWidth="1"/>
    <col min="9224" max="9224" width="13.140625" bestFit="1" customWidth="1"/>
    <col min="9225" max="9225" width="11.28515625" bestFit="1" customWidth="1"/>
    <col min="9226" max="9226" width="12.140625" customWidth="1"/>
    <col min="9227" max="9227" width="10.140625" bestFit="1" customWidth="1"/>
    <col min="9228" max="9228" width="21" bestFit="1" customWidth="1"/>
    <col min="9229" max="9229" width="7" bestFit="1" customWidth="1"/>
    <col min="9230" max="9230" width="9.28515625" bestFit="1" customWidth="1"/>
    <col min="9473" max="9473" width="36.5703125" bestFit="1" customWidth="1"/>
    <col min="9474" max="9474" width="15.85546875" bestFit="1" customWidth="1"/>
    <col min="9475" max="9475" width="14.42578125" bestFit="1" customWidth="1"/>
    <col min="9476" max="9476" width="23.140625" bestFit="1" customWidth="1"/>
    <col min="9477" max="9477" width="20.7109375" bestFit="1" customWidth="1"/>
    <col min="9478" max="9478" width="25" bestFit="1" customWidth="1"/>
    <col min="9479" max="9479" width="12.28515625" bestFit="1" customWidth="1"/>
    <col min="9480" max="9480" width="13.140625" bestFit="1" customWidth="1"/>
    <col min="9481" max="9481" width="11.28515625" bestFit="1" customWidth="1"/>
    <col min="9482" max="9482" width="12.140625" customWidth="1"/>
    <col min="9483" max="9483" width="10.140625" bestFit="1" customWidth="1"/>
    <col min="9484" max="9484" width="21" bestFit="1" customWidth="1"/>
    <col min="9485" max="9485" width="7" bestFit="1" customWidth="1"/>
    <col min="9486" max="9486" width="9.28515625" bestFit="1" customWidth="1"/>
    <col min="9729" max="9729" width="36.5703125" bestFit="1" customWidth="1"/>
    <col min="9730" max="9730" width="15.85546875" bestFit="1" customWidth="1"/>
    <col min="9731" max="9731" width="14.42578125" bestFit="1" customWidth="1"/>
    <col min="9732" max="9732" width="23.140625" bestFit="1" customWidth="1"/>
    <col min="9733" max="9733" width="20.7109375" bestFit="1" customWidth="1"/>
    <col min="9734" max="9734" width="25" bestFit="1" customWidth="1"/>
    <col min="9735" max="9735" width="12.28515625" bestFit="1" customWidth="1"/>
    <col min="9736" max="9736" width="13.140625" bestFit="1" customWidth="1"/>
    <col min="9737" max="9737" width="11.28515625" bestFit="1" customWidth="1"/>
    <col min="9738" max="9738" width="12.140625" customWidth="1"/>
    <col min="9739" max="9739" width="10.140625" bestFit="1" customWidth="1"/>
    <col min="9740" max="9740" width="21" bestFit="1" customWidth="1"/>
    <col min="9741" max="9741" width="7" bestFit="1" customWidth="1"/>
    <col min="9742" max="9742" width="9.28515625" bestFit="1" customWidth="1"/>
    <col min="9985" max="9985" width="36.5703125" bestFit="1" customWidth="1"/>
    <col min="9986" max="9986" width="15.85546875" bestFit="1" customWidth="1"/>
    <col min="9987" max="9987" width="14.42578125" bestFit="1" customWidth="1"/>
    <col min="9988" max="9988" width="23.140625" bestFit="1" customWidth="1"/>
    <col min="9989" max="9989" width="20.7109375" bestFit="1" customWidth="1"/>
    <col min="9990" max="9990" width="25" bestFit="1" customWidth="1"/>
    <col min="9991" max="9991" width="12.28515625" bestFit="1" customWidth="1"/>
    <col min="9992" max="9992" width="13.140625" bestFit="1" customWidth="1"/>
    <col min="9993" max="9993" width="11.28515625" bestFit="1" customWidth="1"/>
    <col min="9994" max="9994" width="12.140625" customWidth="1"/>
    <col min="9995" max="9995" width="10.140625" bestFit="1" customWidth="1"/>
    <col min="9996" max="9996" width="21" bestFit="1" customWidth="1"/>
    <col min="9997" max="9997" width="7" bestFit="1" customWidth="1"/>
    <col min="9998" max="9998" width="9.28515625" bestFit="1" customWidth="1"/>
    <col min="10241" max="10241" width="36.5703125" bestFit="1" customWidth="1"/>
    <col min="10242" max="10242" width="15.85546875" bestFit="1" customWidth="1"/>
    <col min="10243" max="10243" width="14.42578125" bestFit="1" customWidth="1"/>
    <col min="10244" max="10244" width="23.140625" bestFit="1" customWidth="1"/>
    <col min="10245" max="10245" width="20.7109375" bestFit="1" customWidth="1"/>
    <col min="10246" max="10246" width="25" bestFit="1" customWidth="1"/>
    <col min="10247" max="10247" width="12.28515625" bestFit="1" customWidth="1"/>
    <col min="10248" max="10248" width="13.140625" bestFit="1" customWidth="1"/>
    <col min="10249" max="10249" width="11.28515625" bestFit="1" customWidth="1"/>
    <col min="10250" max="10250" width="12.140625" customWidth="1"/>
    <col min="10251" max="10251" width="10.140625" bestFit="1" customWidth="1"/>
    <col min="10252" max="10252" width="21" bestFit="1" customWidth="1"/>
    <col min="10253" max="10253" width="7" bestFit="1" customWidth="1"/>
    <col min="10254" max="10254" width="9.28515625" bestFit="1" customWidth="1"/>
    <col min="10497" max="10497" width="36.5703125" bestFit="1" customWidth="1"/>
    <col min="10498" max="10498" width="15.85546875" bestFit="1" customWidth="1"/>
    <col min="10499" max="10499" width="14.42578125" bestFit="1" customWidth="1"/>
    <col min="10500" max="10500" width="23.140625" bestFit="1" customWidth="1"/>
    <col min="10501" max="10501" width="20.7109375" bestFit="1" customWidth="1"/>
    <col min="10502" max="10502" width="25" bestFit="1" customWidth="1"/>
    <col min="10503" max="10503" width="12.28515625" bestFit="1" customWidth="1"/>
    <col min="10504" max="10504" width="13.140625" bestFit="1" customWidth="1"/>
    <col min="10505" max="10505" width="11.28515625" bestFit="1" customWidth="1"/>
    <col min="10506" max="10506" width="12.140625" customWidth="1"/>
    <col min="10507" max="10507" width="10.140625" bestFit="1" customWidth="1"/>
    <col min="10508" max="10508" width="21" bestFit="1" customWidth="1"/>
    <col min="10509" max="10509" width="7" bestFit="1" customWidth="1"/>
    <col min="10510" max="10510" width="9.28515625" bestFit="1" customWidth="1"/>
    <col min="10753" max="10753" width="36.5703125" bestFit="1" customWidth="1"/>
    <col min="10754" max="10754" width="15.85546875" bestFit="1" customWidth="1"/>
    <col min="10755" max="10755" width="14.42578125" bestFit="1" customWidth="1"/>
    <col min="10756" max="10756" width="23.140625" bestFit="1" customWidth="1"/>
    <col min="10757" max="10757" width="20.7109375" bestFit="1" customWidth="1"/>
    <col min="10758" max="10758" width="25" bestFit="1" customWidth="1"/>
    <col min="10759" max="10759" width="12.28515625" bestFit="1" customWidth="1"/>
    <col min="10760" max="10760" width="13.140625" bestFit="1" customWidth="1"/>
    <col min="10761" max="10761" width="11.28515625" bestFit="1" customWidth="1"/>
    <col min="10762" max="10762" width="12.140625" customWidth="1"/>
    <col min="10763" max="10763" width="10.140625" bestFit="1" customWidth="1"/>
    <col min="10764" max="10764" width="21" bestFit="1" customWidth="1"/>
    <col min="10765" max="10765" width="7" bestFit="1" customWidth="1"/>
    <col min="10766" max="10766" width="9.28515625" bestFit="1" customWidth="1"/>
    <col min="11009" max="11009" width="36.5703125" bestFit="1" customWidth="1"/>
    <col min="11010" max="11010" width="15.85546875" bestFit="1" customWidth="1"/>
    <col min="11011" max="11011" width="14.42578125" bestFit="1" customWidth="1"/>
    <col min="11012" max="11012" width="23.140625" bestFit="1" customWidth="1"/>
    <col min="11013" max="11013" width="20.7109375" bestFit="1" customWidth="1"/>
    <col min="11014" max="11014" width="25" bestFit="1" customWidth="1"/>
    <col min="11015" max="11015" width="12.28515625" bestFit="1" customWidth="1"/>
    <col min="11016" max="11016" width="13.140625" bestFit="1" customWidth="1"/>
    <col min="11017" max="11017" width="11.28515625" bestFit="1" customWidth="1"/>
    <col min="11018" max="11018" width="12.140625" customWidth="1"/>
    <col min="11019" max="11019" width="10.140625" bestFit="1" customWidth="1"/>
    <col min="11020" max="11020" width="21" bestFit="1" customWidth="1"/>
    <col min="11021" max="11021" width="7" bestFit="1" customWidth="1"/>
    <col min="11022" max="11022" width="9.28515625" bestFit="1" customWidth="1"/>
    <col min="11265" max="11265" width="36.5703125" bestFit="1" customWidth="1"/>
    <col min="11266" max="11266" width="15.85546875" bestFit="1" customWidth="1"/>
    <col min="11267" max="11267" width="14.42578125" bestFit="1" customWidth="1"/>
    <col min="11268" max="11268" width="23.140625" bestFit="1" customWidth="1"/>
    <col min="11269" max="11269" width="20.7109375" bestFit="1" customWidth="1"/>
    <col min="11270" max="11270" width="25" bestFit="1" customWidth="1"/>
    <col min="11271" max="11271" width="12.28515625" bestFit="1" customWidth="1"/>
    <col min="11272" max="11272" width="13.140625" bestFit="1" customWidth="1"/>
    <col min="11273" max="11273" width="11.28515625" bestFit="1" customWidth="1"/>
    <col min="11274" max="11274" width="12.140625" customWidth="1"/>
    <col min="11275" max="11275" width="10.140625" bestFit="1" customWidth="1"/>
    <col min="11276" max="11276" width="21" bestFit="1" customWidth="1"/>
    <col min="11277" max="11277" width="7" bestFit="1" customWidth="1"/>
    <col min="11278" max="11278" width="9.28515625" bestFit="1" customWidth="1"/>
    <col min="11521" max="11521" width="36.5703125" bestFit="1" customWidth="1"/>
    <col min="11522" max="11522" width="15.85546875" bestFit="1" customWidth="1"/>
    <col min="11523" max="11523" width="14.42578125" bestFit="1" customWidth="1"/>
    <col min="11524" max="11524" width="23.140625" bestFit="1" customWidth="1"/>
    <col min="11525" max="11525" width="20.7109375" bestFit="1" customWidth="1"/>
    <col min="11526" max="11526" width="25" bestFit="1" customWidth="1"/>
    <col min="11527" max="11527" width="12.28515625" bestFit="1" customWidth="1"/>
    <col min="11528" max="11528" width="13.140625" bestFit="1" customWidth="1"/>
    <col min="11529" max="11529" width="11.28515625" bestFit="1" customWidth="1"/>
    <col min="11530" max="11530" width="12.140625" customWidth="1"/>
    <col min="11531" max="11531" width="10.140625" bestFit="1" customWidth="1"/>
    <col min="11532" max="11532" width="21" bestFit="1" customWidth="1"/>
    <col min="11533" max="11533" width="7" bestFit="1" customWidth="1"/>
    <col min="11534" max="11534" width="9.28515625" bestFit="1" customWidth="1"/>
    <col min="11777" max="11777" width="36.5703125" bestFit="1" customWidth="1"/>
    <col min="11778" max="11778" width="15.85546875" bestFit="1" customWidth="1"/>
    <col min="11779" max="11779" width="14.42578125" bestFit="1" customWidth="1"/>
    <col min="11780" max="11780" width="23.140625" bestFit="1" customWidth="1"/>
    <col min="11781" max="11781" width="20.7109375" bestFit="1" customWidth="1"/>
    <col min="11782" max="11782" width="25" bestFit="1" customWidth="1"/>
    <col min="11783" max="11783" width="12.28515625" bestFit="1" customWidth="1"/>
    <col min="11784" max="11784" width="13.140625" bestFit="1" customWidth="1"/>
    <col min="11785" max="11785" width="11.28515625" bestFit="1" customWidth="1"/>
    <col min="11786" max="11786" width="12.140625" customWidth="1"/>
    <col min="11787" max="11787" width="10.140625" bestFit="1" customWidth="1"/>
    <col min="11788" max="11788" width="21" bestFit="1" customWidth="1"/>
    <col min="11789" max="11789" width="7" bestFit="1" customWidth="1"/>
    <col min="11790" max="11790" width="9.28515625" bestFit="1" customWidth="1"/>
    <col min="12033" max="12033" width="36.5703125" bestFit="1" customWidth="1"/>
    <col min="12034" max="12034" width="15.85546875" bestFit="1" customWidth="1"/>
    <col min="12035" max="12035" width="14.42578125" bestFit="1" customWidth="1"/>
    <col min="12036" max="12036" width="23.140625" bestFit="1" customWidth="1"/>
    <col min="12037" max="12037" width="20.7109375" bestFit="1" customWidth="1"/>
    <col min="12038" max="12038" width="25" bestFit="1" customWidth="1"/>
    <col min="12039" max="12039" width="12.28515625" bestFit="1" customWidth="1"/>
    <col min="12040" max="12040" width="13.140625" bestFit="1" customWidth="1"/>
    <col min="12041" max="12041" width="11.28515625" bestFit="1" customWidth="1"/>
    <col min="12042" max="12042" width="12.140625" customWidth="1"/>
    <col min="12043" max="12043" width="10.140625" bestFit="1" customWidth="1"/>
    <col min="12044" max="12044" width="21" bestFit="1" customWidth="1"/>
    <col min="12045" max="12045" width="7" bestFit="1" customWidth="1"/>
    <col min="12046" max="12046" width="9.28515625" bestFit="1" customWidth="1"/>
    <col min="12289" max="12289" width="36.5703125" bestFit="1" customWidth="1"/>
    <col min="12290" max="12290" width="15.85546875" bestFit="1" customWidth="1"/>
    <col min="12291" max="12291" width="14.42578125" bestFit="1" customWidth="1"/>
    <col min="12292" max="12292" width="23.140625" bestFit="1" customWidth="1"/>
    <col min="12293" max="12293" width="20.7109375" bestFit="1" customWidth="1"/>
    <col min="12294" max="12294" width="25" bestFit="1" customWidth="1"/>
    <col min="12295" max="12295" width="12.28515625" bestFit="1" customWidth="1"/>
    <col min="12296" max="12296" width="13.140625" bestFit="1" customWidth="1"/>
    <col min="12297" max="12297" width="11.28515625" bestFit="1" customWidth="1"/>
    <col min="12298" max="12298" width="12.140625" customWidth="1"/>
    <col min="12299" max="12299" width="10.140625" bestFit="1" customWidth="1"/>
    <col min="12300" max="12300" width="21" bestFit="1" customWidth="1"/>
    <col min="12301" max="12301" width="7" bestFit="1" customWidth="1"/>
    <col min="12302" max="12302" width="9.28515625" bestFit="1" customWidth="1"/>
    <col min="12545" max="12545" width="36.5703125" bestFit="1" customWidth="1"/>
    <col min="12546" max="12546" width="15.85546875" bestFit="1" customWidth="1"/>
    <col min="12547" max="12547" width="14.42578125" bestFit="1" customWidth="1"/>
    <col min="12548" max="12548" width="23.140625" bestFit="1" customWidth="1"/>
    <col min="12549" max="12549" width="20.7109375" bestFit="1" customWidth="1"/>
    <col min="12550" max="12550" width="25" bestFit="1" customWidth="1"/>
    <col min="12551" max="12551" width="12.28515625" bestFit="1" customWidth="1"/>
    <col min="12552" max="12552" width="13.140625" bestFit="1" customWidth="1"/>
    <col min="12553" max="12553" width="11.28515625" bestFit="1" customWidth="1"/>
    <col min="12554" max="12554" width="12.140625" customWidth="1"/>
    <col min="12555" max="12555" width="10.140625" bestFit="1" customWidth="1"/>
    <col min="12556" max="12556" width="21" bestFit="1" customWidth="1"/>
    <col min="12557" max="12557" width="7" bestFit="1" customWidth="1"/>
    <col min="12558" max="12558" width="9.28515625" bestFit="1" customWidth="1"/>
    <col min="12801" max="12801" width="36.5703125" bestFit="1" customWidth="1"/>
    <col min="12802" max="12802" width="15.85546875" bestFit="1" customWidth="1"/>
    <col min="12803" max="12803" width="14.42578125" bestFit="1" customWidth="1"/>
    <col min="12804" max="12804" width="23.140625" bestFit="1" customWidth="1"/>
    <col min="12805" max="12805" width="20.7109375" bestFit="1" customWidth="1"/>
    <col min="12806" max="12806" width="25" bestFit="1" customWidth="1"/>
    <col min="12807" max="12807" width="12.28515625" bestFit="1" customWidth="1"/>
    <col min="12808" max="12808" width="13.140625" bestFit="1" customWidth="1"/>
    <col min="12809" max="12809" width="11.28515625" bestFit="1" customWidth="1"/>
    <col min="12810" max="12810" width="12.140625" customWidth="1"/>
    <col min="12811" max="12811" width="10.140625" bestFit="1" customWidth="1"/>
    <col min="12812" max="12812" width="21" bestFit="1" customWidth="1"/>
    <col min="12813" max="12813" width="7" bestFit="1" customWidth="1"/>
    <col min="12814" max="12814" width="9.28515625" bestFit="1" customWidth="1"/>
    <col min="13057" max="13057" width="36.5703125" bestFit="1" customWidth="1"/>
    <col min="13058" max="13058" width="15.85546875" bestFit="1" customWidth="1"/>
    <col min="13059" max="13059" width="14.42578125" bestFit="1" customWidth="1"/>
    <col min="13060" max="13060" width="23.140625" bestFit="1" customWidth="1"/>
    <col min="13061" max="13061" width="20.7109375" bestFit="1" customWidth="1"/>
    <col min="13062" max="13062" width="25" bestFit="1" customWidth="1"/>
    <col min="13063" max="13063" width="12.28515625" bestFit="1" customWidth="1"/>
    <col min="13064" max="13064" width="13.140625" bestFit="1" customWidth="1"/>
    <col min="13065" max="13065" width="11.28515625" bestFit="1" customWidth="1"/>
    <col min="13066" max="13066" width="12.140625" customWidth="1"/>
    <col min="13067" max="13067" width="10.140625" bestFit="1" customWidth="1"/>
    <col min="13068" max="13068" width="21" bestFit="1" customWidth="1"/>
    <col min="13069" max="13069" width="7" bestFit="1" customWidth="1"/>
    <col min="13070" max="13070" width="9.28515625" bestFit="1" customWidth="1"/>
    <col min="13313" max="13313" width="36.5703125" bestFit="1" customWidth="1"/>
    <col min="13314" max="13314" width="15.85546875" bestFit="1" customWidth="1"/>
    <col min="13315" max="13315" width="14.42578125" bestFit="1" customWidth="1"/>
    <col min="13316" max="13316" width="23.140625" bestFit="1" customWidth="1"/>
    <col min="13317" max="13317" width="20.7109375" bestFit="1" customWidth="1"/>
    <col min="13318" max="13318" width="25" bestFit="1" customWidth="1"/>
    <col min="13319" max="13319" width="12.28515625" bestFit="1" customWidth="1"/>
    <col min="13320" max="13320" width="13.140625" bestFit="1" customWidth="1"/>
    <col min="13321" max="13321" width="11.28515625" bestFit="1" customWidth="1"/>
    <col min="13322" max="13322" width="12.140625" customWidth="1"/>
    <col min="13323" max="13323" width="10.140625" bestFit="1" customWidth="1"/>
    <col min="13324" max="13324" width="21" bestFit="1" customWidth="1"/>
    <col min="13325" max="13325" width="7" bestFit="1" customWidth="1"/>
    <col min="13326" max="13326" width="9.28515625" bestFit="1" customWidth="1"/>
    <col min="13569" max="13569" width="36.5703125" bestFit="1" customWidth="1"/>
    <col min="13570" max="13570" width="15.85546875" bestFit="1" customWidth="1"/>
    <col min="13571" max="13571" width="14.42578125" bestFit="1" customWidth="1"/>
    <col min="13572" max="13572" width="23.140625" bestFit="1" customWidth="1"/>
    <col min="13573" max="13573" width="20.7109375" bestFit="1" customWidth="1"/>
    <col min="13574" max="13574" width="25" bestFit="1" customWidth="1"/>
    <col min="13575" max="13575" width="12.28515625" bestFit="1" customWidth="1"/>
    <col min="13576" max="13576" width="13.140625" bestFit="1" customWidth="1"/>
    <col min="13577" max="13577" width="11.28515625" bestFit="1" customWidth="1"/>
    <col min="13578" max="13578" width="12.140625" customWidth="1"/>
    <col min="13579" max="13579" width="10.140625" bestFit="1" customWidth="1"/>
    <col min="13580" max="13580" width="21" bestFit="1" customWidth="1"/>
    <col min="13581" max="13581" width="7" bestFit="1" customWidth="1"/>
    <col min="13582" max="13582" width="9.28515625" bestFit="1" customWidth="1"/>
    <col min="13825" max="13825" width="36.5703125" bestFit="1" customWidth="1"/>
    <col min="13826" max="13826" width="15.85546875" bestFit="1" customWidth="1"/>
    <col min="13827" max="13827" width="14.42578125" bestFit="1" customWidth="1"/>
    <col min="13828" max="13828" width="23.140625" bestFit="1" customWidth="1"/>
    <col min="13829" max="13829" width="20.7109375" bestFit="1" customWidth="1"/>
    <col min="13830" max="13830" width="25" bestFit="1" customWidth="1"/>
    <col min="13831" max="13831" width="12.28515625" bestFit="1" customWidth="1"/>
    <col min="13832" max="13832" width="13.140625" bestFit="1" customWidth="1"/>
    <col min="13833" max="13833" width="11.28515625" bestFit="1" customWidth="1"/>
    <col min="13834" max="13834" width="12.140625" customWidth="1"/>
    <col min="13835" max="13835" width="10.140625" bestFit="1" customWidth="1"/>
    <col min="13836" max="13836" width="21" bestFit="1" customWidth="1"/>
    <col min="13837" max="13837" width="7" bestFit="1" customWidth="1"/>
    <col min="13838" max="13838" width="9.28515625" bestFit="1" customWidth="1"/>
    <col min="14081" max="14081" width="36.5703125" bestFit="1" customWidth="1"/>
    <col min="14082" max="14082" width="15.85546875" bestFit="1" customWidth="1"/>
    <col min="14083" max="14083" width="14.42578125" bestFit="1" customWidth="1"/>
    <col min="14084" max="14084" width="23.140625" bestFit="1" customWidth="1"/>
    <col min="14085" max="14085" width="20.7109375" bestFit="1" customWidth="1"/>
    <col min="14086" max="14086" width="25" bestFit="1" customWidth="1"/>
    <col min="14087" max="14087" width="12.28515625" bestFit="1" customWidth="1"/>
    <col min="14088" max="14088" width="13.140625" bestFit="1" customWidth="1"/>
    <col min="14089" max="14089" width="11.28515625" bestFit="1" customWidth="1"/>
    <col min="14090" max="14090" width="12.140625" customWidth="1"/>
    <col min="14091" max="14091" width="10.140625" bestFit="1" customWidth="1"/>
    <col min="14092" max="14092" width="21" bestFit="1" customWidth="1"/>
    <col min="14093" max="14093" width="7" bestFit="1" customWidth="1"/>
    <col min="14094" max="14094" width="9.28515625" bestFit="1" customWidth="1"/>
    <col min="14337" max="14337" width="36.5703125" bestFit="1" customWidth="1"/>
    <col min="14338" max="14338" width="15.85546875" bestFit="1" customWidth="1"/>
    <col min="14339" max="14339" width="14.42578125" bestFit="1" customWidth="1"/>
    <col min="14340" max="14340" width="23.140625" bestFit="1" customWidth="1"/>
    <col min="14341" max="14341" width="20.7109375" bestFit="1" customWidth="1"/>
    <col min="14342" max="14342" width="25" bestFit="1" customWidth="1"/>
    <col min="14343" max="14343" width="12.28515625" bestFit="1" customWidth="1"/>
    <col min="14344" max="14344" width="13.140625" bestFit="1" customWidth="1"/>
    <col min="14345" max="14345" width="11.28515625" bestFit="1" customWidth="1"/>
    <col min="14346" max="14346" width="12.140625" customWidth="1"/>
    <col min="14347" max="14347" width="10.140625" bestFit="1" customWidth="1"/>
    <col min="14348" max="14348" width="21" bestFit="1" customWidth="1"/>
    <col min="14349" max="14349" width="7" bestFit="1" customWidth="1"/>
    <col min="14350" max="14350" width="9.28515625" bestFit="1" customWidth="1"/>
    <col min="14593" max="14593" width="36.5703125" bestFit="1" customWidth="1"/>
    <col min="14594" max="14594" width="15.85546875" bestFit="1" customWidth="1"/>
    <col min="14595" max="14595" width="14.42578125" bestFit="1" customWidth="1"/>
    <col min="14596" max="14596" width="23.140625" bestFit="1" customWidth="1"/>
    <col min="14597" max="14597" width="20.7109375" bestFit="1" customWidth="1"/>
    <col min="14598" max="14598" width="25" bestFit="1" customWidth="1"/>
    <col min="14599" max="14599" width="12.28515625" bestFit="1" customWidth="1"/>
    <col min="14600" max="14600" width="13.140625" bestFit="1" customWidth="1"/>
    <col min="14601" max="14601" width="11.28515625" bestFit="1" customWidth="1"/>
    <col min="14602" max="14602" width="12.140625" customWidth="1"/>
    <col min="14603" max="14603" width="10.140625" bestFit="1" customWidth="1"/>
    <col min="14604" max="14604" width="21" bestFit="1" customWidth="1"/>
    <col min="14605" max="14605" width="7" bestFit="1" customWidth="1"/>
    <col min="14606" max="14606" width="9.28515625" bestFit="1" customWidth="1"/>
    <col min="14849" max="14849" width="36.5703125" bestFit="1" customWidth="1"/>
    <col min="14850" max="14850" width="15.85546875" bestFit="1" customWidth="1"/>
    <col min="14851" max="14851" width="14.42578125" bestFit="1" customWidth="1"/>
    <col min="14852" max="14852" width="23.140625" bestFit="1" customWidth="1"/>
    <col min="14853" max="14853" width="20.7109375" bestFit="1" customWidth="1"/>
    <col min="14854" max="14854" width="25" bestFit="1" customWidth="1"/>
    <col min="14855" max="14855" width="12.28515625" bestFit="1" customWidth="1"/>
    <col min="14856" max="14856" width="13.140625" bestFit="1" customWidth="1"/>
    <col min="14857" max="14857" width="11.28515625" bestFit="1" customWidth="1"/>
    <col min="14858" max="14858" width="12.140625" customWidth="1"/>
    <col min="14859" max="14859" width="10.140625" bestFit="1" customWidth="1"/>
    <col min="14860" max="14860" width="21" bestFit="1" customWidth="1"/>
    <col min="14861" max="14861" width="7" bestFit="1" customWidth="1"/>
    <col min="14862" max="14862" width="9.28515625" bestFit="1" customWidth="1"/>
    <col min="15105" max="15105" width="36.5703125" bestFit="1" customWidth="1"/>
    <col min="15106" max="15106" width="15.85546875" bestFit="1" customWidth="1"/>
    <col min="15107" max="15107" width="14.42578125" bestFit="1" customWidth="1"/>
    <col min="15108" max="15108" width="23.140625" bestFit="1" customWidth="1"/>
    <col min="15109" max="15109" width="20.7109375" bestFit="1" customWidth="1"/>
    <col min="15110" max="15110" width="25" bestFit="1" customWidth="1"/>
    <col min="15111" max="15111" width="12.28515625" bestFit="1" customWidth="1"/>
    <col min="15112" max="15112" width="13.140625" bestFit="1" customWidth="1"/>
    <col min="15113" max="15113" width="11.28515625" bestFit="1" customWidth="1"/>
    <col min="15114" max="15114" width="12.140625" customWidth="1"/>
    <col min="15115" max="15115" width="10.140625" bestFit="1" customWidth="1"/>
    <col min="15116" max="15116" width="21" bestFit="1" customWidth="1"/>
    <col min="15117" max="15117" width="7" bestFit="1" customWidth="1"/>
    <col min="15118" max="15118" width="9.28515625" bestFit="1" customWidth="1"/>
    <col min="15361" max="15361" width="36.5703125" bestFit="1" customWidth="1"/>
    <col min="15362" max="15362" width="15.85546875" bestFit="1" customWidth="1"/>
    <col min="15363" max="15363" width="14.42578125" bestFit="1" customWidth="1"/>
    <col min="15364" max="15364" width="23.140625" bestFit="1" customWidth="1"/>
    <col min="15365" max="15365" width="20.7109375" bestFit="1" customWidth="1"/>
    <col min="15366" max="15366" width="25" bestFit="1" customWidth="1"/>
    <col min="15367" max="15367" width="12.28515625" bestFit="1" customWidth="1"/>
    <col min="15368" max="15368" width="13.140625" bestFit="1" customWidth="1"/>
    <col min="15369" max="15369" width="11.28515625" bestFit="1" customWidth="1"/>
    <col min="15370" max="15370" width="12.140625" customWidth="1"/>
    <col min="15371" max="15371" width="10.140625" bestFit="1" customWidth="1"/>
    <col min="15372" max="15372" width="21" bestFit="1" customWidth="1"/>
    <col min="15373" max="15373" width="7" bestFit="1" customWidth="1"/>
    <col min="15374" max="15374" width="9.28515625" bestFit="1" customWidth="1"/>
    <col min="15617" max="15617" width="36.5703125" bestFit="1" customWidth="1"/>
    <col min="15618" max="15618" width="15.85546875" bestFit="1" customWidth="1"/>
    <col min="15619" max="15619" width="14.42578125" bestFit="1" customWidth="1"/>
    <col min="15620" max="15620" width="23.140625" bestFit="1" customWidth="1"/>
    <col min="15621" max="15621" width="20.7109375" bestFit="1" customWidth="1"/>
    <col min="15622" max="15622" width="25" bestFit="1" customWidth="1"/>
    <col min="15623" max="15623" width="12.28515625" bestFit="1" customWidth="1"/>
    <col min="15624" max="15624" width="13.140625" bestFit="1" customWidth="1"/>
    <col min="15625" max="15625" width="11.28515625" bestFit="1" customWidth="1"/>
    <col min="15626" max="15626" width="12.140625" customWidth="1"/>
    <col min="15627" max="15627" width="10.140625" bestFit="1" customWidth="1"/>
    <col min="15628" max="15628" width="21" bestFit="1" customWidth="1"/>
    <col min="15629" max="15629" width="7" bestFit="1" customWidth="1"/>
    <col min="15630" max="15630" width="9.28515625" bestFit="1" customWidth="1"/>
    <col min="15873" max="15873" width="36.5703125" bestFit="1" customWidth="1"/>
    <col min="15874" max="15874" width="15.85546875" bestFit="1" customWidth="1"/>
    <col min="15875" max="15875" width="14.42578125" bestFit="1" customWidth="1"/>
    <col min="15876" max="15876" width="23.140625" bestFit="1" customWidth="1"/>
    <col min="15877" max="15877" width="20.7109375" bestFit="1" customWidth="1"/>
    <col min="15878" max="15878" width="25" bestFit="1" customWidth="1"/>
    <col min="15879" max="15879" width="12.28515625" bestFit="1" customWidth="1"/>
    <col min="15880" max="15880" width="13.140625" bestFit="1" customWidth="1"/>
    <col min="15881" max="15881" width="11.28515625" bestFit="1" customWidth="1"/>
    <col min="15882" max="15882" width="12.140625" customWidth="1"/>
    <col min="15883" max="15883" width="10.140625" bestFit="1" customWidth="1"/>
    <col min="15884" max="15884" width="21" bestFit="1" customWidth="1"/>
    <col min="15885" max="15885" width="7" bestFit="1" customWidth="1"/>
    <col min="15886" max="15886" width="9.28515625" bestFit="1" customWidth="1"/>
    <col min="16129" max="16129" width="36.5703125" bestFit="1" customWidth="1"/>
    <col min="16130" max="16130" width="15.85546875" bestFit="1" customWidth="1"/>
    <col min="16131" max="16131" width="14.42578125" bestFit="1" customWidth="1"/>
    <col min="16132" max="16132" width="23.140625" bestFit="1" customWidth="1"/>
    <col min="16133" max="16133" width="20.7109375" bestFit="1" customWidth="1"/>
    <col min="16134" max="16134" width="25" bestFit="1" customWidth="1"/>
    <col min="16135" max="16135" width="12.28515625" bestFit="1" customWidth="1"/>
    <col min="16136" max="16136" width="13.140625" bestFit="1" customWidth="1"/>
    <col min="16137" max="16137" width="11.28515625" bestFit="1" customWidth="1"/>
    <col min="16138" max="16138" width="12.140625" customWidth="1"/>
    <col min="16139" max="16139" width="10.140625" bestFit="1" customWidth="1"/>
    <col min="16140" max="16140" width="21" bestFit="1" customWidth="1"/>
    <col min="16141" max="16141" width="7" bestFit="1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3300</v>
      </c>
      <c r="C5" s="1594"/>
      <c r="D5" s="1594"/>
      <c r="E5" s="1595"/>
      <c r="F5" s="326" t="s">
        <v>171</v>
      </c>
      <c r="G5" s="326"/>
      <c r="H5" s="1599" t="s">
        <v>3299</v>
      </c>
      <c r="I5" s="1600"/>
      <c r="J5" s="326" t="s">
        <v>172</v>
      </c>
      <c r="K5" s="631" t="s">
        <v>3298</v>
      </c>
      <c r="L5" s="326" t="s">
        <v>436</v>
      </c>
      <c r="M5" s="326"/>
      <c r="N5" s="631" t="s">
        <v>3297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3296</v>
      </c>
      <c r="C7" s="1594"/>
      <c r="D7" s="1594"/>
      <c r="E7" s="1595"/>
      <c r="F7" s="1596" t="s">
        <v>3208</v>
      </c>
      <c r="G7" s="1596"/>
      <c r="H7" s="1593" t="s">
        <v>3295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 t="s">
        <v>3294</v>
      </c>
      <c r="C9" s="1594"/>
      <c r="D9" s="1594"/>
      <c r="E9" s="1595"/>
      <c r="F9" s="1601" t="s">
        <v>3205</v>
      </c>
      <c r="G9" s="1602"/>
      <c r="H9" s="1603" t="s">
        <v>3293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2527</v>
      </c>
      <c r="C13" s="1612"/>
      <c r="D13" s="1612" t="s">
        <v>3292</v>
      </c>
      <c r="E13" s="1612"/>
      <c r="F13" s="1612"/>
      <c r="G13" s="1612" t="s">
        <v>3291</v>
      </c>
      <c r="H13" s="1612"/>
      <c r="I13" s="1612"/>
      <c r="J13" s="1612" t="s">
        <v>3290</v>
      </c>
      <c r="K13" s="1612"/>
      <c r="L13" s="1612"/>
      <c r="M13" s="1612"/>
      <c r="N13" s="326"/>
    </row>
    <row r="14" spans="1:14" ht="30.75" customHeight="1">
      <c r="A14" s="631" t="s">
        <v>187</v>
      </c>
      <c r="B14" s="1613" t="s">
        <v>3289</v>
      </c>
      <c r="C14" s="1614"/>
      <c r="D14" s="1612" t="s">
        <v>3288</v>
      </c>
      <c r="E14" s="1612"/>
      <c r="F14" s="1612"/>
      <c r="G14" s="1612"/>
      <c r="H14" s="1612"/>
      <c r="I14" s="1612"/>
      <c r="J14" s="1613" t="s">
        <v>3287</v>
      </c>
      <c r="K14" s="1617"/>
      <c r="L14" s="1617"/>
      <c r="M14" s="1614"/>
      <c r="N14" s="326"/>
    </row>
    <row r="15" spans="1:14">
      <c r="A15" s="631" t="s">
        <v>192</v>
      </c>
      <c r="B15" s="329" t="s">
        <v>3286</v>
      </c>
      <c r="C15" s="329" t="s">
        <v>3285</v>
      </c>
      <c r="D15" s="329" t="s">
        <v>3284</v>
      </c>
      <c r="E15" s="329" t="s">
        <v>3283</v>
      </c>
      <c r="F15" s="329" t="s">
        <v>3282</v>
      </c>
      <c r="G15" s="329"/>
      <c r="H15" s="623"/>
      <c r="I15" s="623"/>
      <c r="J15" s="1612"/>
      <c r="K15" s="1612"/>
      <c r="L15" s="1612"/>
      <c r="M15" s="1612"/>
      <c r="N15" s="326"/>
    </row>
    <row r="16" spans="1:14">
      <c r="A16" s="631" t="s">
        <v>197</v>
      </c>
      <c r="B16" s="70" t="s">
        <v>3281</v>
      </c>
      <c r="C16" s="329"/>
      <c r="D16" s="1612" t="s">
        <v>3280</v>
      </c>
      <c r="E16" s="1612"/>
      <c r="F16" s="1612"/>
      <c r="G16" s="1612" t="s">
        <v>3189</v>
      </c>
      <c r="H16" s="1612"/>
      <c r="I16" s="1612"/>
      <c r="J16" s="1612"/>
      <c r="K16" s="1612"/>
      <c r="L16" s="1612"/>
      <c r="M16" s="1612"/>
      <c r="N16" s="326"/>
    </row>
    <row r="17" spans="1:14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C18" s="328"/>
      <c r="D18" s="326"/>
      <c r="E18" s="326"/>
      <c r="F18" s="631">
        <v>6</v>
      </c>
      <c r="G18" s="326" t="s">
        <v>200</v>
      </c>
      <c r="H18" s="632">
        <v>30</v>
      </c>
      <c r="I18" s="326" t="s">
        <v>201</v>
      </c>
      <c r="J18" s="632">
        <v>4</v>
      </c>
      <c r="K18" s="326" t="s">
        <v>202</v>
      </c>
      <c r="L18" s="631">
        <v>3</v>
      </c>
      <c r="M18" s="326"/>
      <c r="N18" s="326"/>
    </row>
    <row r="19" spans="1:14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f>61+119+61+22+40+36</f>
        <v>339</v>
      </c>
      <c r="D21" s="326" t="s">
        <v>205</v>
      </c>
      <c r="E21" s="631">
        <f>67</f>
        <v>67</v>
      </c>
      <c r="F21" s="326" t="s">
        <v>206</v>
      </c>
      <c r="G21" s="80">
        <f>68+16+17+0+0+4</f>
        <v>105</v>
      </c>
      <c r="H21" s="326" t="s">
        <v>230</v>
      </c>
      <c r="I21" s="80">
        <f>C21+E21+G21</f>
        <v>511</v>
      </c>
      <c r="J21" s="326" t="s">
        <v>207</v>
      </c>
      <c r="K21" s="631">
        <f>4+6+12+6+3</f>
        <v>31</v>
      </c>
      <c r="L21" s="326" t="s">
        <v>3187</v>
      </c>
      <c r="M21" s="326"/>
      <c r="N21" s="631">
        <v>13</v>
      </c>
    </row>
    <row r="22" spans="1:14">
      <c r="A22" s="326" t="s">
        <v>209</v>
      </c>
      <c r="B22" s="326" t="s">
        <v>210</v>
      </c>
      <c r="C22" s="631">
        <f>123+198+120+46+90+67</f>
        <v>644</v>
      </c>
      <c r="D22" s="326" t="s">
        <v>211</v>
      </c>
      <c r="E22" s="631">
        <f>111</f>
        <v>111</v>
      </c>
      <c r="F22" s="326" t="s">
        <v>212</v>
      </c>
      <c r="G22" s="631">
        <f>112+12+36+0+0+5</f>
        <v>165</v>
      </c>
      <c r="H22" s="326" t="s">
        <v>411</v>
      </c>
      <c r="I22" s="80">
        <f>C22+E22+G22</f>
        <v>920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f>132+258+124+49+65+96</f>
        <v>724</v>
      </c>
      <c r="D23" s="326" t="s">
        <v>214</v>
      </c>
      <c r="E23" s="631">
        <f>157</f>
        <v>157</v>
      </c>
      <c r="F23" s="326" t="s">
        <v>215</v>
      </c>
      <c r="G23" s="631">
        <f>117+8+39+0+0+8</f>
        <v>172</v>
      </c>
      <c r="H23" s="326" t="s">
        <v>410</v>
      </c>
      <c r="I23" s="80">
        <f>C23+E23+G23</f>
        <v>1053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35">
        <f>497.6*B29</f>
        <v>3980800</v>
      </c>
      <c r="E29" s="335">
        <f>168500+300000</f>
        <v>468500</v>
      </c>
      <c r="F29" s="335"/>
      <c r="G29" s="335">
        <v>72900</v>
      </c>
      <c r="H29" s="335"/>
      <c r="I29" s="335"/>
      <c r="J29" s="335"/>
      <c r="K29" s="335"/>
      <c r="L29" s="335"/>
      <c r="M29" s="322">
        <f t="shared" ref="M29:M38" si="0">SUM(F29:L29)</f>
        <v>72900</v>
      </c>
      <c r="N29" s="323">
        <f>+M29/E29*100</f>
        <v>15.560298826040556</v>
      </c>
    </row>
    <row r="30" spans="1:14">
      <c r="A30" s="322" t="s">
        <v>234</v>
      </c>
      <c r="B30" s="322">
        <v>7000</v>
      </c>
      <c r="C30" s="322" t="s">
        <v>233</v>
      </c>
      <c r="D30" s="335">
        <f>497.6*B30</f>
        <v>3483200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22">
        <f t="shared" si="0"/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335">
        <v>18000</v>
      </c>
      <c r="F31" s="335"/>
      <c r="G31" s="335">
        <v>18000</v>
      </c>
      <c r="H31" s="335"/>
      <c r="I31" s="335"/>
      <c r="J31" s="335"/>
      <c r="K31" s="335"/>
      <c r="L31" s="335"/>
      <c r="M31" s="322">
        <f t="shared" si="0"/>
        <v>18000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335">
        <v>16000</v>
      </c>
      <c r="H32" s="335"/>
      <c r="I32" s="335"/>
      <c r="J32" s="335"/>
      <c r="K32" s="335"/>
      <c r="L32" s="335"/>
      <c r="M32" s="322">
        <f t="shared" si="0"/>
        <v>16000</v>
      </c>
      <c r="N32" s="323">
        <f t="shared" si="1"/>
        <v>100</v>
      </c>
    </row>
    <row r="33" spans="1:14">
      <c r="A33" s="322" t="s">
        <v>238</v>
      </c>
      <c r="B33" s="322">
        <v>1200</v>
      </c>
      <c r="C33" s="322" t="s">
        <v>233</v>
      </c>
      <c r="D33" s="335">
        <f>497.6*B33</f>
        <v>597120</v>
      </c>
      <c r="E33" s="335">
        <v>200000</v>
      </c>
      <c r="F33" s="335"/>
      <c r="G33" s="335">
        <v>108163</v>
      </c>
      <c r="H33" s="335"/>
      <c r="I33" s="335"/>
      <c r="J33" s="335"/>
      <c r="K33" s="335"/>
      <c r="L33" s="335"/>
      <c r="M33" s="322">
        <f t="shared" si="0"/>
        <v>108163</v>
      </c>
      <c r="N33" s="323">
        <f t="shared" si="1"/>
        <v>54.081500000000005</v>
      </c>
    </row>
    <row r="34" spans="1:14">
      <c r="A34" s="322" t="s">
        <v>667</v>
      </c>
      <c r="B34" s="322">
        <v>565</v>
      </c>
      <c r="C34" s="322" t="s">
        <v>233</v>
      </c>
      <c r="D34" s="335">
        <f>497.6*B34</f>
        <v>281144</v>
      </c>
      <c r="E34" s="335">
        <f>49700+100000</f>
        <v>149700</v>
      </c>
      <c r="F34" s="335"/>
      <c r="G34" s="335">
        <v>35000</v>
      </c>
      <c r="H34" s="335"/>
      <c r="I34" s="335"/>
      <c r="J34" s="335"/>
      <c r="K34" s="335"/>
      <c r="L34" s="335"/>
      <c r="M34" s="322">
        <f t="shared" si="0"/>
        <v>35000</v>
      </c>
      <c r="N34" s="323">
        <f t="shared" si="1"/>
        <v>23.380093520374082</v>
      </c>
    </row>
    <row r="35" spans="1:14">
      <c r="A35" s="322" t="s">
        <v>240</v>
      </c>
      <c r="B35" s="322">
        <v>1000</v>
      </c>
      <c r="C35" s="322" t="s">
        <v>233</v>
      </c>
      <c r="D35" s="335">
        <f>497.6*B35</f>
        <v>497600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f>+B36*84</f>
        <v>231000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22">
        <f t="shared" si="0"/>
        <v>30250</v>
      </c>
      <c r="N36" s="323">
        <f t="shared" si="1"/>
        <v>100</v>
      </c>
    </row>
    <row r="37" spans="1:14">
      <c r="A37" s="324" t="s">
        <v>670</v>
      </c>
      <c r="B37" s="322">
        <v>10000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653">
        <f t="shared" ref="D38:L38" si="2">SUM(D29:D37)</f>
        <v>9170864</v>
      </c>
      <c r="E38" s="653">
        <f t="shared" si="2"/>
        <v>882450</v>
      </c>
      <c r="F38" s="653">
        <f t="shared" si="2"/>
        <v>0</v>
      </c>
      <c r="G38" s="653">
        <f t="shared" si="2"/>
        <v>280313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280313</v>
      </c>
      <c r="N38" s="323">
        <f t="shared" si="1"/>
        <v>31.765312482293613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29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D16:F16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ageMargins left="0.14000000000000001" right="0.14000000000000001" top="0.27" bottom="0.48" header="0.19" footer="0.3"/>
  <pageSetup paperSize="9" scale="61" orientation="landscape" r:id="rId1"/>
  <headerFooter>
    <oddFooter>&amp;L&amp;9&amp;F&amp;R&amp;9&amp;A</oddFooter>
  </headerFooter>
</worksheet>
</file>

<file path=xl/worksheets/sheet317.xml><?xml version="1.0" encoding="utf-8"?>
<worksheet xmlns="http://schemas.openxmlformats.org/spreadsheetml/2006/main" xmlns:r="http://schemas.openxmlformats.org/officeDocument/2006/relationships">
  <dimension ref="A1:N42"/>
  <sheetViews>
    <sheetView zoomScale="80" zoomScaleNormal="80" workbookViewId="0">
      <selection activeCell="A3" sqref="A3:C3"/>
    </sheetView>
  </sheetViews>
  <sheetFormatPr defaultRowHeight="15"/>
  <cols>
    <col min="1" max="1" width="36.5703125" bestFit="1" customWidth="1"/>
    <col min="2" max="2" width="15.85546875" bestFit="1" customWidth="1"/>
    <col min="3" max="3" width="16.85546875" bestFit="1" customWidth="1"/>
    <col min="4" max="4" width="18" customWidth="1"/>
    <col min="5" max="5" width="20.7109375" bestFit="1" customWidth="1"/>
    <col min="6" max="6" width="25" bestFit="1" customWidth="1"/>
    <col min="7" max="7" width="12.28515625" bestFit="1" customWidth="1"/>
    <col min="8" max="8" width="13.140625" bestFit="1" customWidth="1"/>
    <col min="9" max="9" width="11.28515625" bestFit="1" customWidth="1"/>
    <col min="10" max="10" width="14.140625" bestFit="1" customWidth="1"/>
    <col min="11" max="11" width="10.140625" bestFit="1" customWidth="1"/>
    <col min="12" max="12" width="14.42578125" customWidth="1"/>
    <col min="13" max="13" width="10.42578125" customWidth="1"/>
    <col min="14" max="14" width="9.28515625" bestFit="1" customWidth="1"/>
    <col min="257" max="257" width="36.5703125" bestFit="1" customWidth="1"/>
    <col min="258" max="258" width="15.85546875" bestFit="1" customWidth="1"/>
    <col min="259" max="259" width="16.85546875" bestFit="1" customWidth="1"/>
    <col min="260" max="260" width="18" customWidth="1"/>
    <col min="261" max="261" width="20.7109375" bestFit="1" customWidth="1"/>
    <col min="262" max="262" width="25" bestFit="1" customWidth="1"/>
    <col min="263" max="263" width="12.28515625" bestFit="1" customWidth="1"/>
    <col min="264" max="264" width="13.140625" bestFit="1" customWidth="1"/>
    <col min="265" max="265" width="11.28515625" bestFit="1" customWidth="1"/>
    <col min="266" max="266" width="14.140625" bestFit="1" customWidth="1"/>
    <col min="267" max="267" width="10.140625" bestFit="1" customWidth="1"/>
    <col min="268" max="268" width="14.42578125" customWidth="1"/>
    <col min="269" max="269" width="10.42578125" customWidth="1"/>
    <col min="270" max="270" width="9.28515625" bestFit="1" customWidth="1"/>
    <col min="513" max="513" width="36.5703125" bestFit="1" customWidth="1"/>
    <col min="514" max="514" width="15.85546875" bestFit="1" customWidth="1"/>
    <col min="515" max="515" width="16.85546875" bestFit="1" customWidth="1"/>
    <col min="516" max="516" width="18" customWidth="1"/>
    <col min="517" max="517" width="20.7109375" bestFit="1" customWidth="1"/>
    <col min="518" max="518" width="25" bestFit="1" customWidth="1"/>
    <col min="519" max="519" width="12.28515625" bestFit="1" customWidth="1"/>
    <col min="520" max="520" width="13.140625" bestFit="1" customWidth="1"/>
    <col min="521" max="521" width="11.28515625" bestFit="1" customWidth="1"/>
    <col min="522" max="522" width="14.140625" bestFit="1" customWidth="1"/>
    <col min="523" max="523" width="10.140625" bestFit="1" customWidth="1"/>
    <col min="524" max="524" width="14.42578125" customWidth="1"/>
    <col min="525" max="525" width="10.42578125" customWidth="1"/>
    <col min="526" max="526" width="9.28515625" bestFit="1" customWidth="1"/>
    <col min="769" max="769" width="36.5703125" bestFit="1" customWidth="1"/>
    <col min="770" max="770" width="15.85546875" bestFit="1" customWidth="1"/>
    <col min="771" max="771" width="16.85546875" bestFit="1" customWidth="1"/>
    <col min="772" max="772" width="18" customWidth="1"/>
    <col min="773" max="773" width="20.7109375" bestFit="1" customWidth="1"/>
    <col min="774" max="774" width="25" bestFit="1" customWidth="1"/>
    <col min="775" max="775" width="12.28515625" bestFit="1" customWidth="1"/>
    <col min="776" max="776" width="13.140625" bestFit="1" customWidth="1"/>
    <col min="777" max="777" width="11.28515625" bestFit="1" customWidth="1"/>
    <col min="778" max="778" width="14.140625" bestFit="1" customWidth="1"/>
    <col min="779" max="779" width="10.140625" bestFit="1" customWidth="1"/>
    <col min="780" max="780" width="14.42578125" customWidth="1"/>
    <col min="781" max="781" width="10.42578125" customWidth="1"/>
    <col min="782" max="782" width="9.28515625" bestFit="1" customWidth="1"/>
    <col min="1025" max="1025" width="36.5703125" bestFit="1" customWidth="1"/>
    <col min="1026" max="1026" width="15.85546875" bestFit="1" customWidth="1"/>
    <col min="1027" max="1027" width="16.85546875" bestFit="1" customWidth="1"/>
    <col min="1028" max="1028" width="18" customWidth="1"/>
    <col min="1029" max="1029" width="20.7109375" bestFit="1" customWidth="1"/>
    <col min="1030" max="1030" width="25" bestFit="1" customWidth="1"/>
    <col min="1031" max="1031" width="12.28515625" bestFit="1" customWidth="1"/>
    <col min="1032" max="1032" width="13.140625" bestFit="1" customWidth="1"/>
    <col min="1033" max="1033" width="11.28515625" bestFit="1" customWidth="1"/>
    <col min="1034" max="1034" width="14.140625" bestFit="1" customWidth="1"/>
    <col min="1035" max="1035" width="10.140625" bestFit="1" customWidth="1"/>
    <col min="1036" max="1036" width="14.42578125" customWidth="1"/>
    <col min="1037" max="1037" width="10.42578125" customWidth="1"/>
    <col min="1038" max="1038" width="9.28515625" bestFit="1" customWidth="1"/>
    <col min="1281" max="1281" width="36.5703125" bestFit="1" customWidth="1"/>
    <col min="1282" max="1282" width="15.85546875" bestFit="1" customWidth="1"/>
    <col min="1283" max="1283" width="16.85546875" bestFit="1" customWidth="1"/>
    <col min="1284" max="1284" width="18" customWidth="1"/>
    <col min="1285" max="1285" width="20.7109375" bestFit="1" customWidth="1"/>
    <col min="1286" max="1286" width="25" bestFit="1" customWidth="1"/>
    <col min="1287" max="1287" width="12.28515625" bestFit="1" customWidth="1"/>
    <col min="1288" max="1288" width="13.140625" bestFit="1" customWidth="1"/>
    <col min="1289" max="1289" width="11.28515625" bestFit="1" customWidth="1"/>
    <col min="1290" max="1290" width="14.140625" bestFit="1" customWidth="1"/>
    <col min="1291" max="1291" width="10.140625" bestFit="1" customWidth="1"/>
    <col min="1292" max="1292" width="14.42578125" customWidth="1"/>
    <col min="1293" max="1293" width="10.42578125" customWidth="1"/>
    <col min="1294" max="1294" width="9.28515625" bestFit="1" customWidth="1"/>
    <col min="1537" max="1537" width="36.5703125" bestFit="1" customWidth="1"/>
    <col min="1538" max="1538" width="15.85546875" bestFit="1" customWidth="1"/>
    <col min="1539" max="1539" width="16.85546875" bestFit="1" customWidth="1"/>
    <col min="1540" max="1540" width="18" customWidth="1"/>
    <col min="1541" max="1541" width="20.7109375" bestFit="1" customWidth="1"/>
    <col min="1542" max="1542" width="25" bestFit="1" customWidth="1"/>
    <col min="1543" max="1543" width="12.28515625" bestFit="1" customWidth="1"/>
    <col min="1544" max="1544" width="13.140625" bestFit="1" customWidth="1"/>
    <col min="1545" max="1545" width="11.28515625" bestFit="1" customWidth="1"/>
    <col min="1546" max="1546" width="14.140625" bestFit="1" customWidth="1"/>
    <col min="1547" max="1547" width="10.140625" bestFit="1" customWidth="1"/>
    <col min="1548" max="1548" width="14.42578125" customWidth="1"/>
    <col min="1549" max="1549" width="10.42578125" customWidth="1"/>
    <col min="1550" max="1550" width="9.28515625" bestFit="1" customWidth="1"/>
    <col min="1793" max="1793" width="36.5703125" bestFit="1" customWidth="1"/>
    <col min="1794" max="1794" width="15.85546875" bestFit="1" customWidth="1"/>
    <col min="1795" max="1795" width="16.85546875" bestFit="1" customWidth="1"/>
    <col min="1796" max="1796" width="18" customWidth="1"/>
    <col min="1797" max="1797" width="20.7109375" bestFit="1" customWidth="1"/>
    <col min="1798" max="1798" width="25" bestFit="1" customWidth="1"/>
    <col min="1799" max="1799" width="12.28515625" bestFit="1" customWidth="1"/>
    <col min="1800" max="1800" width="13.140625" bestFit="1" customWidth="1"/>
    <col min="1801" max="1801" width="11.28515625" bestFit="1" customWidth="1"/>
    <col min="1802" max="1802" width="14.140625" bestFit="1" customWidth="1"/>
    <col min="1803" max="1803" width="10.140625" bestFit="1" customWidth="1"/>
    <col min="1804" max="1804" width="14.42578125" customWidth="1"/>
    <col min="1805" max="1805" width="10.42578125" customWidth="1"/>
    <col min="1806" max="1806" width="9.28515625" bestFit="1" customWidth="1"/>
    <col min="2049" max="2049" width="36.5703125" bestFit="1" customWidth="1"/>
    <col min="2050" max="2050" width="15.85546875" bestFit="1" customWidth="1"/>
    <col min="2051" max="2051" width="16.85546875" bestFit="1" customWidth="1"/>
    <col min="2052" max="2052" width="18" customWidth="1"/>
    <col min="2053" max="2053" width="20.7109375" bestFit="1" customWidth="1"/>
    <col min="2054" max="2054" width="25" bestFit="1" customWidth="1"/>
    <col min="2055" max="2055" width="12.28515625" bestFit="1" customWidth="1"/>
    <col min="2056" max="2056" width="13.140625" bestFit="1" customWidth="1"/>
    <col min="2057" max="2057" width="11.28515625" bestFit="1" customWidth="1"/>
    <col min="2058" max="2058" width="14.140625" bestFit="1" customWidth="1"/>
    <col min="2059" max="2059" width="10.140625" bestFit="1" customWidth="1"/>
    <col min="2060" max="2060" width="14.42578125" customWidth="1"/>
    <col min="2061" max="2061" width="10.42578125" customWidth="1"/>
    <col min="2062" max="2062" width="9.28515625" bestFit="1" customWidth="1"/>
    <col min="2305" max="2305" width="36.5703125" bestFit="1" customWidth="1"/>
    <col min="2306" max="2306" width="15.85546875" bestFit="1" customWidth="1"/>
    <col min="2307" max="2307" width="16.85546875" bestFit="1" customWidth="1"/>
    <col min="2308" max="2308" width="18" customWidth="1"/>
    <col min="2309" max="2309" width="20.7109375" bestFit="1" customWidth="1"/>
    <col min="2310" max="2310" width="25" bestFit="1" customWidth="1"/>
    <col min="2311" max="2311" width="12.28515625" bestFit="1" customWidth="1"/>
    <col min="2312" max="2312" width="13.140625" bestFit="1" customWidth="1"/>
    <col min="2313" max="2313" width="11.28515625" bestFit="1" customWidth="1"/>
    <col min="2314" max="2314" width="14.140625" bestFit="1" customWidth="1"/>
    <col min="2315" max="2315" width="10.140625" bestFit="1" customWidth="1"/>
    <col min="2316" max="2316" width="14.42578125" customWidth="1"/>
    <col min="2317" max="2317" width="10.42578125" customWidth="1"/>
    <col min="2318" max="2318" width="9.28515625" bestFit="1" customWidth="1"/>
    <col min="2561" max="2561" width="36.5703125" bestFit="1" customWidth="1"/>
    <col min="2562" max="2562" width="15.85546875" bestFit="1" customWidth="1"/>
    <col min="2563" max="2563" width="16.85546875" bestFit="1" customWidth="1"/>
    <col min="2564" max="2564" width="18" customWidth="1"/>
    <col min="2565" max="2565" width="20.7109375" bestFit="1" customWidth="1"/>
    <col min="2566" max="2566" width="25" bestFit="1" customWidth="1"/>
    <col min="2567" max="2567" width="12.28515625" bestFit="1" customWidth="1"/>
    <col min="2568" max="2568" width="13.140625" bestFit="1" customWidth="1"/>
    <col min="2569" max="2569" width="11.28515625" bestFit="1" customWidth="1"/>
    <col min="2570" max="2570" width="14.140625" bestFit="1" customWidth="1"/>
    <col min="2571" max="2571" width="10.140625" bestFit="1" customWidth="1"/>
    <col min="2572" max="2572" width="14.42578125" customWidth="1"/>
    <col min="2573" max="2573" width="10.42578125" customWidth="1"/>
    <col min="2574" max="2574" width="9.28515625" bestFit="1" customWidth="1"/>
    <col min="2817" max="2817" width="36.5703125" bestFit="1" customWidth="1"/>
    <col min="2818" max="2818" width="15.85546875" bestFit="1" customWidth="1"/>
    <col min="2819" max="2819" width="16.85546875" bestFit="1" customWidth="1"/>
    <col min="2820" max="2820" width="18" customWidth="1"/>
    <col min="2821" max="2821" width="20.7109375" bestFit="1" customWidth="1"/>
    <col min="2822" max="2822" width="25" bestFit="1" customWidth="1"/>
    <col min="2823" max="2823" width="12.28515625" bestFit="1" customWidth="1"/>
    <col min="2824" max="2824" width="13.140625" bestFit="1" customWidth="1"/>
    <col min="2825" max="2825" width="11.28515625" bestFit="1" customWidth="1"/>
    <col min="2826" max="2826" width="14.140625" bestFit="1" customWidth="1"/>
    <col min="2827" max="2827" width="10.140625" bestFit="1" customWidth="1"/>
    <col min="2828" max="2828" width="14.42578125" customWidth="1"/>
    <col min="2829" max="2829" width="10.42578125" customWidth="1"/>
    <col min="2830" max="2830" width="9.28515625" bestFit="1" customWidth="1"/>
    <col min="3073" max="3073" width="36.5703125" bestFit="1" customWidth="1"/>
    <col min="3074" max="3074" width="15.85546875" bestFit="1" customWidth="1"/>
    <col min="3075" max="3075" width="16.85546875" bestFit="1" customWidth="1"/>
    <col min="3076" max="3076" width="18" customWidth="1"/>
    <col min="3077" max="3077" width="20.7109375" bestFit="1" customWidth="1"/>
    <col min="3078" max="3078" width="25" bestFit="1" customWidth="1"/>
    <col min="3079" max="3079" width="12.28515625" bestFit="1" customWidth="1"/>
    <col min="3080" max="3080" width="13.140625" bestFit="1" customWidth="1"/>
    <col min="3081" max="3081" width="11.28515625" bestFit="1" customWidth="1"/>
    <col min="3082" max="3082" width="14.140625" bestFit="1" customWidth="1"/>
    <col min="3083" max="3083" width="10.140625" bestFit="1" customWidth="1"/>
    <col min="3084" max="3084" width="14.42578125" customWidth="1"/>
    <col min="3085" max="3085" width="10.42578125" customWidth="1"/>
    <col min="3086" max="3086" width="9.28515625" bestFit="1" customWidth="1"/>
    <col min="3329" max="3329" width="36.5703125" bestFit="1" customWidth="1"/>
    <col min="3330" max="3330" width="15.85546875" bestFit="1" customWidth="1"/>
    <col min="3331" max="3331" width="16.85546875" bestFit="1" customWidth="1"/>
    <col min="3332" max="3332" width="18" customWidth="1"/>
    <col min="3333" max="3333" width="20.7109375" bestFit="1" customWidth="1"/>
    <col min="3334" max="3334" width="25" bestFit="1" customWidth="1"/>
    <col min="3335" max="3335" width="12.28515625" bestFit="1" customWidth="1"/>
    <col min="3336" max="3336" width="13.140625" bestFit="1" customWidth="1"/>
    <col min="3337" max="3337" width="11.28515625" bestFit="1" customWidth="1"/>
    <col min="3338" max="3338" width="14.140625" bestFit="1" customWidth="1"/>
    <col min="3339" max="3339" width="10.140625" bestFit="1" customWidth="1"/>
    <col min="3340" max="3340" width="14.42578125" customWidth="1"/>
    <col min="3341" max="3341" width="10.42578125" customWidth="1"/>
    <col min="3342" max="3342" width="9.28515625" bestFit="1" customWidth="1"/>
    <col min="3585" max="3585" width="36.5703125" bestFit="1" customWidth="1"/>
    <col min="3586" max="3586" width="15.85546875" bestFit="1" customWidth="1"/>
    <col min="3587" max="3587" width="16.85546875" bestFit="1" customWidth="1"/>
    <col min="3588" max="3588" width="18" customWidth="1"/>
    <col min="3589" max="3589" width="20.7109375" bestFit="1" customWidth="1"/>
    <col min="3590" max="3590" width="25" bestFit="1" customWidth="1"/>
    <col min="3591" max="3591" width="12.28515625" bestFit="1" customWidth="1"/>
    <col min="3592" max="3592" width="13.140625" bestFit="1" customWidth="1"/>
    <col min="3593" max="3593" width="11.28515625" bestFit="1" customWidth="1"/>
    <col min="3594" max="3594" width="14.140625" bestFit="1" customWidth="1"/>
    <col min="3595" max="3595" width="10.140625" bestFit="1" customWidth="1"/>
    <col min="3596" max="3596" width="14.42578125" customWidth="1"/>
    <col min="3597" max="3597" width="10.42578125" customWidth="1"/>
    <col min="3598" max="3598" width="9.28515625" bestFit="1" customWidth="1"/>
    <col min="3841" max="3841" width="36.5703125" bestFit="1" customWidth="1"/>
    <col min="3842" max="3842" width="15.85546875" bestFit="1" customWidth="1"/>
    <col min="3843" max="3843" width="16.85546875" bestFit="1" customWidth="1"/>
    <col min="3844" max="3844" width="18" customWidth="1"/>
    <col min="3845" max="3845" width="20.7109375" bestFit="1" customWidth="1"/>
    <col min="3846" max="3846" width="25" bestFit="1" customWidth="1"/>
    <col min="3847" max="3847" width="12.28515625" bestFit="1" customWidth="1"/>
    <col min="3848" max="3848" width="13.140625" bestFit="1" customWidth="1"/>
    <col min="3849" max="3849" width="11.28515625" bestFit="1" customWidth="1"/>
    <col min="3850" max="3850" width="14.140625" bestFit="1" customWidth="1"/>
    <col min="3851" max="3851" width="10.140625" bestFit="1" customWidth="1"/>
    <col min="3852" max="3852" width="14.42578125" customWidth="1"/>
    <col min="3853" max="3853" width="10.42578125" customWidth="1"/>
    <col min="3854" max="3854" width="9.28515625" bestFit="1" customWidth="1"/>
    <col min="4097" max="4097" width="36.5703125" bestFit="1" customWidth="1"/>
    <col min="4098" max="4098" width="15.85546875" bestFit="1" customWidth="1"/>
    <col min="4099" max="4099" width="16.85546875" bestFit="1" customWidth="1"/>
    <col min="4100" max="4100" width="18" customWidth="1"/>
    <col min="4101" max="4101" width="20.7109375" bestFit="1" customWidth="1"/>
    <col min="4102" max="4102" width="25" bestFit="1" customWidth="1"/>
    <col min="4103" max="4103" width="12.28515625" bestFit="1" customWidth="1"/>
    <col min="4104" max="4104" width="13.140625" bestFit="1" customWidth="1"/>
    <col min="4105" max="4105" width="11.28515625" bestFit="1" customWidth="1"/>
    <col min="4106" max="4106" width="14.140625" bestFit="1" customWidth="1"/>
    <col min="4107" max="4107" width="10.140625" bestFit="1" customWidth="1"/>
    <col min="4108" max="4108" width="14.42578125" customWidth="1"/>
    <col min="4109" max="4109" width="10.42578125" customWidth="1"/>
    <col min="4110" max="4110" width="9.28515625" bestFit="1" customWidth="1"/>
    <col min="4353" max="4353" width="36.5703125" bestFit="1" customWidth="1"/>
    <col min="4354" max="4354" width="15.85546875" bestFit="1" customWidth="1"/>
    <col min="4355" max="4355" width="16.85546875" bestFit="1" customWidth="1"/>
    <col min="4356" max="4356" width="18" customWidth="1"/>
    <col min="4357" max="4357" width="20.7109375" bestFit="1" customWidth="1"/>
    <col min="4358" max="4358" width="25" bestFit="1" customWidth="1"/>
    <col min="4359" max="4359" width="12.28515625" bestFit="1" customWidth="1"/>
    <col min="4360" max="4360" width="13.140625" bestFit="1" customWidth="1"/>
    <col min="4361" max="4361" width="11.28515625" bestFit="1" customWidth="1"/>
    <col min="4362" max="4362" width="14.140625" bestFit="1" customWidth="1"/>
    <col min="4363" max="4363" width="10.140625" bestFit="1" customWidth="1"/>
    <col min="4364" max="4364" width="14.42578125" customWidth="1"/>
    <col min="4365" max="4365" width="10.42578125" customWidth="1"/>
    <col min="4366" max="4366" width="9.28515625" bestFit="1" customWidth="1"/>
    <col min="4609" max="4609" width="36.5703125" bestFit="1" customWidth="1"/>
    <col min="4610" max="4610" width="15.85546875" bestFit="1" customWidth="1"/>
    <col min="4611" max="4611" width="16.85546875" bestFit="1" customWidth="1"/>
    <col min="4612" max="4612" width="18" customWidth="1"/>
    <col min="4613" max="4613" width="20.7109375" bestFit="1" customWidth="1"/>
    <col min="4614" max="4614" width="25" bestFit="1" customWidth="1"/>
    <col min="4615" max="4615" width="12.28515625" bestFit="1" customWidth="1"/>
    <col min="4616" max="4616" width="13.140625" bestFit="1" customWidth="1"/>
    <col min="4617" max="4617" width="11.28515625" bestFit="1" customWidth="1"/>
    <col min="4618" max="4618" width="14.140625" bestFit="1" customWidth="1"/>
    <col min="4619" max="4619" width="10.140625" bestFit="1" customWidth="1"/>
    <col min="4620" max="4620" width="14.42578125" customWidth="1"/>
    <col min="4621" max="4621" width="10.42578125" customWidth="1"/>
    <col min="4622" max="4622" width="9.28515625" bestFit="1" customWidth="1"/>
    <col min="4865" max="4865" width="36.5703125" bestFit="1" customWidth="1"/>
    <col min="4866" max="4866" width="15.85546875" bestFit="1" customWidth="1"/>
    <col min="4867" max="4867" width="16.85546875" bestFit="1" customWidth="1"/>
    <col min="4868" max="4868" width="18" customWidth="1"/>
    <col min="4869" max="4869" width="20.7109375" bestFit="1" customWidth="1"/>
    <col min="4870" max="4870" width="25" bestFit="1" customWidth="1"/>
    <col min="4871" max="4871" width="12.28515625" bestFit="1" customWidth="1"/>
    <col min="4872" max="4872" width="13.140625" bestFit="1" customWidth="1"/>
    <col min="4873" max="4873" width="11.28515625" bestFit="1" customWidth="1"/>
    <col min="4874" max="4874" width="14.140625" bestFit="1" customWidth="1"/>
    <col min="4875" max="4875" width="10.140625" bestFit="1" customWidth="1"/>
    <col min="4876" max="4876" width="14.42578125" customWidth="1"/>
    <col min="4877" max="4877" width="10.42578125" customWidth="1"/>
    <col min="4878" max="4878" width="9.28515625" bestFit="1" customWidth="1"/>
    <col min="5121" max="5121" width="36.5703125" bestFit="1" customWidth="1"/>
    <col min="5122" max="5122" width="15.85546875" bestFit="1" customWidth="1"/>
    <col min="5123" max="5123" width="16.85546875" bestFit="1" customWidth="1"/>
    <col min="5124" max="5124" width="18" customWidth="1"/>
    <col min="5125" max="5125" width="20.7109375" bestFit="1" customWidth="1"/>
    <col min="5126" max="5126" width="25" bestFit="1" customWidth="1"/>
    <col min="5127" max="5127" width="12.28515625" bestFit="1" customWidth="1"/>
    <col min="5128" max="5128" width="13.140625" bestFit="1" customWidth="1"/>
    <col min="5129" max="5129" width="11.28515625" bestFit="1" customWidth="1"/>
    <col min="5130" max="5130" width="14.140625" bestFit="1" customWidth="1"/>
    <col min="5131" max="5131" width="10.140625" bestFit="1" customWidth="1"/>
    <col min="5132" max="5132" width="14.42578125" customWidth="1"/>
    <col min="5133" max="5133" width="10.42578125" customWidth="1"/>
    <col min="5134" max="5134" width="9.28515625" bestFit="1" customWidth="1"/>
    <col min="5377" max="5377" width="36.5703125" bestFit="1" customWidth="1"/>
    <col min="5378" max="5378" width="15.85546875" bestFit="1" customWidth="1"/>
    <col min="5379" max="5379" width="16.85546875" bestFit="1" customWidth="1"/>
    <col min="5380" max="5380" width="18" customWidth="1"/>
    <col min="5381" max="5381" width="20.7109375" bestFit="1" customWidth="1"/>
    <col min="5382" max="5382" width="25" bestFit="1" customWidth="1"/>
    <col min="5383" max="5383" width="12.28515625" bestFit="1" customWidth="1"/>
    <col min="5384" max="5384" width="13.140625" bestFit="1" customWidth="1"/>
    <col min="5385" max="5385" width="11.28515625" bestFit="1" customWidth="1"/>
    <col min="5386" max="5386" width="14.140625" bestFit="1" customWidth="1"/>
    <col min="5387" max="5387" width="10.140625" bestFit="1" customWidth="1"/>
    <col min="5388" max="5388" width="14.42578125" customWidth="1"/>
    <col min="5389" max="5389" width="10.42578125" customWidth="1"/>
    <col min="5390" max="5390" width="9.28515625" bestFit="1" customWidth="1"/>
    <col min="5633" max="5633" width="36.5703125" bestFit="1" customWidth="1"/>
    <col min="5634" max="5634" width="15.85546875" bestFit="1" customWidth="1"/>
    <col min="5635" max="5635" width="16.85546875" bestFit="1" customWidth="1"/>
    <col min="5636" max="5636" width="18" customWidth="1"/>
    <col min="5637" max="5637" width="20.7109375" bestFit="1" customWidth="1"/>
    <col min="5638" max="5638" width="25" bestFit="1" customWidth="1"/>
    <col min="5639" max="5639" width="12.28515625" bestFit="1" customWidth="1"/>
    <col min="5640" max="5640" width="13.140625" bestFit="1" customWidth="1"/>
    <col min="5641" max="5641" width="11.28515625" bestFit="1" customWidth="1"/>
    <col min="5642" max="5642" width="14.140625" bestFit="1" customWidth="1"/>
    <col min="5643" max="5643" width="10.140625" bestFit="1" customWidth="1"/>
    <col min="5644" max="5644" width="14.42578125" customWidth="1"/>
    <col min="5645" max="5645" width="10.42578125" customWidth="1"/>
    <col min="5646" max="5646" width="9.28515625" bestFit="1" customWidth="1"/>
    <col min="5889" max="5889" width="36.5703125" bestFit="1" customWidth="1"/>
    <col min="5890" max="5890" width="15.85546875" bestFit="1" customWidth="1"/>
    <col min="5891" max="5891" width="16.85546875" bestFit="1" customWidth="1"/>
    <col min="5892" max="5892" width="18" customWidth="1"/>
    <col min="5893" max="5893" width="20.7109375" bestFit="1" customWidth="1"/>
    <col min="5894" max="5894" width="25" bestFit="1" customWidth="1"/>
    <col min="5895" max="5895" width="12.28515625" bestFit="1" customWidth="1"/>
    <col min="5896" max="5896" width="13.140625" bestFit="1" customWidth="1"/>
    <col min="5897" max="5897" width="11.28515625" bestFit="1" customWidth="1"/>
    <col min="5898" max="5898" width="14.140625" bestFit="1" customWidth="1"/>
    <col min="5899" max="5899" width="10.140625" bestFit="1" customWidth="1"/>
    <col min="5900" max="5900" width="14.42578125" customWidth="1"/>
    <col min="5901" max="5901" width="10.42578125" customWidth="1"/>
    <col min="5902" max="5902" width="9.28515625" bestFit="1" customWidth="1"/>
    <col min="6145" max="6145" width="36.5703125" bestFit="1" customWidth="1"/>
    <col min="6146" max="6146" width="15.85546875" bestFit="1" customWidth="1"/>
    <col min="6147" max="6147" width="16.85546875" bestFit="1" customWidth="1"/>
    <col min="6148" max="6148" width="18" customWidth="1"/>
    <col min="6149" max="6149" width="20.7109375" bestFit="1" customWidth="1"/>
    <col min="6150" max="6150" width="25" bestFit="1" customWidth="1"/>
    <col min="6151" max="6151" width="12.28515625" bestFit="1" customWidth="1"/>
    <col min="6152" max="6152" width="13.140625" bestFit="1" customWidth="1"/>
    <col min="6153" max="6153" width="11.28515625" bestFit="1" customWidth="1"/>
    <col min="6154" max="6154" width="14.140625" bestFit="1" customWidth="1"/>
    <col min="6155" max="6155" width="10.140625" bestFit="1" customWidth="1"/>
    <col min="6156" max="6156" width="14.42578125" customWidth="1"/>
    <col min="6157" max="6157" width="10.42578125" customWidth="1"/>
    <col min="6158" max="6158" width="9.28515625" bestFit="1" customWidth="1"/>
    <col min="6401" max="6401" width="36.5703125" bestFit="1" customWidth="1"/>
    <col min="6402" max="6402" width="15.85546875" bestFit="1" customWidth="1"/>
    <col min="6403" max="6403" width="16.85546875" bestFit="1" customWidth="1"/>
    <col min="6404" max="6404" width="18" customWidth="1"/>
    <col min="6405" max="6405" width="20.7109375" bestFit="1" customWidth="1"/>
    <col min="6406" max="6406" width="25" bestFit="1" customWidth="1"/>
    <col min="6407" max="6407" width="12.28515625" bestFit="1" customWidth="1"/>
    <col min="6408" max="6408" width="13.140625" bestFit="1" customWidth="1"/>
    <col min="6409" max="6409" width="11.28515625" bestFit="1" customWidth="1"/>
    <col min="6410" max="6410" width="14.140625" bestFit="1" customWidth="1"/>
    <col min="6411" max="6411" width="10.140625" bestFit="1" customWidth="1"/>
    <col min="6412" max="6412" width="14.42578125" customWidth="1"/>
    <col min="6413" max="6413" width="10.42578125" customWidth="1"/>
    <col min="6414" max="6414" width="9.28515625" bestFit="1" customWidth="1"/>
    <col min="6657" max="6657" width="36.5703125" bestFit="1" customWidth="1"/>
    <col min="6658" max="6658" width="15.85546875" bestFit="1" customWidth="1"/>
    <col min="6659" max="6659" width="16.85546875" bestFit="1" customWidth="1"/>
    <col min="6660" max="6660" width="18" customWidth="1"/>
    <col min="6661" max="6661" width="20.7109375" bestFit="1" customWidth="1"/>
    <col min="6662" max="6662" width="25" bestFit="1" customWidth="1"/>
    <col min="6663" max="6663" width="12.28515625" bestFit="1" customWidth="1"/>
    <col min="6664" max="6664" width="13.140625" bestFit="1" customWidth="1"/>
    <col min="6665" max="6665" width="11.28515625" bestFit="1" customWidth="1"/>
    <col min="6666" max="6666" width="14.140625" bestFit="1" customWidth="1"/>
    <col min="6667" max="6667" width="10.140625" bestFit="1" customWidth="1"/>
    <col min="6668" max="6668" width="14.42578125" customWidth="1"/>
    <col min="6669" max="6669" width="10.42578125" customWidth="1"/>
    <col min="6670" max="6670" width="9.28515625" bestFit="1" customWidth="1"/>
    <col min="6913" max="6913" width="36.5703125" bestFit="1" customWidth="1"/>
    <col min="6914" max="6914" width="15.85546875" bestFit="1" customWidth="1"/>
    <col min="6915" max="6915" width="16.85546875" bestFit="1" customWidth="1"/>
    <col min="6916" max="6916" width="18" customWidth="1"/>
    <col min="6917" max="6917" width="20.7109375" bestFit="1" customWidth="1"/>
    <col min="6918" max="6918" width="25" bestFit="1" customWidth="1"/>
    <col min="6919" max="6919" width="12.28515625" bestFit="1" customWidth="1"/>
    <col min="6920" max="6920" width="13.140625" bestFit="1" customWidth="1"/>
    <col min="6921" max="6921" width="11.28515625" bestFit="1" customWidth="1"/>
    <col min="6922" max="6922" width="14.140625" bestFit="1" customWidth="1"/>
    <col min="6923" max="6923" width="10.140625" bestFit="1" customWidth="1"/>
    <col min="6924" max="6924" width="14.42578125" customWidth="1"/>
    <col min="6925" max="6925" width="10.42578125" customWidth="1"/>
    <col min="6926" max="6926" width="9.28515625" bestFit="1" customWidth="1"/>
    <col min="7169" max="7169" width="36.5703125" bestFit="1" customWidth="1"/>
    <col min="7170" max="7170" width="15.85546875" bestFit="1" customWidth="1"/>
    <col min="7171" max="7171" width="16.85546875" bestFit="1" customWidth="1"/>
    <col min="7172" max="7172" width="18" customWidth="1"/>
    <col min="7173" max="7173" width="20.7109375" bestFit="1" customWidth="1"/>
    <col min="7174" max="7174" width="25" bestFit="1" customWidth="1"/>
    <col min="7175" max="7175" width="12.28515625" bestFit="1" customWidth="1"/>
    <col min="7176" max="7176" width="13.140625" bestFit="1" customWidth="1"/>
    <col min="7177" max="7177" width="11.28515625" bestFit="1" customWidth="1"/>
    <col min="7178" max="7178" width="14.140625" bestFit="1" customWidth="1"/>
    <col min="7179" max="7179" width="10.140625" bestFit="1" customWidth="1"/>
    <col min="7180" max="7180" width="14.42578125" customWidth="1"/>
    <col min="7181" max="7181" width="10.42578125" customWidth="1"/>
    <col min="7182" max="7182" width="9.28515625" bestFit="1" customWidth="1"/>
    <col min="7425" max="7425" width="36.5703125" bestFit="1" customWidth="1"/>
    <col min="7426" max="7426" width="15.85546875" bestFit="1" customWidth="1"/>
    <col min="7427" max="7427" width="16.85546875" bestFit="1" customWidth="1"/>
    <col min="7428" max="7428" width="18" customWidth="1"/>
    <col min="7429" max="7429" width="20.7109375" bestFit="1" customWidth="1"/>
    <col min="7430" max="7430" width="25" bestFit="1" customWidth="1"/>
    <col min="7431" max="7431" width="12.28515625" bestFit="1" customWidth="1"/>
    <col min="7432" max="7432" width="13.140625" bestFit="1" customWidth="1"/>
    <col min="7433" max="7433" width="11.28515625" bestFit="1" customWidth="1"/>
    <col min="7434" max="7434" width="14.140625" bestFit="1" customWidth="1"/>
    <col min="7435" max="7435" width="10.140625" bestFit="1" customWidth="1"/>
    <col min="7436" max="7436" width="14.42578125" customWidth="1"/>
    <col min="7437" max="7437" width="10.42578125" customWidth="1"/>
    <col min="7438" max="7438" width="9.28515625" bestFit="1" customWidth="1"/>
    <col min="7681" max="7681" width="36.5703125" bestFit="1" customWidth="1"/>
    <col min="7682" max="7682" width="15.85546875" bestFit="1" customWidth="1"/>
    <col min="7683" max="7683" width="16.85546875" bestFit="1" customWidth="1"/>
    <col min="7684" max="7684" width="18" customWidth="1"/>
    <col min="7685" max="7685" width="20.7109375" bestFit="1" customWidth="1"/>
    <col min="7686" max="7686" width="25" bestFit="1" customWidth="1"/>
    <col min="7687" max="7687" width="12.28515625" bestFit="1" customWidth="1"/>
    <col min="7688" max="7688" width="13.140625" bestFit="1" customWidth="1"/>
    <col min="7689" max="7689" width="11.28515625" bestFit="1" customWidth="1"/>
    <col min="7690" max="7690" width="14.140625" bestFit="1" customWidth="1"/>
    <col min="7691" max="7691" width="10.140625" bestFit="1" customWidth="1"/>
    <col min="7692" max="7692" width="14.42578125" customWidth="1"/>
    <col min="7693" max="7693" width="10.42578125" customWidth="1"/>
    <col min="7694" max="7694" width="9.28515625" bestFit="1" customWidth="1"/>
    <col min="7937" max="7937" width="36.5703125" bestFit="1" customWidth="1"/>
    <col min="7938" max="7938" width="15.85546875" bestFit="1" customWidth="1"/>
    <col min="7939" max="7939" width="16.85546875" bestFit="1" customWidth="1"/>
    <col min="7940" max="7940" width="18" customWidth="1"/>
    <col min="7941" max="7941" width="20.7109375" bestFit="1" customWidth="1"/>
    <col min="7942" max="7942" width="25" bestFit="1" customWidth="1"/>
    <col min="7943" max="7943" width="12.28515625" bestFit="1" customWidth="1"/>
    <col min="7944" max="7944" width="13.140625" bestFit="1" customWidth="1"/>
    <col min="7945" max="7945" width="11.28515625" bestFit="1" customWidth="1"/>
    <col min="7946" max="7946" width="14.140625" bestFit="1" customWidth="1"/>
    <col min="7947" max="7947" width="10.140625" bestFit="1" customWidth="1"/>
    <col min="7948" max="7948" width="14.42578125" customWidth="1"/>
    <col min="7949" max="7949" width="10.42578125" customWidth="1"/>
    <col min="7950" max="7950" width="9.28515625" bestFit="1" customWidth="1"/>
    <col min="8193" max="8193" width="36.5703125" bestFit="1" customWidth="1"/>
    <col min="8194" max="8194" width="15.85546875" bestFit="1" customWidth="1"/>
    <col min="8195" max="8195" width="16.85546875" bestFit="1" customWidth="1"/>
    <col min="8196" max="8196" width="18" customWidth="1"/>
    <col min="8197" max="8197" width="20.7109375" bestFit="1" customWidth="1"/>
    <col min="8198" max="8198" width="25" bestFit="1" customWidth="1"/>
    <col min="8199" max="8199" width="12.28515625" bestFit="1" customWidth="1"/>
    <col min="8200" max="8200" width="13.140625" bestFit="1" customWidth="1"/>
    <col min="8201" max="8201" width="11.28515625" bestFit="1" customWidth="1"/>
    <col min="8202" max="8202" width="14.140625" bestFit="1" customWidth="1"/>
    <col min="8203" max="8203" width="10.140625" bestFit="1" customWidth="1"/>
    <col min="8204" max="8204" width="14.42578125" customWidth="1"/>
    <col min="8205" max="8205" width="10.42578125" customWidth="1"/>
    <col min="8206" max="8206" width="9.28515625" bestFit="1" customWidth="1"/>
    <col min="8449" max="8449" width="36.5703125" bestFit="1" customWidth="1"/>
    <col min="8450" max="8450" width="15.85546875" bestFit="1" customWidth="1"/>
    <col min="8451" max="8451" width="16.85546875" bestFit="1" customWidth="1"/>
    <col min="8452" max="8452" width="18" customWidth="1"/>
    <col min="8453" max="8453" width="20.7109375" bestFit="1" customWidth="1"/>
    <col min="8454" max="8454" width="25" bestFit="1" customWidth="1"/>
    <col min="8455" max="8455" width="12.28515625" bestFit="1" customWidth="1"/>
    <col min="8456" max="8456" width="13.140625" bestFit="1" customWidth="1"/>
    <col min="8457" max="8457" width="11.28515625" bestFit="1" customWidth="1"/>
    <col min="8458" max="8458" width="14.140625" bestFit="1" customWidth="1"/>
    <col min="8459" max="8459" width="10.140625" bestFit="1" customWidth="1"/>
    <col min="8460" max="8460" width="14.42578125" customWidth="1"/>
    <col min="8461" max="8461" width="10.42578125" customWidth="1"/>
    <col min="8462" max="8462" width="9.28515625" bestFit="1" customWidth="1"/>
    <col min="8705" max="8705" width="36.5703125" bestFit="1" customWidth="1"/>
    <col min="8706" max="8706" width="15.85546875" bestFit="1" customWidth="1"/>
    <col min="8707" max="8707" width="16.85546875" bestFit="1" customWidth="1"/>
    <col min="8708" max="8708" width="18" customWidth="1"/>
    <col min="8709" max="8709" width="20.7109375" bestFit="1" customWidth="1"/>
    <col min="8710" max="8710" width="25" bestFit="1" customWidth="1"/>
    <col min="8711" max="8711" width="12.28515625" bestFit="1" customWidth="1"/>
    <col min="8712" max="8712" width="13.140625" bestFit="1" customWidth="1"/>
    <col min="8713" max="8713" width="11.28515625" bestFit="1" customWidth="1"/>
    <col min="8714" max="8714" width="14.140625" bestFit="1" customWidth="1"/>
    <col min="8715" max="8715" width="10.140625" bestFit="1" customWidth="1"/>
    <col min="8716" max="8716" width="14.42578125" customWidth="1"/>
    <col min="8717" max="8717" width="10.42578125" customWidth="1"/>
    <col min="8718" max="8718" width="9.28515625" bestFit="1" customWidth="1"/>
    <col min="8961" max="8961" width="36.5703125" bestFit="1" customWidth="1"/>
    <col min="8962" max="8962" width="15.85546875" bestFit="1" customWidth="1"/>
    <col min="8963" max="8963" width="16.85546875" bestFit="1" customWidth="1"/>
    <col min="8964" max="8964" width="18" customWidth="1"/>
    <col min="8965" max="8965" width="20.7109375" bestFit="1" customWidth="1"/>
    <col min="8966" max="8966" width="25" bestFit="1" customWidth="1"/>
    <col min="8967" max="8967" width="12.28515625" bestFit="1" customWidth="1"/>
    <col min="8968" max="8968" width="13.140625" bestFit="1" customWidth="1"/>
    <col min="8969" max="8969" width="11.28515625" bestFit="1" customWidth="1"/>
    <col min="8970" max="8970" width="14.140625" bestFit="1" customWidth="1"/>
    <col min="8971" max="8971" width="10.140625" bestFit="1" customWidth="1"/>
    <col min="8972" max="8972" width="14.42578125" customWidth="1"/>
    <col min="8973" max="8973" width="10.42578125" customWidth="1"/>
    <col min="8974" max="8974" width="9.28515625" bestFit="1" customWidth="1"/>
    <col min="9217" max="9217" width="36.5703125" bestFit="1" customWidth="1"/>
    <col min="9218" max="9218" width="15.85546875" bestFit="1" customWidth="1"/>
    <col min="9219" max="9219" width="16.85546875" bestFit="1" customWidth="1"/>
    <col min="9220" max="9220" width="18" customWidth="1"/>
    <col min="9221" max="9221" width="20.7109375" bestFit="1" customWidth="1"/>
    <col min="9222" max="9222" width="25" bestFit="1" customWidth="1"/>
    <col min="9223" max="9223" width="12.28515625" bestFit="1" customWidth="1"/>
    <col min="9224" max="9224" width="13.140625" bestFit="1" customWidth="1"/>
    <col min="9225" max="9225" width="11.28515625" bestFit="1" customWidth="1"/>
    <col min="9226" max="9226" width="14.140625" bestFit="1" customWidth="1"/>
    <col min="9227" max="9227" width="10.140625" bestFit="1" customWidth="1"/>
    <col min="9228" max="9228" width="14.42578125" customWidth="1"/>
    <col min="9229" max="9229" width="10.42578125" customWidth="1"/>
    <col min="9230" max="9230" width="9.28515625" bestFit="1" customWidth="1"/>
    <col min="9473" max="9473" width="36.5703125" bestFit="1" customWidth="1"/>
    <col min="9474" max="9474" width="15.85546875" bestFit="1" customWidth="1"/>
    <col min="9475" max="9475" width="16.85546875" bestFit="1" customWidth="1"/>
    <col min="9476" max="9476" width="18" customWidth="1"/>
    <col min="9477" max="9477" width="20.7109375" bestFit="1" customWidth="1"/>
    <col min="9478" max="9478" width="25" bestFit="1" customWidth="1"/>
    <col min="9479" max="9479" width="12.28515625" bestFit="1" customWidth="1"/>
    <col min="9480" max="9480" width="13.140625" bestFit="1" customWidth="1"/>
    <col min="9481" max="9481" width="11.28515625" bestFit="1" customWidth="1"/>
    <col min="9482" max="9482" width="14.140625" bestFit="1" customWidth="1"/>
    <col min="9483" max="9483" width="10.140625" bestFit="1" customWidth="1"/>
    <col min="9484" max="9484" width="14.42578125" customWidth="1"/>
    <col min="9485" max="9485" width="10.42578125" customWidth="1"/>
    <col min="9486" max="9486" width="9.28515625" bestFit="1" customWidth="1"/>
    <col min="9729" max="9729" width="36.5703125" bestFit="1" customWidth="1"/>
    <col min="9730" max="9730" width="15.85546875" bestFit="1" customWidth="1"/>
    <col min="9731" max="9731" width="16.85546875" bestFit="1" customWidth="1"/>
    <col min="9732" max="9732" width="18" customWidth="1"/>
    <col min="9733" max="9733" width="20.7109375" bestFit="1" customWidth="1"/>
    <col min="9734" max="9734" width="25" bestFit="1" customWidth="1"/>
    <col min="9735" max="9735" width="12.28515625" bestFit="1" customWidth="1"/>
    <col min="9736" max="9736" width="13.140625" bestFit="1" customWidth="1"/>
    <col min="9737" max="9737" width="11.28515625" bestFit="1" customWidth="1"/>
    <col min="9738" max="9738" width="14.140625" bestFit="1" customWidth="1"/>
    <col min="9739" max="9739" width="10.140625" bestFit="1" customWidth="1"/>
    <col min="9740" max="9740" width="14.42578125" customWidth="1"/>
    <col min="9741" max="9741" width="10.42578125" customWidth="1"/>
    <col min="9742" max="9742" width="9.28515625" bestFit="1" customWidth="1"/>
    <col min="9985" max="9985" width="36.5703125" bestFit="1" customWidth="1"/>
    <col min="9986" max="9986" width="15.85546875" bestFit="1" customWidth="1"/>
    <col min="9987" max="9987" width="16.85546875" bestFit="1" customWidth="1"/>
    <col min="9988" max="9988" width="18" customWidth="1"/>
    <col min="9989" max="9989" width="20.7109375" bestFit="1" customWidth="1"/>
    <col min="9990" max="9990" width="25" bestFit="1" customWidth="1"/>
    <col min="9991" max="9991" width="12.28515625" bestFit="1" customWidth="1"/>
    <col min="9992" max="9992" width="13.140625" bestFit="1" customWidth="1"/>
    <col min="9993" max="9993" width="11.28515625" bestFit="1" customWidth="1"/>
    <col min="9994" max="9994" width="14.140625" bestFit="1" customWidth="1"/>
    <col min="9995" max="9995" width="10.140625" bestFit="1" customWidth="1"/>
    <col min="9996" max="9996" width="14.42578125" customWidth="1"/>
    <col min="9997" max="9997" width="10.42578125" customWidth="1"/>
    <col min="9998" max="9998" width="9.28515625" bestFit="1" customWidth="1"/>
    <col min="10241" max="10241" width="36.5703125" bestFit="1" customWidth="1"/>
    <col min="10242" max="10242" width="15.85546875" bestFit="1" customWidth="1"/>
    <col min="10243" max="10243" width="16.85546875" bestFit="1" customWidth="1"/>
    <col min="10244" max="10244" width="18" customWidth="1"/>
    <col min="10245" max="10245" width="20.7109375" bestFit="1" customWidth="1"/>
    <col min="10246" max="10246" width="25" bestFit="1" customWidth="1"/>
    <col min="10247" max="10247" width="12.28515625" bestFit="1" customWidth="1"/>
    <col min="10248" max="10248" width="13.140625" bestFit="1" customWidth="1"/>
    <col min="10249" max="10249" width="11.28515625" bestFit="1" customWidth="1"/>
    <col min="10250" max="10250" width="14.140625" bestFit="1" customWidth="1"/>
    <col min="10251" max="10251" width="10.140625" bestFit="1" customWidth="1"/>
    <col min="10252" max="10252" width="14.42578125" customWidth="1"/>
    <col min="10253" max="10253" width="10.42578125" customWidth="1"/>
    <col min="10254" max="10254" width="9.28515625" bestFit="1" customWidth="1"/>
    <col min="10497" max="10497" width="36.5703125" bestFit="1" customWidth="1"/>
    <col min="10498" max="10498" width="15.85546875" bestFit="1" customWidth="1"/>
    <col min="10499" max="10499" width="16.85546875" bestFit="1" customWidth="1"/>
    <col min="10500" max="10500" width="18" customWidth="1"/>
    <col min="10501" max="10501" width="20.7109375" bestFit="1" customWidth="1"/>
    <col min="10502" max="10502" width="25" bestFit="1" customWidth="1"/>
    <col min="10503" max="10503" width="12.28515625" bestFit="1" customWidth="1"/>
    <col min="10504" max="10504" width="13.140625" bestFit="1" customWidth="1"/>
    <col min="10505" max="10505" width="11.28515625" bestFit="1" customWidth="1"/>
    <col min="10506" max="10506" width="14.140625" bestFit="1" customWidth="1"/>
    <col min="10507" max="10507" width="10.140625" bestFit="1" customWidth="1"/>
    <col min="10508" max="10508" width="14.42578125" customWidth="1"/>
    <col min="10509" max="10509" width="10.42578125" customWidth="1"/>
    <col min="10510" max="10510" width="9.28515625" bestFit="1" customWidth="1"/>
    <col min="10753" max="10753" width="36.5703125" bestFit="1" customWidth="1"/>
    <col min="10754" max="10754" width="15.85546875" bestFit="1" customWidth="1"/>
    <col min="10755" max="10755" width="16.85546875" bestFit="1" customWidth="1"/>
    <col min="10756" max="10756" width="18" customWidth="1"/>
    <col min="10757" max="10757" width="20.7109375" bestFit="1" customWidth="1"/>
    <col min="10758" max="10758" width="25" bestFit="1" customWidth="1"/>
    <col min="10759" max="10759" width="12.28515625" bestFit="1" customWidth="1"/>
    <col min="10760" max="10760" width="13.140625" bestFit="1" customWidth="1"/>
    <col min="10761" max="10761" width="11.28515625" bestFit="1" customWidth="1"/>
    <col min="10762" max="10762" width="14.140625" bestFit="1" customWidth="1"/>
    <col min="10763" max="10763" width="10.140625" bestFit="1" customWidth="1"/>
    <col min="10764" max="10764" width="14.42578125" customWidth="1"/>
    <col min="10765" max="10765" width="10.42578125" customWidth="1"/>
    <col min="10766" max="10766" width="9.28515625" bestFit="1" customWidth="1"/>
    <col min="11009" max="11009" width="36.5703125" bestFit="1" customWidth="1"/>
    <col min="11010" max="11010" width="15.85546875" bestFit="1" customWidth="1"/>
    <col min="11011" max="11011" width="16.85546875" bestFit="1" customWidth="1"/>
    <col min="11012" max="11012" width="18" customWidth="1"/>
    <col min="11013" max="11013" width="20.7109375" bestFit="1" customWidth="1"/>
    <col min="11014" max="11014" width="25" bestFit="1" customWidth="1"/>
    <col min="11015" max="11015" width="12.28515625" bestFit="1" customWidth="1"/>
    <col min="11016" max="11016" width="13.140625" bestFit="1" customWidth="1"/>
    <col min="11017" max="11017" width="11.28515625" bestFit="1" customWidth="1"/>
    <col min="11018" max="11018" width="14.140625" bestFit="1" customWidth="1"/>
    <col min="11019" max="11019" width="10.140625" bestFit="1" customWidth="1"/>
    <col min="11020" max="11020" width="14.42578125" customWidth="1"/>
    <col min="11021" max="11021" width="10.42578125" customWidth="1"/>
    <col min="11022" max="11022" width="9.28515625" bestFit="1" customWidth="1"/>
    <col min="11265" max="11265" width="36.5703125" bestFit="1" customWidth="1"/>
    <col min="11266" max="11266" width="15.85546875" bestFit="1" customWidth="1"/>
    <col min="11267" max="11267" width="16.85546875" bestFit="1" customWidth="1"/>
    <col min="11268" max="11268" width="18" customWidth="1"/>
    <col min="11269" max="11269" width="20.7109375" bestFit="1" customWidth="1"/>
    <col min="11270" max="11270" width="25" bestFit="1" customWidth="1"/>
    <col min="11271" max="11271" width="12.28515625" bestFit="1" customWidth="1"/>
    <col min="11272" max="11272" width="13.140625" bestFit="1" customWidth="1"/>
    <col min="11273" max="11273" width="11.28515625" bestFit="1" customWidth="1"/>
    <col min="11274" max="11274" width="14.140625" bestFit="1" customWidth="1"/>
    <col min="11275" max="11275" width="10.140625" bestFit="1" customWidth="1"/>
    <col min="11276" max="11276" width="14.42578125" customWidth="1"/>
    <col min="11277" max="11277" width="10.42578125" customWidth="1"/>
    <col min="11278" max="11278" width="9.28515625" bestFit="1" customWidth="1"/>
    <col min="11521" max="11521" width="36.5703125" bestFit="1" customWidth="1"/>
    <col min="11522" max="11522" width="15.85546875" bestFit="1" customWidth="1"/>
    <col min="11523" max="11523" width="16.85546875" bestFit="1" customWidth="1"/>
    <col min="11524" max="11524" width="18" customWidth="1"/>
    <col min="11525" max="11525" width="20.7109375" bestFit="1" customWidth="1"/>
    <col min="11526" max="11526" width="25" bestFit="1" customWidth="1"/>
    <col min="11527" max="11527" width="12.28515625" bestFit="1" customWidth="1"/>
    <col min="11528" max="11528" width="13.140625" bestFit="1" customWidth="1"/>
    <col min="11529" max="11529" width="11.28515625" bestFit="1" customWidth="1"/>
    <col min="11530" max="11530" width="14.140625" bestFit="1" customWidth="1"/>
    <col min="11531" max="11531" width="10.140625" bestFit="1" customWidth="1"/>
    <col min="11532" max="11532" width="14.42578125" customWidth="1"/>
    <col min="11533" max="11533" width="10.42578125" customWidth="1"/>
    <col min="11534" max="11534" width="9.28515625" bestFit="1" customWidth="1"/>
    <col min="11777" max="11777" width="36.5703125" bestFit="1" customWidth="1"/>
    <col min="11778" max="11778" width="15.85546875" bestFit="1" customWidth="1"/>
    <col min="11779" max="11779" width="16.85546875" bestFit="1" customWidth="1"/>
    <col min="11780" max="11780" width="18" customWidth="1"/>
    <col min="11781" max="11781" width="20.7109375" bestFit="1" customWidth="1"/>
    <col min="11782" max="11782" width="25" bestFit="1" customWidth="1"/>
    <col min="11783" max="11783" width="12.28515625" bestFit="1" customWidth="1"/>
    <col min="11784" max="11784" width="13.140625" bestFit="1" customWidth="1"/>
    <col min="11785" max="11785" width="11.28515625" bestFit="1" customWidth="1"/>
    <col min="11786" max="11786" width="14.140625" bestFit="1" customWidth="1"/>
    <col min="11787" max="11787" width="10.140625" bestFit="1" customWidth="1"/>
    <col min="11788" max="11788" width="14.42578125" customWidth="1"/>
    <col min="11789" max="11789" width="10.42578125" customWidth="1"/>
    <col min="11790" max="11790" width="9.28515625" bestFit="1" customWidth="1"/>
    <col min="12033" max="12033" width="36.5703125" bestFit="1" customWidth="1"/>
    <col min="12034" max="12034" width="15.85546875" bestFit="1" customWidth="1"/>
    <col min="12035" max="12035" width="16.85546875" bestFit="1" customWidth="1"/>
    <col min="12036" max="12036" width="18" customWidth="1"/>
    <col min="12037" max="12037" width="20.7109375" bestFit="1" customWidth="1"/>
    <col min="12038" max="12038" width="25" bestFit="1" customWidth="1"/>
    <col min="12039" max="12039" width="12.28515625" bestFit="1" customWidth="1"/>
    <col min="12040" max="12040" width="13.140625" bestFit="1" customWidth="1"/>
    <col min="12041" max="12041" width="11.28515625" bestFit="1" customWidth="1"/>
    <col min="12042" max="12042" width="14.140625" bestFit="1" customWidth="1"/>
    <col min="12043" max="12043" width="10.140625" bestFit="1" customWidth="1"/>
    <col min="12044" max="12044" width="14.42578125" customWidth="1"/>
    <col min="12045" max="12045" width="10.42578125" customWidth="1"/>
    <col min="12046" max="12046" width="9.28515625" bestFit="1" customWidth="1"/>
    <col min="12289" max="12289" width="36.5703125" bestFit="1" customWidth="1"/>
    <col min="12290" max="12290" width="15.85546875" bestFit="1" customWidth="1"/>
    <col min="12291" max="12291" width="16.85546875" bestFit="1" customWidth="1"/>
    <col min="12292" max="12292" width="18" customWidth="1"/>
    <col min="12293" max="12293" width="20.7109375" bestFit="1" customWidth="1"/>
    <col min="12294" max="12294" width="25" bestFit="1" customWidth="1"/>
    <col min="12295" max="12295" width="12.28515625" bestFit="1" customWidth="1"/>
    <col min="12296" max="12296" width="13.140625" bestFit="1" customWidth="1"/>
    <col min="12297" max="12297" width="11.28515625" bestFit="1" customWidth="1"/>
    <col min="12298" max="12298" width="14.140625" bestFit="1" customWidth="1"/>
    <col min="12299" max="12299" width="10.140625" bestFit="1" customWidth="1"/>
    <col min="12300" max="12300" width="14.42578125" customWidth="1"/>
    <col min="12301" max="12301" width="10.42578125" customWidth="1"/>
    <col min="12302" max="12302" width="9.28515625" bestFit="1" customWidth="1"/>
    <col min="12545" max="12545" width="36.5703125" bestFit="1" customWidth="1"/>
    <col min="12546" max="12546" width="15.85546875" bestFit="1" customWidth="1"/>
    <col min="12547" max="12547" width="16.85546875" bestFit="1" customWidth="1"/>
    <col min="12548" max="12548" width="18" customWidth="1"/>
    <col min="12549" max="12549" width="20.7109375" bestFit="1" customWidth="1"/>
    <col min="12550" max="12550" width="25" bestFit="1" customWidth="1"/>
    <col min="12551" max="12551" width="12.28515625" bestFit="1" customWidth="1"/>
    <col min="12552" max="12552" width="13.140625" bestFit="1" customWidth="1"/>
    <col min="12553" max="12553" width="11.28515625" bestFit="1" customWidth="1"/>
    <col min="12554" max="12554" width="14.140625" bestFit="1" customWidth="1"/>
    <col min="12555" max="12555" width="10.140625" bestFit="1" customWidth="1"/>
    <col min="12556" max="12556" width="14.42578125" customWidth="1"/>
    <col min="12557" max="12557" width="10.42578125" customWidth="1"/>
    <col min="12558" max="12558" width="9.28515625" bestFit="1" customWidth="1"/>
    <col min="12801" max="12801" width="36.5703125" bestFit="1" customWidth="1"/>
    <col min="12802" max="12802" width="15.85546875" bestFit="1" customWidth="1"/>
    <col min="12803" max="12803" width="16.85546875" bestFit="1" customWidth="1"/>
    <col min="12804" max="12804" width="18" customWidth="1"/>
    <col min="12805" max="12805" width="20.7109375" bestFit="1" customWidth="1"/>
    <col min="12806" max="12806" width="25" bestFit="1" customWidth="1"/>
    <col min="12807" max="12807" width="12.28515625" bestFit="1" customWidth="1"/>
    <col min="12808" max="12808" width="13.140625" bestFit="1" customWidth="1"/>
    <col min="12809" max="12809" width="11.28515625" bestFit="1" customWidth="1"/>
    <col min="12810" max="12810" width="14.140625" bestFit="1" customWidth="1"/>
    <col min="12811" max="12811" width="10.140625" bestFit="1" customWidth="1"/>
    <col min="12812" max="12812" width="14.42578125" customWidth="1"/>
    <col min="12813" max="12813" width="10.42578125" customWidth="1"/>
    <col min="12814" max="12814" width="9.28515625" bestFit="1" customWidth="1"/>
    <col min="13057" max="13057" width="36.5703125" bestFit="1" customWidth="1"/>
    <col min="13058" max="13058" width="15.85546875" bestFit="1" customWidth="1"/>
    <col min="13059" max="13059" width="16.85546875" bestFit="1" customWidth="1"/>
    <col min="13060" max="13060" width="18" customWidth="1"/>
    <col min="13061" max="13061" width="20.7109375" bestFit="1" customWidth="1"/>
    <col min="13062" max="13062" width="25" bestFit="1" customWidth="1"/>
    <col min="13063" max="13063" width="12.28515625" bestFit="1" customWidth="1"/>
    <col min="13064" max="13064" width="13.140625" bestFit="1" customWidth="1"/>
    <col min="13065" max="13065" width="11.28515625" bestFit="1" customWidth="1"/>
    <col min="13066" max="13066" width="14.140625" bestFit="1" customWidth="1"/>
    <col min="13067" max="13067" width="10.140625" bestFit="1" customWidth="1"/>
    <col min="13068" max="13068" width="14.42578125" customWidth="1"/>
    <col min="13069" max="13069" width="10.42578125" customWidth="1"/>
    <col min="13070" max="13070" width="9.28515625" bestFit="1" customWidth="1"/>
    <col min="13313" max="13313" width="36.5703125" bestFit="1" customWidth="1"/>
    <col min="13314" max="13314" width="15.85546875" bestFit="1" customWidth="1"/>
    <col min="13315" max="13315" width="16.85546875" bestFit="1" customWidth="1"/>
    <col min="13316" max="13316" width="18" customWidth="1"/>
    <col min="13317" max="13317" width="20.7109375" bestFit="1" customWidth="1"/>
    <col min="13318" max="13318" width="25" bestFit="1" customWidth="1"/>
    <col min="13319" max="13319" width="12.28515625" bestFit="1" customWidth="1"/>
    <col min="13320" max="13320" width="13.140625" bestFit="1" customWidth="1"/>
    <col min="13321" max="13321" width="11.28515625" bestFit="1" customWidth="1"/>
    <col min="13322" max="13322" width="14.140625" bestFit="1" customWidth="1"/>
    <col min="13323" max="13323" width="10.140625" bestFit="1" customWidth="1"/>
    <col min="13324" max="13324" width="14.42578125" customWidth="1"/>
    <col min="13325" max="13325" width="10.42578125" customWidth="1"/>
    <col min="13326" max="13326" width="9.28515625" bestFit="1" customWidth="1"/>
    <col min="13569" max="13569" width="36.5703125" bestFit="1" customWidth="1"/>
    <col min="13570" max="13570" width="15.85546875" bestFit="1" customWidth="1"/>
    <col min="13571" max="13571" width="16.85546875" bestFit="1" customWidth="1"/>
    <col min="13572" max="13572" width="18" customWidth="1"/>
    <col min="13573" max="13573" width="20.7109375" bestFit="1" customWidth="1"/>
    <col min="13574" max="13574" width="25" bestFit="1" customWidth="1"/>
    <col min="13575" max="13575" width="12.28515625" bestFit="1" customWidth="1"/>
    <col min="13576" max="13576" width="13.140625" bestFit="1" customWidth="1"/>
    <col min="13577" max="13577" width="11.28515625" bestFit="1" customWidth="1"/>
    <col min="13578" max="13578" width="14.140625" bestFit="1" customWidth="1"/>
    <col min="13579" max="13579" width="10.140625" bestFit="1" customWidth="1"/>
    <col min="13580" max="13580" width="14.42578125" customWidth="1"/>
    <col min="13581" max="13581" width="10.42578125" customWidth="1"/>
    <col min="13582" max="13582" width="9.28515625" bestFit="1" customWidth="1"/>
    <col min="13825" max="13825" width="36.5703125" bestFit="1" customWidth="1"/>
    <col min="13826" max="13826" width="15.85546875" bestFit="1" customWidth="1"/>
    <col min="13827" max="13827" width="16.85546875" bestFit="1" customWidth="1"/>
    <col min="13828" max="13828" width="18" customWidth="1"/>
    <col min="13829" max="13829" width="20.7109375" bestFit="1" customWidth="1"/>
    <col min="13830" max="13830" width="25" bestFit="1" customWidth="1"/>
    <col min="13831" max="13831" width="12.28515625" bestFit="1" customWidth="1"/>
    <col min="13832" max="13832" width="13.140625" bestFit="1" customWidth="1"/>
    <col min="13833" max="13833" width="11.28515625" bestFit="1" customWidth="1"/>
    <col min="13834" max="13834" width="14.140625" bestFit="1" customWidth="1"/>
    <col min="13835" max="13835" width="10.140625" bestFit="1" customWidth="1"/>
    <col min="13836" max="13836" width="14.42578125" customWidth="1"/>
    <col min="13837" max="13837" width="10.42578125" customWidth="1"/>
    <col min="13838" max="13838" width="9.28515625" bestFit="1" customWidth="1"/>
    <col min="14081" max="14081" width="36.5703125" bestFit="1" customWidth="1"/>
    <col min="14082" max="14082" width="15.85546875" bestFit="1" customWidth="1"/>
    <col min="14083" max="14083" width="16.85546875" bestFit="1" customWidth="1"/>
    <col min="14084" max="14084" width="18" customWidth="1"/>
    <col min="14085" max="14085" width="20.7109375" bestFit="1" customWidth="1"/>
    <col min="14086" max="14086" width="25" bestFit="1" customWidth="1"/>
    <col min="14087" max="14087" width="12.28515625" bestFit="1" customWidth="1"/>
    <col min="14088" max="14088" width="13.140625" bestFit="1" customWidth="1"/>
    <col min="14089" max="14089" width="11.28515625" bestFit="1" customWidth="1"/>
    <col min="14090" max="14090" width="14.140625" bestFit="1" customWidth="1"/>
    <col min="14091" max="14091" width="10.140625" bestFit="1" customWidth="1"/>
    <col min="14092" max="14092" width="14.42578125" customWidth="1"/>
    <col min="14093" max="14093" width="10.42578125" customWidth="1"/>
    <col min="14094" max="14094" width="9.28515625" bestFit="1" customWidth="1"/>
    <col min="14337" max="14337" width="36.5703125" bestFit="1" customWidth="1"/>
    <col min="14338" max="14338" width="15.85546875" bestFit="1" customWidth="1"/>
    <col min="14339" max="14339" width="16.85546875" bestFit="1" customWidth="1"/>
    <col min="14340" max="14340" width="18" customWidth="1"/>
    <col min="14341" max="14341" width="20.7109375" bestFit="1" customWidth="1"/>
    <col min="14342" max="14342" width="25" bestFit="1" customWidth="1"/>
    <col min="14343" max="14343" width="12.28515625" bestFit="1" customWidth="1"/>
    <col min="14344" max="14344" width="13.140625" bestFit="1" customWidth="1"/>
    <col min="14345" max="14345" width="11.28515625" bestFit="1" customWidth="1"/>
    <col min="14346" max="14346" width="14.140625" bestFit="1" customWidth="1"/>
    <col min="14347" max="14347" width="10.140625" bestFit="1" customWidth="1"/>
    <col min="14348" max="14348" width="14.42578125" customWidth="1"/>
    <col min="14349" max="14349" width="10.42578125" customWidth="1"/>
    <col min="14350" max="14350" width="9.28515625" bestFit="1" customWidth="1"/>
    <col min="14593" max="14593" width="36.5703125" bestFit="1" customWidth="1"/>
    <col min="14594" max="14594" width="15.85546875" bestFit="1" customWidth="1"/>
    <col min="14595" max="14595" width="16.85546875" bestFit="1" customWidth="1"/>
    <col min="14596" max="14596" width="18" customWidth="1"/>
    <col min="14597" max="14597" width="20.7109375" bestFit="1" customWidth="1"/>
    <col min="14598" max="14598" width="25" bestFit="1" customWidth="1"/>
    <col min="14599" max="14599" width="12.28515625" bestFit="1" customWidth="1"/>
    <col min="14600" max="14600" width="13.140625" bestFit="1" customWidth="1"/>
    <col min="14601" max="14601" width="11.28515625" bestFit="1" customWidth="1"/>
    <col min="14602" max="14602" width="14.140625" bestFit="1" customWidth="1"/>
    <col min="14603" max="14603" width="10.140625" bestFit="1" customWidth="1"/>
    <col min="14604" max="14604" width="14.42578125" customWidth="1"/>
    <col min="14605" max="14605" width="10.42578125" customWidth="1"/>
    <col min="14606" max="14606" width="9.28515625" bestFit="1" customWidth="1"/>
    <col min="14849" max="14849" width="36.5703125" bestFit="1" customWidth="1"/>
    <col min="14850" max="14850" width="15.85546875" bestFit="1" customWidth="1"/>
    <col min="14851" max="14851" width="16.85546875" bestFit="1" customWidth="1"/>
    <col min="14852" max="14852" width="18" customWidth="1"/>
    <col min="14853" max="14853" width="20.7109375" bestFit="1" customWidth="1"/>
    <col min="14854" max="14854" width="25" bestFit="1" customWidth="1"/>
    <col min="14855" max="14855" width="12.28515625" bestFit="1" customWidth="1"/>
    <col min="14856" max="14856" width="13.140625" bestFit="1" customWidth="1"/>
    <col min="14857" max="14857" width="11.28515625" bestFit="1" customWidth="1"/>
    <col min="14858" max="14858" width="14.140625" bestFit="1" customWidth="1"/>
    <col min="14859" max="14859" width="10.140625" bestFit="1" customWidth="1"/>
    <col min="14860" max="14860" width="14.42578125" customWidth="1"/>
    <col min="14861" max="14861" width="10.42578125" customWidth="1"/>
    <col min="14862" max="14862" width="9.28515625" bestFit="1" customWidth="1"/>
    <col min="15105" max="15105" width="36.5703125" bestFit="1" customWidth="1"/>
    <col min="15106" max="15106" width="15.85546875" bestFit="1" customWidth="1"/>
    <col min="15107" max="15107" width="16.85546875" bestFit="1" customWidth="1"/>
    <col min="15108" max="15108" width="18" customWidth="1"/>
    <col min="15109" max="15109" width="20.7109375" bestFit="1" customWidth="1"/>
    <col min="15110" max="15110" width="25" bestFit="1" customWidth="1"/>
    <col min="15111" max="15111" width="12.28515625" bestFit="1" customWidth="1"/>
    <col min="15112" max="15112" width="13.140625" bestFit="1" customWidth="1"/>
    <col min="15113" max="15113" width="11.28515625" bestFit="1" customWidth="1"/>
    <col min="15114" max="15114" width="14.140625" bestFit="1" customWidth="1"/>
    <col min="15115" max="15115" width="10.140625" bestFit="1" customWidth="1"/>
    <col min="15116" max="15116" width="14.42578125" customWidth="1"/>
    <col min="15117" max="15117" width="10.42578125" customWidth="1"/>
    <col min="15118" max="15118" width="9.28515625" bestFit="1" customWidth="1"/>
    <col min="15361" max="15361" width="36.5703125" bestFit="1" customWidth="1"/>
    <col min="15362" max="15362" width="15.85546875" bestFit="1" customWidth="1"/>
    <col min="15363" max="15363" width="16.85546875" bestFit="1" customWidth="1"/>
    <col min="15364" max="15364" width="18" customWidth="1"/>
    <col min="15365" max="15365" width="20.7109375" bestFit="1" customWidth="1"/>
    <col min="15366" max="15366" width="25" bestFit="1" customWidth="1"/>
    <col min="15367" max="15367" width="12.28515625" bestFit="1" customWidth="1"/>
    <col min="15368" max="15368" width="13.140625" bestFit="1" customWidth="1"/>
    <col min="15369" max="15369" width="11.28515625" bestFit="1" customWidth="1"/>
    <col min="15370" max="15370" width="14.140625" bestFit="1" customWidth="1"/>
    <col min="15371" max="15371" width="10.140625" bestFit="1" customWidth="1"/>
    <col min="15372" max="15372" width="14.42578125" customWidth="1"/>
    <col min="15373" max="15373" width="10.42578125" customWidth="1"/>
    <col min="15374" max="15374" width="9.28515625" bestFit="1" customWidth="1"/>
    <col min="15617" max="15617" width="36.5703125" bestFit="1" customWidth="1"/>
    <col min="15618" max="15618" width="15.85546875" bestFit="1" customWidth="1"/>
    <col min="15619" max="15619" width="16.85546875" bestFit="1" customWidth="1"/>
    <col min="15620" max="15620" width="18" customWidth="1"/>
    <col min="15621" max="15621" width="20.7109375" bestFit="1" customWidth="1"/>
    <col min="15622" max="15622" width="25" bestFit="1" customWidth="1"/>
    <col min="15623" max="15623" width="12.28515625" bestFit="1" customWidth="1"/>
    <col min="15624" max="15624" width="13.140625" bestFit="1" customWidth="1"/>
    <col min="15625" max="15625" width="11.28515625" bestFit="1" customWidth="1"/>
    <col min="15626" max="15626" width="14.140625" bestFit="1" customWidth="1"/>
    <col min="15627" max="15627" width="10.140625" bestFit="1" customWidth="1"/>
    <col min="15628" max="15628" width="14.42578125" customWidth="1"/>
    <col min="15629" max="15629" width="10.42578125" customWidth="1"/>
    <col min="15630" max="15630" width="9.28515625" bestFit="1" customWidth="1"/>
    <col min="15873" max="15873" width="36.5703125" bestFit="1" customWidth="1"/>
    <col min="15874" max="15874" width="15.85546875" bestFit="1" customWidth="1"/>
    <col min="15875" max="15875" width="16.85546875" bestFit="1" customWidth="1"/>
    <col min="15876" max="15876" width="18" customWidth="1"/>
    <col min="15877" max="15877" width="20.7109375" bestFit="1" customWidth="1"/>
    <col min="15878" max="15878" width="25" bestFit="1" customWidth="1"/>
    <col min="15879" max="15879" width="12.28515625" bestFit="1" customWidth="1"/>
    <col min="15880" max="15880" width="13.140625" bestFit="1" customWidth="1"/>
    <col min="15881" max="15881" width="11.28515625" bestFit="1" customWidth="1"/>
    <col min="15882" max="15882" width="14.140625" bestFit="1" customWidth="1"/>
    <col min="15883" max="15883" width="10.140625" bestFit="1" customWidth="1"/>
    <col min="15884" max="15884" width="14.42578125" customWidth="1"/>
    <col min="15885" max="15885" width="10.42578125" customWidth="1"/>
    <col min="15886" max="15886" width="9.28515625" bestFit="1" customWidth="1"/>
    <col min="16129" max="16129" width="36.5703125" bestFit="1" customWidth="1"/>
    <col min="16130" max="16130" width="15.85546875" bestFit="1" customWidth="1"/>
    <col min="16131" max="16131" width="16.85546875" bestFit="1" customWidth="1"/>
    <col min="16132" max="16132" width="18" customWidth="1"/>
    <col min="16133" max="16133" width="20.7109375" bestFit="1" customWidth="1"/>
    <col min="16134" max="16134" width="25" bestFit="1" customWidth="1"/>
    <col min="16135" max="16135" width="12.28515625" bestFit="1" customWidth="1"/>
    <col min="16136" max="16136" width="13.140625" bestFit="1" customWidth="1"/>
    <col min="16137" max="16137" width="11.28515625" bestFit="1" customWidth="1"/>
    <col min="16138" max="16138" width="14.140625" bestFit="1" customWidth="1"/>
    <col min="16139" max="16139" width="10.140625" bestFit="1" customWidth="1"/>
    <col min="16140" max="16140" width="14.42578125" customWidth="1"/>
    <col min="16141" max="16141" width="10.425781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3316</v>
      </c>
      <c r="C5" s="1594"/>
      <c r="D5" s="1594"/>
      <c r="E5" s="1595"/>
      <c r="F5" s="326" t="s">
        <v>171</v>
      </c>
      <c r="G5" s="326"/>
      <c r="H5" s="1599" t="s">
        <v>3315</v>
      </c>
      <c r="I5" s="1600"/>
      <c r="J5" s="326" t="s">
        <v>172</v>
      </c>
      <c r="K5" s="631" t="s">
        <v>3314</v>
      </c>
      <c r="L5" s="326" t="s">
        <v>436</v>
      </c>
      <c r="M5" s="326"/>
      <c r="N5" s="631" t="s">
        <v>3313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3312</v>
      </c>
      <c r="C7" s="1594"/>
      <c r="D7" s="1594"/>
      <c r="E7" s="1595"/>
      <c r="F7" s="1596" t="s">
        <v>3208</v>
      </c>
      <c r="G7" s="1596"/>
      <c r="H7" s="1593" t="s">
        <v>3311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 t="s">
        <v>3301</v>
      </c>
      <c r="C9" s="1594"/>
      <c r="D9" s="1594"/>
      <c r="E9" s="1595"/>
      <c r="F9" s="1601" t="s">
        <v>3205</v>
      </c>
      <c r="G9" s="1602"/>
      <c r="H9" s="1603" t="s">
        <v>3310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3309</v>
      </c>
      <c r="C13" s="1612"/>
      <c r="D13" s="1612" t="s">
        <v>3308</v>
      </c>
      <c r="E13" s="1612"/>
      <c r="F13" s="1612"/>
      <c r="G13" s="1612"/>
      <c r="H13" s="1612"/>
      <c r="I13" s="1612"/>
      <c r="J13" s="1613"/>
      <c r="K13" s="1617"/>
      <c r="L13" s="1617"/>
      <c r="M13" s="1614"/>
      <c r="N13" s="326"/>
    </row>
    <row r="14" spans="1:14" ht="29.25" customHeight="1">
      <c r="A14" s="631" t="s">
        <v>187</v>
      </c>
      <c r="B14" s="1613" t="s">
        <v>3307</v>
      </c>
      <c r="C14" s="1614"/>
      <c r="D14" s="1612"/>
      <c r="E14" s="1612"/>
      <c r="F14" s="1612"/>
      <c r="G14" s="1612"/>
      <c r="H14" s="1612"/>
      <c r="I14" s="1612"/>
      <c r="J14" s="1613"/>
      <c r="K14" s="1617"/>
      <c r="L14" s="1617"/>
      <c r="M14" s="1614"/>
      <c r="N14" s="326"/>
    </row>
    <row r="15" spans="1:14">
      <c r="A15" s="631" t="s">
        <v>192</v>
      </c>
      <c r="B15" s="329" t="s">
        <v>3306</v>
      </c>
      <c r="C15" s="329" t="s">
        <v>3305</v>
      </c>
      <c r="D15" s="329" t="s">
        <v>3304</v>
      </c>
      <c r="E15" s="329" t="s">
        <v>3303</v>
      </c>
      <c r="F15" s="329" t="s">
        <v>3302</v>
      </c>
      <c r="G15" s="329"/>
      <c r="H15" s="623"/>
      <c r="I15" s="623"/>
      <c r="J15" s="1612"/>
      <c r="K15" s="1612"/>
      <c r="L15" s="1612"/>
      <c r="M15" s="1612"/>
      <c r="N15" s="326"/>
    </row>
    <row r="16" spans="1:14">
      <c r="A16" s="631" t="s">
        <v>197</v>
      </c>
      <c r="B16" s="70" t="s">
        <v>3301</v>
      </c>
      <c r="C16" s="329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C18" s="328"/>
      <c r="D18" s="326"/>
      <c r="E18" s="326"/>
      <c r="F18" s="631">
        <v>2</v>
      </c>
      <c r="G18" s="326" t="s">
        <v>200</v>
      </c>
      <c r="H18" s="632">
        <v>19</v>
      </c>
      <c r="I18" s="326" t="s">
        <v>201</v>
      </c>
      <c r="J18" s="632">
        <v>1</v>
      </c>
      <c r="K18" s="326" t="s">
        <v>202</v>
      </c>
      <c r="L18" s="631">
        <v>3</v>
      </c>
      <c r="M18" s="326"/>
      <c r="N18" s="326"/>
    </row>
    <row r="19" spans="1:14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f>124+34</f>
        <v>158</v>
      </c>
      <c r="D21" s="326" t="s">
        <v>205</v>
      </c>
      <c r="E21" s="631">
        <f>40</f>
        <v>40</v>
      </c>
      <c r="F21" s="326" t="s">
        <v>206</v>
      </c>
      <c r="G21" s="80">
        <v>0</v>
      </c>
      <c r="H21" s="326" t="s">
        <v>230</v>
      </c>
      <c r="I21" s="80">
        <f>C21+E21+G21</f>
        <v>198</v>
      </c>
      <c r="J21" s="326" t="s">
        <v>207</v>
      </c>
      <c r="K21" s="631">
        <v>34</v>
      </c>
      <c r="L21" s="326" t="s">
        <v>3187</v>
      </c>
      <c r="M21" s="326"/>
      <c r="N21" s="631">
        <v>12</v>
      </c>
    </row>
    <row r="22" spans="1:14">
      <c r="A22" s="326" t="s">
        <v>209</v>
      </c>
      <c r="B22" s="326" t="s">
        <v>210</v>
      </c>
      <c r="C22" s="631">
        <f>243+79</f>
        <v>322</v>
      </c>
      <c r="D22" s="326" t="s">
        <v>211</v>
      </c>
      <c r="E22" s="631">
        <f>31+69</f>
        <v>100</v>
      </c>
      <c r="F22" s="326" t="s">
        <v>212</v>
      </c>
      <c r="G22" s="631">
        <v>0</v>
      </c>
      <c r="H22" s="326" t="s">
        <v>411</v>
      </c>
      <c r="I22" s="80">
        <f>C22+E22+G22</f>
        <v>422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f>232+85</f>
        <v>317</v>
      </c>
      <c r="D23" s="326" t="s">
        <v>214</v>
      </c>
      <c r="E23" s="631">
        <f>26+80</f>
        <v>106</v>
      </c>
      <c r="F23" s="326" t="s">
        <v>215</v>
      </c>
      <c r="G23" s="631">
        <v>0</v>
      </c>
      <c r="H23" s="326" t="s">
        <v>410</v>
      </c>
      <c r="I23" s="80">
        <f>C23+E23+G23</f>
        <v>423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35">
        <f>500.8*B29</f>
        <v>4006400</v>
      </c>
      <c r="E29" s="335">
        <f>168500+300000</f>
        <v>468500</v>
      </c>
      <c r="F29" s="335"/>
      <c r="G29" s="335">
        <v>143300</v>
      </c>
      <c r="H29" s="335"/>
      <c r="I29" s="335"/>
      <c r="J29" s="335"/>
      <c r="K29" s="335"/>
      <c r="L29" s="335"/>
      <c r="M29" s="322">
        <f t="shared" ref="M29:M38" si="0">SUM(F29:L29)</f>
        <v>143300</v>
      </c>
      <c r="N29" s="323">
        <f>+M29/E29*100</f>
        <v>30.586979722518677</v>
      </c>
    </row>
    <row r="30" spans="1:14">
      <c r="A30" s="322" t="s">
        <v>234</v>
      </c>
      <c r="B30" s="322">
        <v>7000</v>
      </c>
      <c r="C30" s="322" t="s">
        <v>233</v>
      </c>
      <c r="D30" s="335">
        <f>500.8*B30</f>
        <v>3505600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22">
        <f t="shared" si="0"/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335">
        <v>18000</v>
      </c>
      <c r="F31" s="335"/>
      <c r="G31" s="335">
        <v>18000</v>
      </c>
      <c r="H31" s="335"/>
      <c r="I31" s="335"/>
      <c r="J31" s="335"/>
      <c r="K31" s="335"/>
      <c r="L31" s="335"/>
      <c r="M31" s="322">
        <f t="shared" si="0"/>
        <v>18000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335">
        <v>16000</v>
      </c>
      <c r="H32" s="335"/>
      <c r="I32" s="335"/>
      <c r="J32" s="335"/>
      <c r="K32" s="335"/>
      <c r="L32" s="335"/>
      <c r="M32" s="322">
        <f t="shared" si="0"/>
        <v>16000</v>
      </c>
      <c r="N32" s="323">
        <f t="shared" si="1"/>
        <v>100</v>
      </c>
    </row>
    <row r="33" spans="1:14">
      <c r="A33" s="322" t="s">
        <v>238</v>
      </c>
      <c r="B33" s="322">
        <v>1200</v>
      </c>
      <c r="C33" s="322" t="s">
        <v>233</v>
      </c>
      <c r="D33" s="335">
        <f>500.8*B33</f>
        <v>600960</v>
      </c>
      <c r="E33" s="335">
        <v>200000</v>
      </c>
      <c r="F33" s="335"/>
      <c r="G33" s="335">
        <v>165782</v>
      </c>
      <c r="H33" s="335"/>
      <c r="I33" s="335"/>
      <c r="J33" s="335"/>
      <c r="K33" s="335"/>
      <c r="L33" s="335"/>
      <c r="M33" s="322">
        <f t="shared" si="0"/>
        <v>165782</v>
      </c>
      <c r="N33" s="323">
        <f t="shared" si="1"/>
        <v>82.891000000000005</v>
      </c>
    </row>
    <row r="34" spans="1:14">
      <c r="A34" s="322" t="s">
        <v>667</v>
      </c>
      <c r="B34" s="322">
        <v>565</v>
      </c>
      <c r="C34" s="322" t="s">
        <v>233</v>
      </c>
      <c r="D34" s="335">
        <f>500.8*B34</f>
        <v>282952</v>
      </c>
      <c r="E34" s="335">
        <f>50080+100000</f>
        <v>150080</v>
      </c>
      <c r="F34" s="335"/>
      <c r="G34" s="335">
        <v>35000</v>
      </c>
      <c r="H34" s="335"/>
      <c r="I34" s="335"/>
      <c r="J34" s="335"/>
      <c r="K34" s="335"/>
      <c r="L34" s="335"/>
      <c r="M34" s="322">
        <f t="shared" si="0"/>
        <v>35000</v>
      </c>
      <c r="N34" s="323">
        <f t="shared" si="1"/>
        <v>23.32089552238806</v>
      </c>
    </row>
    <row r="35" spans="1:14">
      <c r="A35" s="322" t="s">
        <v>240</v>
      </c>
      <c r="B35" s="322">
        <v>1000</v>
      </c>
      <c r="C35" s="322" t="s">
        <v>233</v>
      </c>
      <c r="D35" s="335">
        <f>500.8*B35</f>
        <v>500800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f>+B36*84</f>
        <v>231000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22">
        <f t="shared" si="0"/>
        <v>30250</v>
      </c>
      <c r="N36" s="323">
        <f t="shared" si="1"/>
        <v>100</v>
      </c>
    </row>
    <row r="37" spans="1:14">
      <c r="A37" s="324" t="s">
        <v>670</v>
      </c>
      <c r="B37" s="322">
        <v>10000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653">
        <f t="shared" ref="D38:L38" si="2">SUM(D29:D37)</f>
        <v>9227712</v>
      </c>
      <c r="E38" s="653">
        <f t="shared" si="2"/>
        <v>882830</v>
      </c>
      <c r="F38" s="653">
        <f t="shared" si="2"/>
        <v>0</v>
      </c>
      <c r="G38" s="653">
        <f t="shared" si="2"/>
        <v>408332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408332</v>
      </c>
      <c r="N38" s="323">
        <f t="shared" si="1"/>
        <v>46.252619417101819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29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D16:F16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ageMargins left="0.14000000000000001" right="0.14000000000000001" top="0.75" bottom="0.48" header="0.3" footer="0.3"/>
  <pageSetup paperSize="9" scale="60" orientation="landscape" r:id="rId1"/>
  <headerFooter>
    <oddFooter>&amp;L&amp;9&amp;F&amp;R&amp;9&amp;A</oddFooter>
  </headerFooter>
</worksheet>
</file>

<file path=xl/worksheets/sheet318.xml><?xml version="1.0" encoding="utf-8"?>
<worksheet xmlns="http://schemas.openxmlformats.org/spreadsheetml/2006/main" xmlns:r="http://schemas.openxmlformats.org/officeDocument/2006/relationships">
  <dimension ref="A1:N42"/>
  <sheetViews>
    <sheetView zoomScale="80" zoomScaleNormal="80" workbookViewId="0">
      <selection activeCell="A3" sqref="A3:C3"/>
    </sheetView>
  </sheetViews>
  <sheetFormatPr defaultRowHeight="15"/>
  <cols>
    <col min="1" max="1" width="36.5703125" bestFit="1" customWidth="1"/>
    <col min="2" max="2" width="16.140625" bestFit="1" customWidth="1"/>
    <col min="3" max="3" width="14.7109375" bestFit="1" customWidth="1"/>
    <col min="4" max="4" width="23.140625" bestFit="1" customWidth="1"/>
    <col min="5" max="5" width="20.7109375" bestFit="1" customWidth="1"/>
    <col min="6" max="6" width="25" bestFit="1" customWidth="1"/>
    <col min="7" max="7" width="12.28515625" bestFit="1" customWidth="1"/>
    <col min="8" max="8" width="13.140625" bestFit="1" customWidth="1"/>
    <col min="9" max="9" width="11.28515625" bestFit="1" customWidth="1"/>
    <col min="10" max="10" width="14.140625" bestFit="1" customWidth="1"/>
    <col min="11" max="11" width="10.140625" bestFit="1" customWidth="1"/>
    <col min="12" max="12" width="16.28515625" customWidth="1"/>
    <col min="13" max="13" width="10.5703125" customWidth="1"/>
    <col min="14" max="14" width="9.28515625" bestFit="1" customWidth="1"/>
    <col min="257" max="257" width="36.5703125" bestFit="1" customWidth="1"/>
    <col min="258" max="258" width="16.140625" bestFit="1" customWidth="1"/>
    <col min="259" max="259" width="14.7109375" bestFit="1" customWidth="1"/>
    <col min="260" max="260" width="23.140625" bestFit="1" customWidth="1"/>
    <col min="261" max="261" width="20.7109375" bestFit="1" customWidth="1"/>
    <col min="262" max="262" width="25" bestFit="1" customWidth="1"/>
    <col min="263" max="263" width="12.28515625" bestFit="1" customWidth="1"/>
    <col min="264" max="264" width="13.140625" bestFit="1" customWidth="1"/>
    <col min="265" max="265" width="11.28515625" bestFit="1" customWidth="1"/>
    <col min="266" max="266" width="14.140625" bestFit="1" customWidth="1"/>
    <col min="267" max="267" width="10.140625" bestFit="1" customWidth="1"/>
    <col min="268" max="268" width="16.28515625" customWidth="1"/>
    <col min="269" max="269" width="10.5703125" customWidth="1"/>
    <col min="270" max="270" width="9.28515625" bestFit="1" customWidth="1"/>
    <col min="513" max="513" width="36.5703125" bestFit="1" customWidth="1"/>
    <col min="514" max="514" width="16.140625" bestFit="1" customWidth="1"/>
    <col min="515" max="515" width="14.7109375" bestFit="1" customWidth="1"/>
    <col min="516" max="516" width="23.140625" bestFit="1" customWidth="1"/>
    <col min="517" max="517" width="20.7109375" bestFit="1" customWidth="1"/>
    <col min="518" max="518" width="25" bestFit="1" customWidth="1"/>
    <col min="519" max="519" width="12.28515625" bestFit="1" customWidth="1"/>
    <col min="520" max="520" width="13.140625" bestFit="1" customWidth="1"/>
    <col min="521" max="521" width="11.28515625" bestFit="1" customWidth="1"/>
    <col min="522" max="522" width="14.140625" bestFit="1" customWidth="1"/>
    <col min="523" max="523" width="10.140625" bestFit="1" customWidth="1"/>
    <col min="524" max="524" width="16.28515625" customWidth="1"/>
    <col min="525" max="525" width="10.5703125" customWidth="1"/>
    <col min="526" max="526" width="9.28515625" bestFit="1" customWidth="1"/>
    <col min="769" max="769" width="36.5703125" bestFit="1" customWidth="1"/>
    <col min="770" max="770" width="16.140625" bestFit="1" customWidth="1"/>
    <col min="771" max="771" width="14.7109375" bestFit="1" customWidth="1"/>
    <col min="772" max="772" width="23.140625" bestFit="1" customWidth="1"/>
    <col min="773" max="773" width="20.7109375" bestFit="1" customWidth="1"/>
    <col min="774" max="774" width="25" bestFit="1" customWidth="1"/>
    <col min="775" max="775" width="12.28515625" bestFit="1" customWidth="1"/>
    <col min="776" max="776" width="13.140625" bestFit="1" customWidth="1"/>
    <col min="777" max="777" width="11.28515625" bestFit="1" customWidth="1"/>
    <col min="778" max="778" width="14.140625" bestFit="1" customWidth="1"/>
    <col min="779" max="779" width="10.140625" bestFit="1" customWidth="1"/>
    <col min="780" max="780" width="16.28515625" customWidth="1"/>
    <col min="781" max="781" width="10.5703125" customWidth="1"/>
    <col min="782" max="782" width="9.28515625" bestFit="1" customWidth="1"/>
    <col min="1025" max="1025" width="36.5703125" bestFit="1" customWidth="1"/>
    <col min="1026" max="1026" width="16.140625" bestFit="1" customWidth="1"/>
    <col min="1027" max="1027" width="14.7109375" bestFit="1" customWidth="1"/>
    <col min="1028" max="1028" width="23.140625" bestFit="1" customWidth="1"/>
    <col min="1029" max="1029" width="20.7109375" bestFit="1" customWidth="1"/>
    <col min="1030" max="1030" width="25" bestFit="1" customWidth="1"/>
    <col min="1031" max="1031" width="12.28515625" bestFit="1" customWidth="1"/>
    <col min="1032" max="1032" width="13.140625" bestFit="1" customWidth="1"/>
    <col min="1033" max="1033" width="11.28515625" bestFit="1" customWidth="1"/>
    <col min="1034" max="1034" width="14.140625" bestFit="1" customWidth="1"/>
    <col min="1035" max="1035" width="10.140625" bestFit="1" customWidth="1"/>
    <col min="1036" max="1036" width="16.28515625" customWidth="1"/>
    <col min="1037" max="1037" width="10.5703125" customWidth="1"/>
    <col min="1038" max="1038" width="9.28515625" bestFit="1" customWidth="1"/>
    <col min="1281" max="1281" width="36.5703125" bestFit="1" customWidth="1"/>
    <col min="1282" max="1282" width="16.140625" bestFit="1" customWidth="1"/>
    <col min="1283" max="1283" width="14.7109375" bestFit="1" customWidth="1"/>
    <col min="1284" max="1284" width="23.140625" bestFit="1" customWidth="1"/>
    <col min="1285" max="1285" width="20.7109375" bestFit="1" customWidth="1"/>
    <col min="1286" max="1286" width="25" bestFit="1" customWidth="1"/>
    <col min="1287" max="1287" width="12.28515625" bestFit="1" customWidth="1"/>
    <col min="1288" max="1288" width="13.140625" bestFit="1" customWidth="1"/>
    <col min="1289" max="1289" width="11.28515625" bestFit="1" customWidth="1"/>
    <col min="1290" max="1290" width="14.140625" bestFit="1" customWidth="1"/>
    <col min="1291" max="1291" width="10.140625" bestFit="1" customWidth="1"/>
    <col min="1292" max="1292" width="16.28515625" customWidth="1"/>
    <col min="1293" max="1293" width="10.5703125" customWidth="1"/>
    <col min="1294" max="1294" width="9.28515625" bestFit="1" customWidth="1"/>
    <col min="1537" max="1537" width="36.5703125" bestFit="1" customWidth="1"/>
    <col min="1538" max="1538" width="16.140625" bestFit="1" customWidth="1"/>
    <col min="1539" max="1539" width="14.7109375" bestFit="1" customWidth="1"/>
    <col min="1540" max="1540" width="23.140625" bestFit="1" customWidth="1"/>
    <col min="1541" max="1541" width="20.7109375" bestFit="1" customWidth="1"/>
    <col min="1542" max="1542" width="25" bestFit="1" customWidth="1"/>
    <col min="1543" max="1543" width="12.28515625" bestFit="1" customWidth="1"/>
    <col min="1544" max="1544" width="13.140625" bestFit="1" customWidth="1"/>
    <col min="1545" max="1545" width="11.28515625" bestFit="1" customWidth="1"/>
    <col min="1546" max="1546" width="14.140625" bestFit="1" customWidth="1"/>
    <col min="1547" max="1547" width="10.140625" bestFit="1" customWidth="1"/>
    <col min="1548" max="1548" width="16.28515625" customWidth="1"/>
    <col min="1549" max="1549" width="10.5703125" customWidth="1"/>
    <col min="1550" max="1550" width="9.28515625" bestFit="1" customWidth="1"/>
    <col min="1793" max="1793" width="36.5703125" bestFit="1" customWidth="1"/>
    <col min="1794" max="1794" width="16.140625" bestFit="1" customWidth="1"/>
    <col min="1795" max="1795" width="14.7109375" bestFit="1" customWidth="1"/>
    <col min="1796" max="1796" width="23.140625" bestFit="1" customWidth="1"/>
    <col min="1797" max="1797" width="20.7109375" bestFit="1" customWidth="1"/>
    <col min="1798" max="1798" width="25" bestFit="1" customWidth="1"/>
    <col min="1799" max="1799" width="12.28515625" bestFit="1" customWidth="1"/>
    <col min="1800" max="1800" width="13.140625" bestFit="1" customWidth="1"/>
    <col min="1801" max="1801" width="11.28515625" bestFit="1" customWidth="1"/>
    <col min="1802" max="1802" width="14.140625" bestFit="1" customWidth="1"/>
    <col min="1803" max="1803" width="10.140625" bestFit="1" customWidth="1"/>
    <col min="1804" max="1804" width="16.28515625" customWidth="1"/>
    <col min="1805" max="1805" width="10.5703125" customWidth="1"/>
    <col min="1806" max="1806" width="9.28515625" bestFit="1" customWidth="1"/>
    <col min="2049" max="2049" width="36.5703125" bestFit="1" customWidth="1"/>
    <col min="2050" max="2050" width="16.140625" bestFit="1" customWidth="1"/>
    <col min="2051" max="2051" width="14.7109375" bestFit="1" customWidth="1"/>
    <col min="2052" max="2052" width="23.140625" bestFit="1" customWidth="1"/>
    <col min="2053" max="2053" width="20.7109375" bestFit="1" customWidth="1"/>
    <col min="2054" max="2054" width="25" bestFit="1" customWidth="1"/>
    <col min="2055" max="2055" width="12.28515625" bestFit="1" customWidth="1"/>
    <col min="2056" max="2056" width="13.140625" bestFit="1" customWidth="1"/>
    <col min="2057" max="2057" width="11.28515625" bestFit="1" customWidth="1"/>
    <col min="2058" max="2058" width="14.140625" bestFit="1" customWidth="1"/>
    <col min="2059" max="2059" width="10.140625" bestFit="1" customWidth="1"/>
    <col min="2060" max="2060" width="16.28515625" customWidth="1"/>
    <col min="2061" max="2061" width="10.5703125" customWidth="1"/>
    <col min="2062" max="2062" width="9.28515625" bestFit="1" customWidth="1"/>
    <col min="2305" max="2305" width="36.5703125" bestFit="1" customWidth="1"/>
    <col min="2306" max="2306" width="16.140625" bestFit="1" customWidth="1"/>
    <col min="2307" max="2307" width="14.7109375" bestFit="1" customWidth="1"/>
    <col min="2308" max="2308" width="23.140625" bestFit="1" customWidth="1"/>
    <col min="2309" max="2309" width="20.7109375" bestFit="1" customWidth="1"/>
    <col min="2310" max="2310" width="25" bestFit="1" customWidth="1"/>
    <col min="2311" max="2311" width="12.28515625" bestFit="1" customWidth="1"/>
    <col min="2312" max="2312" width="13.140625" bestFit="1" customWidth="1"/>
    <col min="2313" max="2313" width="11.28515625" bestFit="1" customWidth="1"/>
    <col min="2314" max="2314" width="14.140625" bestFit="1" customWidth="1"/>
    <col min="2315" max="2315" width="10.140625" bestFit="1" customWidth="1"/>
    <col min="2316" max="2316" width="16.28515625" customWidth="1"/>
    <col min="2317" max="2317" width="10.5703125" customWidth="1"/>
    <col min="2318" max="2318" width="9.28515625" bestFit="1" customWidth="1"/>
    <col min="2561" max="2561" width="36.5703125" bestFit="1" customWidth="1"/>
    <col min="2562" max="2562" width="16.140625" bestFit="1" customWidth="1"/>
    <col min="2563" max="2563" width="14.7109375" bestFit="1" customWidth="1"/>
    <col min="2564" max="2564" width="23.140625" bestFit="1" customWidth="1"/>
    <col min="2565" max="2565" width="20.7109375" bestFit="1" customWidth="1"/>
    <col min="2566" max="2566" width="25" bestFit="1" customWidth="1"/>
    <col min="2567" max="2567" width="12.28515625" bestFit="1" customWidth="1"/>
    <col min="2568" max="2568" width="13.140625" bestFit="1" customWidth="1"/>
    <col min="2569" max="2569" width="11.28515625" bestFit="1" customWidth="1"/>
    <col min="2570" max="2570" width="14.140625" bestFit="1" customWidth="1"/>
    <col min="2571" max="2571" width="10.140625" bestFit="1" customWidth="1"/>
    <col min="2572" max="2572" width="16.28515625" customWidth="1"/>
    <col min="2573" max="2573" width="10.5703125" customWidth="1"/>
    <col min="2574" max="2574" width="9.28515625" bestFit="1" customWidth="1"/>
    <col min="2817" max="2817" width="36.5703125" bestFit="1" customWidth="1"/>
    <col min="2818" max="2818" width="16.140625" bestFit="1" customWidth="1"/>
    <col min="2819" max="2819" width="14.7109375" bestFit="1" customWidth="1"/>
    <col min="2820" max="2820" width="23.140625" bestFit="1" customWidth="1"/>
    <col min="2821" max="2821" width="20.7109375" bestFit="1" customWidth="1"/>
    <col min="2822" max="2822" width="25" bestFit="1" customWidth="1"/>
    <col min="2823" max="2823" width="12.28515625" bestFit="1" customWidth="1"/>
    <col min="2824" max="2824" width="13.140625" bestFit="1" customWidth="1"/>
    <col min="2825" max="2825" width="11.28515625" bestFit="1" customWidth="1"/>
    <col min="2826" max="2826" width="14.140625" bestFit="1" customWidth="1"/>
    <col min="2827" max="2827" width="10.140625" bestFit="1" customWidth="1"/>
    <col min="2828" max="2828" width="16.28515625" customWidth="1"/>
    <col min="2829" max="2829" width="10.5703125" customWidth="1"/>
    <col min="2830" max="2830" width="9.28515625" bestFit="1" customWidth="1"/>
    <col min="3073" max="3073" width="36.5703125" bestFit="1" customWidth="1"/>
    <col min="3074" max="3074" width="16.140625" bestFit="1" customWidth="1"/>
    <col min="3075" max="3075" width="14.7109375" bestFit="1" customWidth="1"/>
    <col min="3076" max="3076" width="23.140625" bestFit="1" customWidth="1"/>
    <col min="3077" max="3077" width="20.7109375" bestFit="1" customWidth="1"/>
    <col min="3078" max="3078" width="25" bestFit="1" customWidth="1"/>
    <col min="3079" max="3079" width="12.28515625" bestFit="1" customWidth="1"/>
    <col min="3080" max="3080" width="13.140625" bestFit="1" customWidth="1"/>
    <col min="3081" max="3081" width="11.28515625" bestFit="1" customWidth="1"/>
    <col min="3082" max="3082" width="14.140625" bestFit="1" customWidth="1"/>
    <col min="3083" max="3083" width="10.140625" bestFit="1" customWidth="1"/>
    <col min="3084" max="3084" width="16.28515625" customWidth="1"/>
    <col min="3085" max="3085" width="10.5703125" customWidth="1"/>
    <col min="3086" max="3086" width="9.28515625" bestFit="1" customWidth="1"/>
    <col min="3329" max="3329" width="36.5703125" bestFit="1" customWidth="1"/>
    <col min="3330" max="3330" width="16.140625" bestFit="1" customWidth="1"/>
    <col min="3331" max="3331" width="14.7109375" bestFit="1" customWidth="1"/>
    <col min="3332" max="3332" width="23.140625" bestFit="1" customWidth="1"/>
    <col min="3333" max="3333" width="20.7109375" bestFit="1" customWidth="1"/>
    <col min="3334" max="3334" width="25" bestFit="1" customWidth="1"/>
    <col min="3335" max="3335" width="12.28515625" bestFit="1" customWidth="1"/>
    <col min="3336" max="3336" width="13.140625" bestFit="1" customWidth="1"/>
    <col min="3337" max="3337" width="11.28515625" bestFit="1" customWidth="1"/>
    <col min="3338" max="3338" width="14.140625" bestFit="1" customWidth="1"/>
    <col min="3339" max="3339" width="10.140625" bestFit="1" customWidth="1"/>
    <col min="3340" max="3340" width="16.28515625" customWidth="1"/>
    <col min="3341" max="3341" width="10.5703125" customWidth="1"/>
    <col min="3342" max="3342" width="9.28515625" bestFit="1" customWidth="1"/>
    <col min="3585" max="3585" width="36.5703125" bestFit="1" customWidth="1"/>
    <col min="3586" max="3586" width="16.140625" bestFit="1" customWidth="1"/>
    <col min="3587" max="3587" width="14.7109375" bestFit="1" customWidth="1"/>
    <col min="3588" max="3588" width="23.140625" bestFit="1" customWidth="1"/>
    <col min="3589" max="3589" width="20.7109375" bestFit="1" customWidth="1"/>
    <col min="3590" max="3590" width="25" bestFit="1" customWidth="1"/>
    <col min="3591" max="3591" width="12.28515625" bestFit="1" customWidth="1"/>
    <col min="3592" max="3592" width="13.140625" bestFit="1" customWidth="1"/>
    <col min="3593" max="3593" width="11.28515625" bestFit="1" customWidth="1"/>
    <col min="3594" max="3594" width="14.140625" bestFit="1" customWidth="1"/>
    <col min="3595" max="3595" width="10.140625" bestFit="1" customWidth="1"/>
    <col min="3596" max="3596" width="16.28515625" customWidth="1"/>
    <col min="3597" max="3597" width="10.5703125" customWidth="1"/>
    <col min="3598" max="3598" width="9.28515625" bestFit="1" customWidth="1"/>
    <col min="3841" max="3841" width="36.5703125" bestFit="1" customWidth="1"/>
    <col min="3842" max="3842" width="16.140625" bestFit="1" customWidth="1"/>
    <col min="3843" max="3843" width="14.7109375" bestFit="1" customWidth="1"/>
    <col min="3844" max="3844" width="23.140625" bestFit="1" customWidth="1"/>
    <col min="3845" max="3845" width="20.7109375" bestFit="1" customWidth="1"/>
    <col min="3846" max="3846" width="25" bestFit="1" customWidth="1"/>
    <col min="3847" max="3847" width="12.28515625" bestFit="1" customWidth="1"/>
    <col min="3848" max="3848" width="13.140625" bestFit="1" customWidth="1"/>
    <col min="3849" max="3849" width="11.28515625" bestFit="1" customWidth="1"/>
    <col min="3850" max="3850" width="14.140625" bestFit="1" customWidth="1"/>
    <col min="3851" max="3851" width="10.140625" bestFit="1" customWidth="1"/>
    <col min="3852" max="3852" width="16.28515625" customWidth="1"/>
    <col min="3853" max="3853" width="10.5703125" customWidth="1"/>
    <col min="3854" max="3854" width="9.28515625" bestFit="1" customWidth="1"/>
    <col min="4097" max="4097" width="36.5703125" bestFit="1" customWidth="1"/>
    <col min="4098" max="4098" width="16.140625" bestFit="1" customWidth="1"/>
    <col min="4099" max="4099" width="14.7109375" bestFit="1" customWidth="1"/>
    <col min="4100" max="4100" width="23.140625" bestFit="1" customWidth="1"/>
    <col min="4101" max="4101" width="20.7109375" bestFit="1" customWidth="1"/>
    <col min="4102" max="4102" width="25" bestFit="1" customWidth="1"/>
    <col min="4103" max="4103" width="12.28515625" bestFit="1" customWidth="1"/>
    <col min="4104" max="4104" width="13.140625" bestFit="1" customWidth="1"/>
    <col min="4105" max="4105" width="11.28515625" bestFit="1" customWidth="1"/>
    <col min="4106" max="4106" width="14.140625" bestFit="1" customWidth="1"/>
    <col min="4107" max="4107" width="10.140625" bestFit="1" customWidth="1"/>
    <col min="4108" max="4108" width="16.28515625" customWidth="1"/>
    <col min="4109" max="4109" width="10.5703125" customWidth="1"/>
    <col min="4110" max="4110" width="9.28515625" bestFit="1" customWidth="1"/>
    <col min="4353" max="4353" width="36.5703125" bestFit="1" customWidth="1"/>
    <col min="4354" max="4354" width="16.140625" bestFit="1" customWidth="1"/>
    <col min="4355" max="4355" width="14.7109375" bestFit="1" customWidth="1"/>
    <col min="4356" max="4356" width="23.140625" bestFit="1" customWidth="1"/>
    <col min="4357" max="4357" width="20.7109375" bestFit="1" customWidth="1"/>
    <col min="4358" max="4358" width="25" bestFit="1" customWidth="1"/>
    <col min="4359" max="4359" width="12.28515625" bestFit="1" customWidth="1"/>
    <col min="4360" max="4360" width="13.140625" bestFit="1" customWidth="1"/>
    <col min="4361" max="4361" width="11.28515625" bestFit="1" customWidth="1"/>
    <col min="4362" max="4362" width="14.140625" bestFit="1" customWidth="1"/>
    <col min="4363" max="4363" width="10.140625" bestFit="1" customWidth="1"/>
    <col min="4364" max="4364" width="16.28515625" customWidth="1"/>
    <col min="4365" max="4365" width="10.5703125" customWidth="1"/>
    <col min="4366" max="4366" width="9.28515625" bestFit="1" customWidth="1"/>
    <col min="4609" max="4609" width="36.5703125" bestFit="1" customWidth="1"/>
    <col min="4610" max="4610" width="16.140625" bestFit="1" customWidth="1"/>
    <col min="4611" max="4611" width="14.7109375" bestFit="1" customWidth="1"/>
    <col min="4612" max="4612" width="23.140625" bestFit="1" customWidth="1"/>
    <col min="4613" max="4613" width="20.7109375" bestFit="1" customWidth="1"/>
    <col min="4614" max="4614" width="25" bestFit="1" customWidth="1"/>
    <col min="4615" max="4615" width="12.28515625" bestFit="1" customWidth="1"/>
    <col min="4616" max="4616" width="13.140625" bestFit="1" customWidth="1"/>
    <col min="4617" max="4617" width="11.28515625" bestFit="1" customWidth="1"/>
    <col min="4618" max="4618" width="14.140625" bestFit="1" customWidth="1"/>
    <col min="4619" max="4619" width="10.140625" bestFit="1" customWidth="1"/>
    <col min="4620" max="4620" width="16.28515625" customWidth="1"/>
    <col min="4621" max="4621" width="10.5703125" customWidth="1"/>
    <col min="4622" max="4622" width="9.28515625" bestFit="1" customWidth="1"/>
    <col min="4865" max="4865" width="36.5703125" bestFit="1" customWidth="1"/>
    <col min="4866" max="4866" width="16.140625" bestFit="1" customWidth="1"/>
    <col min="4867" max="4867" width="14.7109375" bestFit="1" customWidth="1"/>
    <col min="4868" max="4868" width="23.140625" bestFit="1" customWidth="1"/>
    <col min="4869" max="4869" width="20.7109375" bestFit="1" customWidth="1"/>
    <col min="4870" max="4870" width="25" bestFit="1" customWidth="1"/>
    <col min="4871" max="4871" width="12.28515625" bestFit="1" customWidth="1"/>
    <col min="4872" max="4872" width="13.140625" bestFit="1" customWidth="1"/>
    <col min="4873" max="4873" width="11.28515625" bestFit="1" customWidth="1"/>
    <col min="4874" max="4874" width="14.140625" bestFit="1" customWidth="1"/>
    <col min="4875" max="4875" width="10.140625" bestFit="1" customWidth="1"/>
    <col min="4876" max="4876" width="16.28515625" customWidth="1"/>
    <col min="4877" max="4877" width="10.5703125" customWidth="1"/>
    <col min="4878" max="4878" width="9.28515625" bestFit="1" customWidth="1"/>
    <col min="5121" max="5121" width="36.5703125" bestFit="1" customWidth="1"/>
    <col min="5122" max="5122" width="16.140625" bestFit="1" customWidth="1"/>
    <col min="5123" max="5123" width="14.7109375" bestFit="1" customWidth="1"/>
    <col min="5124" max="5124" width="23.140625" bestFit="1" customWidth="1"/>
    <col min="5125" max="5125" width="20.7109375" bestFit="1" customWidth="1"/>
    <col min="5126" max="5126" width="25" bestFit="1" customWidth="1"/>
    <col min="5127" max="5127" width="12.28515625" bestFit="1" customWidth="1"/>
    <col min="5128" max="5128" width="13.140625" bestFit="1" customWidth="1"/>
    <col min="5129" max="5129" width="11.28515625" bestFit="1" customWidth="1"/>
    <col min="5130" max="5130" width="14.140625" bestFit="1" customWidth="1"/>
    <col min="5131" max="5131" width="10.140625" bestFit="1" customWidth="1"/>
    <col min="5132" max="5132" width="16.28515625" customWidth="1"/>
    <col min="5133" max="5133" width="10.5703125" customWidth="1"/>
    <col min="5134" max="5134" width="9.28515625" bestFit="1" customWidth="1"/>
    <col min="5377" max="5377" width="36.5703125" bestFit="1" customWidth="1"/>
    <col min="5378" max="5378" width="16.140625" bestFit="1" customWidth="1"/>
    <col min="5379" max="5379" width="14.7109375" bestFit="1" customWidth="1"/>
    <col min="5380" max="5380" width="23.140625" bestFit="1" customWidth="1"/>
    <col min="5381" max="5381" width="20.7109375" bestFit="1" customWidth="1"/>
    <col min="5382" max="5382" width="25" bestFit="1" customWidth="1"/>
    <col min="5383" max="5383" width="12.28515625" bestFit="1" customWidth="1"/>
    <col min="5384" max="5384" width="13.140625" bestFit="1" customWidth="1"/>
    <col min="5385" max="5385" width="11.28515625" bestFit="1" customWidth="1"/>
    <col min="5386" max="5386" width="14.140625" bestFit="1" customWidth="1"/>
    <col min="5387" max="5387" width="10.140625" bestFit="1" customWidth="1"/>
    <col min="5388" max="5388" width="16.28515625" customWidth="1"/>
    <col min="5389" max="5389" width="10.5703125" customWidth="1"/>
    <col min="5390" max="5390" width="9.28515625" bestFit="1" customWidth="1"/>
    <col min="5633" max="5633" width="36.5703125" bestFit="1" customWidth="1"/>
    <col min="5634" max="5634" width="16.140625" bestFit="1" customWidth="1"/>
    <col min="5635" max="5635" width="14.7109375" bestFit="1" customWidth="1"/>
    <col min="5636" max="5636" width="23.140625" bestFit="1" customWidth="1"/>
    <col min="5637" max="5637" width="20.7109375" bestFit="1" customWidth="1"/>
    <col min="5638" max="5638" width="25" bestFit="1" customWidth="1"/>
    <col min="5639" max="5639" width="12.28515625" bestFit="1" customWidth="1"/>
    <col min="5640" max="5640" width="13.140625" bestFit="1" customWidth="1"/>
    <col min="5641" max="5641" width="11.28515625" bestFit="1" customWidth="1"/>
    <col min="5642" max="5642" width="14.140625" bestFit="1" customWidth="1"/>
    <col min="5643" max="5643" width="10.140625" bestFit="1" customWidth="1"/>
    <col min="5644" max="5644" width="16.28515625" customWidth="1"/>
    <col min="5645" max="5645" width="10.5703125" customWidth="1"/>
    <col min="5646" max="5646" width="9.28515625" bestFit="1" customWidth="1"/>
    <col min="5889" max="5889" width="36.5703125" bestFit="1" customWidth="1"/>
    <col min="5890" max="5890" width="16.140625" bestFit="1" customWidth="1"/>
    <col min="5891" max="5891" width="14.7109375" bestFit="1" customWidth="1"/>
    <col min="5892" max="5892" width="23.140625" bestFit="1" customWidth="1"/>
    <col min="5893" max="5893" width="20.7109375" bestFit="1" customWidth="1"/>
    <col min="5894" max="5894" width="25" bestFit="1" customWidth="1"/>
    <col min="5895" max="5895" width="12.28515625" bestFit="1" customWidth="1"/>
    <col min="5896" max="5896" width="13.140625" bestFit="1" customWidth="1"/>
    <col min="5897" max="5897" width="11.28515625" bestFit="1" customWidth="1"/>
    <col min="5898" max="5898" width="14.140625" bestFit="1" customWidth="1"/>
    <col min="5899" max="5899" width="10.140625" bestFit="1" customWidth="1"/>
    <col min="5900" max="5900" width="16.28515625" customWidth="1"/>
    <col min="5901" max="5901" width="10.5703125" customWidth="1"/>
    <col min="5902" max="5902" width="9.28515625" bestFit="1" customWidth="1"/>
    <col min="6145" max="6145" width="36.5703125" bestFit="1" customWidth="1"/>
    <col min="6146" max="6146" width="16.140625" bestFit="1" customWidth="1"/>
    <col min="6147" max="6147" width="14.7109375" bestFit="1" customWidth="1"/>
    <col min="6148" max="6148" width="23.140625" bestFit="1" customWidth="1"/>
    <col min="6149" max="6149" width="20.7109375" bestFit="1" customWidth="1"/>
    <col min="6150" max="6150" width="25" bestFit="1" customWidth="1"/>
    <col min="6151" max="6151" width="12.28515625" bestFit="1" customWidth="1"/>
    <col min="6152" max="6152" width="13.140625" bestFit="1" customWidth="1"/>
    <col min="6153" max="6153" width="11.28515625" bestFit="1" customWidth="1"/>
    <col min="6154" max="6154" width="14.140625" bestFit="1" customWidth="1"/>
    <col min="6155" max="6155" width="10.140625" bestFit="1" customWidth="1"/>
    <col min="6156" max="6156" width="16.28515625" customWidth="1"/>
    <col min="6157" max="6157" width="10.5703125" customWidth="1"/>
    <col min="6158" max="6158" width="9.28515625" bestFit="1" customWidth="1"/>
    <col min="6401" max="6401" width="36.5703125" bestFit="1" customWidth="1"/>
    <col min="6402" max="6402" width="16.140625" bestFit="1" customWidth="1"/>
    <col min="6403" max="6403" width="14.7109375" bestFit="1" customWidth="1"/>
    <col min="6404" max="6404" width="23.140625" bestFit="1" customWidth="1"/>
    <col min="6405" max="6405" width="20.7109375" bestFit="1" customWidth="1"/>
    <col min="6406" max="6406" width="25" bestFit="1" customWidth="1"/>
    <col min="6407" max="6407" width="12.28515625" bestFit="1" customWidth="1"/>
    <col min="6408" max="6408" width="13.140625" bestFit="1" customWidth="1"/>
    <col min="6409" max="6409" width="11.28515625" bestFit="1" customWidth="1"/>
    <col min="6410" max="6410" width="14.140625" bestFit="1" customWidth="1"/>
    <col min="6411" max="6411" width="10.140625" bestFit="1" customWidth="1"/>
    <col min="6412" max="6412" width="16.28515625" customWidth="1"/>
    <col min="6413" max="6413" width="10.5703125" customWidth="1"/>
    <col min="6414" max="6414" width="9.28515625" bestFit="1" customWidth="1"/>
    <col min="6657" max="6657" width="36.5703125" bestFit="1" customWidth="1"/>
    <col min="6658" max="6658" width="16.140625" bestFit="1" customWidth="1"/>
    <col min="6659" max="6659" width="14.7109375" bestFit="1" customWidth="1"/>
    <col min="6660" max="6660" width="23.140625" bestFit="1" customWidth="1"/>
    <col min="6661" max="6661" width="20.7109375" bestFit="1" customWidth="1"/>
    <col min="6662" max="6662" width="25" bestFit="1" customWidth="1"/>
    <col min="6663" max="6663" width="12.28515625" bestFit="1" customWidth="1"/>
    <col min="6664" max="6664" width="13.140625" bestFit="1" customWidth="1"/>
    <col min="6665" max="6665" width="11.28515625" bestFit="1" customWidth="1"/>
    <col min="6666" max="6666" width="14.140625" bestFit="1" customWidth="1"/>
    <col min="6667" max="6667" width="10.140625" bestFit="1" customWidth="1"/>
    <col min="6668" max="6668" width="16.28515625" customWidth="1"/>
    <col min="6669" max="6669" width="10.5703125" customWidth="1"/>
    <col min="6670" max="6670" width="9.28515625" bestFit="1" customWidth="1"/>
    <col min="6913" max="6913" width="36.5703125" bestFit="1" customWidth="1"/>
    <col min="6914" max="6914" width="16.140625" bestFit="1" customWidth="1"/>
    <col min="6915" max="6915" width="14.7109375" bestFit="1" customWidth="1"/>
    <col min="6916" max="6916" width="23.140625" bestFit="1" customWidth="1"/>
    <col min="6917" max="6917" width="20.7109375" bestFit="1" customWidth="1"/>
    <col min="6918" max="6918" width="25" bestFit="1" customWidth="1"/>
    <col min="6919" max="6919" width="12.28515625" bestFit="1" customWidth="1"/>
    <col min="6920" max="6920" width="13.140625" bestFit="1" customWidth="1"/>
    <col min="6921" max="6921" width="11.28515625" bestFit="1" customWidth="1"/>
    <col min="6922" max="6922" width="14.140625" bestFit="1" customWidth="1"/>
    <col min="6923" max="6923" width="10.140625" bestFit="1" customWidth="1"/>
    <col min="6924" max="6924" width="16.28515625" customWidth="1"/>
    <col min="6925" max="6925" width="10.5703125" customWidth="1"/>
    <col min="6926" max="6926" width="9.28515625" bestFit="1" customWidth="1"/>
    <col min="7169" max="7169" width="36.5703125" bestFit="1" customWidth="1"/>
    <col min="7170" max="7170" width="16.140625" bestFit="1" customWidth="1"/>
    <col min="7171" max="7171" width="14.7109375" bestFit="1" customWidth="1"/>
    <col min="7172" max="7172" width="23.140625" bestFit="1" customWidth="1"/>
    <col min="7173" max="7173" width="20.7109375" bestFit="1" customWidth="1"/>
    <col min="7174" max="7174" width="25" bestFit="1" customWidth="1"/>
    <col min="7175" max="7175" width="12.28515625" bestFit="1" customWidth="1"/>
    <col min="7176" max="7176" width="13.140625" bestFit="1" customWidth="1"/>
    <col min="7177" max="7177" width="11.28515625" bestFit="1" customWidth="1"/>
    <col min="7178" max="7178" width="14.140625" bestFit="1" customWidth="1"/>
    <col min="7179" max="7179" width="10.140625" bestFit="1" customWidth="1"/>
    <col min="7180" max="7180" width="16.28515625" customWidth="1"/>
    <col min="7181" max="7181" width="10.5703125" customWidth="1"/>
    <col min="7182" max="7182" width="9.28515625" bestFit="1" customWidth="1"/>
    <col min="7425" max="7425" width="36.5703125" bestFit="1" customWidth="1"/>
    <col min="7426" max="7426" width="16.140625" bestFit="1" customWidth="1"/>
    <col min="7427" max="7427" width="14.7109375" bestFit="1" customWidth="1"/>
    <col min="7428" max="7428" width="23.140625" bestFit="1" customWidth="1"/>
    <col min="7429" max="7429" width="20.7109375" bestFit="1" customWidth="1"/>
    <col min="7430" max="7430" width="25" bestFit="1" customWidth="1"/>
    <col min="7431" max="7431" width="12.28515625" bestFit="1" customWidth="1"/>
    <col min="7432" max="7432" width="13.140625" bestFit="1" customWidth="1"/>
    <col min="7433" max="7433" width="11.28515625" bestFit="1" customWidth="1"/>
    <col min="7434" max="7434" width="14.140625" bestFit="1" customWidth="1"/>
    <col min="7435" max="7435" width="10.140625" bestFit="1" customWidth="1"/>
    <col min="7436" max="7436" width="16.28515625" customWidth="1"/>
    <col min="7437" max="7437" width="10.5703125" customWidth="1"/>
    <col min="7438" max="7438" width="9.28515625" bestFit="1" customWidth="1"/>
    <col min="7681" max="7681" width="36.5703125" bestFit="1" customWidth="1"/>
    <col min="7682" max="7682" width="16.140625" bestFit="1" customWidth="1"/>
    <col min="7683" max="7683" width="14.7109375" bestFit="1" customWidth="1"/>
    <col min="7684" max="7684" width="23.140625" bestFit="1" customWidth="1"/>
    <col min="7685" max="7685" width="20.7109375" bestFit="1" customWidth="1"/>
    <col min="7686" max="7686" width="25" bestFit="1" customWidth="1"/>
    <col min="7687" max="7687" width="12.28515625" bestFit="1" customWidth="1"/>
    <col min="7688" max="7688" width="13.140625" bestFit="1" customWidth="1"/>
    <col min="7689" max="7689" width="11.28515625" bestFit="1" customWidth="1"/>
    <col min="7690" max="7690" width="14.140625" bestFit="1" customWidth="1"/>
    <col min="7691" max="7691" width="10.140625" bestFit="1" customWidth="1"/>
    <col min="7692" max="7692" width="16.28515625" customWidth="1"/>
    <col min="7693" max="7693" width="10.5703125" customWidth="1"/>
    <col min="7694" max="7694" width="9.28515625" bestFit="1" customWidth="1"/>
    <col min="7937" max="7937" width="36.5703125" bestFit="1" customWidth="1"/>
    <col min="7938" max="7938" width="16.140625" bestFit="1" customWidth="1"/>
    <col min="7939" max="7939" width="14.7109375" bestFit="1" customWidth="1"/>
    <col min="7940" max="7940" width="23.140625" bestFit="1" customWidth="1"/>
    <col min="7941" max="7941" width="20.7109375" bestFit="1" customWidth="1"/>
    <col min="7942" max="7942" width="25" bestFit="1" customWidth="1"/>
    <col min="7943" max="7943" width="12.28515625" bestFit="1" customWidth="1"/>
    <col min="7944" max="7944" width="13.140625" bestFit="1" customWidth="1"/>
    <col min="7945" max="7945" width="11.28515625" bestFit="1" customWidth="1"/>
    <col min="7946" max="7946" width="14.140625" bestFit="1" customWidth="1"/>
    <col min="7947" max="7947" width="10.140625" bestFit="1" customWidth="1"/>
    <col min="7948" max="7948" width="16.28515625" customWidth="1"/>
    <col min="7949" max="7949" width="10.5703125" customWidth="1"/>
    <col min="7950" max="7950" width="9.28515625" bestFit="1" customWidth="1"/>
    <col min="8193" max="8193" width="36.5703125" bestFit="1" customWidth="1"/>
    <col min="8194" max="8194" width="16.140625" bestFit="1" customWidth="1"/>
    <col min="8195" max="8195" width="14.7109375" bestFit="1" customWidth="1"/>
    <col min="8196" max="8196" width="23.140625" bestFit="1" customWidth="1"/>
    <col min="8197" max="8197" width="20.7109375" bestFit="1" customWidth="1"/>
    <col min="8198" max="8198" width="25" bestFit="1" customWidth="1"/>
    <col min="8199" max="8199" width="12.28515625" bestFit="1" customWidth="1"/>
    <col min="8200" max="8200" width="13.140625" bestFit="1" customWidth="1"/>
    <col min="8201" max="8201" width="11.28515625" bestFit="1" customWidth="1"/>
    <col min="8202" max="8202" width="14.140625" bestFit="1" customWidth="1"/>
    <col min="8203" max="8203" width="10.140625" bestFit="1" customWidth="1"/>
    <col min="8204" max="8204" width="16.28515625" customWidth="1"/>
    <col min="8205" max="8205" width="10.5703125" customWidth="1"/>
    <col min="8206" max="8206" width="9.28515625" bestFit="1" customWidth="1"/>
    <col min="8449" max="8449" width="36.5703125" bestFit="1" customWidth="1"/>
    <col min="8450" max="8450" width="16.140625" bestFit="1" customWidth="1"/>
    <col min="8451" max="8451" width="14.7109375" bestFit="1" customWidth="1"/>
    <col min="8452" max="8452" width="23.140625" bestFit="1" customWidth="1"/>
    <col min="8453" max="8453" width="20.7109375" bestFit="1" customWidth="1"/>
    <col min="8454" max="8454" width="25" bestFit="1" customWidth="1"/>
    <col min="8455" max="8455" width="12.28515625" bestFit="1" customWidth="1"/>
    <col min="8456" max="8456" width="13.140625" bestFit="1" customWidth="1"/>
    <col min="8457" max="8457" width="11.28515625" bestFit="1" customWidth="1"/>
    <col min="8458" max="8458" width="14.140625" bestFit="1" customWidth="1"/>
    <col min="8459" max="8459" width="10.140625" bestFit="1" customWidth="1"/>
    <col min="8460" max="8460" width="16.28515625" customWidth="1"/>
    <col min="8461" max="8461" width="10.5703125" customWidth="1"/>
    <col min="8462" max="8462" width="9.28515625" bestFit="1" customWidth="1"/>
    <col min="8705" max="8705" width="36.5703125" bestFit="1" customWidth="1"/>
    <col min="8706" max="8706" width="16.140625" bestFit="1" customWidth="1"/>
    <col min="8707" max="8707" width="14.7109375" bestFit="1" customWidth="1"/>
    <col min="8708" max="8708" width="23.140625" bestFit="1" customWidth="1"/>
    <col min="8709" max="8709" width="20.7109375" bestFit="1" customWidth="1"/>
    <col min="8710" max="8710" width="25" bestFit="1" customWidth="1"/>
    <col min="8711" max="8711" width="12.28515625" bestFit="1" customWidth="1"/>
    <col min="8712" max="8712" width="13.140625" bestFit="1" customWidth="1"/>
    <col min="8713" max="8713" width="11.28515625" bestFit="1" customWidth="1"/>
    <col min="8714" max="8714" width="14.140625" bestFit="1" customWidth="1"/>
    <col min="8715" max="8715" width="10.140625" bestFit="1" customWidth="1"/>
    <col min="8716" max="8716" width="16.28515625" customWidth="1"/>
    <col min="8717" max="8717" width="10.5703125" customWidth="1"/>
    <col min="8718" max="8718" width="9.28515625" bestFit="1" customWidth="1"/>
    <col min="8961" max="8961" width="36.5703125" bestFit="1" customWidth="1"/>
    <col min="8962" max="8962" width="16.140625" bestFit="1" customWidth="1"/>
    <col min="8963" max="8963" width="14.7109375" bestFit="1" customWidth="1"/>
    <col min="8964" max="8964" width="23.140625" bestFit="1" customWidth="1"/>
    <col min="8965" max="8965" width="20.7109375" bestFit="1" customWidth="1"/>
    <col min="8966" max="8966" width="25" bestFit="1" customWidth="1"/>
    <col min="8967" max="8967" width="12.28515625" bestFit="1" customWidth="1"/>
    <col min="8968" max="8968" width="13.140625" bestFit="1" customWidth="1"/>
    <col min="8969" max="8969" width="11.28515625" bestFit="1" customWidth="1"/>
    <col min="8970" max="8970" width="14.140625" bestFit="1" customWidth="1"/>
    <col min="8971" max="8971" width="10.140625" bestFit="1" customWidth="1"/>
    <col min="8972" max="8972" width="16.28515625" customWidth="1"/>
    <col min="8973" max="8973" width="10.5703125" customWidth="1"/>
    <col min="8974" max="8974" width="9.28515625" bestFit="1" customWidth="1"/>
    <col min="9217" max="9217" width="36.5703125" bestFit="1" customWidth="1"/>
    <col min="9218" max="9218" width="16.140625" bestFit="1" customWidth="1"/>
    <col min="9219" max="9219" width="14.7109375" bestFit="1" customWidth="1"/>
    <col min="9220" max="9220" width="23.140625" bestFit="1" customWidth="1"/>
    <col min="9221" max="9221" width="20.7109375" bestFit="1" customWidth="1"/>
    <col min="9222" max="9222" width="25" bestFit="1" customWidth="1"/>
    <col min="9223" max="9223" width="12.28515625" bestFit="1" customWidth="1"/>
    <col min="9224" max="9224" width="13.140625" bestFit="1" customWidth="1"/>
    <col min="9225" max="9225" width="11.28515625" bestFit="1" customWidth="1"/>
    <col min="9226" max="9226" width="14.140625" bestFit="1" customWidth="1"/>
    <col min="9227" max="9227" width="10.140625" bestFit="1" customWidth="1"/>
    <col min="9228" max="9228" width="16.28515625" customWidth="1"/>
    <col min="9229" max="9229" width="10.5703125" customWidth="1"/>
    <col min="9230" max="9230" width="9.28515625" bestFit="1" customWidth="1"/>
    <col min="9473" max="9473" width="36.5703125" bestFit="1" customWidth="1"/>
    <col min="9474" max="9474" width="16.140625" bestFit="1" customWidth="1"/>
    <col min="9475" max="9475" width="14.7109375" bestFit="1" customWidth="1"/>
    <col min="9476" max="9476" width="23.140625" bestFit="1" customWidth="1"/>
    <col min="9477" max="9477" width="20.7109375" bestFit="1" customWidth="1"/>
    <col min="9478" max="9478" width="25" bestFit="1" customWidth="1"/>
    <col min="9479" max="9479" width="12.28515625" bestFit="1" customWidth="1"/>
    <col min="9480" max="9480" width="13.140625" bestFit="1" customWidth="1"/>
    <col min="9481" max="9481" width="11.28515625" bestFit="1" customWidth="1"/>
    <col min="9482" max="9482" width="14.140625" bestFit="1" customWidth="1"/>
    <col min="9483" max="9483" width="10.140625" bestFit="1" customWidth="1"/>
    <col min="9484" max="9484" width="16.28515625" customWidth="1"/>
    <col min="9485" max="9485" width="10.5703125" customWidth="1"/>
    <col min="9486" max="9486" width="9.28515625" bestFit="1" customWidth="1"/>
    <col min="9729" max="9729" width="36.5703125" bestFit="1" customWidth="1"/>
    <col min="9730" max="9730" width="16.140625" bestFit="1" customWidth="1"/>
    <col min="9731" max="9731" width="14.7109375" bestFit="1" customWidth="1"/>
    <col min="9732" max="9732" width="23.140625" bestFit="1" customWidth="1"/>
    <col min="9733" max="9733" width="20.7109375" bestFit="1" customWidth="1"/>
    <col min="9734" max="9734" width="25" bestFit="1" customWidth="1"/>
    <col min="9735" max="9735" width="12.28515625" bestFit="1" customWidth="1"/>
    <col min="9736" max="9736" width="13.140625" bestFit="1" customWidth="1"/>
    <col min="9737" max="9737" width="11.28515625" bestFit="1" customWidth="1"/>
    <col min="9738" max="9738" width="14.140625" bestFit="1" customWidth="1"/>
    <col min="9739" max="9739" width="10.140625" bestFit="1" customWidth="1"/>
    <col min="9740" max="9740" width="16.28515625" customWidth="1"/>
    <col min="9741" max="9741" width="10.5703125" customWidth="1"/>
    <col min="9742" max="9742" width="9.28515625" bestFit="1" customWidth="1"/>
    <col min="9985" max="9985" width="36.5703125" bestFit="1" customWidth="1"/>
    <col min="9986" max="9986" width="16.140625" bestFit="1" customWidth="1"/>
    <col min="9987" max="9987" width="14.7109375" bestFit="1" customWidth="1"/>
    <col min="9988" max="9988" width="23.140625" bestFit="1" customWidth="1"/>
    <col min="9989" max="9989" width="20.7109375" bestFit="1" customWidth="1"/>
    <col min="9990" max="9990" width="25" bestFit="1" customWidth="1"/>
    <col min="9991" max="9991" width="12.28515625" bestFit="1" customWidth="1"/>
    <col min="9992" max="9992" width="13.140625" bestFit="1" customWidth="1"/>
    <col min="9993" max="9993" width="11.28515625" bestFit="1" customWidth="1"/>
    <col min="9994" max="9994" width="14.140625" bestFit="1" customWidth="1"/>
    <col min="9995" max="9995" width="10.140625" bestFit="1" customWidth="1"/>
    <col min="9996" max="9996" width="16.28515625" customWidth="1"/>
    <col min="9997" max="9997" width="10.5703125" customWidth="1"/>
    <col min="9998" max="9998" width="9.28515625" bestFit="1" customWidth="1"/>
    <col min="10241" max="10241" width="36.5703125" bestFit="1" customWidth="1"/>
    <col min="10242" max="10242" width="16.140625" bestFit="1" customWidth="1"/>
    <col min="10243" max="10243" width="14.7109375" bestFit="1" customWidth="1"/>
    <col min="10244" max="10244" width="23.140625" bestFit="1" customWidth="1"/>
    <col min="10245" max="10245" width="20.7109375" bestFit="1" customWidth="1"/>
    <col min="10246" max="10246" width="25" bestFit="1" customWidth="1"/>
    <col min="10247" max="10247" width="12.28515625" bestFit="1" customWidth="1"/>
    <col min="10248" max="10248" width="13.140625" bestFit="1" customWidth="1"/>
    <col min="10249" max="10249" width="11.28515625" bestFit="1" customWidth="1"/>
    <col min="10250" max="10250" width="14.140625" bestFit="1" customWidth="1"/>
    <col min="10251" max="10251" width="10.140625" bestFit="1" customWidth="1"/>
    <col min="10252" max="10252" width="16.28515625" customWidth="1"/>
    <col min="10253" max="10253" width="10.5703125" customWidth="1"/>
    <col min="10254" max="10254" width="9.28515625" bestFit="1" customWidth="1"/>
    <col min="10497" max="10497" width="36.5703125" bestFit="1" customWidth="1"/>
    <col min="10498" max="10498" width="16.140625" bestFit="1" customWidth="1"/>
    <col min="10499" max="10499" width="14.7109375" bestFit="1" customWidth="1"/>
    <col min="10500" max="10500" width="23.140625" bestFit="1" customWidth="1"/>
    <col min="10501" max="10501" width="20.7109375" bestFit="1" customWidth="1"/>
    <col min="10502" max="10502" width="25" bestFit="1" customWidth="1"/>
    <col min="10503" max="10503" width="12.28515625" bestFit="1" customWidth="1"/>
    <col min="10504" max="10504" width="13.140625" bestFit="1" customWidth="1"/>
    <col min="10505" max="10505" width="11.28515625" bestFit="1" customWidth="1"/>
    <col min="10506" max="10506" width="14.140625" bestFit="1" customWidth="1"/>
    <col min="10507" max="10507" width="10.140625" bestFit="1" customWidth="1"/>
    <col min="10508" max="10508" width="16.28515625" customWidth="1"/>
    <col min="10509" max="10509" width="10.5703125" customWidth="1"/>
    <col min="10510" max="10510" width="9.28515625" bestFit="1" customWidth="1"/>
    <col min="10753" max="10753" width="36.5703125" bestFit="1" customWidth="1"/>
    <col min="10754" max="10754" width="16.140625" bestFit="1" customWidth="1"/>
    <col min="10755" max="10755" width="14.7109375" bestFit="1" customWidth="1"/>
    <col min="10756" max="10756" width="23.140625" bestFit="1" customWidth="1"/>
    <col min="10757" max="10757" width="20.7109375" bestFit="1" customWidth="1"/>
    <col min="10758" max="10758" width="25" bestFit="1" customWidth="1"/>
    <col min="10759" max="10759" width="12.28515625" bestFit="1" customWidth="1"/>
    <col min="10760" max="10760" width="13.140625" bestFit="1" customWidth="1"/>
    <col min="10761" max="10761" width="11.28515625" bestFit="1" customWidth="1"/>
    <col min="10762" max="10762" width="14.140625" bestFit="1" customWidth="1"/>
    <col min="10763" max="10763" width="10.140625" bestFit="1" customWidth="1"/>
    <col min="10764" max="10764" width="16.28515625" customWidth="1"/>
    <col min="10765" max="10765" width="10.5703125" customWidth="1"/>
    <col min="10766" max="10766" width="9.28515625" bestFit="1" customWidth="1"/>
    <col min="11009" max="11009" width="36.5703125" bestFit="1" customWidth="1"/>
    <col min="11010" max="11010" width="16.140625" bestFit="1" customWidth="1"/>
    <col min="11011" max="11011" width="14.7109375" bestFit="1" customWidth="1"/>
    <col min="11012" max="11012" width="23.140625" bestFit="1" customWidth="1"/>
    <col min="11013" max="11013" width="20.7109375" bestFit="1" customWidth="1"/>
    <col min="11014" max="11014" width="25" bestFit="1" customWidth="1"/>
    <col min="11015" max="11015" width="12.28515625" bestFit="1" customWidth="1"/>
    <col min="11016" max="11016" width="13.140625" bestFit="1" customWidth="1"/>
    <col min="11017" max="11017" width="11.28515625" bestFit="1" customWidth="1"/>
    <col min="11018" max="11018" width="14.140625" bestFit="1" customWidth="1"/>
    <col min="11019" max="11019" width="10.140625" bestFit="1" customWidth="1"/>
    <col min="11020" max="11020" width="16.28515625" customWidth="1"/>
    <col min="11021" max="11021" width="10.5703125" customWidth="1"/>
    <col min="11022" max="11022" width="9.28515625" bestFit="1" customWidth="1"/>
    <col min="11265" max="11265" width="36.5703125" bestFit="1" customWidth="1"/>
    <col min="11266" max="11266" width="16.140625" bestFit="1" customWidth="1"/>
    <col min="11267" max="11267" width="14.7109375" bestFit="1" customWidth="1"/>
    <col min="11268" max="11268" width="23.140625" bestFit="1" customWidth="1"/>
    <col min="11269" max="11269" width="20.7109375" bestFit="1" customWidth="1"/>
    <col min="11270" max="11270" width="25" bestFit="1" customWidth="1"/>
    <col min="11271" max="11271" width="12.28515625" bestFit="1" customWidth="1"/>
    <col min="11272" max="11272" width="13.140625" bestFit="1" customWidth="1"/>
    <col min="11273" max="11273" width="11.28515625" bestFit="1" customWidth="1"/>
    <col min="11274" max="11274" width="14.140625" bestFit="1" customWidth="1"/>
    <col min="11275" max="11275" width="10.140625" bestFit="1" customWidth="1"/>
    <col min="11276" max="11276" width="16.28515625" customWidth="1"/>
    <col min="11277" max="11277" width="10.5703125" customWidth="1"/>
    <col min="11278" max="11278" width="9.28515625" bestFit="1" customWidth="1"/>
    <col min="11521" max="11521" width="36.5703125" bestFit="1" customWidth="1"/>
    <col min="11522" max="11522" width="16.140625" bestFit="1" customWidth="1"/>
    <col min="11523" max="11523" width="14.7109375" bestFit="1" customWidth="1"/>
    <col min="11524" max="11524" width="23.140625" bestFit="1" customWidth="1"/>
    <col min="11525" max="11525" width="20.7109375" bestFit="1" customWidth="1"/>
    <col min="11526" max="11526" width="25" bestFit="1" customWidth="1"/>
    <col min="11527" max="11527" width="12.28515625" bestFit="1" customWidth="1"/>
    <col min="11528" max="11528" width="13.140625" bestFit="1" customWidth="1"/>
    <col min="11529" max="11529" width="11.28515625" bestFit="1" customWidth="1"/>
    <col min="11530" max="11530" width="14.140625" bestFit="1" customWidth="1"/>
    <col min="11531" max="11531" width="10.140625" bestFit="1" customWidth="1"/>
    <col min="11532" max="11532" width="16.28515625" customWidth="1"/>
    <col min="11533" max="11533" width="10.5703125" customWidth="1"/>
    <col min="11534" max="11534" width="9.28515625" bestFit="1" customWidth="1"/>
    <col min="11777" max="11777" width="36.5703125" bestFit="1" customWidth="1"/>
    <col min="11778" max="11778" width="16.140625" bestFit="1" customWidth="1"/>
    <col min="11779" max="11779" width="14.7109375" bestFit="1" customWidth="1"/>
    <col min="11780" max="11780" width="23.140625" bestFit="1" customWidth="1"/>
    <col min="11781" max="11781" width="20.7109375" bestFit="1" customWidth="1"/>
    <col min="11782" max="11782" width="25" bestFit="1" customWidth="1"/>
    <col min="11783" max="11783" width="12.28515625" bestFit="1" customWidth="1"/>
    <col min="11784" max="11784" width="13.140625" bestFit="1" customWidth="1"/>
    <col min="11785" max="11785" width="11.28515625" bestFit="1" customWidth="1"/>
    <col min="11786" max="11786" width="14.140625" bestFit="1" customWidth="1"/>
    <col min="11787" max="11787" width="10.140625" bestFit="1" customWidth="1"/>
    <col min="11788" max="11788" width="16.28515625" customWidth="1"/>
    <col min="11789" max="11789" width="10.5703125" customWidth="1"/>
    <col min="11790" max="11790" width="9.28515625" bestFit="1" customWidth="1"/>
    <col min="12033" max="12033" width="36.5703125" bestFit="1" customWidth="1"/>
    <col min="12034" max="12034" width="16.140625" bestFit="1" customWidth="1"/>
    <col min="12035" max="12035" width="14.7109375" bestFit="1" customWidth="1"/>
    <col min="12036" max="12036" width="23.140625" bestFit="1" customWidth="1"/>
    <col min="12037" max="12037" width="20.7109375" bestFit="1" customWidth="1"/>
    <col min="12038" max="12038" width="25" bestFit="1" customWidth="1"/>
    <col min="12039" max="12039" width="12.28515625" bestFit="1" customWidth="1"/>
    <col min="12040" max="12040" width="13.140625" bestFit="1" customWidth="1"/>
    <col min="12041" max="12041" width="11.28515625" bestFit="1" customWidth="1"/>
    <col min="12042" max="12042" width="14.140625" bestFit="1" customWidth="1"/>
    <col min="12043" max="12043" width="10.140625" bestFit="1" customWidth="1"/>
    <col min="12044" max="12044" width="16.28515625" customWidth="1"/>
    <col min="12045" max="12045" width="10.5703125" customWidth="1"/>
    <col min="12046" max="12046" width="9.28515625" bestFit="1" customWidth="1"/>
    <col min="12289" max="12289" width="36.5703125" bestFit="1" customWidth="1"/>
    <col min="12290" max="12290" width="16.140625" bestFit="1" customWidth="1"/>
    <col min="12291" max="12291" width="14.7109375" bestFit="1" customWidth="1"/>
    <col min="12292" max="12292" width="23.140625" bestFit="1" customWidth="1"/>
    <col min="12293" max="12293" width="20.7109375" bestFit="1" customWidth="1"/>
    <col min="12294" max="12294" width="25" bestFit="1" customWidth="1"/>
    <col min="12295" max="12295" width="12.28515625" bestFit="1" customWidth="1"/>
    <col min="12296" max="12296" width="13.140625" bestFit="1" customWidth="1"/>
    <col min="12297" max="12297" width="11.28515625" bestFit="1" customWidth="1"/>
    <col min="12298" max="12298" width="14.140625" bestFit="1" customWidth="1"/>
    <col min="12299" max="12299" width="10.140625" bestFit="1" customWidth="1"/>
    <col min="12300" max="12300" width="16.28515625" customWidth="1"/>
    <col min="12301" max="12301" width="10.5703125" customWidth="1"/>
    <col min="12302" max="12302" width="9.28515625" bestFit="1" customWidth="1"/>
    <col min="12545" max="12545" width="36.5703125" bestFit="1" customWidth="1"/>
    <col min="12546" max="12546" width="16.140625" bestFit="1" customWidth="1"/>
    <col min="12547" max="12547" width="14.7109375" bestFit="1" customWidth="1"/>
    <col min="12548" max="12548" width="23.140625" bestFit="1" customWidth="1"/>
    <col min="12549" max="12549" width="20.7109375" bestFit="1" customWidth="1"/>
    <col min="12550" max="12550" width="25" bestFit="1" customWidth="1"/>
    <col min="12551" max="12551" width="12.28515625" bestFit="1" customWidth="1"/>
    <col min="12552" max="12552" width="13.140625" bestFit="1" customWidth="1"/>
    <col min="12553" max="12553" width="11.28515625" bestFit="1" customWidth="1"/>
    <col min="12554" max="12554" width="14.140625" bestFit="1" customWidth="1"/>
    <col min="12555" max="12555" width="10.140625" bestFit="1" customWidth="1"/>
    <col min="12556" max="12556" width="16.28515625" customWidth="1"/>
    <col min="12557" max="12557" width="10.5703125" customWidth="1"/>
    <col min="12558" max="12558" width="9.28515625" bestFit="1" customWidth="1"/>
    <col min="12801" max="12801" width="36.5703125" bestFit="1" customWidth="1"/>
    <col min="12802" max="12802" width="16.140625" bestFit="1" customWidth="1"/>
    <col min="12803" max="12803" width="14.7109375" bestFit="1" customWidth="1"/>
    <col min="12804" max="12804" width="23.140625" bestFit="1" customWidth="1"/>
    <col min="12805" max="12805" width="20.7109375" bestFit="1" customWidth="1"/>
    <col min="12806" max="12806" width="25" bestFit="1" customWidth="1"/>
    <col min="12807" max="12807" width="12.28515625" bestFit="1" customWidth="1"/>
    <col min="12808" max="12808" width="13.140625" bestFit="1" customWidth="1"/>
    <col min="12809" max="12809" width="11.28515625" bestFit="1" customWidth="1"/>
    <col min="12810" max="12810" width="14.140625" bestFit="1" customWidth="1"/>
    <col min="12811" max="12811" width="10.140625" bestFit="1" customWidth="1"/>
    <col min="12812" max="12812" width="16.28515625" customWidth="1"/>
    <col min="12813" max="12813" width="10.5703125" customWidth="1"/>
    <col min="12814" max="12814" width="9.28515625" bestFit="1" customWidth="1"/>
    <col min="13057" max="13057" width="36.5703125" bestFit="1" customWidth="1"/>
    <col min="13058" max="13058" width="16.140625" bestFit="1" customWidth="1"/>
    <col min="13059" max="13059" width="14.7109375" bestFit="1" customWidth="1"/>
    <col min="13060" max="13060" width="23.140625" bestFit="1" customWidth="1"/>
    <col min="13061" max="13061" width="20.7109375" bestFit="1" customWidth="1"/>
    <col min="13062" max="13062" width="25" bestFit="1" customWidth="1"/>
    <col min="13063" max="13063" width="12.28515625" bestFit="1" customWidth="1"/>
    <col min="13064" max="13064" width="13.140625" bestFit="1" customWidth="1"/>
    <col min="13065" max="13065" width="11.28515625" bestFit="1" customWidth="1"/>
    <col min="13066" max="13066" width="14.140625" bestFit="1" customWidth="1"/>
    <col min="13067" max="13067" width="10.140625" bestFit="1" customWidth="1"/>
    <col min="13068" max="13068" width="16.28515625" customWidth="1"/>
    <col min="13069" max="13069" width="10.5703125" customWidth="1"/>
    <col min="13070" max="13070" width="9.28515625" bestFit="1" customWidth="1"/>
    <col min="13313" max="13313" width="36.5703125" bestFit="1" customWidth="1"/>
    <col min="13314" max="13314" width="16.140625" bestFit="1" customWidth="1"/>
    <col min="13315" max="13315" width="14.7109375" bestFit="1" customWidth="1"/>
    <col min="13316" max="13316" width="23.140625" bestFit="1" customWidth="1"/>
    <col min="13317" max="13317" width="20.7109375" bestFit="1" customWidth="1"/>
    <col min="13318" max="13318" width="25" bestFit="1" customWidth="1"/>
    <col min="13319" max="13319" width="12.28515625" bestFit="1" customWidth="1"/>
    <col min="13320" max="13320" width="13.140625" bestFit="1" customWidth="1"/>
    <col min="13321" max="13321" width="11.28515625" bestFit="1" customWidth="1"/>
    <col min="13322" max="13322" width="14.140625" bestFit="1" customWidth="1"/>
    <col min="13323" max="13323" width="10.140625" bestFit="1" customWidth="1"/>
    <col min="13324" max="13324" width="16.28515625" customWidth="1"/>
    <col min="13325" max="13325" width="10.5703125" customWidth="1"/>
    <col min="13326" max="13326" width="9.28515625" bestFit="1" customWidth="1"/>
    <col min="13569" max="13569" width="36.5703125" bestFit="1" customWidth="1"/>
    <col min="13570" max="13570" width="16.140625" bestFit="1" customWidth="1"/>
    <col min="13571" max="13571" width="14.7109375" bestFit="1" customWidth="1"/>
    <col min="13572" max="13572" width="23.140625" bestFit="1" customWidth="1"/>
    <col min="13573" max="13573" width="20.7109375" bestFit="1" customWidth="1"/>
    <col min="13574" max="13574" width="25" bestFit="1" customWidth="1"/>
    <col min="13575" max="13575" width="12.28515625" bestFit="1" customWidth="1"/>
    <col min="13576" max="13576" width="13.140625" bestFit="1" customWidth="1"/>
    <col min="13577" max="13577" width="11.28515625" bestFit="1" customWidth="1"/>
    <col min="13578" max="13578" width="14.140625" bestFit="1" customWidth="1"/>
    <col min="13579" max="13579" width="10.140625" bestFit="1" customWidth="1"/>
    <col min="13580" max="13580" width="16.28515625" customWidth="1"/>
    <col min="13581" max="13581" width="10.5703125" customWidth="1"/>
    <col min="13582" max="13582" width="9.28515625" bestFit="1" customWidth="1"/>
    <col min="13825" max="13825" width="36.5703125" bestFit="1" customWidth="1"/>
    <col min="13826" max="13826" width="16.140625" bestFit="1" customWidth="1"/>
    <col min="13827" max="13827" width="14.7109375" bestFit="1" customWidth="1"/>
    <col min="13828" max="13828" width="23.140625" bestFit="1" customWidth="1"/>
    <col min="13829" max="13829" width="20.7109375" bestFit="1" customWidth="1"/>
    <col min="13830" max="13830" width="25" bestFit="1" customWidth="1"/>
    <col min="13831" max="13831" width="12.28515625" bestFit="1" customWidth="1"/>
    <col min="13832" max="13832" width="13.140625" bestFit="1" customWidth="1"/>
    <col min="13833" max="13833" width="11.28515625" bestFit="1" customWidth="1"/>
    <col min="13834" max="13834" width="14.140625" bestFit="1" customWidth="1"/>
    <col min="13835" max="13835" width="10.140625" bestFit="1" customWidth="1"/>
    <col min="13836" max="13836" width="16.28515625" customWidth="1"/>
    <col min="13837" max="13837" width="10.5703125" customWidth="1"/>
    <col min="13838" max="13838" width="9.28515625" bestFit="1" customWidth="1"/>
    <col min="14081" max="14081" width="36.5703125" bestFit="1" customWidth="1"/>
    <col min="14082" max="14082" width="16.140625" bestFit="1" customWidth="1"/>
    <col min="14083" max="14083" width="14.7109375" bestFit="1" customWidth="1"/>
    <col min="14084" max="14084" width="23.140625" bestFit="1" customWidth="1"/>
    <col min="14085" max="14085" width="20.7109375" bestFit="1" customWidth="1"/>
    <col min="14086" max="14086" width="25" bestFit="1" customWidth="1"/>
    <col min="14087" max="14087" width="12.28515625" bestFit="1" customWidth="1"/>
    <col min="14088" max="14088" width="13.140625" bestFit="1" customWidth="1"/>
    <col min="14089" max="14089" width="11.28515625" bestFit="1" customWidth="1"/>
    <col min="14090" max="14090" width="14.140625" bestFit="1" customWidth="1"/>
    <col min="14091" max="14091" width="10.140625" bestFit="1" customWidth="1"/>
    <col min="14092" max="14092" width="16.28515625" customWidth="1"/>
    <col min="14093" max="14093" width="10.5703125" customWidth="1"/>
    <col min="14094" max="14094" width="9.28515625" bestFit="1" customWidth="1"/>
    <col min="14337" max="14337" width="36.5703125" bestFit="1" customWidth="1"/>
    <col min="14338" max="14338" width="16.140625" bestFit="1" customWidth="1"/>
    <col min="14339" max="14339" width="14.7109375" bestFit="1" customWidth="1"/>
    <col min="14340" max="14340" width="23.140625" bestFit="1" customWidth="1"/>
    <col min="14341" max="14341" width="20.7109375" bestFit="1" customWidth="1"/>
    <col min="14342" max="14342" width="25" bestFit="1" customWidth="1"/>
    <col min="14343" max="14343" width="12.28515625" bestFit="1" customWidth="1"/>
    <col min="14344" max="14344" width="13.140625" bestFit="1" customWidth="1"/>
    <col min="14345" max="14345" width="11.28515625" bestFit="1" customWidth="1"/>
    <col min="14346" max="14346" width="14.140625" bestFit="1" customWidth="1"/>
    <col min="14347" max="14347" width="10.140625" bestFit="1" customWidth="1"/>
    <col min="14348" max="14348" width="16.28515625" customWidth="1"/>
    <col min="14349" max="14349" width="10.5703125" customWidth="1"/>
    <col min="14350" max="14350" width="9.28515625" bestFit="1" customWidth="1"/>
    <col min="14593" max="14593" width="36.5703125" bestFit="1" customWidth="1"/>
    <col min="14594" max="14594" width="16.140625" bestFit="1" customWidth="1"/>
    <col min="14595" max="14595" width="14.7109375" bestFit="1" customWidth="1"/>
    <col min="14596" max="14596" width="23.140625" bestFit="1" customWidth="1"/>
    <col min="14597" max="14597" width="20.7109375" bestFit="1" customWidth="1"/>
    <col min="14598" max="14598" width="25" bestFit="1" customWidth="1"/>
    <col min="14599" max="14599" width="12.28515625" bestFit="1" customWidth="1"/>
    <col min="14600" max="14600" width="13.140625" bestFit="1" customWidth="1"/>
    <col min="14601" max="14601" width="11.28515625" bestFit="1" customWidth="1"/>
    <col min="14602" max="14602" width="14.140625" bestFit="1" customWidth="1"/>
    <col min="14603" max="14603" width="10.140625" bestFit="1" customWidth="1"/>
    <col min="14604" max="14604" width="16.28515625" customWidth="1"/>
    <col min="14605" max="14605" width="10.5703125" customWidth="1"/>
    <col min="14606" max="14606" width="9.28515625" bestFit="1" customWidth="1"/>
    <col min="14849" max="14849" width="36.5703125" bestFit="1" customWidth="1"/>
    <col min="14850" max="14850" width="16.140625" bestFit="1" customWidth="1"/>
    <col min="14851" max="14851" width="14.7109375" bestFit="1" customWidth="1"/>
    <col min="14852" max="14852" width="23.140625" bestFit="1" customWidth="1"/>
    <col min="14853" max="14853" width="20.7109375" bestFit="1" customWidth="1"/>
    <col min="14854" max="14854" width="25" bestFit="1" customWidth="1"/>
    <col min="14855" max="14855" width="12.28515625" bestFit="1" customWidth="1"/>
    <col min="14856" max="14856" width="13.140625" bestFit="1" customWidth="1"/>
    <col min="14857" max="14857" width="11.28515625" bestFit="1" customWidth="1"/>
    <col min="14858" max="14858" width="14.140625" bestFit="1" customWidth="1"/>
    <col min="14859" max="14859" width="10.140625" bestFit="1" customWidth="1"/>
    <col min="14860" max="14860" width="16.28515625" customWidth="1"/>
    <col min="14861" max="14861" width="10.5703125" customWidth="1"/>
    <col min="14862" max="14862" width="9.28515625" bestFit="1" customWidth="1"/>
    <col min="15105" max="15105" width="36.5703125" bestFit="1" customWidth="1"/>
    <col min="15106" max="15106" width="16.140625" bestFit="1" customWidth="1"/>
    <col min="15107" max="15107" width="14.7109375" bestFit="1" customWidth="1"/>
    <col min="15108" max="15108" width="23.140625" bestFit="1" customWidth="1"/>
    <col min="15109" max="15109" width="20.7109375" bestFit="1" customWidth="1"/>
    <col min="15110" max="15110" width="25" bestFit="1" customWidth="1"/>
    <col min="15111" max="15111" width="12.28515625" bestFit="1" customWidth="1"/>
    <col min="15112" max="15112" width="13.140625" bestFit="1" customWidth="1"/>
    <col min="15113" max="15113" width="11.28515625" bestFit="1" customWidth="1"/>
    <col min="15114" max="15114" width="14.140625" bestFit="1" customWidth="1"/>
    <col min="15115" max="15115" width="10.140625" bestFit="1" customWidth="1"/>
    <col min="15116" max="15116" width="16.28515625" customWidth="1"/>
    <col min="15117" max="15117" width="10.5703125" customWidth="1"/>
    <col min="15118" max="15118" width="9.28515625" bestFit="1" customWidth="1"/>
    <col min="15361" max="15361" width="36.5703125" bestFit="1" customWidth="1"/>
    <col min="15362" max="15362" width="16.140625" bestFit="1" customWidth="1"/>
    <col min="15363" max="15363" width="14.7109375" bestFit="1" customWidth="1"/>
    <col min="15364" max="15364" width="23.140625" bestFit="1" customWidth="1"/>
    <col min="15365" max="15365" width="20.7109375" bestFit="1" customWidth="1"/>
    <col min="15366" max="15366" width="25" bestFit="1" customWidth="1"/>
    <col min="15367" max="15367" width="12.28515625" bestFit="1" customWidth="1"/>
    <col min="15368" max="15368" width="13.140625" bestFit="1" customWidth="1"/>
    <col min="15369" max="15369" width="11.28515625" bestFit="1" customWidth="1"/>
    <col min="15370" max="15370" width="14.140625" bestFit="1" customWidth="1"/>
    <col min="15371" max="15371" width="10.140625" bestFit="1" customWidth="1"/>
    <col min="15372" max="15372" width="16.28515625" customWidth="1"/>
    <col min="15373" max="15373" width="10.5703125" customWidth="1"/>
    <col min="15374" max="15374" width="9.28515625" bestFit="1" customWidth="1"/>
    <col min="15617" max="15617" width="36.5703125" bestFit="1" customWidth="1"/>
    <col min="15618" max="15618" width="16.140625" bestFit="1" customWidth="1"/>
    <col min="15619" max="15619" width="14.7109375" bestFit="1" customWidth="1"/>
    <col min="15620" max="15620" width="23.140625" bestFit="1" customWidth="1"/>
    <col min="15621" max="15621" width="20.7109375" bestFit="1" customWidth="1"/>
    <col min="15622" max="15622" width="25" bestFit="1" customWidth="1"/>
    <col min="15623" max="15623" width="12.28515625" bestFit="1" customWidth="1"/>
    <col min="15624" max="15624" width="13.140625" bestFit="1" customWidth="1"/>
    <col min="15625" max="15625" width="11.28515625" bestFit="1" customWidth="1"/>
    <col min="15626" max="15626" width="14.140625" bestFit="1" customWidth="1"/>
    <col min="15627" max="15627" width="10.140625" bestFit="1" customWidth="1"/>
    <col min="15628" max="15628" width="16.28515625" customWidth="1"/>
    <col min="15629" max="15629" width="10.5703125" customWidth="1"/>
    <col min="15630" max="15630" width="9.28515625" bestFit="1" customWidth="1"/>
    <col min="15873" max="15873" width="36.5703125" bestFit="1" customWidth="1"/>
    <col min="15874" max="15874" width="16.140625" bestFit="1" customWidth="1"/>
    <col min="15875" max="15875" width="14.7109375" bestFit="1" customWidth="1"/>
    <col min="15876" max="15876" width="23.140625" bestFit="1" customWidth="1"/>
    <col min="15877" max="15877" width="20.7109375" bestFit="1" customWidth="1"/>
    <col min="15878" max="15878" width="25" bestFit="1" customWidth="1"/>
    <col min="15879" max="15879" width="12.28515625" bestFit="1" customWidth="1"/>
    <col min="15880" max="15880" width="13.140625" bestFit="1" customWidth="1"/>
    <col min="15881" max="15881" width="11.28515625" bestFit="1" customWidth="1"/>
    <col min="15882" max="15882" width="14.140625" bestFit="1" customWidth="1"/>
    <col min="15883" max="15883" width="10.140625" bestFit="1" customWidth="1"/>
    <col min="15884" max="15884" width="16.28515625" customWidth="1"/>
    <col min="15885" max="15885" width="10.5703125" customWidth="1"/>
    <col min="15886" max="15886" width="9.28515625" bestFit="1" customWidth="1"/>
    <col min="16129" max="16129" width="36.5703125" bestFit="1" customWidth="1"/>
    <col min="16130" max="16130" width="16.140625" bestFit="1" customWidth="1"/>
    <col min="16131" max="16131" width="14.7109375" bestFit="1" customWidth="1"/>
    <col min="16132" max="16132" width="23.140625" bestFit="1" customWidth="1"/>
    <col min="16133" max="16133" width="20.7109375" bestFit="1" customWidth="1"/>
    <col min="16134" max="16134" width="25" bestFit="1" customWidth="1"/>
    <col min="16135" max="16135" width="12.28515625" bestFit="1" customWidth="1"/>
    <col min="16136" max="16136" width="13.140625" bestFit="1" customWidth="1"/>
    <col min="16137" max="16137" width="11.28515625" bestFit="1" customWidth="1"/>
    <col min="16138" max="16138" width="14.140625" bestFit="1" customWidth="1"/>
    <col min="16139" max="16139" width="10.140625" bestFit="1" customWidth="1"/>
    <col min="16140" max="16140" width="16.28515625" customWidth="1"/>
    <col min="16141" max="16141" width="10.57031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3332</v>
      </c>
      <c r="C5" s="1594"/>
      <c r="D5" s="1594"/>
      <c r="E5" s="1595"/>
      <c r="F5" s="326" t="s">
        <v>171</v>
      </c>
      <c r="G5" s="326"/>
      <c r="H5" s="1599" t="s">
        <v>3331</v>
      </c>
      <c r="I5" s="1600"/>
      <c r="J5" s="326" t="s">
        <v>172</v>
      </c>
      <c r="K5" s="631" t="s">
        <v>3330</v>
      </c>
      <c r="L5" s="326" t="s">
        <v>436</v>
      </c>
      <c r="M5" s="326"/>
      <c r="N5" s="631" t="s">
        <v>3329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3328</v>
      </c>
      <c r="C7" s="1594"/>
      <c r="D7" s="1594"/>
      <c r="E7" s="1595"/>
      <c r="F7" s="1596" t="s">
        <v>3208</v>
      </c>
      <c r="G7" s="1596"/>
      <c r="H7" s="1593" t="s">
        <v>3327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 t="s">
        <v>3317</v>
      </c>
      <c r="C9" s="1594"/>
      <c r="D9" s="1594"/>
      <c r="E9" s="1595"/>
      <c r="F9" s="1601" t="s">
        <v>3205</v>
      </c>
      <c r="G9" s="1602"/>
      <c r="H9" s="1603" t="s">
        <v>3326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3325</v>
      </c>
      <c r="C13" s="1612"/>
      <c r="D13" s="1612" t="s">
        <v>3324</v>
      </c>
      <c r="E13" s="1612"/>
      <c r="F13" s="1612"/>
      <c r="G13" s="1612"/>
      <c r="H13" s="1612"/>
      <c r="I13" s="1612"/>
      <c r="J13" s="1613"/>
      <c r="K13" s="1617"/>
      <c r="L13" s="1617"/>
      <c r="M13" s="1614"/>
      <c r="N13" s="326"/>
    </row>
    <row r="14" spans="1:14">
      <c r="A14" s="631" t="s">
        <v>187</v>
      </c>
      <c r="B14" s="1613" t="s">
        <v>3323</v>
      </c>
      <c r="C14" s="1614"/>
      <c r="D14" s="1612"/>
      <c r="E14" s="1612"/>
      <c r="F14" s="1612"/>
      <c r="G14" s="1612"/>
      <c r="H14" s="1612"/>
      <c r="I14" s="1612"/>
      <c r="J14" s="1613"/>
      <c r="K14" s="1617"/>
      <c r="L14" s="1617"/>
      <c r="M14" s="1614"/>
      <c r="N14" s="326"/>
    </row>
    <row r="15" spans="1:14">
      <c r="A15" s="631" t="s">
        <v>192</v>
      </c>
      <c r="B15" s="329" t="s">
        <v>3322</v>
      </c>
      <c r="C15" s="329" t="s">
        <v>3321</v>
      </c>
      <c r="D15" s="329" t="s">
        <v>3320</v>
      </c>
      <c r="E15" s="329" t="s">
        <v>3319</v>
      </c>
      <c r="F15" s="329" t="s">
        <v>3318</v>
      </c>
      <c r="G15" s="329"/>
      <c r="H15" s="623"/>
      <c r="I15" s="623"/>
      <c r="J15" s="1612"/>
      <c r="K15" s="1612"/>
      <c r="L15" s="1612"/>
      <c r="M15" s="1612"/>
      <c r="N15" s="326"/>
    </row>
    <row r="16" spans="1:14">
      <c r="A16" s="631" t="s">
        <v>197</v>
      </c>
      <c r="B16" s="70" t="s">
        <v>3317</v>
      </c>
      <c r="C16" s="329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C18" s="328"/>
      <c r="D18" s="326"/>
      <c r="E18" s="326"/>
      <c r="F18" s="631">
        <v>2</v>
      </c>
      <c r="G18" s="326" t="s">
        <v>200</v>
      </c>
      <c r="H18" s="632">
        <v>13</v>
      </c>
      <c r="I18" s="326" t="s">
        <v>201</v>
      </c>
      <c r="J18" s="632">
        <v>1</v>
      </c>
      <c r="K18" s="326" t="s">
        <v>202</v>
      </c>
      <c r="L18" s="631">
        <v>4</v>
      </c>
      <c r="M18" s="326"/>
      <c r="N18" s="326"/>
    </row>
    <row r="19" spans="1:14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f>80+82</f>
        <v>162</v>
      </c>
      <c r="D21" s="326" t="s">
        <v>205</v>
      </c>
      <c r="E21" s="631">
        <f>11+16</f>
        <v>27</v>
      </c>
      <c r="F21" s="326" t="s">
        <v>206</v>
      </c>
      <c r="G21" s="80">
        <v>1</v>
      </c>
      <c r="H21" s="326" t="s">
        <v>230</v>
      </c>
      <c r="I21" s="80">
        <f>C21+E21+G21</f>
        <v>190</v>
      </c>
      <c r="J21" s="326" t="s">
        <v>207</v>
      </c>
      <c r="K21" s="631">
        <v>50</v>
      </c>
      <c r="L21" s="326" t="s">
        <v>3187</v>
      </c>
      <c r="M21" s="326"/>
      <c r="N21" s="631">
        <v>11</v>
      </c>
    </row>
    <row r="22" spans="1:14">
      <c r="A22" s="326" t="s">
        <v>209</v>
      </c>
      <c r="B22" s="326" t="s">
        <v>210</v>
      </c>
      <c r="C22" s="631">
        <f>231+167</f>
        <v>398</v>
      </c>
      <c r="D22" s="326" t="s">
        <v>211</v>
      </c>
      <c r="E22" s="631">
        <f>26+25</f>
        <v>51</v>
      </c>
      <c r="F22" s="326" t="s">
        <v>212</v>
      </c>
      <c r="G22" s="631">
        <f>3</f>
        <v>3</v>
      </c>
      <c r="H22" s="326" t="s">
        <v>411</v>
      </c>
      <c r="I22" s="80">
        <f>C22+E22+G22</f>
        <v>452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f>206+191</f>
        <v>397</v>
      </c>
      <c r="D23" s="326" t="s">
        <v>214</v>
      </c>
      <c r="E23" s="631">
        <f>28+31</f>
        <v>59</v>
      </c>
      <c r="F23" s="326" t="s">
        <v>215</v>
      </c>
      <c r="G23" s="631">
        <v>2</v>
      </c>
      <c r="H23" s="326" t="s">
        <v>410</v>
      </c>
      <c r="I23" s="80">
        <f>C23+E23+G23</f>
        <v>458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35">
        <f>503.6*B29</f>
        <v>4028800</v>
      </c>
      <c r="E29" s="335">
        <f>168500+300000</f>
        <v>468500</v>
      </c>
      <c r="F29" s="335"/>
      <c r="G29" s="335">
        <v>148848</v>
      </c>
      <c r="H29" s="335"/>
      <c r="I29" s="335"/>
      <c r="J29" s="335"/>
      <c r="K29" s="335"/>
      <c r="L29" s="335"/>
      <c r="M29" s="335">
        <f t="shared" ref="M29:M38" si="0">SUM(F29:L29)</f>
        <v>148848</v>
      </c>
      <c r="N29" s="323">
        <f>+M29/E29*100</f>
        <v>31.771184631803628</v>
      </c>
    </row>
    <row r="30" spans="1:14">
      <c r="A30" s="322" t="s">
        <v>234</v>
      </c>
      <c r="B30" s="322">
        <v>7000</v>
      </c>
      <c r="C30" s="322" t="s">
        <v>233</v>
      </c>
      <c r="D30" s="335">
        <f>503.6*B30</f>
        <v>3525200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35">
        <f t="shared" si="0"/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652">
        <v>18000</v>
      </c>
      <c r="F31" s="652"/>
      <c r="G31" s="652">
        <v>19160</v>
      </c>
      <c r="H31" s="335"/>
      <c r="I31" s="335"/>
      <c r="J31" s="335"/>
      <c r="K31" s="335"/>
      <c r="L31" s="335"/>
      <c r="M31" s="335">
        <f t="shared" si="0"/>
        <v>19160</v>
      </c>
      <c r="N31" s="323">
        <f t="shared" ref="N31:N38" si="1">+M31/E31*100</f>
        <v>106.44444444444446</v>
      </c>
    </row>
    <row r="32" spans="1:14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335">
        <v>16000</v>
      </c>
      <c r="H32" s="335"/>
      <c r="I32" s="335"/>
      <c r="J32" s="335"/>
      <c r="K32" s="335"/>
      <c r="L32" s="335"/>
      <c r="M32" s="335">
        <f t="shared" si="0"/>
        <v>16000</v>
      </c>
      <c r="N32" s="323">
        <f t="shared" si="1"/>
        <v>100</v>
      </c>
    </row>
    <row r="33" spans="1:14">
      <c r="A33" s="322" t="s">
        <v>238</v>
      </c>
      <c r="B33" s="322">
        <v>1200</v>
      </c>
      <c r="C33" s="322" t="s">
        <v>233</v>
      </c>
      <c r="D33" s="335">
        <f>503.6*B33</f>
        <v>604320</v>
      </c>
      <c r="E33" s="335">
        <v>200000</v>
      </c>
      <c r="F33" s="335"/>
      <c r="G33" s="335">
        <v>198791</v>
      </c>
      <c r="H33" s="335"/>
      <c r="I33" s="335"/>
      <c r="J33" s="335"/>
      <c r="K33" s="335"/>
      <c r="L33" s="335"/>
      <c r="M33" s="335">
        <f t="shared" si="0"/>
        <v>198791</v>
      </c>
      <c r="N33" s="323">
        <f t="shared" si="1"/>
        <v>99.395499999999998</v>
      </c>
    </row>
    <row r="34" spans="1:14">
      <c r="A34" s="322" t="s">
        <v>667</v>
      </c>
      <c r="B34" s="322">
        <v>565</v>
      </c>
      <c r="C34" s="322" t="s">
        <v>233</v>
      </c>
      <c r="D34" s="335">
        <f>503.6*B34</f>
        <v>284534</v>
      </c>
      <c r="E34" s="335">
        <f>50360+100000</f>
        <v>150360</v>
      </c>
      <c r="F34" s="335"/>
      <c r="G34" s="335">
        <v>5000</v>
      </c>
      <c r="H34" s="335"/>
      <c r="I34" s="335"/>
      <c r="J34" s="335"/>
      <c r="K34" s="335"/>
      <c r="L34" s="335"/>
      <c r="M34" s="335">
        <f t="shared" si="0"/>
        <v>5000</v>
      </c>
      <c r="N34" s="323">
        <f t="shared" si="1"/>
        <v>3.3253524873636606</v>
      </c>
    </row>
    <row r="35" spans="1:14">
      <c r="A35" s="322" t="s">
        <v>240</v>
      </c>
      <c r="B35" s="322">
        <v>1000</v>
      </c>
      <c r="C35" s="322" t="s">
        <v>233</v>
      </c>
      <c r="D35" s="335">
        <f>503.6*B35</f>
        <v>503600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35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f>+B36*84</f>
        <v>231000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35">
        <f t="shared" si="0"/>
        <v>30250</v>
      </c>
      <c r="N36" s="323">
        <f t="shared" si="1"/>
        <v>100</v>
      </c>
    </row>
    <row r="37" spans="1:14">
      <c r="A37" s="324" t="s">
        <v>670</v>
      </c>
      <c r="B37" s="322">
        <v>10000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35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653">
        <f t="shared" ref="D38:L38" si="2">SUM(D29:D37)</f>
        <v>9277454</v>
      </c>
      <c r="E38" s="653">
        <f t="shared" si="2"/>
        <v>883110</v>
      </c>
      <c r="F38" s="653">
        <f t="shared" si="2"/>
        <v>0</v>
      </c>
      <c r="G38" s="653">
        <f t="shared" si="2"/>
        <v>418049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53">
        <f t="shared" si="0"/>
        <v>418049</v>
      </c>
      <c r="N38" s="323">
        <f t="shared" si="1"/>
        <v>47.338270430637181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29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D16:F16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ageMargins left="0.14000000000000001" right="0.14000000000000001" top="0.75" bottom="0.47" header="0.3" footer="0.3"/>
  <pageSetup paperSize="9" scale="61" orientation="landscape" r:id="rId1"/>
  <headerFooter>
    <oddFooter>&amp;L&amp;9&amp;F&amp;R&amp;9&amp;A</oddFooter>
  </headerFooter>
</worksheet>
</file>

<file path=xl/worksheets/sheet319.xml><?xml version="1.0" encoding="utf-8"?>
<worksheet xmlns="http://schemas.openxmlformats.org/spreadsheetml/2006/main" xmlns:r="http://schemas.openxmlformats.org/officeDocument/2006/relationships">
  <dimension ref="A1:N42"/>
  <sheetViews>
    <sheetView zoomScale="80" zoomScaleNormal="80" workbookViewId="0">
      <selection activeCell="A3" sqref="A3:C3"/>
    </sheetView>
  </sheetViews>
  <sheetFormatPr defaultRowHeight="15"/>
  <cols>
    <col min="1" max="1" width="36.5703125" bestFit="1" customWidth="1"/>
    <col min="2" max="2" width="15.85546875" bestFit="1" customWidth="1"/>
    <col min="3" max="3" width="13.140625" bestFit="1" customWidth="1"/>
    <col min="4" max="4" width="18" customWidth="1"/>
    <col min="5" max="5" width="20.7109375" bestFit="1" customWidth="1"/>
    <col min="6" max="6" width="25" bestFit="1" customWidth="1"/>
    <col min="7" max="7" width="12.28515625" bestFit="1" customWidth="1"/>
    <col min="8" max="8" width="13.140625" bestFit="1" customWidth="1"/>
    <col min="9" max="9" width="11.28515625" bestFit="1" customWidth="1"/>
    <col min="10" max="10" width="14.140625" bestFit="1" customWidth="1"/>
    <col min="11" max="11" width="10.140625" bestFit="1" customWidth="1"/>
    <col min="12" max="12" width="16.5703125" customWidth="1"/>
    <col min="13" max="13" width="10" customWidth="1"/>
    <col min="14" max="14" width="11" customWidth="1"/>
    <col min="257" max="257" width="36.5703125" bestFit="1" customWidth="1"/>
    <col min="258" max="258" width="15.85546875" bestFit="1" customWidth="1"/>
    <col min="259" max="259" width="13.140625" bestFit="1" customWidth="1"/>
    <col min="260" max="260" width="18" customWidth="1"/>
    <col min="261" max="261" width="20.7109375" bestFit="1" customWidth="1"/>
    <col min="262" max="262" width="25" bestFit="1" customWidth="1"/>
    <col min="263" max="263" width="12.28515625" bestFit="1" customWidth="1"/>
    <col min="264" max="264" width="13.140625" bestFit="1" customWidth="1"/>
    <col min="265" max="265" width="11.28515625" bestFit="1" customWidth="1"/>
    <col min="266" max="266" width="14.140625" bestFit="1" customWidth="1"/>
    <col min="267" max="267" width="10.140625" bestFit="1" customWidth="1"/>
    <col min="268" max="268" width="16.5703125" customWidth="1"/>
    <col min="269" max="269" width="10" customWidth="1"/>
    <col min="270" max="270" width="11" customWidth="1"/>
    <col min="513" max="513" width="36.5703125" bestFit="1" customWidth="1"/>
    <col min="514" max="514" width="15.85546875" bestFit="1" customWidth="1"/>
    <col min="515" max="515" width="13.140625" bestFit="1" customWidth="1"/>
    <col min="516" max="516" width="18" customWidth="1"/>
    <col min="517" max="517" width="20.7109375" bestFit="1" customWidth="1"/>
    <col min="518" max="518" width="25" bestFit="1" customWidth="1"/>
    <col min="519" max="519" width="12.28515625" bestFit="1" customWidth="1"/>
    <col min="520" max="520" width="13.140625" bestFit="1" customWidth="1"/>
    <col min="521" max="521" width="11.28515625" bestFit="1" customWidth="1"/>
    <col min="522" max="522" width="14.140625" bestFit="1" customWidth="1"/>
    <col min="523" max="523" width="10.140625" bestFit="1" customWidth="1"/>
    <col min="524" max="524" width="16.5703125" customWidth="1"/>
    <col min="525" max="525" width="10" customWidth="1"/>
    <col min="526" max="526" width="11" customWidth="1"/>
    <col min="769" max="769" width="36.5703125" bestFit="1" customWidth="1"/>
    <col min="770" max="770" width="15.85546875" bestFit="1" customWidth="1"/>
    <col min="771" max="771" width="13.140625" bestFit="1" customWidth="1"/>
    <col min="772" max="772" width="18" customWidth="1"/>
    <col min="773" max="773" width="20.7109375" bestFit="1" customWidth="1"/>
    <col min="774" max="774" width="25" bestFit="1" customWidth="1"/>
    <col min="775" max="775" width="12.28515625" bestFit="1" customWidth="1"/>
    <col min="776" max="776" width="13.140625" bestFit="1" customWidth="1"/>
    <col min="777" max="777" width="11.28515625" bestFit="1" customWidth="1"/>
    <col min="778" max="778" width="14.140625" bestFit="1" customWidth="1"/>
    <col min="779" max="779" width="10.140625" bestFit="1" customWidth="1"/>
    <col min="780" max="780" width="16.5703125" customWidth="1"/>
    <col min="781" max="781" width="10" customWidth="1"/>
    <col min="782" max="782" width="11" customWidth="1"/>
    <col min="1025" max="1025" width="36.5703125" bestFit="1" customWidth="1"/>
    <col min="1026" max="1026" width="15.85546875" bestFit="1" customWidth="1"/>
    <col min="1027" max="1027" width="13.140625" bestFit="1" customWidth="1"/>
    <col min="1028" max="1028" width="18" customWidth="1"/>
    <col min="1029" max="1029" width="20.7109375" bestFit="1" customWidth="1"/>
    <col min="1030" max="1030" width="25" bestFit="1" customWidth="1"/>
    <col min="1031" max="1031" width="12.28515625" bestFit="1" customWidth="1"/>
    <col min="1032" max="1032" width="13.140625" bestFit="1" customWidth="1"/>
    <col min="1033" max="1033" width="11.28515625" bestFit="1" customWidth="1"/>
    <col min="1034" max="1034" width="14.140625" bestFit="1" customWidth="1"/>
    <col min="1035" max="1035" width="10.140625" bestFit="1" customWidth="1"/>
    <col min="1036" max="1036" width="16.5703125" customWidth="1"/>
    <col min="1037" max="1037" width="10" customWidth="1"/>
    <col min="1038" max="1038" width="11" customWidth="1"/>
    <col min="1281" max="1281" width="36.5703125" bestFit="1" customWidth="1"/>
    <col min="1282" max="1282" width="15.85546875" bestFit="1" customWidth="1"/>
    <col min="1283" max="1283" width="13.140625" bestFit="1" customWidth="1"/>
    <col min="1284" max="1284" width="18" customWidth="1"/>
    <col min="1285" max="1285" width="20.7109375" bestFit="1" customWidth="1"/>
    <col min="1286" max="1286" width="25" bestFit="1" customWidth="1"/>
    <col min="1287" max="1287" width="12.28515625" bestFit="1" customWidth="1"/>
    <col min="1288" max="1288" width="13.140625" bestFit="1" customWidth="1"/>
    <col min="1289" max="1289" width="11.28515625" bestFit="1" customWidth="1"/>
    <col min="1290" max="1290" width="14.140625" bestFit="1" customWidth="1"/>
    <col min="1291" max="1291" width="10.140625" bestFit="1" customWidth="1"/>
    <col min="1292" max="1292" width="16.5703125" customWidth="1"/>
    <col min="1293" max="1293" width="10" customWidth="1"/>
    <col min="1294" max="1294" width="11" customWidth="1"/>
    <col min="1537" max="1537" width="36.5703125" bestFit="1" customWidth="1"/>
    <col min="1538" max="1538" width="15.85546875" bestFit="1" customWidth="1"/>
    <col min="1539" max="1539" width="13.140625" bestFit="1" customWidth="1"/>
    <col min="1540" max="1540" width="18" customWidth="1"/>
    <col min="1541" max="1541" width="20.7109375" bestFit="1" customWidth="1"/>
    <col min="1542" max="1542" width="25" bestFit="1" customWidth="1"/>
    <col min="1543" max="1543" width="12.28515625" bestFit="1" customWidth="1"/>
    <col min="1544" max="1544" width="13.140625" bestFit="1" customWidth="1"/>
    <col min="1545" max="1545" width="11.28515625" bestFit="1" customWidth="1"/>
    <col min="1546" max="1546" width="14.140625" bestFit="1" customWidth="1"/>
    <col min="1547" max="1547" width="10.140625" bestFit="1" customWidth="1"/>
    <col min="1548" max="1548" width="16.5703125" customWidth="1"/>
    <col min="1549" max="1549" width="10" customWidth="1"/>
    <col min="1550" max="1550" width="11" customWidth="1"/>
    <col min="1793" max="1793" width="36.5703125" bestFit="1" customWidth="1"/>
    <col min="1794" max="1794" width="15.85546875" bestFit="1" customWidth="1"/>
    <col min="1795" max="1795" width="13.140625" bestFit="1" customWidth="1"/>
    <col min="1796" max="1796" width="18" customWidth="1"/>
    <col min="1797" max="1797" width="20.7109375" bestFit="1" customWidth="1"/>
    <col min="1798" max="1798" width="25" bestFit="1" customWidth="1"/>
    <col min="1799" max="1799" width="12.28515625" bestFit="1" customWidth="1"/>
    <col min="1800" max="1800" width="13.140625" bestFit="1" customWidth="1"/>
    <col min="1801" max="1801" width="11.28515625" bestFit="1" customWidth="1"/>
    <col min="1802" max="1802" width="14.140625" bestFit="1" customWidth="1"/>
    <col min="1803" max="1803" width="10.140625" bestFit="1" customWidth="1"/>
    <col min="1804" max="1804" width="16.5703125" customWidth="1"/>
    <col min="1805" max="1805" width="10" customWidth="1"/>
    <col min="1806" max="1806" width="11" customWidth="1"/>
    <col min="2049" max="2049" width="36.5703125" bestFit="1" customWidth="1"/>
    <col min="2050" max="2050" width="15.85546875" bestFit="1" customWidth="1"/>
    <col min="2051" max="2051" width="13.140625" bestFit="1" customWidth="1"/>
    <col min="2052" max="2052" width="18" customWidth="1"/>
    <col min="2053" max="2053" width="20.7109375" bestFit="1" customWidth="1"/>
    <col min="2054" max="2054" width="25" bestFit="1" customWidth="1"/>
    <col min="2055" max="2055" width="12.28515625" bestFit="1" customWidth="1"/>
    <col min="2056" max="2056" width="13.140625" bestFit="1" customWidth="1"/>
    <col min="2057" max="2057" width="11.28515625" bestFit="1" customWidth="1"/>
    <col min="2058" max="2058" width="14.140625" bestFit="1" customWidth="1"/>
    <col min="2059" max="2059" width="10.140625" bestFit="1" customWidth="1"/>
    <col min="2060" max="2060" width="16.5703125" customWidth="1"/>
    <col min="2061" max="2061" width="10" customWidth="1"/>
    <col min="2062" max="2062" width="11" customWidth="1"/>
    <col min="2305" max="2305" width="36.5703125" bestFit="1" customWidth="1"/>
    <col min="2306" max="2306" width="15.85546875" bestFit="1" customWidth="1"/>
    <col min="2307" max="2307" width="13.140625" bestFit="1" customWidth="1"/>
    <col min="2308" max="2308" width="18" customWidth="1"/>
    <col min="2309" max="2309" width="20.7109375" bestFit="1" customWidth="1"/>
    <col min="2310" max="2310" width="25" bestFit="1" customWidth="1"/>
    <col min="2311" max="2311" width="12.28515625" bestFit="1" customWidth="1"/>
    <col min="2312" max="2312" width="13.140625" bestFit="1" customWidth="1"/>
    <col min="2313" max="2313" width="11.28515625" bestFit="1" customWidth="1"/>
    <col min="2314" max="2314" width="14.140625" bestFit="1" customWidth="1"/>
    <col min="2315" max="2315" width="10.140625" bestFit="1" customWidth="1"/>
    <col min="2316" max="2316" width="16.5703125" customWidth="1"/>
    <col min="2317" max="2317" width="10" customWidth="1"/>
    <col min="2318" max="2318" width="11" customWidth="1"/>
    <col min="2561" max="2561" width="36.5703125" bestFit="1" customWidth="1"/>
    <col min="2562" max="2562" width="15.85546875" bestFit="1" customWidth="1"/>
    <col min="2563" max="2563" width="13.140625" bestFit="1" customWidth="1"/>
    <col min="2564" max="2564" width="18" customWidth="1"/>
    <col min="2565" max="2565" width="20.7109375" bestFit="1" customWidth="1"/>
    <col min="2566" max="2566" width="25" bestFit="1" customWidth="1"/>
    <col min="2567" max="2567" width="12.28515625" bestFit="1" customWidth="1"/>
    <col min="2568" max="2568" width="13.140625" bestFit="1" customWidth="1"/>
    <col min="2569" max="2569" width="11.28515625" bestFit="1" customWidth="1"/>
    <col min="2570" max="2570" width="14.140625" bestFit="1" customWidth="1"/>
    <col min="2571" max="2571" width="10.140625" bestFit="1" customWidth="1"/>
    <col min="2572" max="2572" width="16.5703125" customWidth="1"/>
    <col min="2573" max="2573" width="10" customWidth="1"/>
    <col min="2574" max="2574" width="11" customWidth="1"/>
    <col min="2817" max="2817" width="36.5703125" bestFit="1" customWidth="1"/>
    <col min="2818" max="2818" width="15.85546875" bestFit="1" customWidth="1"/>
    <col min="2819" max="2819" width="13.140625" bestFit="1" customWidth="1"/>
    <col min="2820" max="2820" width="18" customWidth="1"/>
    <col min="2821" max="2821" width="20.7109375" bestFit="1" customWidth="1"/>
    <col min="2822" max="2822" width="25" bestFit="1" customWidth="1"/>
    <col min="2823" max="2823" width="12.28515625" bestFit="1" customWidth="1"/>
    <col min="2824" max="2824" width="13.140625" bestFit="1" customWidth="1"/>
    <col min="2825" max="2825" width="11.28515625" bestFit="1" customWidth="1"/>
    <col min="2826" max="2826" width="14.140625" bestFit="1" customWidth="1"/>
    <col min="2827" max="2827" width="10.140625" bestFit="1" customWidth="1"/>
    <col min="2828" max="2828" width="16.5703125" customWidth="1"/>
    <col min="2829" max="2829" width="10" customWidth="1"/>
    <col min="2830" max="2830" width="11" customWidth="1"/>
    <col min="3073" max="3073" width="36.5703125" bestFit="1" customWidth="1"/>
    <col min="3074" max="3074" width="15.85546875" bestFit="1" customWidth="1"/>
    <col min="3075" max="3075" width="13.140625" bestFit="1" customWidth="1"/>
    <col min="3076" max="3076" width="18" customWidth="1"/>
    <col min="3077" max="3077" width="20.7109375" bestFit="1" customWidth="1"/>
    <col min="3078" max="3078" width="25" bestFit="1" customWidth="1"/>
    <col min="3079" max="3079" width="12.28515625" bestFit="1" customWidth="1"/>
    <col min="3080" max="3080" width="13.140625" bestFit="1" customWidth="1"/>
    <col min="3081" max="3081" width="11.28515625" bestFit="1" customWidth="1"/>
    <col min="3082" max="3082" width="14.140625" bestFit="1" customWidth="1"/>
    <col min="3083" max="3083" width="10.140625" bestFit="1" customWidth="1"/>
    <col min="3084" max="3084" width="16.5703125" customWidth="1"/>
    <col min="3085" max="3085" width="10" customWidth="1"/>
    <col min="3086" max="3086" width="11" customWidth="1"/>
    <col min="3329" max="3329" width="36.5703125" bestFit="1" customWidth="1"/>
    <col min="3330" max="3330" width="15.85546875" bestFit="1" customWidth="1"/>
    <col min="3331" max="3331" width="13.140625" bestFit="1" customWidth="1"/>
    <col min="3332" max="3332" width="18" customWidth="1"/>
    <col min="3333" max="3333" width="20.7109375" bestFit="1" customWidth="1"/>
    <col min="3334" max="3334" width="25" bestFit="1" customWidth="1"/>
    <col min="3335" max="3335" width="12.28515625" bestFit="1" customWidth="1"/>
    <col min="3336" max="3336" width="13.140625" bestFit="1" customWidth="1"/>
    <col min="3337" max="3337" width="11.28515625" bestFit="1" customWidth="1"/>
    <col min="3338" max="3338" width="14.140625" bestFit="1" customWidth="1"/>
    <col min="3339" max="3339" width="10.140625" bestFit="1" customWidth="1"/>
    <col min="3340" max="3340" width="16.5703125" customWidth="1"/>
    <col min="3341" max="3341" width="10" customWidth="1"/>
    <col min="3342" max="3342" width="11" customWidth="1"/>
    <col min="3585" max="3585" width="36.5703125" bestFit="1" customWidth="1"/>
    <col min="3586" max="3586" width="15.85546875" bestFit="1" customWidth="1"/>
    <col min="3587" max="3587" width="13.140625" bestFit="1" customWidth="1"/>
    <col min="3588" max="3588" width="18" customWidth="1"/>
    <col min="3589" max="3589" width="20.7109375" bestFit="1" customWidth="1"/>
    <col min="3590" max="3590" width="25" bestFit="1" customWidth="1"/>
    <col min="3591" max="3591" width="12.28515625" bestFit="1" customWidth="1"/>
    <col min="3592" max="3592" width="13.140625" bestFit="1" customWidth="1"/>
    <col min="3593" max="3593" width="11.28515625" bestFit="1" customWidth="1"/>
    <col min="3594" max="3594" width="14.140625" bestFit="1" customWidth="1"/>
    <col min="3595" max="3595" width="10.140625" bestFit="1" customWidth="1"/>
    <col min="3596" max="3596" width="16.5703125" customWidth="1"/>
    <col min="3597" max="3597" width="10" customWidth="1"/>
    <col min="3598" max="3598" width="11" customWidth="1"/>
    <col min="3841" max="3841" width="36.5703125" bestFit="1" customWidth="1"/>
    <col min="3842" max="3842" width="15.85546875" bestFit="1" customWidth="1"/>
    <col min="3843" max="3843" width="13.140625" bestFit="1" customWidth="1"/>
    <col min="3844" max="3844" width="18" customWidth="1"/>
    <col min="3845" max="3845" width="20.7109375" bestFit="1" customWidth="1"/>
    <col min="3846" max="3846" width="25" bestFit="1" customWidth="1"/>
    <col min="3847" max="3847" width="12.28515625" bestFit="1" customWidth="1"/>
    <col min="3848" max="3848" width="13.140625" bestFit="1" customWidth="1"/>
    <col min="3849" max="3849" width="11.28515625" bestFit="1" customWidth="1"/>
    <col min="3850" max="3850" width="14.140625" bestFit="1" customWidth="1"/>
    <col min="3851" max="3851" width="10.140625" bestFit="1" customWidth="1"/>
    <col min="3852" max="3852" width="16.5703125" customWidth="1"/>
    <col min="3853" max="3853" width="10" customWidth="1"/>
    <col min="3854" max="3854" width="11" customWidth="1"/>
    <col min="4097" max="4097" width="36.5703125" bestFit="1" customWidth="1"/>
    <col min="4098" max="4098" width="15.85546875" bestFit="1" customWidth="1"/>
    <col min="4099" max="4099" width="13.140625" bestFit="1" customWidth="1"/>
    <col min="4100" max="4100" width="18" customWidth="1"/>
    <col min="4101" max="4101" width="20.7109375" bestFit="1" customWidth="1"/>
    <col min="4102" max="4102" width="25" bestFit="1" customWidth="1"/>
    <col min="4103" max="4103" width="12.28515625" bestFit="1" customWidth="1"/>
    <col min="4104" max="4104" width="13.140625" bestFit="1" customWidth="1"/>
    <col min="4105" max="4105" width="11.28515625" bestFit="1" customWidth="1"/>
    <col min="4106" max="4106" width="14.140625" bestFit="1" customWidth="1"/>
    <col min="4107" max="4107" width="10.140625" bestFit="1" customWidth="1"/>
    <col min="4108" max="4108" width="16.5703125" customWidth="1"/>
    <col min="4109" max="4109" width="10" customWidth="1"/>
    <col min="4110" max="4110" width="11" customWidth="1"/>
    <col min="4353" max="4353" width="36.5703125" bestFit="1" customWidth="1"/>
    <col min="4354" max="4354" width="15.85546875" bestFit="1" customWidth="1"/>
    <col min="4355" max="4355" width="13.140625" bestFit="1" customWidth="1"/>
    <col min="4356" max="4356" width="18" customWidth="1"/>
    <col min="4357" max="4357" width="20.7109375" bestFit="1" customWidth="1"/>
    <col min="4358" max="4358" width="25" bestFit="1" customWidth="1"/>
    <col min="4359" max="4359" width="12.28515625" bestFit="1" customWidth="1"/>
    <col min="4360" max="4360" width="13.140625" bestFit="1" customWidth="1"/>
    <col min="4361" max="4361" width="11.28515625" bestFit="1" customWidth="1"/>
    <col min="4362" max="4362" width="14.140625" bestFit="1" customWidth="1"/>
    <col min="4363" max="4363" width="10.140625" bestFit="1" customWidth="1"/>
    <col min="4364" max="4364" width="16.5703125" customWidth="1"/>
    <col min="4365" max="4365" width="10" customWidth="1"/>
    <col min="4366" max="4366" width="11" customWidth="1"/>
    <col min="4609" max="4609" width="36.5703125" bestFit="1" customWidth="1"/>
    <col min="4610" max="4610" width="15.85546875" bestFit="1" customWidth="1"/>
    <col min="4611" max="4611" width="13.140625" bestFit="1" customWidth="1"/>
    <col min="4612" max="4612" width="18" customWidth="1"/>
    <col min="4613" max="4613" width="20.7109375" bestFit="1" customWidth="1"/>
    <col min="4614" max="4614" width="25" bestFit="1" customWidth="1"/>
    <col min="4615" max="4615" width="12.28515625" bestFit="1" customWidth="1"/>
    <col min="4616" max="4616" width="13.140625" bestFit="1" customWidth="1"/>
    <col min="4617" max="4617" width="11.28515625" bestFit="1" customWidth="1"/>
    <col min="4618" max="4618" width="14.140625" bestFit="1" customWidth="1"/>
    <col min="4619" max="4619" width="10.140625" bestFit="1" customWidth="1"/>
    <col min="4620" max="4620" width="16.5703125" customWidth="1"/>
    <col min="4621" max="4621" width="10" customWidth="1"/>
    <col min="4622" max="4622" width="11" customWidth="1"/>
    <col min="4865" max="4865" width="36.5703125" bestFit="1" customWidth="1"/>
    <col min="4866" max="4866" width="15.85546875" bestFit="1" customWidth="1"/>
    <col min="4867" max="4867" width="13.140625" bestFit="1" customWidth="1"/>
    <col min="4868" max="4868" width="18" customWidth="1"/>
    <col min="4869" max="4869" width="20.7109375" bestFit="1" customWidth="1"/>
    <col min="4870" max="4870" width="25" bestFit="1" customWidth="1"/>
    <col min="4871" max="4871" width="12.28515625" bestFit="1" customWidth="1"/>
    <col min="4872" max="4872" width="13.140625" bestFit="1" customWidth="1"/>
    <col min="4873" max="4873" width="11.28515625" bestFit="1" customWidth="1"/>
    <col min="4874" max="4874" width="14.140625" bestFit="1" customWidth="1"/>
    <col min="4875" max="4875" width="10.140625" bestFit="1" customWidth="1"/>
    <col min="4876" max="4876" width="16.5703125" customWidth="1"/>
    <col min="4877" max="4877" width="10" customWidth="1"/>
    <col min="4878" max="4878" width="11" customWidth="1"/>
    <col min="5121" max="5121" width="36.5703125" bestFit="1" customWidth="1"/>
    <col min="5122" max="5122" width="15.85546875" bestFit="1" customWidth="1"/>
    <col min="5123" max="5123" width="13.140625" bestFit="1" customWidth="1"/>
    <col min="5124" max="5124" width="18" customWidth="1"/>
    <col min="5125" max="5125" width="20.7109375" bestFit="1" customWidth="1"/>
    <col min="5126" max="5126" width="25" bestFit="1" customWidth="1"/>
    <col min="5127" max="5127" width="12.28515625" bestFit="1" customWidth="1"/>
    <col min="5128" max="5128" width="13.140625" bestFit="1" customWidth="1"/>
    <col min="5129" max="5129" width="11.28515625" bestFit="1" customWidth="1"/>
    <col min="5130" max="5130" width="14.140625" bestFit="1" customWidth="1"/>
    <col min="5131" max="5131" width="10.140625" bestFit="1" customWidth="1"/>
    <col min="5132" max="5132" width="16.5703125" customWidth="1"/>
    <col min="5133" max="5133" width="10" customWidth="1"/>
    <col min="5134" max="5134" width="11" customWidth="1"/>
    <col min="5377" max="5377" width="36.5703125" bestFit="1" customWidth="1"/>
    <col min="5378" max="5378" width="15.85546875" bestFit="1" customWidth="1"/>
    <col min="5379" max="5379" width="13.140625" bestFit="1" customWidth="1"/>
    <col min="5380" max="5380" width="18" customWidth="1"/>
    <col min="5381" max="5381" width="20.7109375" bestFit="1" customWidth="1"/>
    <col min="5382" max="5382" width="25" bestFit="1" customWidth="1"/>
    <col min="5383" max="5383" width="12.28515625" bestFit="1" customWidth="1"/>
    <col min="5384" max="5384" width="13.140625" bestFit="1" customWidth="1"/>
    <col min="5385" max="5385" width="11.28515625" bestFit="1" customWidth="1"/>
    <col min="5386" max="5386" width="14.140625" bestFit="1" customWidth="1"/>
    <col min="5387" max="5387" width="10.140625" bestFit="1" customWidth="1"/>
    <col min="5388" max="5388" width="16.5703125" customWidth="1"/>
    <col min="5389" max="5389" width="10" customWidth="1"/>
    <col min="5390" max="5390" width="11" customWidth="1"/>
    <col min="5633" max="5633" width="36.5703125" bestFit="1" customWidth="1"/>
    <col min="5634" max="5634" width="15.85546875" bestFit="1" customWidth="1"/>
    <col min="5635" max="5635" width="13.140625" bestFit="1" customWidth="1"/>
    <col min="5636" max="5636" width="18" customWidth="1"/>
    <col min="5637" max="5637" width="20.7109375" bestFit="1" customWidth="1"/>
    <col min="5638" max="5638" width="25" bestFit="1" customWidth="1"/>
    <col min="5639" max="5639" width="12.28515625" bestFit="1" customWidth="1"/>
    <col min="5640" max="5640" width="13.140625" bestFit="1" customWidth="1"/>
    <col min="5641" max="5641" width="11.28515625" bestFit="1" customWidth="1"/>
    <col min="5642" max="5642" width="14.140625" bestFit="1" customWidth="1"/>
    <col min="5643" max="5643" width="10.140625" bestFit="1" customWidth="1"/>
    <col min="5644" max="5644" width="16.5703125" customWidth="1"/>
    <col min="5645" max="5645" width="10" customWidth="1"/>
    <col min="5646" max="5646" width="11" customWidth="1"/>
    <col min="5889" max="5889" width="36.5703125" bestFit="1" customWidth="1"/>
    <col min="5890" max="5890" width="15.85546875" bestFit="1" customWidth="1"/>
    <col min="5891" max="5891" width="13.140625" bestFit="1" customWidth="1"/>
    <col min="5892" max="5892" width="18" customWidth="1"/>
    <col min="5893" max="5893" width="20.7109375" bestFit="1" customWidth="1"/>
    <col min="5894" max="5894" width="25" bestFit="1" customWidth="1"/>
    <col min="5895" max="5895" width="12.28515625" bestFit="1" customWidth="1"/>
    <col min="5896" max="5896" width="13.140625" bestFit="1" customWidth="1"/>
    <col min="5897" max="5897" width="11.28515625" bestFit="1" customWidth="1"/>
    <col min="5898" max="5898" width="14.140625" bestFit="1" customWidth="1"/>
    <col min="5899" max="5899" width="10.140625" bestFit="1" customWidth="1"/>
    <col min="5900" max="5900" width="16.5703125" customWidth="1"/>
    <col min="5901" max="5901" width="10" customWidth="1"/>
    <col min="5902" max="5902" width="11" customWidth="1"/>
    <col min="6145" max="6145" width="36.5703125" bestFit="1" customWidth="1"/>
    <col min="6146" max="6146" width="15.85546875" bestFit="1" customWidth="1"/>
    <col min="6147" max="6147" width="13.140625" bestFit="1" customWidth="1"/>
    <col min="6148" max="6148" width="18" customWidth="1"/>
    <col min="6149" max="6149" width="20.7109375" bestFit="1" customWidth="1"/>
    <col min="6150" max="6150" width="25" bestFit="1" customWidth="1"/>
    <col min="6151" max="6151" width="12.28515625" bestFit="1" customWidth="1"/>
    <col min="6152" max="6152" width="13.140625" bestFit="1" customWidth="1"/>
    <col min="6153" max="6153" width="11.28515625" bestFit="1" customWidth="1"/>
    <col min="6154" max="6154" width="14.140625" bestFit="1" customWidth="1"/>
    <col min="6155" max="6155" width="10.140625" bestFit="1" customWidth="1"/>
    <col min="6156" max="6156" width="16.5703125" customWidth="1"/>
    <col min="6157" max="6157" width="10" customWidth="1"/>
    <col min="6158" max="6158" width="11" customWidth="1"/>
    <col min="6401" max="6401" width="36.5703125" bestFit="1" customWidth="1"/>
    <col min="6402" max="6402" width="15.85546875" bestFit="1" customWidth="1"/>
    <col min="6403" max="6403" width="13.140625" bestFit="1" customWidth="1"/>
    <col min="6404" max="6404" width="18" customWidth="1"/>
    <col min="6405" max="6405" width="20.7109375" bestFit="1" customWidth="1"/>
    <col min="6406" max="6406" width="25" bestFit="1" customWidth="1"/>
    <col min="6407" max="6407" width="12.28515625" bestFit="1" customWidth="1"/>
    <col min="6408" max="6408" width="13.140625" bestFit="1" customWidth="1"/>
    <col min="6409" max="6409" width="11.28515625" bestFit="1" customWidth="1"/>
    <col min="6410" max="6410" width="14.140625" bestFit="1" customWidth="1"/>
    <col min="6411" max="6411" width="10.140625" bestFit="1" customWidth="1"/>
    <col min="6412" max="6412" width="16.5703125" customWidth="1"/>
    <col min="6413" max="6413" width="10" customWidth="1"/>
    <col min="6414" max="6414" width="11" customWidth="1"/>
    <col min="6657" max="6657" width="36.5703125" bestFit="1" customWidth="1"/>
    <col min="6658" max="6658" width="15.85546875" bestFit="1" customWidth="1"/>
    <col min="6659" max="6659" width="13.140625" bestFit="1" customWidth="1"/>
    <col min="6660" max="6660" width="18" customWidth="1"/>
    <col min="6661" max="6661" width="20.7109375" bestFit="1" customWidth="1"/>
    <col min="6662" max="6662" width="25" bestFit="1" customWidth="1"/>
    <col min="6663" max="6663" width="12.28515625" bestFit="1" customWidth="1"/>
    <col min="6664" max="6664" width="13.140625" bestFit="1" customWidth="1"/>
    <col min="6665" max="6665" width="11.28515625" bestFit="1" customWidth="1"/>
    <col min="6666" max="6666" width="14.140625" bestFit="1" customWidth="1"/>
    <col min="6667" max="6667" width="10.140625" bestFit="1" customWidth="1"/>
    <col min="6668" max="6668" width="16.5703125" customWidth="1"/>
    <col min="6669" max="6669" width="10" customWidth="1"/>
    <col min="6670" max="6670" width="11" customWidth="1"/>
    <col min="6913" max="6913" width="36.5703125" bestFit="1" customWidth="1"/>
    <col min="6914" max="6914" width="15.85546875" bestFit="1" customWidth="1"/>
    <col min="6915" max="6915" width="13.140625" bestFit="1" customWidth="1"/>
    <col min="6916" max="6916" width="18" customWidth="1"/>
    <col min="6917" max="6917" width="20.7109375" bestFit="1" customWidth="1"/>
    <col min="6918" max="6918" width="25" bestFit="1" customWidth="1"/>
    <col min="6919" max="6919" width="12.28515625" bestFit="1" customWidth="1"/>
    <col min="6920" max="6920" width="13.140625" bestFit="1" customWidth="1"/>
    <col min="6921" max="6921" width="11.28515625" bestFit="1" customWidth="1"/>
    <col min="6922" max="6922" width="14.140625" bestFit="1" customWidth="1"/>
    <col min="6923" max="6923" width="10.140625" bestFit="1" customWidth="1"/>
    <col min="6924" max="6924" width="16.5703125" customWidth="1"/>
    <col min="6925" max="6925" width="10" customWidth="1"/>
    <col min="6926" max="6926" width="11" customWidth="1"/>
    <col min="7169" max="7169" width="36.5703125" bestFit="1" customWidth="1"/>
    <col min="7170" max="7170" width="15.85546875" bestFit="1" customWidth="1"/>
    <col min="7171" max="7171" width="13.140625" bestFit="1" customWidth="1"/>
    <col min="7172" max="7172" width="18" customWidth="1"/>
    <col min="7173" max="7173" width="20.7109375" bestFit="1" customWidth="1"/>
    <col min="7174" max="7174" width="25" bestFit="1" customWidth="1"/>
    <col min="7175" max="7175" width="12.28515625" bestFit="1" customWidth="1"/>
    <col min="7176" max="7176" width="13.140625" bestFit="1" customWidth="1"/>
    <col min="7177" max="7177" width="11.28515625" bestFit="1" customWidth="1"/>
    <col min="7178" max="7178" width="14.140625" bestFit="1" customWidth="1"/>
    <col min="7179" max="7179" width="10.140625" bestFit="1" customWidth="1"/>
    <col min="7180" max="7180" width="16.5703125" customWidth="1"/>
    <col min="7181" max="7181" width="10" customWidth="1"/>
    <col min="7182" max="7182" width="11" customWidth="1"/>
    <col min="7425" max="7425" width="36.5703125" bestFit="1" customWidth="1"/>
    <col min="7426" max="7426" width="15.85546875" bestFit="1" customWidth="1"/>
    <col min="7427" max="7427" width="13.140625" bestFit="1" customWidth="1"/>
    <col min="7428" max="7428" width="18" customWidth="1"/>
    <col min="7429" max="7429" width="20.7109375" bestFit="1" customWidth="1"/>
    <col min="7430" max="7430" width="25" bestFit="1" customWidth="1"/>
    <col min="7431" max="7431" width="12.28515625" bestFit="1" customWidth="1"/>
    <col min="7432" max="7432" width="13.140625" bestFit="1" customWidth="1"/>
    <col min="7433" max="7433" width="11.28515625" bestFit="1" customWidth="1"/>
    <col min="7434" max="7434" width="14.140625" bestFit="1" customWidth="1"/>
    <col min="7435" max="7435" width="10.140625" bestFit="1" customWidth="1"/>
    <col min="7436" max="7436" width="16.5703125" customWidth="1"/>
    <col min="7437" max="7437" width="10" customWidth="1"/>
    <col min="7438" max="7438" width="11" customWidth="1"/>
    <col min="7681" max="7681" width="36.5703125" bestFit="1" customWidth="1"/>
    <col min="7682" max="7682" width="15.85546875" bestFit="1" customWidth="1"/>
    <col min="7683" max="7683" width="13.140625" bestFit="1" customWidth="1"/>
    <col min="7684" max="7684" width="18" customWidth="1"/>
    <col min="7685" max="7685" width="20.7109375" bestFit="1" customWidth="1"/>
    <col min="7686" max="7686" width="25" bestFit="1" customWidth="1"/>
    <col min="7687" max="7687" width="12.28515625" bestFit="1" customWidth="1"/>
    <col min="7688" max="7688" width="13.140625" bestFit="1" customWidth="1"/>
    <col min="7689" max="7689" width="11.28515625" bestFit="1" customWidth="1"/>
    <col min="7690" max="7690" width="14.140625" bestFit="1" customWidth="1"/>
    <col min="7691" max="7691" width="10.140625" bestFit="1" customWidth="1"/>
    <col min="7692" max="7692" width="16.5703125" customWidth="1"/>
    <col min="7693" max="7693" width="10" customWidth="1"/>
    <col min="7694" max="7694" width="11" customWidth="1"/>
    <col min="7937" max="7937" width="36.5703125" bestFit="1" customWidth="1"/>
    <col min="7938" max="7938" width="15.85546875" bestFit="1" customWidth="1"/>
    <col min="7939" max="7939" width="13.140625" bestFit="1" customWidth="1"/>
    <col min="7940" max="7940" width="18" customWidth="1"/>
    <col min="7941" max="7941" width="20.7109375" bestFit="1" customWidth="1"/>
    <col min="7942" max="7942" width="25" bestFit="1" customWidth="1"/>
    <col min="7943" max="7943" width="12.28515625" bestFit="1" customWidth="1"/>
    <col min="7944" max="7944" width="13.140625" bestFit="1" customWidth="1"/>
    <col min="7945" max="7945" width="11.28515625" bestFit="1" customWidth="1"/>
    <col min="7946" max="7946" width="14.140625" bestFit="1" customWidth="1"/>
    <col min="7947" max="7947" width="10.140625" bestFit="1" customWidth="1"/>
    <col min="7948" max="7948" width="16.5703125" customWidth="1"/>
    <col min="7949" max="7949" width="10" customWidth="1"/>
    <col min="7950" max="7950" width="11" customWidth="1"/>
    <col min="8193" max="8193" width="36.5703125" bestFit="1" customWidth="1"/>
    <col min="8194" max="8194" width="15.85546875" bestFit="1" customWidth="1"/>
    <col min="8195" max="8195" width="13.140625" bestFit="1" customWidth="1"/>
    <col min="8196" max="8196" width="18" customWidth="1"/>
    <col min="8197" max="8197" width="20.7109375" bestFit="1" customWidth="1"/>
    <col min="8198" max="8198" width="25" bestFit="1" customWidth="1"/>
    <col min="8199" max="8199" width="12.28515625" bestFit="1" customWidth="1"/>
    <col min="8200" max="8200" width="13.140625" bestFit="1" customWidth="1"/>
    <col min="8201" max="8201" width="11.28515625" bestFit="1" customWidth="1"/>
    <col min="8202" max="8202" width="14.140625" bestFit="1" customWidth="1"/>
    <col min="8203" max="8203" width="10.140625" bestFit="1" customWidth="1"/>
    <col min="8204" max="8204" width="16.5703125" customWidth="1"/>
    <col min="8205" max="8205" width="10" customWidth="1"/>
    <col min="8206" max="8206" width="11" customWidth="1"/>
    <col min="8449" max="8449" width="36.5703125" bestFit="1" customWidth="1"/>
    <col min="8450" max="8450" width="15.85546875" bestFit="1" customWidth="1"/>
    <col min="8451" max="8451" width="13.140625" bestFit="1" customWidth="1"/>
    <col min="8452" max="8452" width="18" customWidth="1"/>
    <col min="8453" max="8453" width="20.7109375" bestFit="1" customWidth="1"/>
    <col min="8454" max="8454" width="25" bestFit="1" customWidth="1"/>
    <col min="8455" max="8455" width="12.28515625" bestFit="1" customWidth="1"/>
    <col min="8456" max="8456" width="13.140625" bestFit="1" customWidth="1"/>
    <col min="8457" max="8457" width="11.28515625" bestFit="1" customWidth="1"/>
    <col min="8458" max="8458" width="14.140625" bestFit="1" customWidth="1"/>
    <col min="8459" max="8459" width="10.140625" bestFit="1" customWidth="1"/>
    <col min="8460" max="8460" width="16.5703125" customWidth="1"/>
    <col min="8461" max="8461" width="10" customWidth="1"/>
    <col min="8462" max="8462" width="11" customWidth="1"/>
    <col min="8705" max="8705" width="36.5703125" bestFit="1" customWidth="1"/>
    <col min="8706" max="8706" width="15.85546875" bestFit="1" customWidth="1"/>
    <col min="8707" max="8707" width="13.140625" bestFit="1" customWidth="1"/>
    <col min="8708" max="8708" width="18" customWidth="1"/>
    <col min="8709" max="8709" width="20.7109375" bestFit="1" customWidth="1"/>
    <col min="8710" max="8710" width="25" bestFit="1" customWidth="1"/>
    <col min="8711" max="8711" width="12.28515625" bestFit="1" customWidth="1"/>
    <col min="8712" max="8712" width="13.140625" bestFit="1" customWidth="1"/>
    <col min="8713" max="8713" width="11.28515625" bestFit="1" customWidth="1"/>
    <col min="8714" max="8714" width="14.140625" bestFit="1" customWidth="1"/>
    <col min="8715" max="8715" width="10.140625" bestFit="1" customWidth="1"/>
    <col min="8716" max="8716" width="16.5703125" customWidth="1"/>
    <col min="8717" max="8717" width="10" customWidth="1"/>
    <col min="8718" max="8718" width="11" customWidth="1"/>
    <col min="8961" max="8961" width="36.5703125" bestFit="1" customWidth="1"/>
    <col min="8962" max="8962" width="15.85546875" bestFit="1" customWidth="1"/>
    <col min="8963" max="8963" width="13.140625" bestFit="1" customWidth="1"/>
    <col min="8964" max="8964" width="18" customWidth="1"/>
    <col min="8965" max="8965" width="20.7109375" bestFit="1" customWidth="1"/>
    <col min="8966" max="8966" width="25" bestFit="1" customWidth="1"/>
    <col min="8967" max="8967" width="12.28515625" bestFit="1" customWidth="1"/>
    <col min="8968" max="8968" width="13.140625" bestFit="1" customWidth="1"/>
    <col min="8969" max="8969" width="11.28515625" bestFit="1" customWidth="1"/>
    <col min="8970" max="8970" width="14.140625" bestFit="1" customWidth="1"/>
    <col min="8971" max="8971" width="10.140625" bestFit="1" customWidth="1"/>
    <col min="8972" max="8972" width="16.5703125" customWidth="1"/>
    <col min="8973" max="8973" width="10" customWidth="1"/>
    <col min="8974" max="8974" width="11" customWidth="1"/>
    <col min="9217" max="9217" width="36.5703125" bestFit="1" customWidth="1"/>
    <col min="9218" max="9218" width="15.85546875" bestFit="1" customWidth="1"/>
    <col min="9219" max="9219" width="13.140625" bestFit="1" customWidth="1"/>
    <col min="9220" max="9220" width="18" customWidth="1"/>
    <col min="9221" max="9221" width="20.7109375" bestFit="1" customWidth="1"/>
    <col min="9222" max="9222" width="25" bestFit="1" customWidth="1"/>
    <col min="9223" max="9223" width="12.28515625" bestFit="1" customWidth="1"/>
    <col min="9224" max="9224" width="13.140625" bestFit="1" customWidth="1"/>
    <col min="9225" max="9225" width="11.28515625" bestFit="1" customWidth="1"/>
    <col min="9226" max="9226" width="14.140625" bestFit="1" customWidth="1"/>
    <col min="9227" max="9227" width="10.140625" bestFit="1" customWidth="1"/>
    <col min="9228" max="9228" width="16.5703125" customWidth="1"/>
    <col min="9229" max="9229" width="10" customWidth="1"/>
    <col min="9230" max="9230" width="11" customWidth="1"/>
    <col min="9473" max="9473" width="36.5703125" bestFit="1" customWidth="1"/>
    <col min="9474" max="9474" width="15.85546875" bestFit="1" customWidth="1"/>
    <col min="9475" max="9475" width="13.140625" bestFit="1" customWidth="1"/>
    <col min="9476" max="9476" width="18" customWidth="1"/>
    <col min="9477" max="9477" width="20.7109375" bestFit="1" customWidth="1"/>
    <col min="9478" max="9478" width="25" bestFit="1" customWidth="1"/>
    <col min="9479" max="9479" width="12.28515625" bestFit="1" customWidth="1"/>
    <col min="9480" max="9480" width="13.140625" bestFit="1" customWidth="1"/>
    <col min="9481" max="9481" width="11.28515625" bestFit="1" customWidth="1"/>
    <col min="9482" max="9482" width="14.140625" bestFit="1" customWidth="1"/>
    <col min="9483" max="9483" width="10.140625" bestFit="1" customWidth="1"/>
    <col min="9484" max="9484" width="16.5703125" customWidth="1"/>
    <col min="9485" max="9485" width="10" customWidth="1"/>
    <col min="9486" max="9486" width="11" customWidth="1"/>
    <col min="9729" max="9729" width="36.5703125" bestFit="1" customWidth="1"/>
    <col min="9730" max="9730" width="15.85546875" bestFit="1" customWidth="1"/>
    <col min="9731" max="9731" width="13.140625" bestFit="1" customWidth="1"/>
    <col min="9732" max="9732" width="18" customWidth="1"/>
    <col min="9733" max="9733" width="20.7109375" bestFit="1" customWidth="1"/>
    <col min="9734" max="9734" width="25" bestFit="1" customWidth="1"/>
    <col min="9735" max="9735" width="12.28515625" bestFit="1" customWidth="1"/>
    <col min="9736" max="9736" width="13.140625" bestFit="1" customWidth="1"/>
    <col min="9737" max="9737" width="11.28515625" bestFit="1" customWidth="1"/>
    <col min="9738" max="9738" width="14.140625" bestFit="1" customWidth="1"/>
    <col min="9739" max="9739" width="10.140625" bestFit="1" customWidth="1"/>
    <col min="9740" max="9740" width="16.5703125" customWidth="1"/>
    <col min="9741" max="9741" width="10" customWidth="1"/>
    <col min="9742" max="9742" width="11" customWidth="1"/>
    <col min="9985" max="9985" width="36.5703125" bestFit="1" customWidth="1"/>
    <col min="9986" max="9986" width="15.85546875" bestFit="1" customWidth="1"/>
    <col min="9987" max="9987" width="13.140625" bestFit="1" customWidth="1"/>
    <col min="9988" max="9988" width="18" customWidth="1"/>
    <col min="9989" max="9989" width="20.7109375" bestFit="1" customWidth="1"/>
    <col min="9990" max="9990" width="25" bestFit="1" customWidth="1"/>
    <col min="9991" max="9991" width="12.28515625" bestFit="1" customWidth="1"/>
    <col min="9992" max="9992" width="13.140625" bestFit="1" customWidth="1"/>
    <col min="9993" max="9993" width="11.28515625" bestFit="1" customWidth="1"/>
    <col min="9994" max="9994" width="14.140625" bestFit="1" customWidth="1"/>
    <col min="9995" max="9995" width="10.140625" bestFit="1" customWidth="1"/>
    <col min="9996" max="9996" width="16.5703125" customWidth="1"/>
    <col min="9997" max="9997" width="10" customWidth="1"/>
    <col min="9998" max="9998" width="11" customWidth="1"/>
    <col min="10241" max="10241" width="36.5703125" bestFit="1" customWidth="1"/>
    <col min="10242" max="10242" width="15.85546875" bestFit="1" customWidth="1"/>
    <col min="10243" max="10243" width="13.140625" bestFit="1" customWidth="1"/>
    <col min="10244" max="10244" width="18" customWidth="1"/>
    <col min="10245" max="10245" width="20.7109375" bestFit="1" customWidth="1"/>
    <col min="10246" max="10246" width="25" bestFit="1" customWidth="1"/>
    <col min="10247" max="10247" width="12.28515625" bestFit="1" customWidth="1"/>
    <col min="10248" max="10248" width="13.140625" bestFit="1" customWidth="1"/>
    <col min="10249" max="10249" width="11.28515625" bestFit="1" customWidth="1"/>
    <col min="10250" max="10250" width="14.140625" bestFit="1" customWidth="1"/>
    <col min="10251" max="10251" width="10.140625" bestFit="1" customWidth="1"/>
    <col min="10252" max="10252" width="16.5703125" customWidth="1"/>
    <col min="10253" max="10253" width="10" customWidth="1"/>
    <col min="10254" max="10254" width="11" customWidth="1"/>
    <col min="10497" max="10497" width="36.5703125" bestFit="1" customWidth="1"/>
    <col min="10498" max="10498" width="15.85546875" bestFit="1" customWidth="1"/>
    <col min="10499" max="10499" width="13.140625" bestFit="1" customWidth="1"/>
    <col min="10500" max="10500" width="18" customWidth="1"/>
    <col min="10501" max="10501" width="20.7109375" bestFit="1" customWidth="1"/>
    <col min="10502" max="10502" width="25" bestFit="1" customWidth="1"/>
    <col min="10503" max="10503" width="12.28515625" bestFit="1" customWidth="1"/>
    <col min="10504" max="10504" width="13.140625" bestFit="1" customWidth="1"/>
    <col min="10505" max="10505" width="11.28515625" bestFit="1" customWidth="1"/>
    <col min="10506" max="10506" width="14.140625" bestFit="1" customWidth="1"/>
    <col min="10507" max="10507" width="10.140625" bestFit="1" customWidth="1"/>
    <col min="10508" max="10508" width="16.5703125" customWidth="1"/>
    <col min="10509" max="10509" width="10" customWidth="1"/>
    <col min="10510" max="10510" width="11" customWidth="1"/>
    <col min="10753" max="10753" width="36.5703125" bestFit="1" customWidth="1"/>
    <col min="10754" max="10754" width="15.85546875" bestFit="1" customWidth="1"/>
    <col min="10755" max="10755" width="13.140625" bestFit="1" customWidth="1"/>
    <col min="10756" max="10756" width="18" customWidth="1"/>
    <col min="10757" max="10757" width="20.7109375" bestFit="1" customWidth="1"/>
    <col min="10758" max="10758" width="25" bestFit="1" customWidth="1"/>
    <col min="10759" max="10759" width="12.28515625" bestFit="1" customWidth="1"/>
    <col min="10760" max="10760" width="13.140625" bestFit="1" customWidth="1"/>
    <col min="10761" max="10761" width="11.28515625" bestFit="1" customWidth="1"/>
    <col min="10762" max="10762" width="14.140625" bestFit="1" customWidth="1"/>
    <col min="10763" max="10763" width="10.140625" bestFit="1" customWidth="1"/>
    <col min="10764" max="10764" width="16.5703125" customWidth="1"/>
    <col min="10765" max="10765" width="10" customWidth="1"/>
    <col min="10766" max="10766" width="11" customWidth="1"/>
    <col min="11009" max="11009" width="36.5703125" bestFit="1" customWidth="1"/>
    <col min="11010" max="11010" width="15.85546875" bestFit="1" customWidth="1"/>
    <col min="11011" max="11011" width="13.140625" bestFit="1" customWidth="1"/>
    <col min="11012" max="11012" width="18" customWidth="1"/>
    <col min="11013" max="11013" width="20.7109375" bestFit="1" customWidth="1"/>
    <col min="11014" max="11014" width="25" bestFit="1" customWidth="1"/>
    <col min="11015" max="11015" width="12.28515625" bestFit="1" customWidth="1"/>
    <col min="11016" max="11016" width="13.140625" bestFit="1" customWidth="1"/>
    <col min="11017" max="11017" width="11.28515625" bestFit="1" customWidth="1"/>
    <col min="11018" max="11018" width="14.140625" bestFit="1" customWidth="1"/>
    <col min="11019" max="11019" width="10.140625" bestFit="1" customWidth="1"/>
    <col min="11020" max="11020" width="16.5703125" customWidth="1"/>
    <col min="11021" max="11021" width="10" customWidth="1"/>
    <col min="11022" max="11022" width="11" customWidth="1"/>
    <col min="11265" max="11265" width="36.5703125" bestFit="1" customWidth="1"/>
    <col min="11266" max="11266" width="15.85546875" bestFit="1" customWidth="1"/>
    <col min="11267" max="11267" width="13.140625" bestFit="1" customWidth="1"/>
    <col min="11268" max="11268" width="18" customWidth="1"/>
    <col min="11269" max="11269" width="20.7109375" bestFit="1" customWidth="1"/>
    <col min="11270" max="11270" width="25" bestFit="1" customWidth="1"/>
    <col min="11271" max="11271" width="12.28515625" bestFit="1" customWidth="1"/>
    <col min="11272" max="11272" width="13.140625" bestFit="1" customWidth="1"/>
    <col min="11273" max="11273" width="11.28515625" bestFit="1" customWidth="1"/>
    <col min="11274" max="11274" width="14.140625" bestFit="1" customWidth="1"/>
    <col min="11275" max="11275" width="10.140625" bestFit="1" customWidth="1"/>
    <col min="11276" max="11276" width="16.5703125" customWidth="1"/>
    <col min="11277" max="11277" width="10" customWidth="1"/>
    <col min="11278" max="11278" width="11" customWidth="1"/>
    <col min="11521" max="11521" width="36.5703125" bestFit="1" customWidth="1"/>
    <col min="11522" max="11522" width="15.85546875" bestFit="1" customWidth="1"/>
    <col min="11523" max="11523" width="13.140625" bestFit="1" customWidth="1"/>
    <col min="11524" max="11524" width="18" customWidth="1"/>
    <col min="11525" max="11525" width="20.7109375" bestFit="1" customWidth="1"/>
    <col min="11526" max="11526" width="25" bestFit="1" customWidth="1"/>
    <col min="11527" max="11527" width="12.28515625" bestFit="1" customWidth="1"/>
    <col min="11528" max="11528" width="13.140625" bestFit="1" customWidth="1"/>
    <col min="11529" max="11529" width="11.28515625" bestFit="1" customWidth="1"/>
    <col min="11530" max="11530" width="14.140625" bestFit="1" customWidth="1"/>
    <col min="11531" max="11531" width="10.140625" bestFit="1" customWidth="1"/>
    <col min="11532" max="11532" width="16.5703125" customWidth="1"/>
    <col min="11533" max="11533" width="10" customWidth="1"/>
    <col min="11534" max="11534" width="11" customWidth="1"/>
    <col min="11777" max="11777" width="36.5703125" bestFit="1" customWidth="1"/>
    <col min="11778" max="11778" width="15.85546875" bestFit="1" customWidth="1"/>
    <col min="11779" max="11779" width="13.140625" bestFit="1" customWidth="1"/>
    <col min="11780" max="11780" width="18" customWidth="1"/>
    <col min="11781" max="11781" width="20.7109375" bestFit="1" customWidth="1"/>
    <col min="11782" max="11782" width="25" bestFit="1" customWidth="1"/>
    <col min="11783" max="11783" width="12.28515625" bestFit="1" customWidth="1"/>
    <col min="11784" max="11784" width="13.140625" bestFit="1" customWidth="1"/>
    <col min="11785" max="11785" width="11.28515625" bestFit="1" customWidth="1"/>
    <col min="11786" max="11786" width="14.140625" bestFit="1" customWidth="1"/>
    <col min="11787" max="11787" width="10.140625" bestFit="1" customWidth="1"/>
    <col min="11788" max="11788" width="16.5703125" customWidth="1"/>
    <col min="11789" max="11789" width="10" customWidth="1"/>
    <col min="11790" max="11790" width="11" customWidth="1"/>
    <col min="12033" max="12033" width="36.5703125" bestFit="1" customWidth="1"/>
    <col min="12034" max="12034" width="15.85546875" bestFit="1" customWidth="1"/>
    <col min="12035" max="12035" width="13.140625" bestFit="1" customWidth="1"/>
    <col min="12036" max="12036" width="18" customWidth="1"/>
    <col min="12037" max="12037" width="20.7109375" bestFit="1" customWidth="1"/>
    <col min="12038" max="12038" width="25" bestFit="1" customWidth="1"/>
    <col min="12039" max="12039" width="12.28515625" bestFit="1" customWidth="1"/>
    <col min="12040" max="12040" width="13.140625" bestFit="1" customWidth="1"/>
    <col min="12041" max="12041" width="11.28515625" bestFit="1" customWidth="1"/>
    <col min="12042" max="12042" width="14.140625" bestFit="1" customWidth="1"/>
    <col min="12043" max="12043" width="10.140625" bestFit="1" customWidth="1"/>
    <col min="12044" max="12044" width="16.5703125" customWidth="1"/>
    <col min="12045" max="12045" width="10" customWidth="1"/>
    <col min="12046" max="12046" width="11" customWidth="1"/>
    <col min="12289" max="12289" width="36.5703125" bestFit="1" customWidth="1"/>
    <col min="12290" max="12290" width="15.85546875" bestFit="1" customWidth="1"/>
    <col min="12291" max="12291" width="13.140625" bestFit="1" customWidth="1"/>
    <col min="12292" max="12292" width="18" customWidth="1"/>
    <col min="12293" max="12293" width="20.7109375" bestFit="1" customWidth="1"/>
    <col min="12294" max="12294" width="25" bestFit="1" customWidth="1"/>
    <col min="12295" max="12295" width="12.28515625" bestFit="1" customWidth="1"/>
    <col min="12296" max="12296" width="13.140625" bestFit="1" customWidth="1"/>
    <col min="12297" max="12297" width="11.28515625" bestFit="1" customWidth="1"/>
    <col min="12298" max="12298" width="14.140625" bestFit="1" customWidth="1"/>
    <col min="12299" max="12299" width="10.140625" bestFit="1" customWidth="1"/>
    <col min="12300" max="12300" width="16.5703125" customWidth="1"/>
    <col min="12301" max="12301" width="10" customWidth="1"/>
    <col min="12302" max="12302" width="11" customWidth="1"/>
    <col min="12545" max="12545" width="36.5703125" bestFit="1" customWidth="1"/>
    <col min="12546" max="12546" width="15.85546875" bestFit="1" customWidth="1"/>
    <col min="12547" max="12547" width="13.140625" bestFit="1" customWidth="1"/>
    <col min="12548" max="12548" width="18" customWidth="1"/>
    <col min="12549" max="12549" width="20.7109375" bestFit="1" customWidth="1"/>
    <col min="12550" max="12550" width="25" bestFit="1" customWidth="1"/>
    <col min="12551" max="12551" width="12.28515625" bestFit="1" customWidth="1"/>
    <col min="12552" max="12552" width="13.140625" bestFit="1" customWidth="1"/>
    <col min="12553" max="12553" width="11.28515625" bestFit="1" customWidth="1"/>
    <col min="12554" max="12554" width="14.140625" bestFit="1" customWidth="1"/>
    <col min="12555" max="12555" width="10.140625" bestFit="1" customWidth="1"/>
    <col min="12556" max="12556" width="16.5703125" customWidth="1"/>
    <col min="12557" max="12557" width="10" customWidth="1"/>
    <col min="12558" max="12558" width="11" customWidth="1"/>
    <col min="12801" max="12801" width="36.5703125" bestFit="1" customWidth="1"/>
    <col min="12802" max="12802" width="15.85546875" bestFit="1" customWidth="1"/>
    <col min="12803" max="12803" width="13.140625" bestFit="1" customWidth="1"/>
    <col min="12804" max="12804" width="18" customWidth="1"/>
    <col min="12805" max="12805" width="20.7109375" bestFit="1" customWidth="1"/>
    <col min="12806" max="12806" width="25" bestFit="1" customWidth="1"/>
    <col min="12807" max="12807" width="12.28515625" bestFit="1" customWidth="1"/>
    <col min="12808" max="12808" width="13.140625" bestFit="1" customWidth="1"/>
    <col min="12809" max="12809" width="11.28515625" bestFit="1" customWidth="1"/>
    <col min="12810" max="12810" width="14.140625" bestFit="1" customWidth="1"/>
    <col min="12811" max="12811" width="10.140625" bestFit="1" customWidth="1"/>
    <col min="12812" max="12812" width="16.5703125" customWidth="1"/>
    <col min="12813" max="12813" width="10" customWidth="1"/>
    <col min="12814" max="12814" width="11" customWidth="1"/>
    <col min="13057" max="13057" width="36.5703125" bestFit="1" customWidth="1"/>
    <col min="13058" max="13058" width="15.85546875" bestFit="1" customWidth="1"/>
    <col min="13059" max="13059" width="13.140625" bestFit="1" customWidth="1"/>
    <col min="13060" max="13060" width="18" customWidth="1"/>
    <col min="13061" max="13061" width="20.7109375" bestFit="1" customWidth="1"/>
    <col min="13062" max="13062" width="25" bestFit="1" customWidth="1"/>
    <col min="13063" max="13063" width="12.28515625" bestFit="1" customWidth="1"/>
    <col min="13064" max="13064" width="13.140625" bestFit="1" customWidth="1"/>
    <col min="13065" max="13065" width="11.28515625" bestFit="1" customWidth="1"/>
    <col min="13066" max="13066" width="14.140625" bestFit="1" customWidth="1"/>
    <col min="13067" max="13067" width="10.140625" bestFit="1" customWidth="1"/>
    <col min="13068" max="13068" width="16.5703125" customWidth="1"/>
    <col min="13069" max="13069" width="10" customWidth="1"/>
    <col min="13070" max="13070" width="11" customWidth="1"/>
    <col min="13313" max="13313" width="36.5703125" bestFit="1" customWidth="1"/>
    <col min="13314" max="13314" width="15.85546875" bestFit="1" customWidth="1"/>
    <col min="13315" max="13315" width="13.140625" bestFit="1" customWidth="1"/>
    <col min="13316" max="13316" width="18" customWidth="1"/>
    <col min="13317" max="13317" width="20.7109375" bestFit="1" customWidth="1"/>
    <col min="13318" max="13318" width="25" bestFit="1" customWidth="1"/>
    <col min="13319" max="13319" width="12.28515625" bestFit="1" customWidth="1"/>
    <col min="13320" max="13320" width="13.140625" bestFit="1" customWidth="1"/>
    <col min="13321" max="13321" width="11.28515625" bestFit="1" customWidth="1"/>
    <col min="13322" max="13322" width="14.140625" bestFit="1" customWidth="1"/>
    <col min="13323" max="13323" width="10.140625" bestFit="1" customWidth="1"/>
    <col min="13324" max="13324" width="16.5703125" customWidth="1"/>
    <col min="13325" max="13325" width="10" customWidth="1"/>
    <col min="13326" max="13326" width="11" customWidth="1"/>
    <col min="13569" max="13569" width="36.5703125" bestFit="1" customWidth="1"/>
    <col min="13570" max="13570" width="15.85546875" bestFit="1" customWidth="1"/>
    <col min="13571" max="13571" width="13.140625" bestFit="1" customWidth="1"/>
    <col min="13572" max="13572" width="18" customWidth="1"/>
    <col min="13573" max="13573" width="20.7109375" bestFit="1" customWidth="1"/>
    <col min="13574" max="13574" width="25" bestFit="1" customWidth="1"/>
    <col min="13575" max="13575" width="12.28515625" bestFit="1" customWidth="1"/>
    <col min="13576" max="13576" width="13.140625" bestFit="1" customWidth="1"/>
    <col min="13577" max="13577" width="11.28515625" bestFit="1" customWidth="1"/>
    <col min="13578" max="13578" width="14.140625" bestFit="1" customWidth="1"/>
    <col min="13579" max="13579" width="10.140625" bestFit="1" customWidth="1"/>
    <col min="13580" max="13580" width="16.5703125" customWidth="1"/>
    <col min="13581" max="13581" width="10" customWidth="1"/>
    <col min="13582" max="13582" width="11" customWidth="1"/>
    <col min="13825" max="13825" width="36.5703125" bestFit="1" customWidth="1"/>
    <col min="13826" max="13826" width="15.85546875" bestFit="1" customWidth="1"/>
    <col min="13827" max="13827" width="13.140625" bestFit="1" customWidth="1"/>
    <col min="13828" max="13828" width="18" customWidth="1"/>
    <col min="13829" max="13829" width="20.7109375" bestFit="1" customWidth="1"/>
    <col min="13830" max="13830" width="25" bestFit="1" customWidth="1"/>
    <col min="13831" max="13831" width="12.28515625" bestFit="1" customWidth="1"/>
    <col min="13832" max="13832" width="13.140625" bestFit="1" customWidth="1"/>
    <col min="13833" max="13833" width="11.28515625" bestFit="1" customWidth="1"/>
    <col min="13834" max="13834" width="14.140625" bestFit="1" customWidth="1"/>
    <col min="13835" max="13835" width="10.140625" bestFit="1" customWidth="1"/>
    <col min="13836" max="13836" width="16.5703125" customWidth="1"/>
    <col min="13837" max="13837" width="10" customWidth="1"/>
    <col min="13838" max="13838" width="11" customWidth="1"/>
    <col min="14081" max="14081" width="36.5703125" bestFit="1" customWidth="1"/>
    <col min="14082" max="14082" width="15.85546875" bestFit="1" customWidth="1"/>
    <col min="14083" max="14083" width="13.140625" bestFit="1" customWidth="1"/>
    <col min="14084" max="14084" width="18" customWidth="1"/>
    <col min="14085" max="14085" width="20.7109375" bestFit="1" customWidth="1"/>
    <col min="14086" max="14086" width="25" bestFit="1" customWidth="1"/>
    <col min="14087" max="14087" width="12.28515625" bestFit="1" customWidth="1"/>
    <col min="14088" max="14088" width="13.140625" bestFit="1" customWidth="1"/>
    <col min="14089" max="14089" width="11.28515625" bestFit="1" customWidth="1"/>
    <col min="14090" max="14090" width="14.140625" bestFit="1" customWidth="1"/>
    <col min="14091" max="14091" width="10.140625" bestFit="1" customWidth="1"/>
    <col min="14092" max="14092" width="16.5703125" customWidth="1"/>
    <col min="14093" max="14093" width="10" customWidth="1"/>
    <col min="14094" max="14094" width="11" customWidth="1"/>
    <col min="14337" max="14337" width="36.5703125" bestFit="1" customWidth="1"/>
    <col min="14338" max="14338" width="15.85546875" bestFit="1" customWidth="1"/>
    <col min="14339" max="14339" width="13.140625" bestFit="1" customWidth="1"/>
    <col min="14340" max="14340" width="18" customWidth="1"/>
    <col min="14341" max="14341" width="20.7109375" bestFit="1" customWidth="1"/>
    <col min="14342" max="14342" width="25" bestFit="1" customWidth="1"/>
    <col min="14343" max="14343" width="12.28515625" bestFit="1" customWidth="1"/>
    <col min="14344" max="14344" width="13.140625" bestFit="1" customWidth="1"/>
    <col min="14345" max="14345" width="11.28515625" bestFit="1" customWidth="1"/>
    <col min="14346" max="14346" width="14.140625" bestFit="1" customWidth="1"/>
    <col min="14347" max="14347" width="10.140625" bestFit="1" customWidth="1"/>
    <col min="14348" max="14348" width="16.5703125" customWidth="1"/>
    <col min="14349" max="14349" width="10" customWidth="1"/>
    <col min="14350" max="14350" width="11" customWidth="1"/>
    <col min="14593" max="14593" width="36.5703125" bestFit="1" customWidth="1"/>
    <col min="14594" max="14594" width="15.85546875" bestFit="1" customWidth="1"/>
    <col min="14595" max="14595" width="13.140625" bestFit="1" customWidth="1"/>
    <col min="14596" max="14596" width="18" customWidth="1"/>
    <col min="14597" max="14597" width="20.7109375" bestFit="1" customWidth="1"/>
    <col min="14598" max="14598" width="25" bestFit="1" customWidth="1"/>
    <col min="14599" max="14599" width="12.28515625" bestFit="1" customWidth="1"/>
    <col min="14600" max="14600" width="13.140625" bestFit="1" customWidth="1"/>
    <col min="14601" max="14601" width="11.28515625" bestFit="1" customWidth="1"/>
    <col min="14602" max="14602" width="14.140625" bestFit="1" customWidth="1"/>
    <col min="14603" max="14603" width="10.140625" bestFit="1" customWidth="1"/>
    <col min="14604" max="14604" width="16.5703125" customWidth="1"/>
    <col min="14605" max="14605" width="10" customWidth="1"/>
    <col min="14606" max="14606" width="11" customWidth="1"/>
    <col min="14849" max="14849" width="36.5703125" bestFit="1" customWidth="1"/>
    <col min="14850" max="14850" width="15.85546875" bestFit="1" customWidth="1"/>
    <col min="14851" max="14851" width="13.140625" bestFit="1" customWidth="1"/>
    <col min="14852" max="14852" width="18" customWidth="1"/>
    <col min="14853" max="14853" width="20.7109375" bestFit="1" customWidth="1"/>
    <col min="14854" max="14854" width="25" bestFit="1" customWidth="1"/>
    <col min="14855" max="14855" width="12.28515625" bestFit="1" customWidth="1"/>
    <col min="14856" max="14856" width="13.140625" bestFit="1" customWidth="1"/>
    <col min="14857" max="14857" width="11.28515625" bestFit="1" customWidth="1"/>
    <col min="14858" max="14858" width="14.140625" bestFit="1" customWidth="1"/>
    <col min="14859" max="14859" width="10.140625" bestFit="1" customWidth="1"/>
    <col min="14860" max="14860" width="16.5703125" customWidth="1"/>
    <col min="14861" max="14861" width="10" customWidth="1"/>
    <col min="14862" max="14862" width="11" customWidth="1"/>
    <col min="15105" max="15105" width="36.5703125" bestFit="1" customWidth="1"/>
    <col min="15106" max="15106" width="15.85546875" bestFit="1" customWidth="1"/>
    <col min="15107" max="15107" width="13.140625" bestFit="1" customWidth="1"/>
    <col min="15108" max="15108" width="18" customWidth="1"/>
    <col min="15109" max="15109" width="20.7109375" bestFit="1" customWidth="1"/>
    <col min="15110" max="15110" width="25" bestFit="1" customWidth="1"/>
    <col min="15111" max="15111" width="12.28515625" bestFit="1" customWidth="1"/>
    <col min="15112" max="15112" width="13.140625" bestFit="1" customWidth="1"/>
    <col min="15113" max="15113" width="11.28515625" bestFit="1" customWidth="1"/>
    <col min="15114" max="15114" width="14.140625" bestFit="1" customWidth="1"/>
    <col min="15115" max="15115" width="10.140625" bestFit="1" customWidth="1"/>
    <col min="15116" max="15116" width="16.5703125" customWidth="1"/>
    <col min="15117" max="15117" width="10" customWidth="1"/>
    <col min="15118" max="15118" width="11" customWidth="1"/>
    <col min="15361" max="15361" width="36.5703125" bestFit="1" customWidth="1"/>
    <col min="15362" max="15362" width="15.85546875" bestFit="1" customWidth="1"/>
    <col min="15363" max="15363" width="13.140625" bestFit="1" customWidth="1"/>
    <col min="15364" max="15364" width="18" customWidth="1"/>
    <col min="15365" max="15365" width="20.7109375" bestFit="1" customWidth="1"/>
    <col min="15366" max="15366" width="25" bestFit="1" customWidth="1"/>
    <col min="15367" max="15367" width="12.28515625" bestFit="1" customWidth="1"/>
    <col min="15368" max="15368" width="13.140625" bestFit="1" customWidth="1"/>
    <col min="15369" max="15369" width="11.28515625" bestFit="1" customWidth="1"/>
    <col min="15370" max="15370" width="14.140625" bestFit="1" customWidth="1"/>
    <col min="15371" max="15371" width="10.140625" bestFit="1" customWidth="1"/>
    <col min="15372" max="15372" width="16.5703125" customWidth="1"/>
    <col min="15373" max="15373" width="10" customWidth="1"/>
    <col min="15374" max="15374" width="11" customWidth="1"/>
    <col min="15617" max="15617" width="36.5703125" bestFit="1" customWidth="1"/>
    <col min="15618" max="15618" width="15.85546875" bestFit="1" customWidth="1"/>
    <col min="15619" max="15619" width="13.140625" bestFit="1" customWidth="1"/>
    <col min="15620" max="15620" width="18" customWidth="1"/>
    <col min="15621" max="15621" width="20.7109375" bestFit="1" customWidth="1"/>
    <col min="15622" max="15622" width="25" bestFit="1" customWidth="1"/>
    <col min="15623" max="15623" width="12.28515625" bestFit="1" customWidth="1"/>
    <col min="15624" max="15624" width="13.140625" bestFit="1" customWidth="1"/>
    <col min="15625" max="15625" width="11.28515625" bestFit="1" customWidth="1"/>
    <col min="15626" max="15626" width="14.140625" bestFit="1" customWidth="1"/>
    <col min="15627" max="15627" width="10.140625" bestFit="1" customWidth="1"/>
    <col min="15628" max="15628" width="16.5703125" customWidth="1"/>
    <col min="15629" max="15629" width="10" customWidth="1"/>
    <col min="15630" max="15630" width="11" customWidth="1"/>
    <col min="15873" max="15873" width="36.5703125" bestFit="1" customWidth="1"/>
    <col min="15874" max="15874" width="15.85546875" bestFit="1" customWidth="1"/>
    <col min="15875" max="15875" width="13.140625" bestFit="1" customWidth="1"/>
    <col min="15876" max="15876" width="18" customWidth="1"/>
    <col min="15877" max="15877" width="20.7109375" bestFit="1" customWidth="1"/>
    <col min="15878" max="15878" width="25" bestFit="1" customWidth="1"/>
    <col min="15879" max="15879" width="12.28515625" bestFit="1" customWidth="1"/>
    <col min="15880" max="15880" width="13.140625" bestFit="1" customWidth="1"/>
    <col min="15881" max="15881" width="11.28515625" bestFit="1" customWidth="1"/>
    <col min="15882" max="15882" width="14.140625" bestFit="1" customWidth="1"/>
    <col min="15883" max="15883" width="10.140625" bestFit="1" customWidth="1"/>
    <col min="15884" max="15884" width="16.5703125" customWidth="1"/>
    <col min="15885" max="15885" width="10" customWidth="1"/>
    <col min="15886" max="15886" width="11" customWidth="1"/>
    <col min="16129" max="16129" width="36.5703125" bestFit="1" customWidth="1"/>
    <col min="16130" max="16130" width="15.85546875" bestFit="1" customWidth="1"/>
    <col min="16131" max="16131" width="13.140625" bestFit="1" customWidth="1"/>
    <col min="16132" max="16132" width="18" customWidth="1"/>
    <col min="16133" max="16133" width="20.7109375" bestFit="1" customWidth="1"/>
    <col min="16134" max="16134" width="25" bestFit="1" customWidth="1"/>
    <col min="16135" max="16135" width="12.28515625" bestFit="1" customWidth="1"/>
    <col min="16136" max="16136" width="13.140625" bestFit="1" customWidth="1"/>
    <col min="16137" max="16137" width="11.28515625" bestFit="1" customWidth="1"/>
    <col min="16138" max="16138" width="14.140625" bestFit="1" customWidth="1"/>
    <col min="16139" max="16139" width="10.140625" bestFit="1" customWidth="1"/>
    <col min="16140" max="16140" width="16.5703125" customWidth="1"/>
    <col min="16141" max="16141" width="10" customWidth="1"/>
    <col min="16142" max="16142" width="1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3349</v>
      </c>
      <c r="C5" s="1594"/>
      <c r="D5" s="1594"/>
      <c r="E5" s="1595"/>
      <c r="F5" s="326" t="s">
        <v>171</v>
      </c>
      <c r="G5" s="326"/>
      <c r="H5" s="1599" t="s">
        <v>3348</v>
      </c>
      <c r="I5" s="1600"/>
      <c r="J5" s="326" t="s">
        <v>172</v>
      </c>
      <c r="K5" s="631" t="s">
        <v>3347</v>
      </c>
      <c r="L5" s="326" t="s">
        <v>436</v>
      </c>
      <c r="M5" s="326"/>
      <c r="N5" s="631" t="s">
        <v>3346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3345</v>
      </c>
      <c r="C7" s="1594"/>
      <c r="D7" s="1594"/>
      <c r="E7" s="1595"/>
      <c r="F7" s="1596" t="s">
        <v>3208</v>
      </c>
      <c r="G7" s="1596"/>
      <c r="H7" s="1593" t="s">
        <v>3344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 t="s">
        <v>3333</v>
      </c>
      <c r="C9" s="1594"/>
      <c r="D9" s="1594"/>
      <c r="E9" s="1595"/>
      <c r="F9" s="1601" t="s">
        <v>3205</v>
      </c>
      <c r="G9" s="1602"/>
      <c r="H9" s="1603" t="s">
        <v>3343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3342</v>
      </c>
      <c r="C13" s="1612"/>
      <c r="D13" s="1612" t="s">
        <v>3341</v>
      </c>
      <c r="E13" s="1612"/>
      <c r="F13" s="1612"/>
      <c r="G13" s="1612"/>
      <c r="H13" s="1612"/>
      <c r="I13" s="1612"/>
      <c r="J13" s="1613"/>
      <c r="K13" s="1617"/>
      <c r="L13" s="1617"/>
      <c r="M13" s="1614"/>
      <c r="N13" s="326"/>
    </row>
    <row r="14" spans="1:14" ht="28.5" customHeight="1">
      <c r="A14" s="631" t="s">
        <v>187</v>
      </c>
      <c r="B14" s="1613" t="s">
        <v>3340</v>
      </c>
      <c r="C14" s="1614"/>
      <c r="D14" s="1612" t="s">
        <v>3339</v>
      </c>
      <c r="E14" s="1612"/>
      <c r="F14" s="1612"/>
      <c r="G14" s="1612"/>
      <c r="H14" s="1612"/>
      <c r="I14" s="1612"/>
      <c r="J14" s="1613"/>
      <c r="K14" s="1617"/>
      <c r="L14" s="1617"/>
      <c r="M14" s="1614"/>
      <c r="N14" s="326"/>
    </row>
    <row r="15" spans="1:14">
      <c r="A15" s="631" t="s">
        <v>192</v>
      </c>
      <c r="B15" s="329" t="s">
        <v>3338</v>
      </c>
      <c r="C15" s="329" t="s">
        <v>3337</v>
      </c>
      <c r="D15" s="329" t="s">
        <v>3336</v>
      </c>
      <c r="E15" s="329" t="s">
        <v>3335</v>
      </c>
      <c r="F15" s="329" t="s">
        <v>3334</v>
      </c>
      <c r="G15" s="329"/>
      <c r="H15" s="623"/>
      <c r="I15" s="623"/>
      <c r="J15" s="1612"/>
      <c r="K15" s="1612"/>
      <c r="L15" s="1612"/>
      <c r="M15" s="1612"/>
      <c r="N15" s="326"/>
    </row>
    <row r="16" spans="1:14">
      <c r="A16" s="631" t="s">
        <v>197</v>
      </c>
      <c r="B16" s="80"/>
      <c r="C16" s="329"/>
      <c r="D16" s="70" t="s">
        <v>3333</v>
      </c>
      <c r="E16" s="623"/>
      <c r="F16" s="623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C18" s="328"/>
      <c r="D18" s="326"/>
      <c r="E18" s="326"/>
      <c r="F18" s="631">
        <v>2</v>
      </c>
      <c r="G18" s="326" t="s">
        <v>200</v>
      </c>
      <c r="H18" s="632">
        <v>10</v>
      </c>
      <c r="I18" s="326" t="s">
        <v>201</v>
      </c>
      <c r="J18" s="632">
        <v>1</v>
      </c>
      <c r="K18" s="326" t="s">
        <v>202</v>
      </c>
      <c r="L18" s="631">
        <v>2</v>
      </c>
      <c r="M18" s="326"/>
      <c r="N18" s="326"/>
    </row>
    <row r="19" spans="1:14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f>76+98</f>
        <v>174</v>
      </c>
      <c r="D21" s="326" t="s">
        <v>205</v>
      </c>
      <c r="E21" s="631">
        <f>25+13</f>
        <v>38</v>
      </c>
      <c r="F21" s="326" t="s">
        <v>206</v>
      </c>
      <c r="G21" s="80">
        <v>6</v>
      </c>
      <c r="H21" s="326" t="s">
        <v>230</v>
      </c>
      <c r="I21" s="80">
        <f>C21+E21+G21</f>
        <v>218</v>
      </c>
      <c r="J21" s="326" t="s">
        <v>207</v>
      </c>
      <c r="K21" s="631">
        <v>17</v>
      </c>
      <c r="L21" s="326" t="s">
        <v>3187</v>
      </c>
      <c r="M21" s="326"/>
      <c r="N21" s="631">
        <v>13</v>
      </c>
    </row>
    <row r="22" spans="1:14">
      <c r="A22" s="326" t="s">
        <v>209</v>
      </c>
      <c r="B22" s="326" t="s">
        <v>210</v>
      </c>
      <c r="C22" s="631">
        <f>149+189</f>
        <v>338</v>
      </c>
      <c r="D22" s="326" t="s">
        <v>211</v>
      </c>
      <c r="E22" s="631">
        <f>30+65</f>
        <v>95</v>
      </c>
      <c r="F22" s="326" t="s">
        <v>212</v>
      </c>
      <c r="G22" s="631">
        <v>11</v>
      </c>
      <c r="H22" s="326" t="s">
        <v>411</v>
      </c>
      <c r="I22" s="80">
        <f>C22+E22+G22</f>
        <v>444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f>180+237</f>
        <v>417</v>
      </c>
      <c r="D23" s="326" t="s">
        <v>214</v>
      </c>
      <c r="E23" s="631">
        <f>21+47</f>
        <v>68</v>
      </c>
      <c r="F23" s="326" t="s">
        <v>215</v>
      </c>
      <c r="G23" s="631">
        <v>20</v>
      </c>
      <c r="H23" s="326" t="s">
        <v>410</v>
      </c>
      <c r="I23" s="80">
        <f>C23+E23+G23</f>
        <v>505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35">
        <f>496.8*B29</f>
        <v>3974400</v>
      </c>
      <c r="E29" s="335">
        <f>168500+300000</f>
        <v>468500</v>
      </c>
      <c r="F29" s="335"/>
      <c r="G29" s="335">
        <v>16000</v>
      </c>
      <c r="H29" s="335"/>
      <c r="I29" s="335"/>
      <c r="J29" s="335"/>
      <c r="K29" s="335"/>
      <c r="L29" s="335"/>
      <c r="M29" s="322">
        <f t="shared" ref="M29:M38" si="0">SUM(F29:L29)</f>
        <v>16000</v>
      </c>
      <c r="N29" s="323">
        <f>+M29/E29*100</f>
        <v>3.4151547491995733</v>
      </c>
    </row>
    <row r="30" spans="1:14">
      <c r="A30" s="322" t="s">
        <v>234</v>
      </c>
      <c r="B30" s="322">
        <v>7000</v>
      </c>
      <c r="C30" s="322" t="s">
        <v>233</v>
      </c>
      <c r="D30" s="335">
        <f>496.8*B30</f>
        <v>3477600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22">
        <f t="shared" si="0"/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335">
        <v>18000</v>
      </c>
      <c r="F31" s="335"/>
      <c r="G31" s="335">
        <v>18479</v>
      </c>
      <c r="H31" s="335"/>
      <c r="I31" s="335"/>
      <c r="J31" s="335"/>
      <c r="K31" s="335"/>
      <c r="L31" s="335"/>
      <c r="M31" s="322">
        <f t="shared" si="0"/>
        <v>18479</v>
      </c>
      <c r="N31" s="323">
        <f t="shared" ref="N31:N38" si="1">+M31/E31*100</f>
        <v>102.66111111111111</v>
      </c>
    </row>
    <row r="32" spans="1:14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335">
        <v>16000</v>
      </c>
      <c r="H32" s="335"/>
      <c r="I32" s="335"/>
      <c r="J32" s="335"/>
      <c r="K32" s="335"/>
      <c r="L32" s="335"/>
      <c r="M32" s="322">
        <f t="shared" si="0"/>
        <v>16000</v>
      </c>
      <c r="N32" s="323">
        <f t="shared" si="1"/>
        <v>100</v>
      </c>
    </row>
    <row r="33" spans="1:14">
      <c r="A33" s="322" t="s">
        <v>238</v>
      </c>
      <c r="B33" s="322">
        <v>1200</v>
      </c>
      <c r="C33" s="322" t="s">
        <v>233</v>
      </c>
      <c r="D33" s="335">
        <f>496.8*B33</f>
        <v>596160</v>
      </c>
      <c r="E33" s="335">
        <v>200000</v>
      </c>
      <c r="F33" s="335"/>
      <c r="G33" s="335">
        <v>156305</v>
      </c>
      <c r="H33" s="335"/>
      <c r="I33" s="335"/>
      <c r="J33" s="335"/>
      <c r="K33" s="335"/>
      <c r="L33" s="335"/>
      <c r="M33" s="322">
        <f t="shared" si="0"/>
        <v>156305</v>
      </c>
      <c r="N33" s="323">
        <f t="shared" si="1"/>
        <v>78.152500000000003</v>
      </c>
    </row>
    <row r="34" spans="1:14">
      <c r="A34" s="322" t="s">
        <v>667</v>
      </c>
      <c r="B34" s="322">
        <v>565</v>
      </c>
      <c r="C34" s="322" t="s">
        <v>233</v>
      </c>
      <c r="D34" s="335">
        <f>496.8*B34</f>
        <v>280692</v>
      </c>
      <c r="E34" s="335">
        <f>50320+100000</f>
        <v>150320</v>
      </c>
      <c r="F34" s="335"/>
      <c r="G34" s="335">
        <v>15000</v>
      </c>
      <c r="H34" s="335"/>
      <c r="I34" s="335"/>
      <c r="J34" s="335"/>
      <c r="K34" s="335"/>
      <c r="L34" s="335"/>
      <c r="M34" s="322">
        <f t="shared" si="0"/>
        <v>15000</v>
      </c>
      <c r="N34" s="323">
        <f t="shared" si="1"/>
        <v>9.9787120808940912</v>
      </c>
    </row>
    <row r="35" spans="1:14">
      <c r="A35" s="322" t="s">
        <v>240</v>
      </c>
      <c r="B35" s="322">
        <v>1000</v>
      </c>
      <c r="C35" s="322" t="s">
        <v>233</v>
      </c>
      <c r="D35" s="335">
        <f>496.8*B35</f>
        <v>496800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f>+B36*84</f>
        <v>231000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22">
        <f t="shared" si="0"/>
        <v>30250</v>
      </c>
      <c r="N36" s="323">
        <f t="shared" si="1"/>
        <v>100</v>
      </c>
    </row>
    <row r="37" spans="1:14">
      <c r="A37" s="324" t="s">
        <v>670</v>
      </c>
      <c r="B37" s="322">
        <v>10000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653">
        <f t="shared" ref="D38:L38" si="2">SUM(D29:D37)</f>
        <v>9156652</v>
      </c>
      <c r="E38" s="653">
        <f t="shared" si="2"/>
        <v>883070</v>
      </c>
      <c r="F38" s="653">
        <f t="shared" si="2"/>
        <v>0</v>
      </c>
      <c r="G38" s="653">
        <f t="shared" si="2"/>
        <v>252034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252034</v>
      </c>
      <c r="N38" s="323">
        <f t="shared" si="1"/>
        <v>28.540659290882942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  <c r="E42" s="320"/>
      <c r="G42" s="320"/>
      <c r="I42" s="320"/>
      <c r="J42" s="320"/>
      <c r="L42" s="320"/>
      <c r="M42" s="320"/>
    </row>
  </sheetData>
  <mergeCells count="28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ageMargins left="0.14000000000000001" right="0.14000000000000001" top="0.75" bottom="0.48" header="0.3" footer="0.3"/>
  <pageSetup paperSize="9" scale="62" orientation="landscape" r:id="rId1"/>
  <headerFooter>
    <oddFooter>&amp;L&amp;9&amp;F&amp;R&amp;9&amp;A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5"/>
  <sheetViews>
    <sheetView workbookViewId="0">
      <selection activeCell="K2" sqref="K2:M2"/>
    </sheetView>
  </sheetViews>
  <sheetFormatPr defaultRowHeight="15"/>
  <sheetData>
    <row r="1" spans="1:16">
      <c r="A1" t="s">
        <v>608</v>
      </c>
    </row>
    <row r="2" spans="1:16">
      <c r="A2" t="s">
        <v>609</v>
      </c>
      <c r="B2" t="s">
        <v>748</v>
      </c>
      <c r="C2" t="s">
        <v>611</v>
      </c>
      <c r="D2" t="s">
        <v>5729</v>
      </c>
      <c r="F2" t="s">
        <v>612</v>
      </c>
      <c r="G2">
        <v>516</v>
      </c>
      <c r="H2" t="s">
        <v>613</v>
      </c>
      <c r="I2">
        <v>120</v>
      </c>
      <c r="K2" s="808" t="s">
        <v>4176</v>
      </c>
      <c r="L2" s="808"/>
      <c r="M2" s="808"/>
    </row>
    <row r="3" spans="1:16">
      <c r="A3" t="s">
        <v>614</v>
      </c>
      <c r="B3" t="s">
        <v>750</v>
      </c>
      <c r="E3" t="s">
        <v>616</v>
      </c>
      <c r="G3" t="s">
        <v>3726</v>
      </c>
    </row>
    <row r="4" spans="1:16">
      <c r="A4" t="s">
        <v>618</v>
      </c>
      <c r="B4" t="s">
        <v>751</v>
      </c>
      <c r="G4" t="s">
        <v>620</v>
      </c>
      <c r="I4" t="s">
        <v>752</v>
      </c>
    </row>
    <row r="5" spans="1:16">
      <c r="A5" t="s">
        <v>622</v>
      </c>
      <c r="B5" t="s">
        <v>753</v>
      </c>
      <c r="E5" t="s">
        <v>754</v>
      </c>
      <c r="I5" t="s">
        <v>755</v>
      </c>
      <c r="M5" t="s">
        <v>756</v>
      </c>
      <c r="P5" t="s">
        <v>757</v>
      </c>
    </row>
    <row r="6" spans="1:16">
      <c r="A6" t="s">
        <v>628</v>
      </c>
      <c r="B6" t="s">
        <v>758</v>
      </c>
      <c r="E6" t="s">
        <v>759</v>
      </c>
      <c r="I6" t="s">
        <v>760</v>
      </c>
      <c r="M6" t="s">
        <v>501</v>
      </c>
      <c r="P6" t="s">
        <v>761</v>
      </c>
    </row>
    <row r="7" spans="1:16">
      <c r="A7" t="s">
        <v>634</v>
      </c>
      <c r="B7" t="s">
        <v>762</v>
      </c>
      <c r="E7" t="s">
        <v>763</v>
      </c>
    </row>
    <row r="8" spans="1:16">
      <c r="A8" t="s">
        <v>639</v>
      </c>
      <c r="B8" t="s">
        <v>764</v>
      </c>
    </row>
    <row r="9" spans="1:16">
      <c r="A9" t="s">
        <v>641</v>
      </c>
      <c r="B9">
        <v>5</v>
      </c>
      <c r="C9" t="s">
        <v>642</v>
      </c>
      <c r="D9">
        <v>5</v>
      </c>
      <c r="E9" t="s">
        <v>643</v>
      </c>
      <c r="G9" t="s">
        <v>644</v>
      </c>
      <c r="H9">
        <v>2</v>
      </c>
      <c r="I9" t="s">
        <v>645</v>
      </c>
      <c r="J9">
        <v>11</v>
      </c>
    </row>
    <row r="10" spans="1:16">
      <c r="A10" t="s">
        <v>646</v>
      </c>
      <c r="B10" t="s">
        <v>204</v>
      </c>
      <c r="C10">
        <v>92</v>
      </c>
      <c r="D10" t="s">
        <v>205</v>
      </c>
      <c r="E10">
        <v>24</v>
      </c>
      <c r="F10" t="s">
        <v>206</v>
      </c>
      <c r="G10">
        <v>11</v>
      </c>
      <c r="H10" t="s">
        <v>230</v>
      </c>
      <c r="I10">
        <v>127</v>
      </c>
      <c r="J10" t="s">
        <v>647</v>
      </c>
      <c r="K10">
        <v>38</v>
      </c>
      <c r="L10" t="s">
        <v>648</v>
      </c>
      <c r="M10">
        <v>21</v>
      </c>
    </row>
    <row r="11" spans="1:16">
      <c r="A11" t="s">
        <v>209</v>
      </c>
      <c r="B11" t="s">
        <v>210</v>
      </c>
      <c r="C11">
        <v>189</v>
      </c>
      <c r="D11" t="s">
        <v>649</v>
      </c>
      <c r="E11">
        <v>52</v>
      </c>
      <c r="F11" t="s">
        <v>212</v>
      </c>
      <c r="G11">
        <v>28</v>
      </c>
      <c r="H11" t="s">
        <v>411</v>
      </c>
      <c r="I11">
        <v>269</v>
      </c>
    </row>
    <row r="12" spans="1:16">
      <c r="B12" t="s">
        <v>213</v>
      </c>
      <c r="C12">
        <v>216</v>
      </c>
      <c r="D12" t="s">
        <v>650</v>
      </c>
      <c r="E12">
        <v>45</v>
      </c>
      <c r="F12" t="s">
        <v>215</v>
      </c>
      <c r="G12">
        <v>28</v>
      </c>
      <c r="H12" t="s">
        <v>410</v>
      </c>
      <c r="I12">
        <v>289</v>
      </c>
    </row>
    <row r="13" spans="1:16">
      <c r="A13" t="s">
        <v>216</v>
      </c>
    </row>
    <row r="14" spans="1:16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6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6">
      <c r="A16" t="s">
        <v>663</v>
      </c>
      <c r="C16">
        <v>8000</v>
      </c>
      <c r="D16" t="s">
        <v>664</v>
      </c>
      <c r="E16">
        <v>41.28</v>
      </c>
      <c r="F16">
        <v>4128000</v>
      </c>
      <c r="G16">
        <v>0</v>
      </c>
      <c r="H16">
        <v>169675</v>
      </c>
      <c r="I16">
        <v>1351633</v>
      </c>
      <c r="J16">
        <v>1591258</v>
      </c>
      <c r="K16">
        <v>153275</v>
      </c>
      <c r="L16">
        <v>60000</v>
      </c>
      <c r="N16">
        <f>G16+H16+I16+J16+K16+L16+M16</f>
        <v>3325841</v>
      </c>
    </row>
    <row r="17" spans="1:15">
      <c r="A17" t="s">
        <v>665</v>
      </c>
      <c r="C17">
        <v>7000</v>
      </c>
      <c r="D17" t="s">
        <v>664</v>
      </c>
      <c r="E17">
        <v>8.4</v>
      </c>
      <c r="F17">
        <v>800000</v>
      </c>
      <c r="G17">
        <v>0</v>
      </c>
      <c r="H17">
        <v>31008</v>
      </c>
      <c r="I17">
        <v>249188</v>
      </c>
      <c r="J17">
        <v>351776</v>
      </c>
      <c r="K17">
        <v>0</v>
      </c>
      <c r="L17">
        <v>133395</v>
      </c>
      <c r="N17">
        <f t="shared" ref="N17:N23" si="0">G17+H17+I17+J17+K17+L17+M17</f>
        <v>765367</v>
      </c>
    </row>
    <row r="18" spans="1:15">
      <c r="A18" t="s">
        <v>235</v>
      </c>
      <c r="C18">
        <v>86</v>
      </c>
      <c r="D18" t="s">
        <v>664</v>
      </c>
      <c r="E18">
        <v>0.44</v>
      </c>
      <c r="F18">
        <v>43000</v>
      </c>
      <c r="G18">
        <v>0</v>
      </c>
      <c r="H18">
        <v>0</v>
      </c>
      <c r="I18">
        <v>0</v>
      </c>
      <c r="J18">
        <v>0</v>
      </c>
      <c r="K18">
        <v>0</v>
      </c>
      <c r="L18">
        <v>62180</v>
      </c>
      <c r="N18">
        <f t="shared" si="0"/>
        <v>62180</v>
      </c>
    </row>
    <row r="19" spans="1:15">
      <c r="A19" t="s">
        <v>666</v>
      </c>
      <c r="C19">
        <v>68</v>
      </c>
      <c r="D19" t="s">
        <v>664</v>
      </c>
      <c r="E19">
        <v>0.35</v>
      </c>
      <c r="F19">
        <v>34000</v>
      </c>
      <c r="G19">
        <v>0</v>
      </c>
      <c r="H19">
        <v>0</v>
      </c>
      <c r="I19">
        <v>0</v>
      </c>
      <c r="J19">
        <v>12630</v>
      </c>
      <c r="K19">
        <v>14437</v>
      </c>
      <c r="L19">
        <v>0</v>
      </c>
      <c r="N19">
        <f t="shared" si="0"/>
        <v>27067</v>
      </c>
    </row>
    <row r="20" spans="1:15">
      <c r="A20" t="s">
        <v>238</v>
      </c>
      <c r="C20">
        <v>1200</v>
      </c>
      <c r="D20" t="s">
        <v>664</v>
      </c>
      <c r="E20">
        <v>6.19</v>
      </c>
      <c r="F20">
        <v>200000</v>
      </c>
      <c r="G20">
        <v>0</v>
      </c>
      <c r="H20">
        <v>0</v>
      </c>
      <c r="I20">
        <v>0</v>
      </c>
      <c r="J20">
        <v>0</v>
      </c>
      <c r="K20">
        <v>30000</v>
      </c>
      <c r="L20">
        <v>214725</v>
      </c>
      <c r="N20">
        <f t="shared" si="0"/>
        <v>244725</v>
      </c>
    </row>
    <row r="21" spans="1:15">
      <c r="A21" t="s">
        <v>667</v>
      </c>
      <c r="C21">
        <v>565</v>
      </c>
      <c r="D21" t="s">
        <v>664</v>
      </c>
      <c r="E21">
        <v>2.83</v>
      </c>
      <c r="F21">
        <v>245000</v>
      </c>
      <c r="G21">
        <v>0</v>
      </c>
      <c r="H21">
        <v>0</v>
      </c>
      <c r="I21">
        <v>0</v>
      </c>
      <c r="J21">
        <v>0</v>
      </c>
      <c r="K21">
        <v>244250</v>
      </c>
      <c r="L21">
        <v>750</v>
      </c>
      <c r="N21">
        <f t="shared" si="0"/>
        <v>245000</v>
      </c>
    </row>
    <row r="22" spans="1:15">
      <c r="A22" t="s">
        <v>668</v>
      </c>
      <c r="C22">
        <v>1000</v>
      </c>
      <c r="D22" t="s">
        <v>664</v>
      </c>
      <c r="E22">
        <v>5.16</v>
      </c>
      <c r="F22">
        <v>516000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N22">
        <f t="shared" si="0"/>
        <v>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v>132000</v>
      </c>
      <c r="G23">
        <v>0</v>
      </c>
      <c r="H23">
        <v>53334</v>
      </c>
      <c r="I23">
        <v>42879</v>
      </c>
      <c r="J23">
        <v>3040</v>
      </c>
      <c r="K23">
        <v>30579</v>
      </c>
      <c r="L23">
        <v>30250</v>
      </c>
      <c r="N23">
        <f t="shared" si="0"/>
        <v>160082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67.059999999999988</v>
      </c>
      <c r="F25">
        <f t="shared" ref="F25:O25" si="1">SUM(F16:F24)</f>
        <v>6098000</v>
      </c>
      <c r="G25">
        <f t="shared" si="1"/>
        <v>0</v>
      </c>
      <c r="H25">
        <f t="shared" si="1"/>
        <v>254017</v>
      </c>
      <c r="I25">
        <f t="shared" si="1"/>
        <v>1643700</v>
      </c>
      <c r="J25">
        <f t="shared" si="1"/>
        <v>1958704</v>
      </c>
      <c r="K25">
        <f t="shared" si="1"/>
        <v>472541</v>
      </c>
      <c r="L25">
        <f t="shared" si="1"/>
        <v>501300</v>
      </c>
      <c r="M25">
        <f t="shared" si="1"/>
        <v>0</v>
      </c>
      <c r="N25">
        <f t="shared" si="1"/>
        <v>4830262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320.xml><?xml version="1.0" encoding="utf-8"?>
<worksheet xmlns="http://schemas.openxmlformats.org/spreadsheetml/2006/main" xmlns:r="http://schemas.openxmlformats.org/officeDocument/2006/relationships">
  <dimension ref="A1:N42"/>
  <sheetViews>
    <sheetView zoomScale="80" zoomScaleNormal="80" workbookViewId="0">
      <selection activeCell="A3" sqref="A3:C3"/>
    </sheetView>
  </sheetViews>
  <sheetFormatPr defaultRowHeight="15"/>
  <cols>
    <col min="1" max="1" width="36.5703125" bestFit="1" customWidth="1"/>
    <col min="2" max="2" width="15.85546875" bestFit="1" customWidth="1"/>
    <col min="3" max="3" width="14.7109375" bestFit="1" customWidth="1"/>
    <col min="4" max="4" width="18.42578125" customWidth="1"/>
    <col min="5" max="5" width="20.7109375" bestFit="1" customWidth="1"/>
    <col min="6" max="6" width="25" bestFit="1" customWidth="1"/>
    <col min="7" max="7" width="12.28515625" bestFit="1" customWidth="1"/>
    <col min="8" max="8" width="13.140625" bestFit="1" customWidth="1"/>
    <col min="9" max="9" width="11.28515625" bestFit="1" customWidth="1"/>
    <col min="10" max="10" width="14.140625" bestFit="1" customWidth="1"/>
    <col min="11" max="11" width="10.140625" bestFit="1" customWidth="1"/>
    <col min="12" max="12" width="17.42578125" customWidth="1"/>
    <col min="13" max="13" width="11.42578125" customWidth="1"/>
    <col min="14" max="14" width="9.28515625" bestFit="1" customWidth="1"/>
    <col min="257" max="257" width="36.5703125" bestFit="1" customWidth="1"/>
    <col min="258" max="258" width="15.85546875" bestFit="1" customWidth="1"/>
    <col min="259" max="259" width="14.7109375" bestFit="1" customWidth="1"/>
    <col min="260" max="260" width="18.42578125" customWidth="1"/>
    <col min="261" max="261" width="20.7109375" bestFit="1" customWidth="1"/>
    <col min="262" max="262" width="25" bestFit="1" customWidth="1"/>
    <col min="263" max="263" width="12.28515625" bestFit="1" customWidth="1"/>
    <col min="264" max="264" width="13.140625" bestFit="1" customWidth="1"/>
    <col min="265" max="265" width="11.28515625" bestFit="1" customWidth="1"/>
    <col min="266" max="266" width="14.140625" bestFit="1" customWidth="1"/>
    <col min="267" max="267" width="10.140625" bestFit="1" customWidth="1"/>
    <col min="268" max="268" width="17.42578125" customWidth="1"/>
    <col min="269" max="269" width="11.42578125" customWidth="1"/>
    <col min="270" max="270" width="9.28515625" bestFit="1" customWidth="1"/>
    <col min="513" max="513" width="36.5703125" bestFit="1" customWidth="1"/>
    <col min="514" max="514" width="15.85546875" bestFit="1" customWidth="1"/>
    <col min="515" max="515" width="14.7109375" bestFit="1" customWidth="1"/>
    <col min="516" max="516" width="18.42578125" customWidth="1"/>
    <col min="517" max="517" width="20.7109375" bestFit="1" customWidth="1"/>
    <col min="518" max="518" width="25" bestFit="1" customWidth="1"/>
    <col min="519" max="519" width="12.28515625" bestFit="1" customWidth="1"/>
    <col min="520" max="520" width="13.140625" bestFit="1" customWidth="1"/>
    <col min="521" max="521" width="11.28515625" bestFit="1" customWidth="1"/>
    <col min="522" max="522" width="14.140625" bestFit="1" customWidth="1"/>
    <col min="523" max="523" width="10.140625" bestFit="1" customWidth="1"/>
    <col min="524" max="524" width="17.42578125" customWidth="1"/>
    <col min="525" max="525" width="11.42578125" customWidth="1"/>
    <col min="526" max="526" width="9.28515625" bestFit="1" customWidth="1"/>
    <col min="769" max="769" width="36.5703125" bestFit="1" customWidth="1"/>
    <col min="770" max="770" width="15.85546875" bestFit="1" customWidth="1"/>
    <col min="771" max="771" width="14.7109375" bestFit="1" customWidth="1"/>
    <col min="772" max="772" width="18.42578125" customWidth="1"/>
    <col min="773" max="773" width="20.7109375" bestFit="1" customWidth="1"/>
    <col min="774" max="774" width="25" bestFit="1" customWidth="1"/>
    <col min="775" max="775" width="12.28515625" bestFit="1" customWidth="1"/>
    <col min="776" max="776" width="13.140625" bestFit="1" customWidth="1"/>
    <col min="777" max="777" width="11.28515625" bestFit="1" customWidth="1"/>
    <col min="778" max="778" width="14.140625" bestFit="1" customWidth="1"/>
    <col min="779" max="779" width="10.140625" bestFit="1" customWidth="1"/>
    <col min="780" max="780" width="17.42578125" customWidth="1"/>
    <col min="781" max="781" width="11.42578125" customWidth="1"/>
    <col min="782" max="782" width="9.28515625" bestFit="1" customWidth="1"/>
    <col min="1025" max="1025" width="36.5703125" bestFit="1" customWidth="1"/>
    <col min="1026" max="1026" width="15.85546875" bestFit="1" customWidth="1"/>
    <col min="1027" max="1027" width="14.7109375" bestFit="1" customWidth="1"/>
    <col min="1028" max="1028" width="18.42578125" customWidth="1"/>
    <col min="1029" max="1029" width="20.7109375" bestFit="1" customWidth="1"/>
    <col min="1030" max="1030" width="25" bestFit="1" customWidth="1"/>
    <col min="1031" max="1031" width="12.28515625" bestFit="1" customWidth="1"/>
    <col min="1032" max="1032" width="13.140625" bestFit="1" customWidth="1"/>
    <col min="1033" max="1033" width="11.28515625" bestFit="1" customWidth="1"/>
    <col min="1034" max="1034" width="14.140625" bestFit="1" customWidth="1"/>
    <col min="1035" max="1035" width="10.140625" bestFit="1" customWidth="1"/>
    <col min="1036" max="1036" width="17.42578125" customWidth="1"/>
    <col min="1037" max="1037" width="11.42578125" customWidth="1"/>
    <col min="1038" max="1038" width="9.28515625" bestFit="1" customWidth="1"/>
    <col min="1281" max="1281" width="36.5703125" bestFit="1" customWidth="1"/>
    <col min="1282" max="1282" width="15.85546875" bestFit="1" customWidth="1"/>
    <col min="1283" max="1283" width="14.7109375" bestFit="1" customWidth="1"/>
    <col min="1284" max="1284" width="18.42578125" customWidth="1"/>
    <col min="1285" max="1285" width="20.7109375" bestFit="1" customWidth="1"/>
    <col min="1286" max="1286" width="25" bestFit="1" customWidth="1"/>
    <col min="1287" max="1287" width="12.28515625" bestFit="1" customWidth="1"/>
    <col min="1288" max="1288" width="13.140625" bestFit="1" customWidth="1"/>
    <col min="1289" max="1289" width="11.28515625" bestFit="1" customWidth="1"/>
    <col min="1290" max="1290" width="14.140625" bestFit="1" customWidth="1"/>
    <col min="1291" max="1291" width="10.140625" bestFit="1" customWidth="1"/>
    <col min="1292" max="1292" width="17.42578125" customWidth="1"/>
    <col min="1293" max="1293" width="11.42578125" customWidth="1"/>
    <col min="1294" max="1294" width="9.28515625" bestFit="1" customWidth="1"/>
    <col min="1537" max="1537" width="36.5703125" bestFit="1" customWidth="1"/>
    <col min="1538" max="1538" width="15.85546875" bestFit="1" customWidth="1"/>
    <col min="1539" max="1539" width="14.7109375" bestFit="1" customWidth="1"/>
    <col min="1540" max="1540" width="18.42578125" customWidth="1"/>
    <col min="1541" max="1541" width="20.7109375" bestFit="1" customWidth="1"/>
    <col min="1542" max="1542" width="25" bestFit="1" customWidth="1"/>
    <col min="1543" max="1543" width="12.28515625" bestFit="1" customWidth="1"/>
    <col min="1544" max="1544" width="13.140625" bestFit="1" customWidth="1"/>
    <col min="1545" max="1545" width="11.28515625" bestFit="1" customWidth="1"/>
    <col min="1546" max="1546" width="14.140625" bestFit="1" customWidth="1"/>
    <col min="1547" max="1547" width="10.140625" bestFit="1" customWidth="1"/>
    <col min="1548" max="1548" width="17.42578125" customWidth="1"/>
    <col min="1549" max="1549" width="11.42578125" customWidth="1"/>
    <col min="1550" max="1550" width="9.28515625" bestFit="1" customWidth="1"/>
    <col min="1793" max="1793" width="36.5703125" bestFit="1" customWidth="1"/>
    <col min="1794" max="1794" width="15.85546875" bestFit="1" customWidth="1"/>
    <col min="1795" max="1795" width="14.7109375" bestFit="1" customWidth="1"/>
    <col min="1796" max="1796" width="18.42578125" customWidth="1"/>
    <col min="1797" max="1797" width="20.7109375" bestFit="1" customWidth="1"/>
    <col min="1798" max="1798" width="25" bestFit="1" customWidth="1"/>
    <col min="1799" max="1799" width="12.28515625" bestFit="1" customWidth="1"/>
    <col min="1800" max="1800" width="13.140625" bestFit="1" customWidth="1"/>
    <col min="1801" max="1801" width="11.28515625" bestFit="1" customWidth="1"/>
    <col min="1802" max="1802" width="14.140625" bestFit="1" customWidth="1"/>
    <col min="1803" max="1803" width="10.140625" bestFit="1" customWidth="1"/>
    <col min="1804" max="1804" width="17.42578125" customWidth="1"/>
    <col min="1805" max="1805" width="11.42578125" customWidth="1"/>
    <col min="1806" max="1806" width="9.28515625" bestFit="1" customWidth="1"/>
    <col min="2049" max="2049" width="36.5703125" bestFit="1" customWidth="1"/>
    <col min="2050" max="2050" width="15.85546875" bestFit="1" customWidth="1"/>
    <col min="2051" max="2051" width="14.7109375" bestFit="1" customWidth="1"/>
    <col min="2052" max="2052" width="18.42578125" customWidth="1"/>
    <col min="2053" max="2053" width="20.7109375" bestFit="1" customWidth="1"/>
    <col min="2054" max="2054" width="25" bestFit="1" customWidth="1"/>
    <col min="2055" max="2055" width="12.28515625" bestFit="1" customWidth="1"/>
    <col min="2056" max="2056" width="13.140625" bestFit="1" customWidth="1"/>
    <col min="2057" max="2057" width="11.28515625" bestFit="1" customWidth="1"/>
    <col min="2058" max="2058" width="14.140625" bestFit="1" customWidth="1"/>
    <col min="2059" max="2059" width="10.140625" bestFit="1" customWidth="1"/>
    <col min="2060" max="2060" width="17.42578125" customWidth="1"/>
    <col min="2061" max="2061" width="11.42578125" customWidth="1"/>
    <col min="2062" max="2062" width="9.28515625" bestFit="1" customWidth="1"/>
    <col min="2305" max="2305" width="36.5703125" bestFit="1" customWidth="1"/>
    <col min="2306" max="2306" width="15.85546875" bestFit="1" customWidth="1"/>
    <col min="2307" max="2307" width="14.7109375" bestFit="1" customWidth="1"/>
    <col min="2308" max="2308" width="18.42578125" customWidth="1"/>
    <col min="2309" max="2309" width="20.7109375" bestFit="1" customWidth="1"/>
    <col min="2310" max="2310" width="25" bestFit="1" customWidth="1"/>
    <col min="2311" max="2311" width="12.28515625" bestFit="1" customWidth="1"/>
    <col min="2312" max="2312" width="13.140625" bestFit="1" customWidth="1"/>
    <col min="2313" max="2313" width="11.28515625" bestFit="1" customWidth="1"/>
    <col min="2314" max="2314" width="14.140625" bestFit="1" customWidth="1"/>
    <col min="2315" max="2315" width="10.140625" bestFit="1" customWidth="1"/>
    <col min="2316" max="2316" width="17.42578125" customWidth="1"/>
    <col min="2317" max="2317" width="11.42578125" customWidth="1"/>
    <col min="2318" max="2318" width="9.28515625" bestFit="1" customWidth="1"/>
    <col min="2561" max="2561" width="36.5703125" bestFit="1" customWidth="1"/>
    <col min="2562" max="2562" width="15.85546875" bestFit="1" customWidth="1"/>
    <col min="2563" max="2563" width="14.7109375" bestFit="1" customWidth="1"/>
    <col min="2564" max="2564" width="18.42578125" customWidth="1"/>
    <col min="2565" max="2565" width="20.7109375" bestFit="1" customWidth="1"/>
    <col min="2566" max="2566" width="25" bestFit="1" customWidth="1"/>
    <col min="2567" max="2567" width="12.28515625" bestFit="1" customWidth="1"/>
    <col min="2568" max="2568" width="13.140625" bestFit="1" customWidth="1"/>
    <col min="2569" max="2569" width="11.28515625" bestFit="1" customWidth="1"/>
    <col min="2570" max="2570" width="14.140625" bestFit="1" customWidth="1"/>
    <col min="2571" max="2571" width="10.140625" bestFit="1" customWidth="1"/>
    <col min="2572" max="2572" width="17.42578125" customWidth="1"/>
    <col min="2573" max="2573" width="11.42578125" customWidth="1"/>
    <col min="2574" max="2574" width="9.28515625" bestFit="1" customWidth="1"/>
    <col min="2817" max="2817" width="36.5703125" bestFit="1" customWidth="1"/>
    <col min="2818" max="2818" width="15.85546875" bestFit="1" customWidth="1"/>
    <col min="2819" max="2819" width="14.7109375" bestFit="1" customWidth="1"/>
    <col min="2820" max="2820" width="18.42578125" customWidth="1"/>
    <col min="2821" max="2821" width="20.7109375" bestFit="1" customWidth="1"/>
    <col min="2822" max="2822" width="25" bestFit="1" customWidth="1"/>
    <col min="2823" max="2823" width="12.28515625" bestFit="1" customWidth="1"/>
    <col min="2824" max="2824" width="13.140625" bestFit="1" customWidth="1"/>
    <col min="2825" max="2825" width="11.28515625" bestFit="1" customWidth="1"/>
    <col min="2826" max="2826" width="14.140625" bestFit="1" customWidth="1"/>
    <col min="2827" max="2827" width="10.140625" bestFit="1" customWidth="1"/>
    <col min="2828" max="2828" width="17.42578125" customWidth="1"/>
    <col min="2829" max="2829" width="11.42578125" customWidth="1"/>
    <col min="2830" max="2830" width="9.28515625" bestFit="1" customWidth="1"/>
    <col min="3073" max="3073" width="36.5703125" bestFit="1" customWidth="1"/>
    <col min="3074" max="3074" width="15.85546875" bestFit="1" customWidth="1"/>
    <col min="3075" max="3075" width="14.7109375" bestFit="1" customWidth="1"/>
    <col min="3076" max="3076" width="18.42578125" customWidth="1"/>
    <col min="3077" max="3077" width="20.7109375" bestFit="1" customWidth="1"/>
    <col min="3078" max="3078" width="25" bestFit="1" customWidth="1"/>
    <col min="3079" max="3079" width="12.28515625" bestFit="1" customWidth="1"/>
    <col min="3080" max="3080" width="13.140625" bestFit="1" customWidth="1"/>
    <col min="3081" max="3081" width="11.28515625" bestFit="1" customWidth="1"/>
    <col min="3082" max="3082" width="14.140625" bestFit="1" customWidth="1"/>
    <col min="3083" max="3083" width="10.140625" bestFit="1" customWidth="1"/>
    <col min="3084" max="3084" width="17.42578125" customWidth="1"/>
    <col min="3085" max="3085" width="11.42578125" customWidth="1"/>
    <col min="3086" max="3086" width="9.28515625" bestFit="1" customWidth="1"/>
    <col min="3329" max="3329" width="36.5703125" bestFit="1" customWidth="1"/>
    <col min="3330" max="3330" width="15.85546875" bestFit="1" customWidth="1"/>
    <col min="3331" max="3331" width="14.7109375" bestFit="1" customWidth="1"/>
    <col min="3332" max="3332" width="18.42578125" customWidth="1"/>
    <col min="3333" max="3333" width="20.7109375" bestFit="1" customWidth="1"/>
    <col min="3334" max="3334" width="25" bestFit="1" customWidth="1"/>
    <col min="3335" max="3335" width="12.28515625" bestFit="1" customWidth="1"/>
    <col min="3336" max="3336" width="13.140625" bestFit="1" customWidth="1"/>
    <col min="3337" max="3337" width="11.28515625" bestFit="1" customWidth="1"/>
    <col min="3338" max="3338" width="14.140625" bestFit="1" customWidth="1"/>
    <col min="3339" max="3339" width="10.140625" bestFit="1" customWidth="1"/>
    <col min="3340" max="3340" width="17.42578125" customWidth="1"/>
    <col min="3341" max="3341" width="11.42578125" customWidth="1"/>
    <col min="3342" max="3342" width="9.28515625" bestFit="1" customWidth="1"/>
    <col min="3585" max="3585" width="36.5703125" bestFit="1" customWidth="1"/>
    <col min="3586" max="3586" width="15.85546875" bestFit="1" customWidth="1"/>
    <col min="3587" max="3587" width="14.7109375" bestFit="1" customWidth="1"/>
    <col min="3588" max="3588" width="18.42578125" customWidth="1"/>
    <col min="3589" max="3589" width="20.7109375" bestFit="1" customWidth="1"/>
    <col min="3590" max="3590" width="25" bestFit="1" customWidth="1"/>
    <col min="3591" max="3591" width="12.28515625" bestFit="1" customWidth="1"/>
    <col min="3592" max="3592" width="13.140625" bestFit="1" customWidth="1"/>
    <col min="3593" max="3593" width="11.28515625" bestFit="1" customWidth="1"/>
    <col min="3594" max="3594" width="14.140625" bestFit="1" customWidth="1"/>
    <col min="3595" max="3595" width="10.140625" bestFit="1" customWidth="1"/>
    <col min="3596" max="3596" width="17.42578125" customWidth="1"/>
    <col min="3597" max="3597" width="11.42578125" customWidth="1"/>
    <col min="3598" max="3598" width="9.28515625" bestFit="1" customWidth="1"/>
    <col min="3841" max="3841" width="36.5703125" bestFit="1" customWidth="1"/>
    <col min="3842" max="3842" width="15.85546875" bestFit="1" customWidth="1"/>
    <col min="3843" max="3843" width="14.7109375" bestFit="1" customWidth="1"/>
    <col min="3844" max="3844" width="18.42578125" customWidth="1"/>
    <col min="3845" max="3845" width="20.7109375" bestFit="1" customWidth="1"/>
    <col min="3846" max="3846" width="25" bestFit="1" customWidth="1"/>
    <col min="3847" max="3847" width="12.28515625" bestFit="1" customWidth="1"/>
    <col min="3848" max="3848" width="13.140625" bestFit="1" customWidth="1"/>
    <col min="3849" max="3849" width="11.28515625" bestFit="1" customWidth="1"/>
    <col min="3850" max="3850" width="14.140625" bestFit="1" customWidth="1"/>
    <col min="3851" max="3851" width="10.140625" bestFit="1" customWidth="1"/>
    <col min="3852" max="3852" width="17.42578125" customWidth="1"/>
    <col min="3853" max="3853" width="11.42578125" customWidth="1"/>
    <col min="3854" max="3854" width="9.28515625" bestFit="1" customWidth="1"/>
    <col min="4097" max="4097" width="36.5703125" bestFit="1" customWidth="1"/>
    <col min="4098" max="4098" width="15.85546875" bestFit="1" customWidth="1"/>
    <col min="4099" max="4099" width="14.7109375" bestFit="1" customWidth="1"/>
    <col min="4100" max="4100" width="18.42578125" customWidth="1"/>
    <col min="4101" max="4101" width="20.7109375" bestFit="1" customWidth="1"/>
    <col min="4102" max="4102" width="25" bestFit="1" customWidth="1"/>
    <col min="4103" max="4103" width="12.28515625" bestFit="1" customWidth="1"/>
    <col min="4104" max="4104" width="13.140625" bestFit="1" customWidth="1"/>
    <col min="4105" max="4105" width="11.28515625" bestFit="1" customWidth="1"/>
    <col min="4106" max="4106" width="14.140625" bestFit="1" customWidth="1"/>
    <col min="4107" max="4107" width="10.140625" bestFit="1" customWidth="1"/>
    <col min="4108" max="4108" width="17.42578125" customWidth="1"/>
    <col min="4109" max="4109" width="11.42578125" customWidth="1"/>
    <col min="4110" max="4110" width="9.28515625" bestFit="1" customWidth="1"/>
    <col min="4353" max="4353" width="36.5703125" bestFit="1" customWidth="1"/>
    <col min="4354" max="4354" width="15.85546875" bestFit="1" customWidth="1"/>
    <col min="4355" max="4355" width="14.7109375" bestFit="1" customWidth="1"/>
    <col min="4356" max="4356" width="18.42578125" customWidth="1"/>
    <col min="4357" max="4357" width="20.7109375" bestFit="1" customWidth="1"/>
    <col min="4358" max="4358" width="25" bestFit="1" customWidth="1"/>
    <col min="4359" max="4359" width="12.28515625" bestFit="1" customWidth="1"/>
    <col min="4360" max="4360" width="13.140625" bestFit="1" customWidth="1"/>
    <col min="4361" max="4361" width="11.28515625" bestFit="1" customWidth="1"/>
    <col min="4362" max="4362" width="14.140625" bestFit="1" customWidth="1"/>
    <col min="4363" max="4363" width="10.140625" bestFit="1" customWidth="1"/>
    <col min="4364" max="4364" width="17.42578125" customWidth="1"/>
    <col min="4365" max="4365" width="11.42578125" customWidth="1"/>
    <col min="4366" max="4366" width="9.28515625" bestFit="1" customWidth="1"/>
    <col min="4609" max="4609" width="36.5703125" bestFit="1" customWidth="1"/>
    <col min="4610" max="4610" width="15.85546875" bestFit="1" customWidth="1"/>
    <col min="4611" max="4611" width="14.7109375" bestFit="1" customWidth="1"/>
    <col min="4612" max="4612" width="18.42578125" customWidth="1"/>
    <col min="4613" max="4613" width="20.7109375" bestFit="1" customWidth="1"/>
    <col min="4614" max="4614" width="25" bestFit="1" customWidth="1"/>
    <col min="4615" max="4615" width="12.28515625" bestFit="1" customWidth="1"/>
    <col min="4616" max="4616" width="13.140625" bestFit="1" customWidth="1"/>
    <col min="4617" max="4617" width="11.28515625" bestFit="1" customWidth="1"/>
    <col min="4618" max="4618" width="14.140625" bestFit="1" customWidth="1"/>
    <col min="4619" max="4619" width="10.140625" bestFit="1" customWidth="1"/>
    <col min="4620" max="4620" width="17.42578125" customWidth="1"/>
    <col min="4621" max="4621" width="11.42578125" customWidth="1"/>
    <col min="4622" max="4622" width="9.28515625" bestFit="1" customWidth="1"/>
    <col min="4865" max="4865" width="36.5703125" bestFit="1" customWidth="1"/>
    <col min="4866" max="4866" width="15.85546875" bestFit="1" customWidth="1"/>
    <col min="4867" max="4867" width="14.7109375" bestFit="1" customWidth="1"/>
    <col min="4868" max="4868" width="18.42578125" customWidth="1"/>
    <col min="4869" max="4869" width="20.7109375" bestFit="1" customWidth="1"/>
    <col min="4870" max="4870" width="25" bestFit="1" customWidth="1"/>
    <col min="4871" max="4871" width="12.28515625" bestFit="1" customWidth="1"/>
    <col min="4872" max="4872" width="13.140625" bestFit="1" customWidth="1"/>
    <col min="4873" max="4873" width="11.28515625" bestFit="1" customWidth="1"/>
    <col min="4874" max="4874" width="14.140625" bestFit="1" customWidth="1"/>
    <col min="4875" max="4875" width="10.140625" bestFit="1" customWidth="1"/>
    <col min="4876" max="4876" width="17.42578125" customWidth="1"/>
    <col min="4877" max="4877" width="11.42578125" customWidth="1"/>
    <col min="4878" max="4878" width="9.28515625" bestFit="1" customWidth="1"/>
    <col min="5121" max="5121" width="36.5703125" bestFit="1" customWidth="1"/>
    <col min="5122" max="5122" width="15.85546875" bestFit="1" customWidth="1"/>
    <col min="5123" max="5123" width="14.7109375" bestFit="1" customWidth="1"/>
    <col min="5124" max="5124" width="18.42578125" customWidth="1"/>
    <col min="5125" max="5125" width="20.7109375" bestFit="1" customWidth="1"/>
    <col min="5126" max="5126" width="25" bestFit="1" customWidth="1"/>
    <col min="5127" max="5127" width="12.28515625" bestFit="1" customWidth="1"/>
    <col min="5128" max="5128" width="13.140625" bestFit="1" customWidth="1"/>
    <col min="5129" max="5129" width="11.28515625" bestFit="1" customWidth="1"/>
    <col min="5130" max="5130" width="14.140625" bestFit="1" customWidth="1"/>
    <col min="5131" max="5131" width="10.140625" bestFit="1" customWidth="1"/>
    <col min="5132" max="5132" width="17.42578125" customWidth="1"/>
    <col min="5133" max="5133" width="11.42578125" customWidth="1"/>
    <col min="5134" max="5134" width="9.28515625" bestFit="1" customWidth="1"/>
    <col min="5377" max="5377" width="36.5703125" bestFit="1" customWidth="1"/>
    <col min="5378" max="5378" width="15.85546875" bestFit="1" customWidth="1"/>
    <col min="5379" max="5379" width="14.7109375" bestFit="1" customWidth="1"/>
    <col min="5380" max="5380" width="18.42578125" customWidth="1"/>
    <col min="5381" max="5381" width="20.7109375" bestFit="1" customWidth="1"/>
    <col min="5382" max="5382" width="25" bestFit="1" customWidth="1"/>
    <col min="5383" max="5383" width="12.28515625" bestFit="1" customWidth="1"/>
    <col min="5384" max="5384" width="13.140625" bestFit="1" customWidth="1"/>
    <col min="5385" max="5385" width="11.28515625" bestFit="1" customWidth="1"/>
    <col min="5386" max="5386" width="14.140625" bestFit="1" customWidth="1"/>
    <col min="5387" max="5387" width="10.140625" bestFit="1" customWidth="1"/>
    <col min="5388" max="5388" width="17.42578125" customWidth="1"/>
    <col min="5389" max="5389" width="11.42578125" customWidth="1"/>
    <col min="5390" max="5390" width="9.28515625" bestFit="1" customWidth="1"/>
    <col min="5633" max="5633" width="36.5703125" bestFit="1" customWidth="1"/>
    <col min="5634" max="5634" width="15.85546875" bestFit="1" customWidth="1"/>
    <col min="5635" max="5635" width="14.7109375" bestFit="1" customWidth="1"/>
    <col min="5636" max="5636" width="18.42578125" customWidth="1"/>
    <col min="5637" max="5637" width="20.7109375" bestFit="1" customWidth="1"/>
    <col min="5638" max="5638" width="25" bestFit="1" customWidth="1"/>
    <col min="5639" max="5639" width="12.28515625" bestFit="1" customWidth="1"/>
    <col min="5640" max="5640" width="13.140625" bestFit="1" customWidth="1"/>
    <col min="5641" max="5641" width="11.28515625" bestFit="1" customWidth="1"/>
    <col min="5642" max="5642" width="14.140625" bestFit="1" customWidth="1"/>
    <col min="5643" max="5643" width="10.140625" bestFit="1" customWidth="1"/>
    <col min="5644" max="5644" width="17.42578125" customWidth="1"/>
    <col min="5645" max="5645" width="11.42578125" customWidth="1"/>
    <col min="5646" max="5646" width="9.28515625" bestFit="1" customWidth="1"/>
    <col min="5889" max="5889" width="36.5703125" bestFit="1" customWidth="1"/>
    <col min="5890" max="5890" width="15.85546875" bestFit="1" customWidth="1"/>
    <col min="5891" max="5891" width="14.7109375" bestFit="1" customWidth="1"/>
    <col min="5892" max="5892" width="18.42578125" customWidth="1"/>
    <col min="5893" max="5893" width="20.7109375" bestFit="1" customWidth="1"/>
    <col min="5894" max="5894" width="25" bestFit="1" customWidth="1"/>
    <col min="5895" max="5895" width="12.28515625" bestFit="1" customWidth="1"/>
    <col min="5896" max="5896" width="13.140625" bestFit="1" customWidth="1"/>
    <col min="5897" max="5897" width="11.28515625" bestFit="1" customWidth="1"/>
    <col min="5898" max="5898" width="14.140625" bestFit="1" customWidth="1"/>
    <col min="5899" max="5899" width="10.140625" bestFit="1" customWidth="1"/>
    <col min="5900" max="5900" width="17.42578125" customWidth="1"/>
    <col min="5901" max="5901" width="11.42578125" customWidth="1"/>
    <col min="5902" max="5902" width="9.28515625" bestFit="1" customWidth="1"/>
    <col min="6145" max="6145" width="36.5703125" bestFit="1" customWidth="1"/>
    <col min="6146" max="6146" width="15.85546875" bestFit="1" customWidth="1"/>
    <col min="6147" max="6147" width="14.7109375" bestFit="1" customWidth="1"/>
    <col min="6148" max="6148" width="18.42578125" customWidth="1"/>
    <col min="6149" max="6149" width="20.7109375" bestFit="1" customWidth="1"/>
    <col min="6150" max="6150" width="25" bestFit="1" customWidth="1"/>
    <col min="6151" max="6151" width="12.28515625" bestFit="1" customWidth="1"/>
    <col min="6152" max="6152" width="13.140625" bestFit="1" customWidth="1"/>
    <col min="6153" max="6153" width="11.28515625" bestFit="1" customWidth="1"/>
    <col min="6154" max="6154" width="14.140625" bestFit="1" customWidth="1"/>
    <col min="6155" max="6155" width="10.140625" bestFit="1" customWidth="1"/>
    <col min="6156" max="6156" width="17.42578125" customWidth="1"/>
    <col min="6157" max="6157" width="11.42578125" customWidth="1"/>
    <col min="6158" max="6158" width="9.28515625" bestFit="1" customWidth="1"/>
    <col min="6401" max="6401" width="36.5703125" bestFit="1" customWidth="1"/>
    <col min="6402" max="6402" width="15.85546875" bestFit="1" customWidth="1"/>
    <col min="6403" max="6403" width="14.7109375" bestFit="1" customWidth="1"/>
    <col min="6404" max="6404" width="18.42578125" customWidth="1"/>
    <col min="6405" max="6405" width="20.7109375" bestFit="1" customWidth="1"/>
    <col min="6406" max="6406" width="25" bestFit="1" customWidth="1"/>
    <col min="6407" max="6407" width="12.28515625" bestFit="1" customWidth="1"/>
    <col min="6408" max="6408" width="13.140625" bestFit="1" customWidth="1"/>
    <col min="6409" max="6409" width="11.28515625" bestFit="1" customWidth="1"/>
    <col min="6410" max="6410" width="14.140625" bestFit="1" customWidth="1"/>
    <col min="6411" max="6411" width="10.140625" bestFit="1" customWidth="1"/>
    <col min="6412" max="6412" width="17.42578125" customWidth="1"/>
    <col min="6413" max="6413" width="11.42578125" customWidth="1"/>
    <col min="6414" max="6414" width="9.28515625" bestFit="1" customWidth="1"/>
    <col min="6657" max="6657" width="36.5703125" bestFit="1" customWidth="1"/>
    <col min="6658" max="6658" width="15.85546875" bestFit="1" customWidth="1"/>
    <col min="6659" max="6659" width="14.7109375" bestFit="1" customWidth="1"/>
    <col min="6660" max="6660" width="18.42578125" customWidth="1"/>
    <col min="6661" max="6661" width="20.7109375" bestFit="1" customWidth="1"/>
    <col min="6662" max="6662" width="25" bestFit="1" customWidth="1"/>
    <col min="6663" max="6663" width="12.28515625" bestFit="1" customWidth="1"/>
    <col min="6664" max="6664" width="13.140625" bestFit="1" customWidth="1"/>
    <col min="6665" max="6665" width="11.28515625" bestFit="1" customWidth="1"/>
    <col min="6666" max="6666" width="14.140625" bestFit="1" customWidth="1"/>
    <col min="6667" max="6667" width="10.140625" bestFit="1" customWidth="1"/>
    <col min="6668" max="6668" width="17.42578125" customWidth="1"/>
    <col min="6669" max="6669" width="11.42578125" customWidth="1"/>
    <col min="6670" max="6670" width="9.28515625" bestFit="1" customWidth="1"/>
    <col min="6913" max="6913" width="36.5703125" bestFit="1" customWidth="1"/>
    <col min="6914" max="6914" width="15.85546875" bestFit="1" customWidth="1"/>
    <col min="6915" max="6915" width="14.7109375" bestFit="1" customWidth="1"/>
    <col min="6916" max="6916" width="18.42578125" customWidth="1"/>
    <col min="6917" max="6917" width="20.7109375" bestFit="1" customWidth="1"/>
    <col min="6918" max="6918" width="25" bestFit="1" customWidth="1"/>
    <col min="6919" max="6919" width="12.28515625" bestFit="1" customWidth="1"/>
    <col min="6920" max="6920" width="13.140625" bestFit="1" customWidth="1"/>
    <col min="6921" max="6921" width="11.28515625" bestFit="1" customWidth="1"/>
    <col min="6922" max="6922" width="14.140625" bestFit="1" customWidth="1"/>
    <col min="6923" max="6923" width="10.140625" bestFit="1" customWidth="1"/>
    <col min="6924" max="6924" width="17.42578125" customWidth="1"/>
    <col min="6925" max="6925" width="11.42578125" customWidth="1"/>
    <col min="6926" max="6926" width="9.28515625" bestFit="1" customWidth="1"/>
    <col min="7169" max="7169" width="36.5703125" bestFit="1" customWidth="1"/>
    <col min="7170" max="7170" width="15.85546875" bestFit="1" customWidth="1"/>
    <col min="7171" max="7171" width="14.7109375" bestFit="1" customWidth="1"/>
    <col min="7172" max="7172" width="18.42578125" customWidth="1"/>
    <col min="7173" max="7173" width="20.7109375" bestFit="1" customWidth="1"/>
    <col min="7174" max="7174" width="25" bestFit="1" customWidth="1"/>
    <col min="7175" max="7175" width="12.28515625" bestFit="1" customWidth="1"/>
    <col min="7176" max="7176" width="13.140625" bestFit="1" customWidth="1"/>
    <col min="7177" max="7177" width="11.28515625" bestFit="1" customWidth="1"/>
    <col min="7178" max="7178" width="14.140625" bestFit="1" customWidth="1"/>
    <col min="7179" max="7179" width="10.140625" bestFit="1" customWidth="1"/>
    <col min="7180" max="7180" width="17.42578125" customWidth="1"/>
    <col min="7181" max="7181" width="11.42578125" customWidth="1"/>
    <col min="7182" max="7182" width="9.28515625" bestFit="1" customWidth="1"/>
    <col min="7425" max="7425" width="36.5703125" bestFit="1" customWidth="1"/>
    <col min="7426" max="7426" width="15.85546875" bestFit="1" customWidth="1"/>
    <col min="7427" max="7427" width="14.7109375" bestFit="1" customWidth="1"/>
    <col min="7428" max="7428" width="18.42578125" customWidth="1"/>
    <col min="7429" max="7429" width="20.7109375" bestFit="1" customWidth="1"/>
    <col min="7430" max="7430" width="25" bestFit="1" customWidth="1"/>
    <col min="7431" max="7431" width="12.28515625" bestFit="1" customWidth="1"/>
    <col min="7432" max="7432" width="13.140625" bestFit="1" customWidth="1"/>
    <col min="7433" max="7433" width="11.28515625" bestFit="1" customWidth="1"/>
    <col min="7434" max="7434" width="14.140625" bestFit="1" customWidth="1"/>
    <col min="7435" max="7435" width="10.140625" bestFit="1" customWidth="1"/>
    <col min="7436" max="7436" width="17.42578125" customWidth="1"/>
    <col min="7437" max="7437" width="11.42578125" customWidth="1"/>
    <col min="7438" max="7438" width="9.28515625" bestFit="1" customWidth="1"/>
    <col min="7681" max="7681" width="36.5703125" bestFit="1" customWidth="1"/>
    <col min="7682" max="7682" width="15.85546875" bestFit="1" customWidth="1"/>
    <col min="7683" max="7683" width="14.7109375" bestFit="1" customWidth="1"/>
    <col min="7684" max="7684" width="18.42578125" customWidth="1"/>
    <col min="7685" max="7685" width="20.7109375" bestFit="1" customWidth="1"/>
    <col min="7686" max="7686" width="25" bestFit="1" customWidth="1"/>
    <col min="7687" max="7687" width="12.28515625" bestFit="1" customWidth="1"/>
    <col min="7688" max="7688" width="13.140625" bestFit="1" customWidth="1"/>
    <col min="7689" max="7689" width="11.28515625" bestFit="1" customWidth="1"/>
    <col min="7690" max="7690" width="14.140625" bestFit="1" customWidth="1"/>
    <col min="7691" max="7691" width="10.140625" bestFit="1" customWidth="1"/>
    <col min="7692" max="7692" width="17.42578125" customWidth="1"/>
    <col min="7693" max="7693" width="11.42578125" customWidth="1"/>
    <col min="7694" max="7694" width="9.28515625" bestFit="1" customWidth="1"/>
    <col min="7937" max="7937" width="36.5703125" bestFit="1" customWidth="1"/>
    <col min="7938" max="7938" width="15.85546875" bestFit="1" customWidth="1"/>
    <col min="7939" max="7939" width="14.7109375" bestFit="1" customWidth="1"/>
    <col min="7940" max="7940" width="18.42578125" customWidth="1"/>
    <col min="7941" max="7941" width="20.7109375" bestFit="1" customWidth="1"/>
    <col min="7942" max="7942" width="25" bestFit="1" customWidth="1"/>
    <col min="7943" max="7943" width="12.28515625" bestFit="1" customWidth="1"/>
    <col min="7944" max="7944" width="13.140625" bestFit="1" customWidth="1"/>
    <col min="7945" max="7945" width="11.28515625" bestFit="1" customWidth="1"/>
    <col min="7946" max="7946" width="14.140625" bestFit="1" customWidth="1"/>
    <col min="7947" max="7947" width="10.140625" bestFit="1" customWidth="1"/>
    <col min="7948" max="7948" width="17.42578125" customWidth="1"/>
    <col min="7949" max="7949" width="11.42578125" customWidth="1"/>
    <col min="7950" max="7950" width="9.28515625" bestFit="1" customWidth="1"/>
    <col min="8193" max="8193" width="36.5703125" bestFit="1" customWidth="1"/>
    <col min="8194" max="8194" width="15.85546875" bestFit="1" customWidth="1"/>
    <col min="8195" max="8195" width="14.7109375" bestFit="1" customWidth="1"/>
    <col min="8196" max="8196" width="18.42578125" customWidth="1"/>
    <col min="8197" max="8197" width="20.7109375" bestFit="1" customWidth="1"/>
    <col min="8198" max="8198" width="25" bestFit="1" customWidth="1"/>
    <col min="8199" max="8199" width="12.28515625" bestFit="1" customWidth="1"/>
    <col min="8200" max="8200" width="13.140625" bestFit="1" customWidth="1"/>
    <col min="8201" max="8201" width="11.28515625" bestFit="1" customWidth="1"/>
    <col min="8202" max="8202" width="14.140625" bestFit="1" customWidth="1"/>
    <col min="8203" max="8203" width="10.140625" bestFit="1" customWidth="1"/>
    <col min="8204" max="8204" width="17.42578125" customWidth="1"/>
    <col min="8205" max="8205" width="11.42578125" customWidth="1"/>
    <col min="8206" max="8206" width="9.28515625" bestFit="1" customWidth="1"/>
    <col min="8449" max="8449" width="36.5703125" bestFit="1" customWidth="1"/>
    <col min="8450" max="8450" width="15.85546875" bestFit="1" customWidth="1"/>
    <col min="8451" max="8451" width="14.7109375" bestFit="1" customWidth="1"/>
    <col min="8452" max="8452" width="18.42578125" customWidth="1"/>
    <col min="8453" max="8453" width="20.7109375" bestFit="1" customWidth="1"/>
    <col min="8454" max="8454" width="25" bestFit="1" customWidth="1"/>
    <col min="8455" max="8455" width="12.28515625" bestFit="1" customWidth="1"/>
    <col min="8456" max="8456" width="13.140625" bestFit="1" customWidth="1"/>
    <col min="8457" max="8457" width="11.28515625" bestFit="1" customWidth="1"/>
    <col min="8458" max="8458" width="14.140625" bestFit="1" customWidth="1"/>
    <col min="8459" max="8459" width="10.140625" bestFit="1" customWidth="1"/>
    <col min="8460" max="8460" width="17.42578125" customWidth="1"/>
    <col min="8461" max="8461" width="11.42578125" customWidth="1"/>
    <col min="8462" max="8462" width="9.28515625" bestFit="1" customWidth="1"/>
    <col min="8705" max="8705" width="36.5703125" bestFit="1" customWidth="1"/>
    <col min="8706" max="8706" width="15.85546875" bestFit="1" customWidth="1"/>
    <col min="8707" max="8707" width="14.7109375" bestFit="1" customWidth="1"/>
    <col min="8708" max="8708" width="18.42578125" customWidth="1"/>
    <col min="8709" max="8709" width="20.7109375" bestFit="1" customWidth="1"/>
    <col min="8710" max="8710" width="25" bestFit="1" customWidth="1"/>
    <col min="8711" max="8711" width="12.28515625" bestFit="1" customWidth="1"/>
    <col min="8712" max="8712" width="13.140625" bestFit="1" customWidth="1"/>
    <col min="8713" max="8713" width="11.28515625" bestFit="1" customWidth="1"/>
    <col min="8714" max="8714" width="14.140625" bestFit="1" customWidth="1"/>
    <col min="8715" max="8715" width="10.140625" bestFit="1" customWidth="1"/>
    <col min="8716" max="8716" width="17.42578125" customWidth="1"/>
    <col min="8717" max="8717" width="11.42578125" customWidth="1"/>
    <col min="8718" max="8718" width="9.28515625" bestFit="1" customWidth="1"/>
    <col min="8961" max="8961" width="36.5703125" bestFit="1" customWidth="1"/>
    <col min="8962" max="8962" width="15.85546875" bestFit="1" customWidth="1"/>
    <col min="8963" max="8963" width="14.7109375" bestFit="1" customWidth="1"/>
    <col min="8964" max="8964" width="18.42578125" customWidth="1"/>
    <col min="8965" max="8965" width="20.7109375" bestFit="1" customWidth="1"/>
    <col min="8966" max="8966" width="25" bestFit="1" customWidth="1"/>
    <col min="8967" max="8967" width="12.28515625" bestFit="1" customWidth="1"/>
    <col min="8968" max="8968" width="13.140625" bestFit="1" customWidth="1"/>
    <col min="8969" max="8969" width="11.28515625" bestFit="1" customWidth="1"/>
    <col min="8970" max="8970" width="14.140625" bestFit="1" customWidth="1"/>
    <col min="8971" max="8971" width="10.140625" bestFit="1" customWidth="1"/>
    <col min="8972" max="8972" width="17.42578125" customWidth="1"/>
    <col min="8973" max="8973" width="11.42578125" customWidth="1"/>
    <col min="8974" max="8974" width="9.28515625" bestFit="1" customWidth="1"/>
    <col min="9217" max="9217" width="36.5703125" bestFit="1" customWidth="1"/>
    <col min="9218" max="9218" width="15.85546875" bestFit="1" customWidth="1"/>
    <col min="9219" max="9219" width="14.7109375" bestFit="1" customWidth="1"/>
    <col min="9220" max="9220" width="18.42578125" customWidth="1"/>
    <col min="9221" max="9221" width="20.7109375" bestFit="1" customWidth="1"/>
    <col min="9222" max="9222" width="25" bestFit="1" customWidth="1"/>
    <col min="9223" max="9223" width="12.28515625" bestFit="1" customWidth="1"/>
    <col min="9224" max="9224" width="13.140625" bestFit="1" customWidth="1"/>
    <col min="9225" max="9225" width="11.28515625" bestFit="1" customWidth="1"/>
    <col min="9226" max="9226" width="14.140625" bestFit="1" customWidth="1"/>
    <col min="9227" max="9227" width="10.140625" bestFit="1" customWidth="1"/>
    <col min="9228" max="9228" width="17.42578125" customWidth="1"/>
    <col min="9229" max="9229" width="11.42578125" customWidth="1"/>
    <col min="9230" max="9230" width="9.28515625" bestFit="1" customWidth="1"/>
    <col min="9473" max="9473" width="36.5703125" bestFit="1" customWidth="1"/>
    <col min="9474" max="9474" width="15.85546875" bestFit="1" customWidth="1"/>
    <col min="9475" max="9475" width="14.7109375" bestFit="1" customWidth="1"/>
    <col min="9476" max="9476" width="18.42578125" customWidth="1"/>
    <col min="9477" max="9477" width="20.7109375" bestFit="1" customWidth="1"/>
    <col min="9478" max="9478" width="25" bestFit="1" customWidth="1"/>
    <col min="9479" max="9479" width="12.28515625" bestFit="1" customWidth="1"/>
    <col min="9480" max="9480" width="13.140625" bestFit="1" customWidth="1"/>
    <col min="9481" max="9481" width="11.28515625" bestFit="1" customWidth="1"/>
    <col min="9482" max="9482" width="14.140625" bestFit="1" customWidth="1"/>
    <col min="9483" max="9483" width="10.140625" bestFit="1" customWidth="1"/>
    <col min="9484" max="9484" width="17.42578125" customWidth="1"/>
    <col min="9485" max="9485" width="11.42578125" customWidth="1"/>
    <col min="9486" max="9486" width="9.28515625" bestFit="1" customWidth="1"/>
    <col min="9729" max="9729" width="36.5703125" bestFit="1" customWidth="1"/>
    <col min="9730" max="9730" width="15.85546875" bestFit="1" customWidth="1"/>
    <col min="9731" max="9731" width="14.7109375" bestFit="1" customWidth="1"/>
    <col min="9732" max="9732" width="18.42578125" customWidth="1"/>
    <col min="9733" max="9733" width="20.7109375" bestFit="1" customWidth="1"/>
    <col min="9734" max="9734" width="25" bestFit="1" customWidth="1"/>
    <col min="9735" max="9735" width="12.28515625" bestFit="1" customWidth="1"/>
    <col min="9736" max="9736" width="13.140625" bestFit="1" customWidth="1"/>
    <col min="9737" max="9737" width="11.28515625" bestFit="1" customWidth="1"/>
    <col min="9738" max="9738" width="14.140625" bestFit="1" customWidth="1"/>
    <col min="9739" max="9739" width="10.140625" bestFit="1" customWidth="1"/>
    <col min="9740" max="9740" width="17.42578125" customWidth="1"/>
    <col min="9741" max="9741" width="11.42578125" customWidth="1"/>
    <col min="9742" max="9742" width="9.28515625" bestFit="1" customWidth="1"/>
    <col min="9985" max="9985" width="36.5703125" bestFit="1" customWidth="1"/>
    <col min="9986" max="9986" width="15.85546875" bestFit="1" customWidth="1"/>
    <col min="9987" max="9987" width="14.7109375" bestFit="1" customWidth="1"/>
    <col min="9988" max="9988" width="18.42578125" customWidth="1"/>
    <col min="9989" max="9989" width="20.7109375" bestFit="1" customWidth="1"/>
    <col min="9990" max="9990" width="25" bestFit="1" customWidth="1"/>
    <col min="9991" max="9991" width="12.28515625" bestFit="1" customWidth="1"/>
    <col min="9992" max="9992" width="13.140625" bestFit="1" customWidth="1"/>
    <col min="9993" max="9993" width="11.28515625" bestFit="1" customWidth="1"/>
    <col min="9994" max="9994" width="14.140625" bestFit="1" customWidth="1"/>
    <col min="9995" max="9995" width="10.140625" bestFit="1" customWidth="1"/>
    <col min="9996" max="9996" width="17.42578125" customWidth="1"/>
    <col min="9997" max="9997" width="11.42578125" customWidth="1"/>
    <col min="9998" max="9998" width="9.28515625" bestFit="1" customWidth="1"/>
    <col min="10241" max="10241" width="36.5703125" bestFit="1" customWidth="1"/>
    <col min="10242" max="10242" width="15.85546875" bestFit="1" customWidth="1"/>
    <col min="10243" max="10243" width="14.7109375" bestFit="1" customWidth="1"/>
    <col min="10244" max="10244" width="18.42578125" customWidth="1"/>
    <col min="10245" max="10245" width="20.7109375" bestFit="1" customWidth="1"/>
    <col min="10246" max="10246" width="25" bestFit="1" customWidth="1"/>
    <col min="10247" max="10247" width="12.28515625" bestFit="1" customWidth="1"/>
    <col min="10248" max="10248" width="13.140625" bestFit="1" customWidth="1"/>
    <col min="10249" max="10249" width="11.28515625" bestFit="1" customWidth="1"/>
    <col min="10250" max="10250" width="14.140625" bestFit="1" customWidth="1"/>
    <col min="10251" max="10251" width="10.140625" bestFit="1" customWidth="1"/>
    <col min="10252" max="10252" width="17.42578125" customWidth="1"/>
    <col min="10253" max="10253" width="11.42578125" customWidth="1"/>
    <col min="10254" max="10254" width="9.28515625" bestFit="1" customWidth="1"/>
    <col min="10497" max="10497" width="36.5703125" bestFit="1" customWidth="1"/>
    <col min="10498" max="10498" width="15.85546875" bestFit="1" customWidth="1"/>
    <col min="10499" max="10499" width="14.7109375" bestFit="1" customWidth="1"/>
    <col min="10500" max="10500" width="18.42578125" customWidth="1"/>
    <col min="10501" max="10501" width="20.7109375" bestFit="1" customWidth="1"/>
    <col min="10502" max="10502" width="25" bestFit="1" customWidth="1"/>
    <col min="10503" max="10503" width="12.28515625" bestFit="1" customWidth="1"/>
    <col min="10504" max="10504" width="13.140625" bestFit="1" customWidth="1"/>
    <col min="10505" max="10505" width="11.28515625" bestFit="1" customWidth="1"/>
    <col min="10506" max="10506" width="14.140625" bestFit="1" customWidth="1"/>
    <col min="10507" max="10507" width="10.140625" bestFit="1" customWidth="1"/>
    <col min="10508" max="10508" width="17.42578125" customWidth="1"/>
    <col min="10509" max="10509" width="11.42578125" customWidth="1"/>
    <col min="10510" max="10510" width="9.28515625" bestFit="1" customWidth="1"/>
    <col min="10753" max="10753" width="36.5703125" bestFit="1" customWidth="1"/>
    <col min="10754" max="10754" width="15.85546875" bestFit="1" customWidth="1"/>
    <col min="10755" max="10755" width="14.7109375" bestFit="1" customWidth="1"/>
    <col min="10756" max="10756" width="18.42578125" customWidth="1"/>
    <col min="10757" max="10757" width="20.7109375" bestFit="1" customWidth="1"/>
    <col min="10758" max="10758" width="25" bestFit="1" customWidth="1"/>
    <col min="10759" max="10759" width="12.28515625" bestFit="1" customWidth="1"/>
    <col min="10760" max="10760" width="13.140625" bestFit="1" customWidth="1"/>
    <col min="10761" max="10761" width="11.28515625" bestFit="1" customWidth="1"/>
    <col min="10762" max="10762" width="14.140625" bestFit="1" customWidth="1"/>
    <col min="10763" max="10763" width="10.140625" bestFit="1" customWidth="1"/>
    <col min="10764" max="10764" width="17.42578125" customWidth="1"/>
    <col min="10765" max="10765" width="11.42578125" customWidth="1"/>
    <col min="10766" max="10766" width="9.28515625" bestFit="1" customWidth="1"/>
    <col min="11009" max="11009" width="36.5703125" bestFit="1" customWidth="1"/>
    <col min="11010" max="11010" width="15.85546875" bestFit="1" customWidth="1"/>
    <col min="11011" max="11011" width="14.7109375" bestFit="1" customWidth="1"/>
    <col min="11012" max="11012" width="18.42578125" customWidth="1"/>
    <col min="11013" max="11013" width="20.7109375" bestFit="1" customWidth="1"/>
    <col min="11014" max="11014" width="25" bestFit="1" customWidth="1"/>
    <col min="11015" max="11015" width="12.28515625" bestFit="1" customWidth="1"/>
    <col min="11016" max="11016" width="13.140625" bestFit="1" customWidth="1"/>
    <col min="11017" max="11017" width="11.28515625" bestFit="1" customWidth="1"/>
    <col min="11018" max="11018" width="14.140625" bestFit="1" customWidth="1"/>
    <col min="11019" max="11019" width="10.140625" bestFit="1" customWidth="1"/>
    <col min="11020" max="11020" width="17.42578125" customWidth="1"/>
    <col min="11021" max="11021" width="11.42578125" customWidth="1"/>
    <col min="11022" max="11022" width="9.28515625" bestFit="1" customWidth="1"/>
    <col min="11265" max="11265" width="36.5703125" bestFit="1" customWidth="1"/>
    <col min="11266" max="11266" width="15.85546875" bestFit="1" customWidth="1"/>
    <col min="11267" max="11267" width="14.7109375" bestFit="1" customWidth="1"/>
    <col min="11268" max="11268" width="18.42578125" customWidth="1"/>
    <col min="11269" max="11269" width="20.7109375" bestFit="1" customWidth="1"/>
    <col min="11270" max="11270" width="25" bestFit="1" customWidth="1"/>
    <col min="11271" max="11271" width="12.28515625" bestFit="1" customWidth="1"/>
    <col min="11272" max="11272" width="13.140625" bestFit="1" customWidth="1"/>
    <col min="11273" max="11273" width="11.28515625" bestFit="1" customWidth="1"/>
    <col min="11274" max="11274" width="14.140625" bestFit="1" customWidth="1"/>
    <col min="11275" max="11275" width="10.140625" bestFit="1" customWidth="1"/>
    <col min="11276" max="11276" width="17.42578125" customWidth="1"/>
    <col min="11277" max="11277" width="11.42578125" customWidth="1"/>
    <col min="11278" max="11278" width="9.28515625" bestFit="1" customWidth="1"/>
    <col min="11521" max="11521" width="36.5703125" bestFit="1" customWidth="1"/>
    <col min="11522" max="11522" width="15.85546875" bestFit="1" customWidth="1"/>
    <col min="11523" max="11523" width="14.7109375" bestFit="1" customWidth="1"/>
    <col min="11524" max="11524" width="18.42578125" customWidth="1"/>
    <col min="11525" max="11525" width="20.7109375" bestFit="1" customWidth="1"/>
    <col min="11526" max="11526" width="25" bestFit="1" customWidth="1"/>
    <col min="11527" max="11527" width="12.28515625" bestFit="1" customWidth="1"/>
    <col min="11528" max="11528" width="13.140625" bestFit="1" customWidth="1"/>
    <col min="11529" max="11529" width="11.28515625" bestFit="1" customWidth="1"/>
    <col min="11530" max="11530" width="14.140625" bestFit="1" customWidth="1"/>
    <col min="11531" max="11531" width="10.140625" bestFit="1" customWidth="1"/>
    <col min="11532" max="11532" width="17.42578125" customWidth="1"/>
    <col min="11533" max="11533" width="11.42578125" customWidth="1"/>
    <col min="11534" max="11534" width="9.28515625" bestFit="1" customWidth="1"/>
    <col min="11777" max="11777" width="36.5703125" bestFit="1" customWidth="1"/>
    <col min="11778" max="11778" width="15.85546875" bestFit="1" customWidth="1"/>
    <col min="11779" max="11779" width="14.7109375" bestFit="1" customWidth="1"/>
    <col min="11780" max="11780" width="18.42578125" customWidth="1"/>
    <col min="11781" max="11781" width="20.7109375" bestFit="1" customWidth="1"/>
    <col min="11782" max="11782" width="25" bestFit="1" customWidth="1"/>
    <col min="11783" max="11783" width="12.28515625" bestFit="1" customWidth="1"/>
    <col min="11784" max="11784" width="13.140625" bestFit="1" customWidth="1"/>
    <col min="11785" max="11785" width="11.28515625" bestFit="1" customWidth="1"/>
    <col min="11786" max="11786" width="14.140625" bestFit="1" customWidth="1"/>
    <col min="11787" max="11787" width="10.140625" bestFit="1" customWidth="1"/>
    <col min="11788" max="11788" width="17.42578125" customWidth="1"/>
    <col min="11789" max="11789" width="11.42578125" customWidth="1"/>
    <col min="11790" max="11790" width="9.28515625" bestFit="1" customWidth="1"/>
    <col min="12033" max="12033" width="36.5703125" bestFit="1" customWidth="1"/>
    <col min="12034" max="12034" width="15.85546875" bestFit="1" customWidth="1"/>
    <col min="12035" max="12035" width="14.7109375" bestFit="1" customWidth="1"/>
    <col min="12036" max="12036" width="18.42578125" customWidth="1"/>
    <col min="12037" max="12037" width="20.7109375" bestFit="1" customWidth="1"/>
    <col min="12038" max="12038" width="25" bestFit="1" customWidth="1"/>
    <col min="12039" max="12039" width="12.28515625" bestFit="1" customWidth="1"/>
    <col min="12040" max="12040" width="13.140625" bestFit="1" customWidth="1"/>
    <col min="12041" max="12041" width="11.28515625" bestFit="1" customWidth="1"/>
    <col min="12042" max="12042" width="14.140625" bestFit="1" customWidth="1"/>
    <col min="12043" max="12043" width="10.140625" bestFit="1" customWidth="1"/>
    <col min="12044" max="12044" width="17.42578125" customWidth="1"/>
    <col min="12045" max="12045" width="11.42578125" customWidth="1"/>
    <col min="12046" max="12046" width="9.28515625" bestFit="1" customWidth="1"/>
    <col min="12289" max="12289" width="36.5703125" bestFit="1" customWidth="1"/>
    <col min="12290" max="12290" width="15.85546875" bestFit="1" customWidth="1"/>
    <col min="12291" max="12291" width="14.7109375" bestFit="1" customWidth="1"/>
    <col min="12292" max="12292" width="18.42578125" customWidth="1"/>
    <col min="12293" max="12293" width="20.7109375" bestFit="1" customWidth="1"/>
    <col min="12294" max="12294" width="25" bestFit="1" customWidth="1"/>
    <col min="12295" max="12295" width="12.28515625" bestFit="1" customWidth="1"/>
    <col min="12296" max="12296" width="13.140625" bestFit="1" customWidth="1"/>
    <col min="12297" max="12297" width="11.28515625" bestFit="1" customWidth="1"/>
    <col min="12298" max="12298" width="14.140625" bestFit="1" customWidth="1"/>
    <col min="12299" max="12299" width="10.140625" bestFit="1" customWidth="1"/>
    <col min="12300" max="12300" width="17.42578125" customWidth="1"/>
    <col min="12301" max="12301" width="11.42578125" customWidth="1"/>
    <col min="12302" max="12302" width="9.28515625" bestFit="1" customWidth="1"/>
    <col min="12545" max="12545" width="36.5703125" bestFit="1" customWidth="1"/>
    <col min="12546" max="12546" width="15.85546875" bestFit="1" customWidth="1"/>
    <col min="12547" max="12547" width="14.7109375" bestFit="1" customWidth="1"/>
    <col min="12548" max="12548" width="18.42578125" customWidth="1"/>
    <col min="12549" max="12549" width="20.7109375" bestFit="1" customWidth="1"/>
    <col min="12550" max="12550" width="25" bestFit="1" customWidth="1"/>
    <col min="12551" max="12551" width="12.28515625" bestFit="1" customWidth="1"/>
    <col min="12552" max="12552" width="13.140625" bestFit="1" customWidth="1"/>
    <col min="12553" max="12553" width="11.28515625" bestFit="1" customWidth="1"/>
    <col min="12554" max="12554" width="14.140625" bestFit="1" customWidth="1"/>
    <col min="12555" max="12555" width="10.140625" bestFit="1" customWidth="1"/>
    <col min="12556" max="12556" width="17.42578125" customWidth="1"/>
    <col min="12557" max="12557" width="11.42578125" customWidth="1"/>
    <col min="12558" max="12558" width="9.28515625" bestFit="1" customWidth="1"/>
    <col min="12801" max="12801" width="36.5703125" bestFit="1" customWidth="1"/>
    <col min="12802" max="12802" width="15.85546875" bestFit="1" customWidth="1"/>
    <col min="12803" max="12803" width="14.7109375" bestFit="1" customWidth="1"/>
    <col min="12804" max="12804" width="18.42578125" customWidth="1"/>
    <col min="12805" max="12805" width="20.7109375" bestFit="1" customWidth="1"/>
    <col min="12806" max="12806" width="25" bestFit="1" customWidth="1"/>
    <col min="12807" max="12807" width="12.28515625" bestFit="1" customWidth="1"/>
    <col min="12808" max="12808" width="13.140625" bestFit="1" customWidth="1"/>
    <col min="12809" max="12809" width="11.28515625" bestFit="1" customWidth="1"/>
    <col min="12810" max="12810" width="14.140625" bestFit="1" customWidth="1"/>
    <col min="12811" max="12811" width="10.140625" bestFit="1" customWidth="1"/>
    <col min="12812" max="12812" width="17.42578125" customWidth="1"/>
    <col min="12813" max="12813" width="11.42578125" customWidth="1"/>
    <col min="12814" max="12814" width="9.28515625" bestFit="1" customWidth="1"/>
    <col min="13057" max="13057" width="36.5703125" bestFit="1" customWidth="1"/>
    <col min="13058" max="13058" width="15.85546875" bestFit="1" customWidth="1"/>
    <col min="13059" max="13059" width="14.7109375" bestFit="1" customWidth="1"/>
    <col min="13060" max="13060" width="18.42578125" customWidth="1"/>
    <col min="13061" max="13061" width="20.7109375" bestFit="1" customWidth="1"/>
    <col min="13062" max="13062" width="25" bestFit="1" customWidth="1"/>
    <col min="13063" max="13063" width="12.28515625" bestFit="1" customWidth="1"/>
    <col min="13064" max="13064" width="13.140625" bestFit="1" customWidth="1"/>
    <col min="13065" max="13065" width="11.28515625" bestFit="1" customWidth="1"/>
    <col min="13066" max="13066" width="14.140625" bestFit="1" customWidth="1"/>
    <col min="13067" max="13067" width="10.140625" bestFit="1" customWidth="1"/>
    <col min="13068" max="13068" width="17.42578125" customWidth="1"/>
    <col min="13069" max="13069" width="11.42578125" customWidth="1"/>
    <col min="13070" max="13070" width="9.28515625" bestFit="1" customWidth="1"/>
    <col min="13313" max="13313" width="36.5703125" bestFit="1" customWidth="1"/>
    <col min="13314" max="13314" width="15.85546875" bestFit="1" customWidth="1"/>
    <col min="13315" max="13315" width="14.7109375" bestFit="1" customWidth="1"/>
    <col min="13316" max="13316" width="18.42578125" customWidth="1"/>
    <col min="13317" max="13317" width="20.7109375" bestFit="1" customWidth="1"/>
    <col min="13318" max="13318" width="25" bestFit="1" customWidth="1"/>
    <col min="13319" max="13319" width="12.28515625" bestFit="1" customWidth="1"/>
    <col min="13320" max="13320" width="13.140625" bestFit="1" customWidth="1"/>
    <col min="13321" max="13321" width="11.28515625" bestFit="1" customWidth="1"/>
    <col min="13322" max="13322" width="14.140625" bestFit="1" customWidth="1"/>
    <col min="13323" max="13323" width="10.140625" bestFit="1" customWidth="1"/>
    <col min="13324" max="13324" width="17.42578125" customWidth="1"/>
    <col min="13325" max="13325" width="11.42578125" customWidth="1"/>
    <col min="13326" max="13326" width="9.28515625" bestFit="1" customWidth="1"/>
    <col min="13569" max="13569" width="36.5703125" bestFit="1" customWidth="1"/>
    <col min="13570" max="13570" width="15.85546875" bestFit="1" customWidth="1"/>
    <col min="13571" max="13571" width="14.7109375" bestFit="1" customWidth="1"/>
    <col min="13572" max="13572" width="18.42578125" customWidth="1"/>
    <col min="13573" max="13573" width="20.7109375" bestFit="1" customWidth="1"/>
    <col min="13574" max="13574" width="25" bestFit="1" customWidth="1"/>
    <col min="13575" max="13575" width="12.28515625" bestFit="1" customWidth="1"/>
    <col min="13576" max="13576" width="13.140625" bestFit="1" customWidth="1"/>
    <col min="13577" max="13577" width="11.28515625" bestFit="1" customWidth="1"/>
    <col min="13578" max="13578" width="14.140625" bestFit="1" customWidth="1"/>
    <col min="13579" max="13579" width="10.140625" bestFit="1" customWidth="1"/>
    <col min="13580" max="13580" width="17.42578125" customWidth="1"/>
    <col min="13581" max="13581" width="11.42578125" customWidth="1"/>
    <col min="13582" max="13582" width="9.28515625" bestFit="1" customWidth="1"/>
    <col min="13825" max="13825" width="36.5703125" bestFit="1" customWidth="1"/>
    <col min="13826" max="13826" width="15.85546875" bestFit="1" customWidth="1"/>
    <col min="13827" max="13827" width="14.7109375" bestFit="1" customWidth="1"/>
    <col min="13828" max="13828" width="18.42578125" customWidth="1"/>
    <col min="13829" max="13829" width="20.7109375" bestFit="1" customWidth="1"/>
    <col min="13830" max="13830" width="25" bestFit="1" customWidth="1"/>
    <col min="13831" max="13831" width="12.28515625" bestFit="1" customWidth="1"/>
    <col min="13832" max="13832" width="13.140625" bestFit="1" customWidth="1"/>
    <col min="13833" max="13833" width="11.28515625" bestFit="1" customWidth="1"/>
    <col min="13834" max="13834" width="14.140625" bestFit="1" customWidth="1"/>
    <col min="13835" max="13835" width="10.140625" bestFit="1" customWidth="1"/>
    <col min="13836" max="13836" width="17.42578125" customWidth="1"/>
    <col min="13837" max="13837" width="11.42578125" customWidth="1"/>
    <col min="13838" max="13838" width="9.28515625" bestFit="1" customWidth="1"/>
    <col min="14081" max="14081" width="36.5703125" bestFit="1" customWidth="1"/>
    <col min="14082" max="14082" width="15.85546875" bestFit="1" customWidth="1"/>
    <col min="14083" max="14083" width="14.7109375" bestFit="1" customWidth="1"/>
    <col min="14084" max="14084" width="18.42578125" customWidth="1"/>
    <col min="14085" max="14085" width="20.7109375" bestFit="1" customWidth="1"/>
    <col min="14086" max="14086" width="25" bestFit="1" customWidth="1"/>
    <col min="14087" max="14087" width="12.28515625" bestFit="1" customWidth="1"/>
    <col min="14088" max="14088" width="13.140625" bestFit="1" customWidth="1"/>
    <col min="14089" max="14089" width="11.28515625" bestFit="1" customWidth="1"/>
    <col min="14090" max="14090" width="14.140625" bestFit="1" customWidth="1"/>
    <col min="14091" max="14091" width="10.140625" bestFit="1" customWidth="1"/>
    <col min="14092" max="14092" width="17.42578125" customWidth="1"/>
    <col min="14093" max="14093" width="11.42578125" customWidth="1"/>
    <col min="14094" max="14094" width="9.28515625" bestFit="1" customWidth="1"/>
    <col min="14337" max="14337" width="36.5703125" bestFit="1" customWidth="1"/>
    <col min="14338" max="14338" width="15.85546875" bestFit="1" customWidth="1"/>
    <col min="14339" max="14339" width="14.7109375" bestFit="1" customWidth="1"/>
    <col min="14340" max="14340" width="18.42578125" customWidth="1"/>
    <col min="14341" max="14341" width="20.7109375" bestFit="1" customWidth="1"/>
    <col min="14342" max="14342" width="25" bestFit="1" customWidth="1"/>
    <col min="14343" max="14343" width="12.28515625" bestFit="1" customWidth="1"/>
    <col min="14344" max="14344" width="13.140625" bestFit="1" customWidth="1"/>
    <col min="14345" max="14345" width="11.28515625" bestFit="1" customWidth="1"/>
    <col min="14346" max="14346" width="14.140625" bestFit="1" customWidth="1"/>
    <col min="14347" max="14347" width="10.140625" bestFit="1" customWidth="1"/>
    <col min="14348" max="14348" width="17.42578125" customWidth="1"/>
    <col min="14349" max="14349" width="11.42578125" customWidth="1"/>
    <col min="14350" max="14350" width="9.28515625" bestFit="1" customWidth="1"/>
    <col min="14593" max="14593" width="36.5703125" bestFit="1" customWidth="1"/>
    <col min="14594" max="14594" width="15.85546875" bestFit="1" customWidth="1"/>
    <col min="14595" max="14595" width="14.7109375" bestFit="1" customWidth="1"/>
    <col min="14596" max="14596" width="18.42578125" customWidth="1"/>
    <col min="14597" max="14597" width="20.7109375" bestFit="1" customWidth="1"/>
    <col min="14598" max="14598" width="25" bestFit="1" customWidth="1"/>
    <col min="14599" max="14599" width="12.28515625" bestFit="1" customWidth="1"/>
    <col min="14600" max="14600" width="13.140625" bestFit="1" customWidth="1"/>
    <col min="14601" max="14601" width="11.28515625" bestFit="1" customWidth="1"/>
    <col min="14602" max="14602" width="14.140625" bestFit="1" customWidth="1"/>
    <col min="14603" max="14603" width="10.140625" bestFit="1" customWidth="1"/>
    <col min="14604" max="14604" width="17.42578125" customWidth="1"/>
    <col min="14605" max="14605" width="11.42578125" customWidth="1"/>
    <col min="14606" max="14606" width="9.28515625" bestFit="1" customWidth="1"/>
    <col min="14849" max="14849" width="36.5703125" bestFit="1" customWidth="1"/>
    <col min="14850" max="14850" width="15.85546875" bestFit="1" customWidth="1"/>
    <col min="14851" max="14851" width="14.7109375" bestFit="1" customWidth="1"/>
    <col min="14852" max="14852" width="18.42578125" customWidth="1"/>
    <col min="14853" max="14853" width="20.7109375" bestFit="1" customWidth="1"/>
    <col min="14854" max="14854" width="25" bestFit="1" customWidth="1"/>
    <col min="14855" max="14855" width="12.28515625" bestFit="1" customWidth="1"/>
    <col min="14856" max="14856" width="13.140625" bestFit="1" customWidth="1"/>
    <col min="14857" max="14857" width="11.28515625" bestFit="1" customWidth="1"/>
    <col min="14858" max="14858" width="14.140625" bestFit="1" customWidth="1"/>
    <col min="14859" max="14859" width="10.140625" bestFit="1" customWidth="1"/>
    <col min="14860" max="14860" width="17.42578125" customWidth="1"/>
    <col min="14861" max="14861" width="11.42578125" customWidth="1"/>
    <col min="14862" max="14862" width="9.28515625" bestFit="1" customWidth="1"/>
    <col min="15105" max="15105" width="36.5703125" bestFit="1" customWidth="1"/>
    <col min="15106" max="15106" width="15.85546875" bestFit="1" customWidth="1"/>
    <col min="15107" max="15107" width="14.7109375" bestFit="1" customWidth="1"/>
    <col min="15108" max="15108" width="18.42578125" customWidth="1"/>
    <col min="15109" max="15109" width="20.7109375" bestFit="1" customWidth="1"/>
    <col min="15110" max="15110" width="25" bestFit="1" customWidth="1"/>
    <col min="15111" max="15111" width="12.28515625" bestFit="1" customWidth="1"/>
    <col min="15112" max="15112" width="13.140625" bestFit="1" customWidth="1"/>
    <col min="15113" max="15113" width="11.28515625" bestFit="1" customWidth="1"/>
    <col min="15114" max="15114" width="14.140625" bestFit="1" customWidth="1"/>
    <col min="15115" max="15115" width="10.140625" bestFit="1" customWidth="1"/>
    <col min="15116" max="15116" width="17.42578125" customWidth="1"/>
    <col min="15117" max="15117" width="11.42578125" customWidth="1"/>
    <col min="15118" max="15118" width="9.28515625" bestFit="1" customWidth="1"/>
    <col min="15361" max="15361" width="36.5703125" bestFit="1" customWidth="1"/>
    <col min="15362" max="15362" width="15.85546875" bestFit="1" customWidth="1"/>
    <col min="15363" max="15363" width="14.7109375" bestFit="1" customWidth="1"/>
    <col min="15364" max="15364" width="18.42578125" customWidth="1"/>
    <col min="15365" max="15365" width="20.7109375" bestFit="1" customWidth="1"/>
    <col min="15366" max="15366" width="25" bestFit="1" customWidth="1"/>
    <col min="15367" max="15367" width="12.28515625" bestFit="1" customWidth="1"/>
    <col min="15368" max="15368" width="13.140625" bestFit="1" customWidth="1"/>
    <col min="15369" max="15369" width="11.28515625" bestFit="1" customWidth="1"/>
    <col min="15370" max="15370" width="14.140625" bestFit="1" customWidth="1"/>
    <col min="15371" max="15371" width="10.140625" bestFit="1" customWidth="1"/>
    <col min="15372" max="15372" width="17.42578125" customWidth="1"/>
    <col min="15373" max="15373" width="11.42578125" customWidth="1"/>
    <col min="15374" max="15374" width="9.28515625" bestFit="1" customWidth="1"/>
    <col min="15617" max="15617" width="36.5703125" bestFit="1" customWidth="1"/>
    <col min="15618" max="15618" width="15.85546875" bestFit="1" customWidth="1"/>
    <col min="15619" max="15619" width="14.7109375" bestFit="1" customWidth="1"/>
    <col min="15620" max="15620" width="18.42578125" customWidth="1"/>
    <col min="15621" max="15621" width="20.7109375" bestFit="1" customWidth="1"/>
    <col min="15622" max="15622" width="25" bestFit="1" customWidth="1"/>
    <col min="15623" max="15623" width="12.28515625" bestFit="1" customWidth="1"/>
    <col min="15624" max="15624" width="13.140625" bestFit="1" customWidth="1"/>
    <col min="15625" max="15625" width="11.28515625" bestFit="1" customWidth="1"/>
    <col min="15626" max="15626" width="14.140625" bestFit="1" customWidth="1"/>
    <col min="15627" max="15627" width="10.140625" bestFit="1" customWidth="1"/>
    <col min="15628" max="15628" width="17.42578125" customWidth="1"/>
    <col min="15629" max="15629" width="11.42578125" customWidth="1"/>
    <col min="15630" max="15630" width="9.28515625" bestFit="1" customWidth="1"/>
    <col min="15873" max="15873" width="36.5703125" bestFit="1" customWidth="1"/>
    <col min="15874" max="15874" width="15.85546875" bestFit="1" customWidth="1"/>
    <col min="15875" max="15875" width="14.7109375" bestFit="1" customWidth="1"/>
    <col min="15876" max="15876" width="18.42578125" customWidth="1"/>
    <col min="15877" max="15877" width="20.7109375" bestFit="1" customWidth="1"/>
    <col min="15878" max="15878" width="25" bestFit="1" customWidth="1"/>
    <col min="15879" max="15879" width="12.28515625" bestFit="1" customWidth="1"/>
    <col min="15880" max="15880" width="13.140625" bestFit="1" customWidth="1"/>
    <col min="15881" max="15881" width="11.28515625" bestFit="1" customWidth="1"/>
    <col min="15882" max="15882" width="14.140625" bestFit="1" customWidth="1"/>
    <col min="15883" max="15883" width="10.140625" bestFit="1" customWidth="1"/>
    <col min="15884" max="15884" width="17.42578125" customWidth="1"/>
    <col min="15885" max="15885" width="11.42578125" customWidth="1"/>
    <col min="15886" max="15886" width="9.28515625" bestFit="1" customWidth="1"/>
    <col min="16129" max="16129" width="36.5703125" bestFit="1" customWidth="1"/>
    <col min="16130" max="16130" width="15.85546875" bestFit="1" customWidth="1"/>
    <col min="16131" max="16131" width="14.7109375" bestFit="1" customWidth="1"/>
    <col min="16132" max="16132" width="18.42578125" customWidth="1"/>
    <col min="16133" max="16133" width="20.7109375" bestFit="1" customWidth="1"/>
    <col min="16134" max="16134" width="25" bestFit="1" customWidth="1"/>
    <col min="16135" max="16135" width="12.28515625" bestFit="1" customWidth="1"/>
    <col min="16136" max="16136" width="13.140625" bestFit="1" customWidth="1"/>
    <col min="16137" max="16137" width="11.28515625" bestFit="1" customWidth="1"/>
    <col min="16138" max="16138" width="14.140625" bestFit="1" customWidth="1"/>
    <col min="16139" max="16139" width="10.140625" bestFit="1" customWidth="1"/>
    <col min="16140" max="16140" width="17.42578125" customWidth="1"/>
    <col min="16141" max="16141" width="11.425781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3368</v>
      </c>
      <c r="C5" s="1594"/>
      <c r="D5" s="1594"/>
      <c r="E5" s="1595"/>
      <c r="F5" s="326" t="s">
        <v>171</v>
      </c>
      <c r="G5" s="326"/>
      <c r="H5" s="1599" t="s">
        <v>3367</v>
      </c>
      <c r="I5" s="1600"/>
      <c r="J5" s="326" t="s">
        <v>172</v>
      </c>
      <c r="K5" s="631" t="s">
        <v>3330</v>
      </c>
      <c r="L5" s="326" t="s">
        <v>436</v>
      </c>
      <c r="M5" s="326"/>
      <c r="N5" s="631" t="s">
        <v>3366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3365</v>
      </c>
      <c r="C7" s="1594"/>
      <c r="D7" s="1594"/>
      <c r="E7" s="1595"/>
      <c r="F7" s="1596" t="s">
        <v>3208</v>
      </c>
      <c r="G7" s="1596"/>
      <c r="H7" s="1593" t="s">
        <v>3364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 t="s">
        <v>3363</v>
      </c>
      <c r="C9" s="1594"/>
      <c r="D9" s="1594"/>
      <c r="E9" s="1595"/>
      <c r="F9" s="1601" t="s">
        <v>3205</v>
      </c>
      <c r="G9" s="1602"/>
      <c r="H9" s="1603" t="s">
        <v>3362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3361</v>
      </c>
      <c r="C13" s="1612"/>
      <c r="D13" s="1612" t="s">
        <v>3360</v>
      </c>
      <c r="E13" s="1612"/>
      <c r="F13" s="1612"/>
      <c r="G13" s="1612" t="s">
        <v>3359</v>
      </c>
      <c r="H13" s="1612"/>
      <c r="I13" s="1612"/>
      <c r="J13" s="1613"/>
      <c r="K13" s="1617"/>
      <c r="L13" s="1617"/>
      <c r="M13" s="1614"/>
      <c r="N13" s="326"/>
    </row>
    <row r="14" spans="1:14">
      <c r="A14" s="631" t="s">
        <v>187</v>
      </c>
      <c r="B14" s="1613" t="s">
        <v>3358</v>
      </c>
      <c r="C14" s="1614"/>
      <c r="D14" s="1612" t="s">
        <v>3357</v>
      </c>
      <c r="E14" s="1612"/>
      <c r="F14" s="1612"/>
      <c r="G14" s="1612"/>
      <c r="H14" s="1612"/>
      <c r="I14" s="1612"/>
      <c r="J14" s="1613"/>
      <c r="K14" s="1617"/>
      <c r="L14" s="1617"/>
      <c r="M14" s="1614"/>
      <c r="N14" s="326"/>
    </row>
    <row r="15" spans="1:14">
      <c r="A15" s="631" t="s">
        <v>192</v>
      </c>
      <c r="B15" s="329" t="s">
        <v>3356</v>
      </c>
      <c r="C15" s="329" t="s">
        <v>3355</v>
      </c>
      <c r="D15" s="329" t="s">
        <v>3354</v>
      </c>
      <c r="E15" s="329" t="s">
        <v>3353</v>
      </c>
      <c r="F15" s="329" t="s">
        <v>3352</v>
      </c>
      <c r="G15" s="329"/>
      <c r="H15" s="623"/>
      <c r="I15" s="623"/>
      <c r="J15" s="1612"/>
      <c r="K15" s="1612"/>
      <c r="L15" s="1612"/>
      <c r="M15" s="1612"/>
      <c r="N15" s="326"/>
    </row>
    <row r="16" spans="1:14">
      <c r="A16" s="631" t="s">
        <v>197</v>
      </c>
      <c r="B16" s="70" t="s">
        <v>3351</v>
      </c>
      <c r="C16" s="329"/>
      <c r="D16" s="1612" t="s">
        <v>3350</v>
      </c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C17" s="328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C18" s="328"/>
      <c r="D18" s="326"/>
      <c r="E18" s="326"/>
      <c r="F18" s="631">
        <v>3</v>
      </c>
      <c r="G18" s="326" t="s">
        <v>200</v>
      </c>
      <c r="H18" s="632">
        <v>11</v>
      </c>
      <c r="I18" s="326" t="s">
        <v>201</v>
      </c>
      <c r="J18" s="632">
        <v>0</v>
      </c>
      <c r="K18" s="326" t="s">
        <v>202</v>
      </c>
      <c r="L18" s="631">
        <v>5</v>
      </c>
      <c r="M18" s="326"/>
      <c r="N18" s="326"/>
    </row>
    <row r="19" spans="1:14">
      <c r="A19" s="326"/>
      <c r="C19" s="328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f>111+40+1</f>
        <v>152</v>
      </c>
      <c r="D21" s="326" t="s">
        <v>205</v>
      </c>
      <c r="E21" s="631">
        <f>0</f>
        <v>0</v>
      </c>
      <c r="F21" s="326" t="s">
        <v>206</v>
      </c>
      <c r="G21" s="80">
        <f>24+4</f>
        <v>28</v>
      </c>
      <c r="H21" s="326" t="s">
        <v>230</v>
      </c>
      <c r="I21" s="80">
        <f>C21+E21+G21</f>
        <v>180</v>
      </c>
      <c r="J21" s="326" t="s">
        <v>207</v>
      </c>
      <c r="K21" s="631">
        <v>38</v>
      </c>
      <c r="L21" s="326" t="s">
        <v>3187</v>
      </c>
      <c r="M21" s="326"/>
      <c r="N21" s="631">
        <v>17</v>
      </c>
    </row>
    <row r="22" spans="1:14">
      <c r="A22" s="326" t="s">
        <v>209</v>
      </c>
      <c r="B22" s="326" t="s">
        <v>210</v>
      </c>
      <c r="C22" s="631">
        <f>225+138+2+50</f>
        <v>415</v>
      </c>
      <c r="D22" s="326" t="s">
        <v>211</v>
      </c>
      <c r="E22" s="631">
        <f>0</f>
        <v>0</v>
      </c>
      <c r="F22" s="326" t="s">
        <v>212</v>
      </c>
      <c r="G22" s="631">
        <f>14+44</f>
        <v>58</v>
      </c>
      <c r="H22" s="326" t="s">
        <v>411</v>
      </c>
      <c r="I22" s="80">
        <f>C22+E22+G22</f>
        <v>473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f>241+150+3+61</f>
        <v>455</v>
      </c>
      <c r="D23" s="326" t="s">
        <v>214</v>
      </c>
      <c r="E23" s="631">
        <v>0</v>
      </c>
      <c r="F23" s="326" t="s">
        <v>215</v>
      </c>
      <c r="G23" s="631">
        <f>11+35</f>
        <v>46</v>
      </c>
      <c r="H23" s="326" t="s">
        <v>410</v>
      </c>
      <c r="I23" s="80">
        <f>C23+E23+G23</f>
        <v>501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35">
        <f>503.6*B29</f>
        <v>4028800</v>
      </c>
      <c r="E29" s="335">
        <f>168500+300000</f>
        <v>468500</v>
      </c>
      <c r="F29" s="335"/>
      <c r="G29" s="335">
        <v>146520</v>
      </c>
      <c r="H29" s="335"/>
      <c r="I29" s="335"/>
      <c r="J29" s="335"/>
      <c r="K29" s="335"/>
      <c r="L29" s="335"/>
      <c r="M29" s="335">
        <f t="shared" ref="M29:M38" si="0">SUM(F29:L29)</f>
        <v>146520</v>
      </c>
      <c r="N29" s="323">
        <f>M29/E29</f>
        <v>0.31274279615795092</v>
      </c>
    </row>
    <row r="30" spans="1:14">
      <c r="A30" s="322" t="s">
        <v>234</v>
      </c>
      <c r="B30" s="322">
        <v>7000</v>
      </c>
      <c r="C30" s="322" t="s">
        <v>233</v>
      </c>
      <c r="D30" s="335">
        <f>503.6*B30</f>
        <v>3525200</v>
      </c>
      <c r="E30" s="335">
        <v>0</v>
      </c>
      <c r="F30" s="335"/>
      <c r="G30" s="335">
        <v>0</v>
      </c>
      <c r="H30" s="335"/>
      <c r="I30" s="335"/>
      <c r="J30" s="335"/>
      <c r="K30" s="335"/>
      <c r="L30" s="335"/>
      <c r="M30" s="335">
        <f t="shared" si="0"/>
        <v>0</v>
      </c>
      <c r="N30" s="323"/>
    </row>
    <row r="31" spans="1:14">
      <c r="A31" s="322" t="s">
        <v>235</v>
      </c>
      <c r="B31" s="322">
        <v>43000</v>
      </c>
      <c r="C31" s="322" t="s">
        <v>236</v>
      </c>
      <c r="D31" s="335">
        <f>+B31</f>
        <v>43000</v>
      </c>
      <c r="E31" s="335">
        <v>18000</v>
      </c>
      <c r="F31" s="335"/>
      <c r="G31" s="652">
        <v>18000</v>
      </c>
      <c r="H31" s="335"/>
      <c r="I31" s="335"/>
      <c r="J31" s="335"/>
      <c r="K31" s="335"/>
      <c r="L31" s="335"/>
      <c r="M31" s="335">
        <f t="shared" si="0"/>
        <v>18000</v>
      </c>
      <c r="N31" s="323">
        <f>M31/E31</f>
        <v>1</v>
      </c>
    </row>
    <row r="32" spans="1:14">
      <c r="A32" s="322" t="s">
        <v>237</v>
      </c>
      <c r="B32" s="322">
        <v>37000</v>
      </c>
      <c r="C32" s="322" t="s">
        <v>236</v>
      </c>
      <c r="D32" s="335">
        <f>+B32</f>
        <v>37000</v>
      </c>
      <c r="E32" s="335">
        <v>16000</v>
      </c>
      <c r="F32" s="335"/>
      <c r="G32" s="335">
        <v>16000</v>
      </c>
      <c r="H32" s="335"/>
      <c r="I32" s="335"/>
      <c r="J32" s="335"/>
      <c r="K32" s="335"/>
      <c r="L32" s="335"/>
      <c r="M32" s="335">
        <f t="shared" si="0"/>
        <v>16000</v>
      </c>
      <c r="N32" s="323">
        <f>M32/E32</f>
        <v>1</v>
      </c>
    </row>
    <row r="33" spans="1:14">
      <c r="A33" s="322" t="s">
        <v>238</v>
      </c>
      <c r="B33" s="322">
        <v>1200</v>
      </c>
      <c r="C33" s="322" t="s">
        <v>233</v>
      </c>
      <c r="D33" s="335">
        <f>503.6*B33</f>
        <v>604320</v>
      </c>
      <c r="E33" s="335">
        <v>200000</v>
      </c>
      <c r="F33" s="335"/>
      <c r="G33" s="335">
        <v>171524</v>
      </c>
      <c r="H33" s="335"/>
      <c r="I33" s="335"/>
      <c r="J33" s="335"/>
      <c r="K33" s="335"/>
      <c r="L33" s="335"/>
      <c r="M33" s="335">
        <f t="shared" si="0"/>
        <v>171524</v>
      </c>
      <c r="N33" s="323">
        <f>M33/E33</f>
        <v>0.85762000000000005</v>
      </c>
    </row>
    <row r="34" spans="1:14">
      <c r="A34" s="322" t="s">
        <v>667</v>
      </c>
      <c r="B34" s="322">
        <v>565</v>
      </c>
      <c r="C34" s="322" t="s">
        <v>233</v>
      </c>
      <c r="D34" s="335">
        <f>503.6*B34</f>
        <v>284534</v>
      </c>
      <c r="E34" s="335">
        <f>50360+100000</f>
        <v>150360</v>
      </c>
      <c r="F34" s="335"/>
      <c r="G34" s="335">
        <v>50000</v>
      </c>
      <c r="H34" s="335"/>
      <c r="I34" s="335"/>
      <c r="J34" s="335"/>
      <c r="K34" s="335"/>
      <c r="L34" s="335"/>
      <c r="M34" s="335">
        <f t="shared" si="0"/>
        <v>50000</v>
      </c>
      <c r="N34" s="323">
        <f>M34/E34</f>
        <v>0.33253524873636603</v>
      </c>
    </row>
    <row r="35" spans="1:14">
      <c r="A35" s="322" t="s">
        <v>240</v>
      </c>
      <c r="B35" s="322">
        <v>1000</v>
      </c>
      <c r="C35" s="322" t="s">
        <v>233</v>
      </c>
      <c r="D35" s="335">
        <f>503.6*B35</f>
        <v>503600</v>
      </c>
      <c r="E35" s="335">
        <v>0</v>
      </c>
      <c r="F35" s="335"/>
      <c r="G35" s="335">
        <v>0</v>
      </c>
      <c r="H35" s="335"/>
      <c r="I35" s="335"/>
      <c r="J35" s="335"/>
      <c r="K35" s="335"/>
      <c r="L35" s="335"/>
      <c r="M35" s="335">
        <f t="shared" si="0"/>
        <v>0</v>
      </c>
      <c r="N35" s="323"/>
    </row>
    <row r="36" spans="1:14">
      <c r="A36" s="322" t="s">
        <v>394</v>
      </c>
      <c r="B36" s="322">
        <v>2750</v>
      </c>
      <c r="C36" s="322" t="s">
        <v>242</v>
      </c>
      <c r="D36" s="335">
        <f>+B36*84</f>
        <v>231000</v>
      </c>
      <c r="E36" s="335">
        <v>30250</v>
      </c>
      <c r="F36" s="335"/>
      <c r="G36" s="335">
        <v>30250</v>
      </c>
      <c r="H36" s="335"/>
      <c r="I36" s="335"/>
      <c r="J36" s="335"/>
      <c r="K36" s="335"/>
      <c r="L36" s="335"/>
      <c r="M36" s="335">
        <f t="shared" si="0"/>
        <v>30250</v>
      </c>
      <c r="N36" s="323">
        <f>M36/E36</f>
        <v>1</v>
      </c>
    </row>
    <row r="37" spans="1:14">
      <c r="A37" s="324" t="s">
        <v>670</v>
      </c>
      <c r="B37" s="322">
        <v>10000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35">
        <f t="shared" si="0"/>
        <v>0</v>
      </c>
      <c r="N37" s="323"/>
    </row>
    <row r="38" spans="1:14">
      <c r="A38" s="631" t="s">
        <v>245</v>
      </c>
      <c r="B38" s="322"/>
      <c r="C38" s="322"/>
      <c r="D38" s="653">
        <f t="shared" ref="D38:L38" si="1">SUM(D29:D37)</f>
        <v>9277454</v>
      </c>
      <c r="E38" s="653">
        <f t="shared" si="1"/>
        <v>883110</v>
      </c>
      <c r="F38" s="653">
        <f t="shared" si="1"/>
        <v>0</v>
      </c>
      <c r="G38" s="653">
        <f t="shared" si="1"/>
        <v>432294</v>
      </c>
      <c r="H38" s="653">
        <f t="shared" si="1"/>
        <v>0</v>
      </c>
      <c r="I38" s="653">
        <f t="shared" si="1"/>
        <v>0</v>
      </c>
      <c r="J38" s="653">
        <f t="shared" si="1"/>
        <v>0</v>
      </c>
      <c r="K38" s="653">
        <f t="shared" si="1"/>
        <v>0</v>
      </c>
      <c r="L38" s="653">
        <f t="shared" si="1"/>
        <v>0</v>
      </c>
      <c r="M38" s="653">
        <f t="shared" si="0"/>
        <v>432294</v>
      </c>
      <c r="N38" s="321"/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29"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J15:M15"/>
    <mergeCell ref="D16:F16"/>
    <mergeCell ref="G16:I16"/>
    <mergeCell ref="J16:M16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ageMargins left="0.14000000000000001" right="0.15" top="0.75" bottom="0.47" header="0.3" footer="0.3"/>
  <pageSetup paperSize="9" scale="60" orientation="landscape" r:id="rId1"/>
  <headerFooter>
    <oddFooter>&amp;L&amp;9&amp;F&amp;R&amp;9&amp;A</oddFooter>
  </headerFooter>
</worksheet>
</file>

<file path=xl/worksheets/sheet32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2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4" max="4" width="17.285156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2.140625" customWidth="1"/>
    <col min="257" max="257" width="43" customWidth="1"/>
    <col min="258" max="258" width="31" customWidth="1"/>
    <col min="260" max="260" width="17.285156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2.140625" customWidth="1"/>
    <col min="513" max="513" width="43" customWidth="1"/>
    <col min="514" max="514" width="31" customWidth="1"/>
    <col min="516" max="516" width="17.285156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2.140625" customWidth="1"/>
    <col min="769" max="769" width="43" customWidth="1"/>
    <col min="770" max="770" width="31" customWidth="1"/>
    <col min="772" max="772" width="17.285156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2.140625" customWidth="1"/>
    <col min="1025" max="1025" width="43" customWidth="1"/>
    <col min="1026" max="1026" width="31" customWidth="1"/>
    <col min="1028" max="1028" width="17.285156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2.140625" customWidth="1"/>
    <col min="1281" max="1281" width="43" customWidth="1"/>
    <col min="1282" max="1282" width="31" customWidth="1"/>
    <col min="1284" max="1284" width="17.285156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2.140625" customWidth="1"/>
    <col min="1537" max="1537" width="43" customWidth="1"/>
    <col min="1538" max="1538" width="31" customWidth="1"/>
    <col min="1540" max="1540" width="17.285156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2.140625" customWidth="1"/>
    <col min="1793" max="1793" width="43" customWidth="1"/>
    <col min="1794" max="1794" width="31" customWidth="1"/>
    <col min="1796" max="1796" width="17.285156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2.140625" customWidth="1"/>
    <col min="2049" max="2049" width="43" customWidth="1"/>
    <col min="2050" max="2050" width="31" customWidth="1"/>
    <col min="2052" max="2052" width="17.285156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2.140625" customWidth="1"/>
    <col min="2305" max="2305" width="43" customWidth="1"/>
    <col min="2306" max="2306" width="31" customWidth="1"/>
    <col min="2308" max="2308" width="17.285156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2.140625" customWidth="1"/>
    <col min="2561" max="2561" width="43" customWidth="1"/>
    <col min="2562" max="2562" width="31" customWidth="1"/>
    <col min="2564" max="2564" width="17.285156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2.140625" customWidth="1"/>
    <col min="2817" max="2817" width="43" customWidth="1"/>
    <col min="2818" max="2818" width="31" customWidth="1"/>
    <col min="2820" max="2820" width="17.285156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2.140625" customWidth="1"/>
    <col min="3073" max="3073" width="43" customWidth="1"/>
    <col min="3074" max="3074" width="31" customWidth="1"/>
    <col min="3076" max="3076" width="17.285156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2.140625" customWidth="1"/>
    <col min="3329" max="3329" width="43" customWidth="1"/>
    <col min="3330" max="3330" width="31" customWidth="1"/>
    <col min="3332" max="3332" width="17.285156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2.140625" customWidth="1"/>
    <col min="3585" max="3585" width="43" customWidth="1"/>
    <col min="3586" max="3586" width="31" customWidth="1"/>
    <col min="3588" max="3588" width="17.285156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2.140625" customWidth="1"/>
    <col min="3841" max="3841" width="43" customWidth="1"/>
    <col min="3842" max="3842" width="31" customWidth="1"/>
    <col min="3844" max="3844" width="17.285156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2.140625" customWidth="1"/>
    <col min="4097" max="4097" width="43" customWidth="1"/>
    <col min="4098" max="4098" width="31" customWidth="1"/>
    <col min="4100" max="4100" width="17.285156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2.140625" customWidth="1"/>
    <col min="4353" max="4353" width="43" customWidth="1"/>
    <col min="4354" max="4354" width="31" customWidth="1"/>
    <col min="4356" max="4356" width="17.285156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2.140625" customWidth="1"/>
    <col min="4609" max="4609" width="43" customWidth="1"/>
    <col min="4610" max="4610" width="31" customWidth="1"/>
    <col min="4612" max="4612" width="17.285156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2.140625" customWidth="1"/>
    <col min="4865" max="4865" width="43" customWidth="1"/>
    <col min="4866" max="4866" width="31" customWidth="1"/>
    <col min="4868" max="4868" width="17.285156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2.140625" customWidth="1"/>
    <col min="5121" max="5121" width="43" customWidth="1"/>
    <col min="5122" max="5122" width="31" customWidth="1"/>
    <col min="5124" max="5124" width="17.285156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2.140625" customWidth="1"/>
    <col min="5377" max="5377" width="43" customWidth="1"/>
    <col min="5378" max="5378" width="31" customWidth="1"/>
    <col min="5380" max="5380" width="17.285156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2.140625" customWidth="1"/>
    <col min="5633" max="5633" width="43" customWidth="1"/>
    <col min="5634" max="5634" width="31" customWidth="1"/>
    <col min="5636" max="5636" width="17.285156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2.140625" customWidth="1"/>
    <col min="5889" max="5889" width="43" customWidth="1"/>
    <col min="5890" max="5890" width="31" customWidth="1"/>
    <col min="5892" max="5892" width="17.285156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2.140625" customWidth="1"/>
    <col min="6145" max="6145" width="43" customWidth="1"/>
    <col min="6146" max="6146" width="31" customWidth="1"/>
    <col min="6148" max="6148" width="17.285156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2.140625" customWidth="1"/>
    <col min="6401" max="6401" width="43" customWidth="1"/>
    <col min="6402" max="6402" width="31" customWidth="1"/>
    <col min="6404" max="6404" width="17.285156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2.140625" customWidth="1"/>
    <col min="6657" max="6657" width="43" customWidth="1"/>
    <col min="6658" max="6658" width="31" customWidth="1"/>
    <col min="6660" max="6660" width="17.285156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2.140625" customWidth="1"/>
    <col min="6913" max="6913" width="43" customWidth="1"/>
    <col min="6914" max="6914" width="31" customWidth="1"/>
    <col min="6916" max="6916" width="17.285156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2.140625" customWidth="1"/>
    <col min="7169" max="7169" width="43" customWidth="1"/>
    <col min="7170" max="7170" width="31" customWidth="1"/>
    <col min="7172" max="7172" width="17.285156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2.140625" customWidth="1"/>
    <col min="7425" max="7425" width="43" customWidth="1"/>
    <col min="7426" max="7426" width="31" customWidth="1"/>
    <col min="7428" max="7428" width="17.285156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2.140625" customWidth="1"/>
    <col min="7681" max="7681" width="43" customWidth="1"/>
    <col min="7682" max="7682" width="31" customWidth="1"/>
    <col min="7684" max="7684" width="17.285156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2.140625" customWidth="1"/>
    <col min="7937" max="7937" width="43" customWidth="1"/>
    <col min="7938" max="7938" width="31" customWidth="1"/>
    <col min="7940" max="7940" width="17.285156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2.140625" customWidth="1"/>
    <col min="8193" max="8193" width="43" customWidth="1"/>
    <col min="8194" max="8194" width="31" customWidth="1"/>
    <col min="8196" max="8196" width="17.285156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2.140625" customWidth="1"/>
    <col min="8449" max="8449" width="43" customWidth="1"/>
    <col min="8450" max="8450" width="31" customWidth="1"/>
    <col min="8452" max="8452" width="17.285156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2.140625" customWidth="1"/>
    <col min="8705" max="8705" width="43" customWidth="1"/>
    <col min="8706" max="8706" width="31" customWidth="1"/>
    <col min="8708" max="8708" width="17.285156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2.140625" customWidth="1"/>
    <col min="8961" max="8961" width="43" customWidth="1"/>
    <col min="8962" max="8962" width="31" customWidth="1"/>
    <col min="8964" max="8964" width="17.285156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2.140625" customWidth="1"/>
    <col min="9217" max="9217" width="43" customWidth="1"/>
    <col min="9218" max="9218" width="31" customWidth="1"/>
    <col min="9220" max="9220" width="17.285156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2.140625" customWidth="1"/>
    <col min="9473" max="9473" width="43" customWidth="1"/>
    <col min="9474" max="9474" width="31" customWidth="1"/>
    <col min="9476" max="9476" width="17.285156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2.140625" customWidth="1"/>
    <col min="9729" max="9729" width="43" customWidth="1"/>
    <col min="9730" max="9730" width="31" customWidth="1"/>
    <col min="9732" max="9732" width="17.285156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2.140625" customWidth="1"/>
    <col min="9985" max="9985" width="43" customWidth="1"/>
    <col min="9986" max="9986" width="31" customWidth="1"/>
    <col min="9988" max="9988" width="17.285156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2.140625" customWidth="1"/>
    <col min="10241" max="10241" width="43" customWidth="1"/>
    <col min="10242" max="10242" width="31" customWidth="1"/>
    <col min="10244" max="10244" width="17.285156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2.140625" customWidth="1"/>
    <col min="10497" max="10497" width="43" customWidth="1"/>
    <col min="10498" max="10498" width="31" customWidth="1"/>
    <col min="10500" max="10500" width="17.285156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2.140625" customWidth="1"/>
    <col min="10753" max="10753" width="43" customWidth="1"/>
    <col min="10754" max="10754" width="31" customWidth="1"/>
    <col min="10756" max="10756" width="17.285156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2.140625" customWidth="1"/>
    <col min="11009" max="11009" width="43" customWidth="1"/>
    <col min="11010" max="11010" width="31" customWidth="1"/>
    <col min="11012" max="11012" width="17.285156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2.140625" customWidth="1"/>
    <col min="11265" max="11265" width="43" customWidth="1"/>
    <col min="11266" max="11266" width="31" customWidth="1"/>
    <col min="11268" max="11268" width="17.285156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2.140625" customWidth="1"/>
    <col min="11521" max="11521" width="43" customWidth="1"/>
    <col min="11522" max="11522" width="31" customWidth="1"/>
    <col min="11524" max="11524" width="17.285156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2.140625" customWidth="1"/>
    <col min="11777" max="11777" width="43" customWidth="1"/>
    <col min="11778" max="11778" width="31" customWidth="1"/>
    <col min="11780" max="11780" width="17.285156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2.140625" customWidth="1"/>
    <col min="12033" max="12033" width="43" customWidth="1"/>
    <col min="12034" max="12034" width="31" customWidth="1"/>
    <col min="12036" max="12036" width="17.285156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2.140625" customWidth="1"/>
    <col min="12289" max="12289" width="43" customWidth="1"/>
    <col min="12290" max="12290" width="31" customWidth="1"/>
    <col min="12292" max="12292" width="17.285156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2.140625" customWidth="1"/>
    <col min="12545" max="12545" width="43" customWidth="1"/>
    <col min="12546" max="12546" width="31" customWidth="1"/>
    <col min="12548" max="12548" width="17.285156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2.140625" customWidth="1"/>
    <col min="12801" max="12801" width="43" customWidth="1"/>
    <col min="12802" max="12802" width="31" customWidth="1"/>
    <col min="12804" max="12804" width="17.285156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2.140625" customWidth="1"/>
    <col min="13057" max="13057" width="43" customWidth="1"/>
    <col min="13058" max="13058" width="31" customWidth="1"/>
    <col min="13060" max="13060" width="17.285156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2.140625" customWidth="1"/>
    <col min="13313" max="13313" width="43" customWidth="1"/>
    <col min="13314" max="13314" width="31" customWidth="1"/>
    <col min="13316" max="13316" width="17.285156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2.140625" customWidth="1"/>
    <col min="13569" max="13569" width="43" customWidth="1"/>
    <col min="13570" max="13570" width="31" customWidth="1"/>
    <col min="13572" max="13572" width="17.285156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2.140625" customWidth="1"/>
    <col min="13825" max="13825" width="43" customWidth="1"/>
    <col min="13826" max="13826" width="31" customWidth="1"/>
    <col min="13828" max="13828" width="17.285156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2.140625" customWidth="1"/>
    <col min="14081" max="14081" width="43" customWidth="1"/>
    <col min="14082" max="14082" width="31" customWidth="1"/>
    <col min="14084" max="14084" width="17.285156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2.140625" customWidth="1"/>
    <col min="14337" max="14337" width="43" customWidth="1"/>
    <col min="14338" max="14338" width="31" customWidth="1"/>
    <col min="14340" max="14340" width="17.285156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2.140625" customWidth="1"/>
    <col min="14593" max="14593" width="43" customWidth="1"/>
    <col min="14594" max="14594" width="31" customWidth="1"/>
    <col min="14596" max="14596" width="17.285156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2.140625" customWidth="1"/>
    <col min="14849" max="14849" width="43" customWidth="1"/>
    <col min="14850" max="14850" width="31" customWidth="1"/>
    <col min="14852" max="14852" width="17.285156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2.140625" customWidth="1"/>
    <col min="15105" max="15105" width="43" customWidth="1"/>
    <col min="15106" max="15106" width="31" customWidth="1"/>
    <col min="15108" max="15108" width="17.285156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2.140625" customWidth="1"/>
    <col min="15361" max="15361" width="43" customWidth="1"/>
    <col min="15362" max="15362" width="31" customWidth="1"/>
    <col min="15364" max="15364" width="17.285156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2.140625" customWidth="1"/>
    <col min="15617" max="15617" width="43" customWidth="1"/>
    <col min="15618" max="15618" width="31" customWidth="1"/>
    <col min="15620" max="15620" width="17.285156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2.140625" customWidth="1"/>
    <col min="15873" max="15873" width="43" customWidth="1"/>
    <col min="15874" max="15874" width="31" customWidth="1"/>
    <col min="15876" max="15876" width="17.285156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2.140625" customWidth="1"/>
    <col min="16129" max="16129" width="43" customWidth="1"/>
    <col min="16130" max="16130" width="31" customWidth="1"/>
    <col min="16132" max="16132" width="17.285156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2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3369</v>
      </c>
      <c r="C5" s="1594"/>
      <c r="D5" s="1594"/>
      <c r="E5" s="1595"/>
      <c r="F5" s="326" t="s">
        <v>171</v>
      </c>
      <c r="G5" s="326"/>
      <c r="H5" s="1618">
        <v>406020105050202</v>
      </c>
      <c r="I5" s="1619"/>
      <c r="J5" s="326" t="s">
        <v>172</v>
      </c>
      <c r="K5" s="631">
        <v>505.02300000000002</v>
      </c>
      <c r="L5" s="326" t="s">
        <v>436</v>
      </c>
      <c r="M5" s="326"/>
      <c r="N5" s="631"/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3370</v>
      </c>
      <c r="C7" s="1594"/>
      <c r="D7" s="1594"/>
      <c r="E7" s="1595"/>
      <c r="F7" s="1596" t="s">
        <v>3208</v>
      </c>
      <c r="G7" s="1596"/>
      <c r="H7" s="625" t="s">
        <v>3371</v>
      </c>
      <c r="I7" s="626"/>
      <c r="J7" s="627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>
      <c r="A9" s="326" t="s">
        <v>178</v>
      </c>
      <c r="B9" s="1593" t="s">
        <v>3372</v>
      </c>
      <c r="C9" s="1594"/>
      <c r="D9" s="1594"/>
      <c r="E9" s="1595"/>
      <c r="F9" s="1601" t="s">
        <v>3205</v>
      </c>
      <c r="G9" s="1602"/>
      <c r="H9" s="1620" t="s">
        <v>3373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3374</v>
      </c>
      <c r="C13" s="1612"/>
      <c r="D13" s="1612" t="s">
        <v>3375</v>
      </c>
      <c r="E13" s="1612"/>
      <c r="F13" s="1612"/>
      <c r="G13" s="1612" t="s">
        <v>3376</v>
      </c>
      <c r="H13" s="1612"/>
      <c r="I13" s="1612"/>
      <c r="J13" s="1612" t="s">
        <v>3377</v>
      </c>
      <c r="K13" s="1612"/>
      <c r="L13" s="1612"/>
      <c r="M13" s="1612"/>
      <c r="N13" s="326"/>
    </row>
    <row r="14" spans="1:14">
      <c r="A14" s="631" t="s">
        <v>187</v>
      </c>
      <c r="B14" s="1612" t="s">
        <v>3378</v>
      </c>
      <c r="C14" s="1612"/>
      <c r="D14" s="1612" t="s">
        <v>3379</v>
      </c>
      <c r="E14" s="1612"/>
      <c r="F14" s="1612"/>
      <c r="G14" s="1612" t="s">
        <v>3380</v>
      </c>
      <c r="H14" s="1612"/>
      <c r="I14" s="1612"/>
      <c r="J14" s="1612" t="s">
        <v>3381</v>
      </c>
      <c r="K14" s="1612"/>
      <c r="L14" s="1612"/>
      <c r="M14" s="1612"/>
      <c r="N14" s="326"/>
    </row>
    <row r="15" spans="1:14">
      <c r="A15" s="631" t="s">
        <v>192</v>
      </c>
      <c r="B15" s="1612" t="s">
        <v>3382</v>
      </c>
      <c r="C15" s="1612"/>
      <c r="D15" s="1612" t="s">
        <v>3383</v>
      </c>
      <c r="E15" s="1612"/>
      <c r="F15" s="1612"/>
      <c r="G15" s="1612" t="s">
        <v>3384</v>
      </c>
      <c r="H15" s="1612"/>
      <c r="I15" s="1612"/>
      <c r="J15" s="1612" t="s">
        <v>3385</v>
      </c>
      <c r="K15" s="1612"/>
      <c r="L15" s="1612"/>
      <c r="M15" s="1612"/>
      <c r="N15" s="326"/>
    </row>
    <row r="16" spans="1:14">
      <c r="A16" s="631" t="s">
        <v>197</v>
      </c>
      <c r="B16" s="1612" t="s">
        <v>3386</v>
      </c>
      <c r="C16" s="1612"/>
      <c r="D16" s="1612" t="s">
        <v>3387</v>
      </c>
      <c r="E16" s="1612"/>
      <c r="F16" s="1612"/>
      <c r="G16" s="1612" t="s">
        <v>3388</v>
      </c>
      <c r="H16" s="1612"/>
      <c r="I16" s="1612"/>
      <c r="J16" s="1612" t="s">
        <v>3389</v>
      </c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4</v>
      </c>
      <c r="C18" s="326" t="s">
        <v>199</v>
      </c>
      <c r="D18" s="326"/>
      <c r="E18" s="326"/>
      <c r="F18" s="631">
        <v>4</v>
      </c>
      <c r="G18" s="326" t="s">
        <v>200</v>
      </c>
      <c r="H18" s="632">
        <v>5</v>
      </c>
      <c r="I18" s="326" t="s">
        <v>201</v>
      </c>
      <c r="J18" s="632"/>
      <c r="K18" s="326" t="s">
        <v>202</v>
      </c>
      <c r="L18" s="631">
        <v>4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55</v>
      </c>
      <c r="D21" s="326" t="s">
        <v>205</v>
      </c>
      <c r="E21" s="631"/>
      <c r="F21" s="326" t="s">
        <v>206</v>
      </c>
      <c r="G21" s="80">
        <v>17</v>
      </c>
      <c r="H21" s="326" t="s">
        <v>230</v>
      </c>
      <c r="I21" s="80">
        <v>72</v>
      </c>
      <c r="J21" s="326" t="s">
        <v>207</v>
      </c>
      <c r="K21" s="631">
        <v>13</v>
      </c>
      <c r="L21" s="326" t="s">
        <v>3187</v>
      </c>
      <c r="M21" s="326"/>
      <c r="N21" s="631">
        <v>1</v>
      </c>
    </row>
    <row r="22" spans="1:14">
      <c r="A22" s="326" t="s">
        <v>209</v>
      </c>
      <c r="B22" s="326" t="s">
        <v>210</v>
      </c>
      <c r="C22" s="631">
        <v>133</v>
      </c>
      <c r="D22" s="326" t="s">
        <v>211</v>
      </c>
      <c r="E22" s="631"/>
      <c r="F22" s="326" t="s">
        <v>212</v>
      </c>
      <c r="G22" s="631">
        <v>30</v>
      </c>
      <c r="H22" s="326" t="s">
        <v>411</v>
      </c>
      <c r="I22" s="80">
        <v>163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93</v>
      </c>
      <c r="D23" s="326" t="s">
        <v>214</v>
      </c>
      <c r="E23" s="631"/>
      <c r="F23" s="326" t="s">
        <v>215</v>
      </c>
      <c r="G23" s="631">
        <v>37</v>
      </c>
      <c r="H23" s="326" t="s">
        <v>410</v>
      </c>
      <c r="I23" s="80">
        <v>130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8060</v>
      </c>
      <c r="C29" s="322" t="s">
        <v>233</v>
      </c>
      <c r="D29" s="335">
        <f>505.023*B29</f>
        <v>4070485.3800000004</v>
      </c>
      <c r="E29" s="335">
        <v>146500</v>
      </c>
      <c r="F29" s="335"/>
      <c r="G29" s="335">
        <v>18060</v>
      </c>
      <c r="H29" s="335"/>
      <c r="I29" s="335"/>
      <c r="J29" s="335"/>
      <c r="K29" s="335"/>
      <c r="L29" s="335"/>
      <c r="M29" s="335">
        <f>SUM(F29:L29)</f>
        <v>18060</v>
      </c>
      <c r="N29" s="323">
        <f>+M29/E29*100</f>
        <v>12.327645051194541</v>
      </c>
    </row>
    <row r="30" spans="1:14">
      <c r="A30" s="322" t="s">
        <v>234</v>
      </c>
      <c r="B30" s="322">
        <v>1120</v>
      </c>
      <c r="C30" s="322" t="s">
        <v>233</v>
      </c>
      <c r="D30" s="335">
        <f>505.023*B30</f>
        <v>565625.76</v>
      </c>
      <c r="E30" s="335"/>
      <c r="F30" s="335"/>
      <c r="G30" s="335"/>
      <c r="H30" s="335"/>
      <c r="I30" s="335"/>
      <c r="J30" s="335"/>
      <c r="K30" s="335"/>
      <c r="L30" s="335"/>
      <c r="M30" s="335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86</v>
      </c>
      <c r="C31" s="322" t="s">
        <v>236</v>
      </c>
      <c r="D31" s="335">
        <v>43431.978000000003</v>
      </c>
      <c r="E31" s="335">
        <v>18000</v>
      </c>
      <c r="F31" s="335"/>
      <c r="G31" s="335"/>
      <c r="H31" s="335"/>
      <c r="I31" s="335"/>
      <c r="J31" s="335"/>
      <c r="K31" s="335"/>
      <c r="L31" s="335"/>
      <c r="M31" s="335">
        <f t="shared" si="0"/>
        <v>0</v>
      </c>
      <c r="N31" s="323">
        <f t="shared" ref="N31:N38" si="1">+M31/E31*100</f>
        <v>0</v>
      </c>
    </row>
    <row r="32" spans="1:14">
      <c r="A32" s="322" t="s">
        <v>237</v>
      </c>
      <c r="B32" s="322">
        <v>68</v>
      </c>
      <c r="C32" s="322" t="s">
        <v>236</v>
      </c>
      <c r="D32" s="335">
        <v>34341.563999999998</v>
      </c>
      <c r="E32" s="335">
        <v>16000</v>
      </c>
      <c r="F32" s="335"/>
      <c r="G32" s="335"/>
      <c r="H32" s="335"/>
      <c r="I32" s="335"/>
      <c r="J32" s="335"/>
      <c r="K32" s="335"/>
      <c r="L32" s="335"/>
      <c r="M32" s="335">
        <f t="shared" si="0"/>
        <v>0</v>
      </c>
      <c r="N32" s="323">
        <f t="shared" si="1"/>
        <v>0</v>
      </c>
    </row>
    <row r="33" spans="1:14">
      <c r="A33" s="322" t="s">
        <v>238</v>
      </c>
      <c r="B33" s="322">
        <v>1200</v>
      </c>
      <c r="C33" s="322" t="s">
        <v>233</v>
      </c>
      <c r="D33" s="335">
        <v>606027.6</v>
      </c>
      <c r="E33" s="335">
        <v>200000</v>
      </c>
      <c r="F33" s="335"/>
      <c r="G33" s="335">
        <v>147003</v>
      </c>
      <c r="H33" s="335"/>
      <c r="I33" s="335"/>
      <c r="J33" s="335"/>
      <c r="K33" s="335"/>
      <c r="L33" s="335"/>
      <c r="M33" s="335">
        <f t="shared" si="0"/>
        <v>147003</v>
      </c>
      <c r="N33" s="323">
        <f t="shared" si="1"/>
        <v>73.501499999999993</v>
      </c>
    </row>
    <row r="34" spans="1:14">
      <c r="A34" s="322" t="s">
        <v>667</v>
      </c>
      <c r="B34" s="322">
        <v>565</v>
      </c>
      <c r="C34" s="322" t="s">
        <v>233</v>
      </c>
      <c r="D34" s="335">
        <v>285337.995</v>
      </c>
      <c r="E34" s="335">
        <v>150502</v>
      </c>
      <c r="F34" s="335"/>
      <c r="G34" s="335"/>
      <c r="H34" s="335"/>
      <c r="I34" s="335"/>
      <c r="J34" s="335"/>
      <c r="K34" s="335"/>
      <c r="L34" s="335"/>
      <c r="M34" s="335">
        <f t="shared" si="0"/>
        <v>0</v>
      </c>
      <c r="N34" s="323">
        <f t="shared" si="1"/>
        <v>0</v>
      </c>
    </row>
    <row r="35" spans="1:14">
      <c r="A35" s="322" t="s">
        <v>240</v>
      </c>
      <c r="B35" s="322">
        <v>1000</v>
      </c>
      <c r="C35" s="322" t="s">
        <v>233</v>
      </c>
      <c r="D35" s="335">
        <v>505023</v>
      </c>
      <c r="E35" s="335"/>
      <c r="F35" s="335"/>
      <c r="G35" s="335"/>
      <c r="H35" s="335"/>
      <c r="I35" s="335"/>
      <c r="J35" s="335"/>
      <c r="K35" s="335"/>
      <c r="L35" s="335"/>
      <c r="M35" s="335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v>231000</v>
      </c>
      <c r="E36" s="335">
        <v>30250</v>
      </c>
      <c r="F36" s="335"/>
      <c r="G36" s="335">
        <v>14350</v>
      </c>
      <c r="H36" s="335"/>
      <c r="I36" s="335"/>
      <c r="J36" s="335"/>
      <c r="K36" s="335"/>
      <c r="L36" s="335"/>
      <c r="M36" s="335">
        <f t="shared" si="0"/>
        <v>14350</v>
      </c>
      <c r="N36" s="323">
        <f t="shared" si="1"/>
        <v>47.438016528925623</v>
      </c>
    </row>
    <row r="37" spans="1:14">
      <c r="A37" s="324" t="s">
        <v>670</v>
      </c>
      <c r="B37" s="322">
        <v>0</v>
      </c>
      <c r="C37" s="324" t="s">
        <v>244</v>
      </c>
      <c r="D37" s="335">
        <v>20000</v>
      </c>
      <c r="E37" s="335"/>
      <c r="F37" s="335"/>
      <c r="G37" s="335"/>
      <c r="H37" s="335"/>
      <c r="I37" s="335"/>
      <c r="J37" s="335"/>
      <c r="K37" s="335"/>
      <c r="L37" s="335"/>
      <c r="M37" s="335">
        <f t="shared" si="0"/>
        <v>0</v>
      </c>
      <c r="N37" s="323">
        <v>0</v>
      </c>
    </row>
    <row r="38" spans="1:14">
      <c r="A38" s="631" t="s">
        <v>245</v>
      </c>
      <c r="B38" s="322">
        <f>SUM(B29:B37)</f>
        <v>14849</v>
      </c>
      <c r="C38" s="322"/>
      <c r="D38" s="653">
        <f>SUM(D29:D37)</f>
        <v>6361273.2770000007</v>
      </c>
      <c r="E38" s="653">
        <f>SUM(E29:E37)</f>
        <v>561252</v>
      </c>
      <c r="F38" s="653">
        <f t="shared" ref="F38:L38" si="2">SUM(F29:F37)</f>
        <v>0</v>
      </c>
      <c r="G38" s="653">
        <f t="shared" si="2"/>
        <v>179413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53">
        <f t="shared" si="0"/>
        <v>179413</v>
      </c>
      <c r="N38" s="323">
        <f t="shared" si="1"/>
        <v>31.966567602431706</v>
      </c>
    </row>
    <row r="39" spans="1:14">
      <c r="A39" s="332"/>
      <c r="B39" s="332"/>
      <c r="E39" s="332"/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  <c r="E42" s="332"/>
    </row>
  </sheetData>
  <mergeCells count="32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46" header="0.39" footer="0.31496062992126"/>
  <pageSetup paperSize="9" scale="60" orientation="landscape" r:id="rId1"/>
  <headerFooter>
    <oddFooter>&amp;L&amp;9&amp;F&amp;R&amp;9&amp;A</oddFooter>
  </headerFooter>
</worksheet>
</file>

<file path=xl/worksheets/sheet32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42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4" max="4" width="19.425781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1.42578125" customWidth="1"/>
    <col min="257" max="257" width="43" customWidth="1"/>
    <col min="258" max="258" width="31" customWidth="1"/>
    <col min="260" max="260" width="19.425781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1.42578125" customWidth="1"/>
    <col min="513" max="513" width="43" customWidth="1"/>
    <col min="514" max="514" width="31" customWidth="1"/>
    <col min="516" max="516" width="19.425781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1.42578125" customWidth="1"/>
    <col min="769" max="769" width="43" customWidth="1"/>
    <col min="770" max="770" width="31" customWidth="1"/>
    <col min="772" max="772" width="19.425781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1.42578125" customWidth="1"/>
    <col min="1025" max="1025" width="43" customWidth="1"/>
    <col min="1026" max="1026" width="31" customWidth="1"/>
    <col min="1028" max="1028" width="19.425781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1.42578125" customWidth="1"/>
    <col min="1281" max="1281" width="43" customWidth="1"/>
    <col min="1282" max="1282" width="31" customWidth="1"/>
    <col min="1284" max="1284" width="19.425781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1.42578125" customWidth="1"/>
    <col min="1537" max="1537" width="43" customWidth="1"/>
    <col min="1538" max="1538" width="31" customWidth="1"/>
    <col min="1540" max="1540" width="19.425781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1.42578125" customWidth="1"/>
    <col min="1793" max="1793" width="43" customWidth="1"/>
    <col min="1794" max="1794" width="31" customWidth="1"/>
    <col min="1796" max="1796" width="19.425781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1.42578125" customWidth="1"/>
    <col min="2049" max="2049" width="43" customWidth="1"/>
    <col min="2050" max="2050" width="31" customWidth="1"/>
    <col min="2052" max="2052" width="19.425781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1.42578125" customWidth="1"/>
    <col min="2305" max="2305" width="43" customWidth="1"/>
    <col min="2306" max="2306" width="31" customWidth="1"/>
    <col min="2308" max="2308" width="19.425781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1.42578125" customWidth="1"/>
    <col min="2561" max="2561" width="43" customWidth="1"/>
    <col min="2562" max="2562" width="31" customWidth="1"/>
    <col min="2564" max="2564" width="19.425781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1.42578125" customWidth="1"/>
    <col min="2817" max="2817" width="43" customWidth="1"/>
    <col min="2818" max="2818" width="31" customWidth="1"/>
    <col min="2820" max="2820" width="19.425781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1.42578125" customWidth="1"/>
    <col min="3073" max="3073" width="43" customWidth="1"/>
    <col min="3074" max="3074" width="31" customWidth="1"/>
    <col min="3076" max="3076" width="19.425781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1.42578125" customWidth="1"/>
    <col min="3329" max="3329" width="43" customWidth="1"/>
    <col min="3330" max="3330" width="31" customWidth="1"/>
    <col min="3332" max="3332" width="19.425781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1.42578125" customWidth="1"/>
    <col min="3585" max="3585" width="43" customWidth="1"/>
    <col min="3586" max="3586" width="31" customWidth="1"/>
    <col min="3588" max="3588" width="19.425781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1.42578125" customWidth="1"/>
    <col min="3841" max="3841" width="43" customWidth="1"/>
    <col min="3842" max="3842" width="31" customWidth="1"/>
    <col min="3844" max="3844" width="19.425781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1.42578125" customWidth="1"/>
    <col min="4097" max="4097" width="43" customWidth="1"/>
    <col min="4098" max="4098" width="31" customWidth="1"/>
    <col min="4100" max="4100" width="19.425781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1.42578125" customWidth="1"/>
    <col min="4353" max="4353" width="43" customWidth="1"/>
    <col min="4354" max="4354" width="31" customWidth="1"/>
    <col min="4356" max="4356" width="19.425781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1.42578125" customWidth="1"/>
    <col min="4609" max="4609" width="43" customWidth="1"/>
    <col min="4610" max="4610" width="31" customWidth="1"/>
    <col min="4612" max="4612" width="19.425781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1.42578125" customWidth="1"/>
    <col min="4865" max="4865" width="43" customWidth="1"/>
    <col min="4866" max="4866" width="31" customWidth="1"/>
    <col min="4868" max="4868" width="19.425781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1.42578125" customWidth="1"/>
    <col min="5121" max="5121" width="43" customWidth="1"/>
    <col min="5122" max="5122" width="31" customWidth="1"/>
    <col min="5124" max="5124" width="19.425781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1.42578125" customWidth="1"/>
    <col min="5377" max="5377" width="43" customWidth="1"/>
    <col min="5378" max="5378" width="31" customWidth="1"/>
    <col min="5380" max="5380" width="19.425781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1.42578125" customWidth="1"/>
    <col min="5633" max="5633" width="43" customWidth="1"/>
    <col min="5634" max="5634" width="31" customWidth="1"/>
    <col min="5636" max="5636" width="19.425781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1.42578125" customWidth="1"/>
    <col min="5889" max="5889" width="43" customWidth="1"/>
    <col min="5890" max="5890" width="31" customWidth="1"/>
    <col min="5892" max="5892" width="19.425781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1.42578125" customWidth="1"/>
    <col min="6145" max="6145" width="43" customWidth="1"/>
    <col min="6146" max="6146" width="31" customWidth="1"/>
    <col min="6148" max="6148" width="19.425781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1.42578125" customWidth="1"/>
    <col min="6401" max="6401" width="43" customWidth="1"/>
    <col min="6402" max="6402" width="31" customWidth="1"/>
    <col min="6404" max="6404" width="19.425781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1.42578125" customWidth="1"/>
    <col min="6657" max="6657" width="43" customWidth="1"/>
    <col min="6658" max="6658" width="31" customWidth="1"/>
    <col min="6660" max="6660" width="19.425781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1.42578125" customWidth="1"/>
    <col min="6913" max="6913" width="43" customWidth="1"/>
    <col min="6914" max="6914" width="31" customWidth="1"/>
    <col min="6916" max="6916" width="19.425781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1.42578125" customWidth="1"/>
    <col min="7169" max="7169" width="43" customWidth="1"/>
    <col min="7170" max="7170" width="31" customWidth="1"/>
    <col min="7172" max="7172" width="19.425781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1.42578125" customWidth="1"/>
    <col min="7425" max="7425" width="43" customWidth="1"/>
    <col min="7426" max="7426" width="31" customWidth="1"/>
    <col min="7428" max="7428" width="19.425781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1.42578125" customWidth="1"/>
    <col min="7681" max="7681" width="43" customWidth="1"/>
    <col min="7682" max="7682" width="31" customWidth="1"/>
    <col min="7684" max="7684" width="19.425781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1.42578125" customWidth="1"/>
    <col min="7937" max="7937" width="43" customWidth="1"/>
    <col min="7938" max="7938" width="31" customWidth="1"/>
    <col min="7940" max="7940" width="19.425781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1.42578125" customWidth="1"/>
    <col min="8193" max="8193" width="43" customWidth="1"/>
    <col min="8194" max="8194" width="31" customWidth="1"/>
    <col min="8196" max="8196" width="19.425781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1.42578125" customWidth="1"/>
    <col min="8449" max="8449" width="43" customWidth="1"/>
    <col min="8450" max="8450" width="31" customWidth="1"/>
    <col min="8452" max="8452" width="19.425781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1.42578125" customWidth="1"/>
    <col min="8705" max="8705" width="43" customWidth="1"/>
    <col min="8706" max="8706" width="31" customWidth="1"/>
    <col min="8708" max="8708" width="19.425781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1.42578125" customWidth="1"/>
    <col min="8961" max="8961" width="43" customWidth="1"/>
    <col min="8962" max="8962" width="31" customWidth="1"/>
    <col min="8964" max="8964" width="19.425781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1.42578125" customWidth="1"/>
    <col min="9217" max="9217" width="43" customWidth="1"/>
    <col min="9218" max="9218" width="31" customWidth="1"/>
    <col min="9220" max="9220" width="19.425781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1.42578125" customWidth="1"/>
    <col min="9473" max="9473" width="43" customWidth="1"/>
    <col min="9474" max="9474" width="31" customWidth="1"/>
    <col min="9476" max="9476" width="19.425781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1.42578125" customWidth="1"/>
    <col min="9729" max="9729" width="43" customWidth="1"/>
    <col min="9730" max="9730" width="31" customWidth="1"/>
    <col min="9732" max="9732" width="19.425781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1.42578125" customWidth="1"/>
    <col min="9985" max="9985" width="43" customWidth="1"/>
    <col min="9986" max="9986" width="31" customWidth="1"/>
    <col min="9988" max="9988" width="19.425781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1.42578125" customWidth="1"/>
    <col min="10241" max="10241" width="43" customWidth="1"/>
    <col min="10242" max="10242" width="31" customWidth="1"/>
    <col min="10244" max="10244" width="19.425781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1.42578125" customWidth="1"/>
    <col min="10497" max="10497" width="43" customWidth="1"/>
    <col min="10498" max="10498" width="31" customWidth="1"/>
    <col min="10500" max="10500" width="19.425781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1.42578125" customWidth="1"/>
    <col min="10753" max="10753" width="43" customWidth="1"/>
    <col min="10754" max="10754" width="31" customWidth="1"/>
    <col min="10756" max="10756" width="19.425781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1.42578125" customWidth="1"/>
    <col min="11009" max="11009" width="43" customWidth="1"/>
    <col min="11010" max="11010" width="31" customWidth="1"/>
    <col min="11012" max="11012" width="19.425781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1.42578125" customWidth="1"/>
    <col min="11265" max="11265" width="43" customWidth="1"/>
    <col min="11266" max="11266" width="31" customWidth="1"/>
    <col min="11268" max="11268" width="19.425781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1.42578125" customWidth="1"/>
    <col min="11521" max="11521" width="43" customWidth="1"/>
    <col min="11522" max="11522" width="31" customWidth="1"/>
    <col min="11524" max="11524" width="19.425781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1.42578125" customWidth="1"/>
    <col min="11777" max="11777" width="43" customWidth="1"/>
    <col min="11778" max="11778" width="31" customWidth="1"/>
    <col min="11780" max="11780" width="19.425781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1.42578125" customWidth="1"/>
    <col min="12033" max="12033" width="43" customWidth="1"/>
    <col min="12034" max="12034" width="31" customWidth="1"/>
    <col min="12036" max="12036" width="19.425781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1.42578125" customWidth="1"/>
    <col min="12289" max="12289" width="43" customWidth="1"/>
    <col min="12290" max="12290" width="31" customWidth="1"/>
    <col min="12292" max="12292" width="19.425781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1.42578125" customWidth="1"/>
    <col min="12545" max="12545" width="43" customWidth="1"/>
    <col min="12546" max="12546" width="31" customWidth="1"/>
    <col min="12548" max="12548" width="19.425781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1.42578125" customWidth="1"/>
    <col min="12801" max="12801" width="43" customWidth="1"/>
    <col min="12802" max="12802" width="31" customWidth="1"/>
    <col min="12804" max="12804" width="19.425781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1.42578125" customWidth="1"/>
    <col min="13057" max="13057" width="43" customWidth="1"/>
    <col min="13058" max="13058" width="31" customWidth="1"/>
    <col min="13060" max="13060" width="19.425781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1.42578125" customWidth="1"/>
    <col min="13313" max="13313" width="43" customWidth="1"/>
    <col min="13314" max="13314" width="31" customWidth="1"/>
    <col min="13316" max="13316" width="19.425781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1.42578125" customWidth="1"/>
    <col min="13569" max="13569" width="43" customWidth="1"/>
    <col min="13570" max="13570" width="31" customWidth="1"/>
    <col min="13572" max="13572" width="19.425781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1.42578125" customWidth="1"/>
    <col min="13825" max="13825" width="43" customWidth="1"/>
    <col min="13826" max="13826" width="31" customWidth="1"/>
    <col min="13828" max="13828" width="19.425781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1.42578125" customWidth="1"/>
    <col min="14081" max="14081" width="43" customWidth="1"/>
    <col min="14082" max="14082" width="31" customWidth="1"/>
    <col min="14084" max="14084" width="19.425781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1.42578125" customWidth="1"/>
    <col min="14337" max="14337" width="43" customWidth="1"/>
    <col min="14338" max="14338" width="31" customWidth="1"/>
    <col min="14340" max="14340" width="19.425781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1.42578125" customWidth="1"/>
    <col min="14593" max="14593" width="43" customWidth="1"/>
    <col min="14594" max="14594" width="31" customWidth="1"/>
    <col min="14596" max="14596" width="19.425781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1.42578125" customWidth="1"/>
    <col min="14849" max="14849" width="43" customWidth="1"/>
    <col min="14850" max="14850" width="31" customWidth="1"/>
    <col min="14852" max="14852" width="19.425781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1.42578125" customWidth="1"/>
    <col min="15105" max="15105" width="43" customWidth="1"/>
    <col min="15106" max="15106" width="31" customWidth="1"/>
    <col min="15108" max="15108" width="19.425781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1.42578125" customWidth="1"/>
    <col min="15361" max="15361" width="43" customWidth="1"/>
    <col min="15362" max="15362" width="31" customWidth="1"/>
    <col min="15364" max="15364" width="19.425781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1.42578125" customWidth="1"/>
    <col min="15617" max="15617" width="43" customWidth="1"/>
    <col min="15618" max="15618" width="31" customWidth="1"/>
    <col min="15620" max="15620" width="19.425781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1.42578125" customWidth="1"/>
    <col min="15873" max="15873" width="43" customWidth="1"/>
    <col min="15874" max="15874" width="31" customWidth="1"/>
    <col min="15876" max="15876" width="19.425781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1.42578125" customWidth="1"/>
    <col min="16129" max="16129" width="43" customWidth="1"/>
    <col min="16130" max="16130" width="31" customWidth="1"/>
    <col min="16132" max="16132" width="19.425781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1.42578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3390</v>
      </c>
      <c r="C5" s="1594"/>
      <c r="D5" s="1594"/>
      <c r="E5" s="1595"/>
      <c r="F5" s="326" t="s">
        <v>171</v>
      </c>
      <c r="G5" s="326"/>
      <c r="H5" s="1618">
        <v>4060201051100100</v>
      </c>
      <c r="I5" s="1619"/>
      <c r="J5" s="326" t="s">
        <v>172</v>
      </c>
      <c r="K5" s="631">
        <v>510.12900000000002</v>
      </c>
      <c r="L5" s="326" t="s">
        <v>436</v>
      </c>
      <c r="M5" s="326"/>
      <c r="N5" s="631"/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3391</v>
      </c>
      <c r="C7" s="1594"/>
      <c r="D7" s="1594"/>
      <c r="E7" s="1595"/>
      <c r="F7" s="1596" t="s">
        <v>3208</v>
      </c>
      <c r="G7" s="1596"/>
      <c r="H7" s="625" t="s">
        <v>3392</v>
      </c>
      <c r="I7" s="626"/>
      <c r="J7" s="627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>
      <c r="A9" s="326" t="s">
        <v>178</v>
      </c>
      <c r="B9" s="1593" t="s">
        <v>3393</v>
      </c>
      <c r="C9" s="1594"/>
      <c r="D9" s="1594"/>
      <c r="E9" s="1595"/>
      <c r="F9" s="1601" t="s">
        <v>3205</v>
      </c>
      <c r="G9" s="1602"/>
      <c r="H9" s="1620" t="s">
        <v>3394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3395</v>
      </c>
      <c r="C13" s="1612"/>
      <c r="D13" s="1612" t="s">
        <v>3396</v>
      </c>
      <c r="E13" s="1612"/>
      <c r="F13" s="1612"/>
      <c r="G13" s="1612" t="s">
        <v>3397</v>
      </c>
      <c r="H13" s="1612"/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2" t="s">
        <v>3398</v>
      </c>
      <c r="C14" s="1612"/>
      <c r="D14" s="1612" t="s">
        <v>3399</v>
      </c>
      <c r="E14" s="1612"/>
      <c r="F14" s="1612"/>
      <c r="G14" s="1612" t="s">
        <v>3400</v>
      </c>
      <c r="H14" s="1612"/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1612" t="s">
        <v>3401</v>
      </c>
      <c r="C15" s="1612"/>
      <c r="D15" s="1612" t="s">
        <v>3402</v>
      </c>
      <c r="E15" s="1612"/>
      <c r="F15" s="1612"/>
      <c r="G15" s="1612" t="s">
        <v>3403</v>
      </c>
      <c r="H15" s="1612"/>
      <c r="I15" s="1612"/>
      <c r="J15" s="1612"/>
      <c r="K15" s="1612"/>
      <c r="L15" s="1612"/>
      <c r="M15" s="1612"/>
      <c r="N15" s="326"/>
    </row>
    <row r="16" spans="1:14">
      <c r="A16" s="631" t="s">
        <v>197</v>
      </c>
      <c r="B16" s="1612" t="s">
        <v>3404</v>
      </c>
      <c r="C16" s="1612"/>
      <c r="D16" s="1612" t="s">
        <v>3405</v>
      </c>
      <c r="E16" s="1612"/>
      <c r="F16" s="1612"/>
      <c r="G16" s="1612" t="s">
        <v>3406</v>
      </c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3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3</v>
      </c>
      <c r="I18" s="326" t="s">
        <v>201</v>
      </c>
      <c r="J18" s="632">
        <v>2</v>
      </c>
      <c r="K18" s="326" t="s">
        <v>202</v>
      </c>
      <c r="L18" s="631">
        <v>2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140</v>
      </c>
      <c r="D21" s="326" t="s">
        <v>205</v>
      </c>
      <c r="E21" s="631"/>
      <c r="F21" s="326" t="s">
        <v>206</v>
      </c>
      <c r="G21" s="80"/>
      <c r="H21" s="326" t="s">
        <v>230</v>
      </c>
      <c r="I21" s="80">
        <v>140</v>
      </c>
      <c r="J21" s="326" t="s">
        <v>207</v>
      </c>
      <c r="K21" s="631">
        <v>20</v>
      </c>
      <c r="L21" s="326" t="s">
        <v>3187</v>
      </c>
      <c r="M21" s="326"/>
      <c r="N21" s="631">
        <v>15</v>
      </c>
    </row>
    <row r="22" spans="1:14">
      <c r="A22" s="326" t="s">
        <v>209</v>
      </c>
      <c r="B22" s="326" t="s">
        <v>210</v>
      </c>
      <c r="C22" s="631">
        <v>310</v>
      </c>
      <c r="D22" s="326" t="s">
        <v>211</v>
      </c>
      <c r="E22" s="631"/>
      <c r="F22" s="326" t="s">
        <v>212</v>
      </c>
      <c r="G22" s="631"/>
      <c r="H22" s="326" t="s">
        <v>411</v>
      </c>
      <c r="I22" s="80">
        <v>310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288</v>
      </c>
      <c r="D23" s="326" t="s">
        <v>214</v>
      </c>
      <c r="E23" s="631"/>
      <c r="F23" s="326" t="s">
        <v>215</v>
      </c>
      <c r="G23" s="631"/>
      <c r="H23" s="326" t="s">
        <v>410</v>
      </c>
      <c r="I23" s="80">
        <v>288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8060</v>
      </c>
      <c r="C29" s="322" t="s">
        <v>233</v>
      </c>
      <c r="D29" s="335">
        <v>4030991.38</v>
      </c>
      <c r="E29" s="335">
        <v>146500</v>
      </c>
      <c r="F29" s="335"/>
      <c r="G29" s="335">
        <v>124640</v>
      </c>
      <c r="H29" s="335"/>
      <c r="I29" s="335"/>
      <c r="J29" s="335"/>
      <c r="K29" s="335"/>
      <c r="L29" s="335"/>
      <c r="M29" s="322">
        <f>SUM(F29:L29)</f>
        <v>124640</v>
      </c>
      <c r="N29" s="323">
        <f>+M29/E29*100</f>
        <v>85.078498293515352</v>
      </c>
    </row>
    <row r="30" spans="1:14">
      <c r="A30" s="322" t="s">
        <v>234</v>
      </c>
      <c r="B30" s="322">
        <v>1120</v>
      </c>
      <c r="C30" s="322" t="s">
        <v>233</v>
      </c>
      <c r="D30" s="335">
        <v>560137.76</v>
      </c>
      <c r="E30" s="335"/>
      <c r="F30" s="335"/>
      <c r="G30" s="335"/>
      <c r="H30" s="335"/>
      <c r="I30" s="335"/>
      <c r="J30" s="335"/>
      <c r="K30" s="335"/>
      <c r="L30" s="335"/>
      <c r="M30" s="322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86</v>
      </c>
      <c r="C31" s="322" t="s">
        <v>236</v>
      </c>
      <c r="D31" s="335">
        <v>43010.578000000001</v>
      </c>
      <c r="E31" s="335">
        <v>18000</v>
      </c>
      <c r="F31" s="335"/>
      <c r="G31" s="335"/>
      <c r="H31" s="335"/>
      <c r="I31" s="335"/>
      <c r="J31" s="335"/>
      <c r="K31" s="335"/>
      <c r="L31" s="335"/>
      <c r="M31" s="322">
        <f t="shared" si="0"/>
        <v>0</v>
      </c>
      <c r="N31" s="323">
        <f t="shared" ref="N31:N38" si="1">+M31/E31*100</f>
        <v>0</v>
      </c>
    </row>
    <row r="32" spans="1:14">
      <c r="A32" s="322" t="s">
        <v>237</v>
      </c>
      <c r="B32" s="322">
        <v>68</v>
      </c>
      <c r="C32" s="322" t="s">
        <v>236</v>
      </c>
      <c r="D32" s="335">
        <v>34008.364000000001</v>
      </c>
      <c r="E32" s="335">
        <v>16000</v>
      </c>
      <c r="F32" s="335"/>
      <c r="G32" s="335"/>
      <c r="H32" s="335"/>
      <c r="I32" s="335"/>
      <c r="J32" s="335"/>
      <c r="K32" s="335"/>
      <c r="L32" s="335"/>
      <c r="M32" s="322">
        <f t="shared" si="0"/>
        <v>0</v>
      </c>
      <c r="N32" s="323">
        <f t="shared" si="1"/>
        <v>0</v>
      </c>
    </row>
    <row r="33" spans="1:14">
      <c r="A33" s="322" t="s">
        <v>238</v>
      </c>
      <c r="B33" s="322">
        <v>1200</v>
      </c>
      <c r="C33" s="322" t="s">
        <v>233</v>
      </c>
      <c r="D33" s="335">
        <v>600147.6</v>
      </c>
      <c r="E33" s="335">
        <v>200000</v>
      </c>
      <c r="F33" s="335"/>
      <c r="G33" s="335">
        <v>141369</v>
      </c>
      <c r="H33" s="335"/>
      <c r="I33" s="335"/>
      <c r="J33" s="335"/>
      <c r="K33" s="335"/>
      <c r="L33" s="335"/>
      <c r="M33" s="322">
        <f t="shared" si="0"/>
        <v>141369</v>
      </c>
      <c r="N33" s="323">
        <f t="shared" si="1"/>
        <v>70.6845</v>
      </c>
    </row>
    <row r="34" spans="1:14">
      <c r="A34" s="322" t="s">
        <v>667</v>
      </c>
      <c r="B34" s="322">
        <v>565</v>
      </c>
      <c r="C34" s="322" t="s">
        <v>233</v>
      </c>
      <c r="D34" s="335">
        <v>282569.495</v>
      </c>
      <c r="E34" s="335">
        <v>151629</v>
      </c>
      <c r="F34" s="335"/>
      <c r="G34" s="335"/>
      <c r="H34" s="335"/>
      <c r="I34" s="335"/>
      <c r="J34" s="335"/>
      <c r="K34" s="335"/>
      <c r="L34" s="335"/>
      <c r="M34" s="322">
        <f t="shared" si="0"/>
        <v>0</v>
      </c>
      <c r="N34" s="323">
        <f t="shared" si="1"/>
        <v>0</v>
      </c>
    </row>
    <row r="35" spans="1:14">
      <c r="A35" s="322" t="s">
        <v>240</v>
      </c>
      <c r="B35" s="322">
        <v>1000</v>
      </c>
      <c r="C35" s="322" t="s">
        <v>233</v>
      </c>
      <c r="D35" s="335">
        <v>500123</v>
      </c>
      <c r="E35" s="335"/>
      <c r="F35" s="335"/>
      <c r="G35" s="335"/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v>231000</v>
      </c>
      <c r="E36" s="335">
        <v>30250</v>
      </c>
      <c r="F36" s="335"/>
      <c r="G36" s="335">
        <v>12250</v>
      </c>
      <c r="H36" s="335"/>
      <c r="I36" s="335"/>
      <c r="J36" s="335"/>
      <c r="K36" s="335"/>
      <c r="L36" s="335"/>
      <c r="M36" s="322">
        <f t="shared" si="0"/>
        <v>12250</v>
      </c>
      <c r="N36" s="323">
        <f t="shared" si="1"/>
        <v>40.495867768595041</v>
      </c>
    </row>
    <row r="37" spans="1:14">
      <c r="A37" s="324" t="s">
        <v>670</v>
      </c>
      <c r="B37" s="322">
        <v>0</v>
      </c>
      <c r="C37" s="324" t="s">
        <v>244</v>
      </c>
      <c r="D37" s="335">
        <f>B37/100000</f>
        <v>0</v>
      </c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>
        <f>SUM(B29:B37)</f>
        <v>14849</v>
      </c>
      <c r="C38" s="322"/>
      <c r="D38" s="653">
        <f>SUM(D29:D37)</f>
        <v>6281988.1769999992</v>
      </c>
      <c r="E38" s="653">
        <f>SUM(E29:E37)</f>
        <v>562379</v>
      </c>
      <c r="F38" s="653">
        <f>SUM(F29:F37)</f>
        <v>0</v>
      </c>
      <c r="G38" s="653">
        <f t="shared" ref="G38:L38" si="2">SUM(G29:G37)</f>
        <v>278259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278259</v>
      </c>
      <c r="N38" s="323">
        <f t="shared" si="1"/>
        <v>49.478910130001296</v>
      </c>
    </row>
    <row r="39" spans="1:14">
      <c r="B39" s="332"/>
      <c r="C39" s="332"/>
      <c r="F39" s="332"/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  <c r="F42" s="332"/>
    </row>
  </sheetData>
  <mergeCells count="32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46" header="0.39" footer="0.26"/>
  <pageSetup paperSize="9" scale="60" orientation="landscape" r:id="rId1"/>
  <headerFooter>
    <oddFooter>&amp;L&amp;9&amp;F&amp;R&amp;9&amp;A</oddFooter>
  </headerFooter>
</worksheet>
</file>

<file path=xl/worksheets/sheet32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N42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3" max="3" width="11.7109375" customWidth="1"/>
    <col min="4" max="4" width="19.425781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2.140625" customWidth="1"/>
    <col min="257" max="257" width="43" customWidth="1"/>
    <col min="258" max="258" width="31" customWidth="1"/>
    <col min="259" max="259" width="11.7109375" customWidth="1"/>
    <col min="260" max="260" width="19.425781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2.140625" customWidth="1"/>
    <col min="513" max="513" width="43" customWidth="1"/>
    <col min="514" max="514" width="31" customWidth="1"/>
    <col min="515" max="515" width="11.7109375" customWidth="1"/>
    <col min="516" max="516" width="19.425781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2.140625" customWidth="1"/>
    <col min="769" max="769" width="43" customWidth="1"/>
    <col min="770" max="770" width="31" customWidth="1"/>
    <col min="771" max="771" width="11.7109375" customWidth="1"/>
    <col min="772" max="772" width="19.425781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2.140625" customWidth="1"/>
    <col min="1025" max="1025" width="43" customWidth="1"/>
    <col min="1026" max="1026" width="31" customWidth="1"/>
    <col min="1027" max="1027" width="11.7109375" customWidth="1"/>
    <col min="1028" max="1028" width="19.425781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2.140625" customWidth="1"/>
    <col min="1281" max="1281" width="43" customWidth="1"/>
    <col min="1282" max="1282" width="31" customWidth="1"/>
    <col min="1283" max="1283" width="11.7109375" customWidth="1"/>
    <col min="1284" max="1284" width="19.425781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2.140625" customWidth="1"/>
    <col min="1537" max="1537" width="43" customWidth="1"/>
    <col min="1538" max="1538" width="31" customWidth="1"/>
    <col min="1539" max="1539" width="11.7109375" customWidth="1"/>
    <col min="1540" max="1540" width="19.425781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2.140625" customWidth="1"/>
    <col min="1793" max="1793" width="43" customWidth="1"/>
    <col min="1794" max="1794" width="31" customWidth="1"/>
    <col min="1795" max="1795" width="11.7109375" customWidth="1"/>
    <col min="1796" max="1796" width="19.425781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2.140625" customWidth="1"/>
    <col min="2049" max="2049" width="43" customWidth="1"/>
    <col min="2050" max="2050" width="31" customWidth="1"/>
    <col min="2051" max="2051" width="11.7109375" customWidth="1"/>
    <col min="2052" max="2052" width="19.425781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2.140625" customWidth="1"/>
    <col min="2305" max="2305" width="43" customWidth="1"/>
    <col min="2306" max="2306" width="31" customWidth="1"/>
    <col min="2307" max="2307" width="11.7109375" customWidth="1"/>
    <col min="2308" max="2308" width="19.425781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2.140625" customWidth="1"/>
    <col min="2561" max="2561" width="43" customWidth="1"/>
    <col min="2562" max="2562" width="31" customWidth="1"/>
    <col min="2563" max="2563" width="11.7109375" customWidth="1"/>
    <col min="2564" max="2564" width="19.425781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2.140625" customWidth="1"/>
    <col min="2817" max="2817" width="43" customWidth="1"/>
    <col min="2818" max="2818" width="31" customWidth="1"/>
    <col min="2819" max="2819" width="11.7109375" customWidth="1"/>
    <col min="2820" max="2820" width="19.425781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2.140625" customWidth="1"/>
    <col min="3073" max="3073" width="43" customWidth="1"/>
    <col min="3074" max="3074" width="31" customWidth="1"/>
    <col min="3075" max="3075" width="11.7109375" customWidth="1"/>
    <col min="3076" max="3076" width="19.425781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2.140625" customWidth="1"/>
    <col min="3329" max="3329" width="43" customWidth="1"/>
    <col min="3330" max="3330" width="31" customWidth="1"/>
    <col min="3331" max="3331" width="11.7109375" customWidth="1"/>
    <col min="3332" max="3332" width="19.425781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2.140625" customWidth="1"/>
    <col min="3585" max="3585" width="43" customWidth="1"/>
    <col min="3586" max="3586" width="31" customWidth="1"/>
    <col min="3587" max="3587" width="11.7109375" customWidth="1"/>
    <col min="3588" max="3588" width="19.425781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2.140625" customWidth="1"/>
    <col min="3841" max="3841" width="43" customWidth="1"/>
    <col min="3842" max="3842" width="31" customWidth="1"/>
    <col min="3843" max="3843" width="11.7109375" customWidth="1"/>
    <col min="3844" max="3844" width="19.425781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2.140625" customWidth="1"/>
    <col min="4097" max="4097" width="43" customWidth="1"/>
    <col min="4098" max="4098" width="31" customWidth="1"/>
    <col min="4099" max="4099" width="11.7109375" customWidth="1"/>
    <col min="4100" max="4100" width="19.425781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2.140625" customWidth="1"/>
    <col min="4353" max="4353" width="43" customWidth="1"/>
    <col min="4354" max="4354" width="31" customWidth="1"/>
    <col min="4355" max="4355" width="11.7109375" customWidth="1"/>
    <col min="4356" max="4356" width="19.425781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2.140625" customWidth="1"/>
    <col min="4609" max="4609" width="43" customWidth="1"/>
    <col min="4610" max="4610" width="31" customWidth="1"/>
    <col min="4611" max="4611" width="11.7109375" customWidth="1"/>
    <col min="4612" max="4612" width="19.425781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2.140625" customWidth="1"/>
    <col min="4865" max="4865" width="43" customWidth="1"/>
    <col min="4866" max="4866" width="31" customWidth="1"/>
    <col min="4867" max="4867" width="11.7109375" customWidth="1"/>
    <col min="4868" max="4868" width="19.425781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2.140625" customWidth="1"/>
    <col min="5121" max="5121" width="43" customWidth="1"/>
    <col min="5122" max="5122" width="31" customWidth="1"/>
    <col min="5123" max="5123" width="11.7109375" customWidth="1"/>
    <col min="5124" max="5124" width="19.425781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2.140625" customWidth="1"/>
    <col min="5377" max="5377" width="43" customWidth="1"/>
    <col min="5378" max="5378" width="31" customWidth="1"/>
    <col min="5379" max="5379" width="11.7109375" customWidth="1"/>
    <col min="5380" max="5380" width="19.425781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2.140625" customWidth="1"/>
    <col min="5633" max="5633" width="43" customWidth="1"/>
    <col min="5634" max="5634" width="31" customWidth="1"/>
    <col min="5635" max="5635" width="11.7109375" customWidth="1"/>
    <col min="5636" max="5636" width="19.425781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2.140625" customWidth="1"/>
    <col min="5889" max="5889" width="43" customWidth="1"/>
    <col min="5890" max="5890" width="31" customWidth="1"/>
    <col min="5891" max="5891" width="11.7109375" customWidth="1"/>
    <col min="5892" max="5892" width="19.425781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2.140625" customWidth="1"/>
    <col min="6145" max="6145" width="43" customWidth="1"/>
    <col min="6146" max="6146" width="31" customWidth="1"/>
    <col min="6147" max="6147" width="11.7109375" customWidth="1"/>
    <col min="6148" max="6148" width="19.425781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2.140625" customWidth="1"/>
    <col min="6401" max="6401" width="43" customWidth="1"/>
    <col min="6402" max="6402" width="31" customWidth="1"/>
    <col min="6403" max="6403" width="11.7109375" customWidth="1"/>
    <col min="6404" max="6404" width="19.425781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2.140625" customWidth="1"/>
    <col min="6657" max="6657" width="43" customWidth="1"/>
    <col min="6658" max="6658" width="31" customWidth="1"/>
    <col min="6659" max="6659" width="11.7109375" customWidth="1"/>
    <col min="6660" max="6660" width="19.425781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2.140625" customWidth="1"/>
    <col min="6913" max="6913" width="43" customWidth="1"/>
    <col min="6914" max="6914" width="31" customWidth="1"/>
    <col min="6915" max="6915" width="11.7109375" customWidth="1"/>
    <col min="6916" max="6916" width="19.425781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2.140625" customWidth="1"/>
    <col min="7169" max="7169" width="43" customWidth="1"/>
    <col min="7170" max="7170" width="31" customWidth="1"/>
    <col min="7171" max="7171" width="11.7109375" customWidth="1"/>
    <col min="7172" max="7172" width="19.425781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2.140625" customWidth="1"/>
    <col min="7425" max="7425" width="43" customWidth="1"/>
    <col min="7426" max="7426" width="31" customWidth="1"/>
    <col min="7427" max="7427" width="11.7109375" customWidth="1"/>
    <col min="7428" max="7428" width="19.425781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2.140625" customWidth="1"/>
    <col min="7681" max="7681" width="43" customWidth="1"/>
    <col min="7682" max="7682" width="31" customWidth="1"/>
    <col min="7683" max="7683" width="11.7109375" customWidth="1"/>
    <col min="7684" max="7684" width="19.425781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2.140625" customWidth="1"/>
    <col min="7937" max="7937" width="43" customWidth="1"/>
    <col min="7938" max="7938" width="31" customWidth="1"/>
    <col min="7939" max="7939" width="11.7109375" customWidth="1"/>
    <col min="7940" max="7940" width="19.425781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2.140625" customWidth="1"/>
    <col min="8193" max="8193" width="43" customWidth="1"/>
    <col min="8194" max="8194" width="31" customWidth="1"/>
    <col min="8195" max="8195" width="11.7109375" customWidth="1"/>
    <col min="8196" max="8196" width="19.425781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2.140625" customWidth="1"/>
    <col min="8449" max="8449" width="43" customWidth="1"/>
    <col min="8450" max="8450" width="31" customWidth="1"/>
    <col min="8451" max="8451" width="11.7109375" customWidth="1"/>
    <col min="8452" max="8452" width="19.425781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2.140625" customWidth="1"/>
    <col min="8705" max="8705" width="43" customWidth="1"/>
    <col min="8706" max="8706" width="31" customWidth="1"/>
    <col min="8707" max="8707" width="11.7109375" customWidth="1"/>
    <col min="8708" max="8708" width="19.425781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2.140625" customWidth="1"/>
    <col min="8961" max="8961" width="43" customWidth="1"/>
    <col min="8962" max="8962" width="31" customWidth="1"/>
    <col min="8963" max="8963" width="11.7109375" customWidth="1"/>
    <col min="8964" max="8964" width="19.425781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2.140625" customWidth="1"/>
    <col min="9217" max="9217" width="43" customWidth="1"/>
    <col min="9218" max="9218" width="31" customWidth="1"/>
    <col min="9219" max="9219" width="11.7109375" customWidth="1"/>
    <col min="9220" max="9220" width="19.425781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2.140625" customWidth="1"/>
    <col min="9473" max="9473" width="43" customWidth="1"/>
    <col min="9474" max="9474" width="31" customWidth="1"/>
    <col min="9475" max="9475" width="11.7109375" customWidth="1"/>
    <col min="9476" max="9476" width="19.425781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2.140625" customWidth="1"/>
    <col min="9729" max="9729" width="43" customWidth="1"/>
    <col min="9730" max="9730" width="31" customWidth="1"/>
    <col min="9731" max="9731" width="11.7109375" customWidth="1"/>
    <col min="9732" max="9732" width="19.425781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2.140625" customWidth="1"/>
    <col min="9985" max="9985" width="43" customWidth="1"/>
    <col min="9986" max="9986" width="31" customWidth="1"/>
    <col min="9987" max="9987" width="11.7109375" customWidth="1"/>
    <col min="9988" max="9988" width="19.425781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2.140625" customWidth="1"/>
    <col min="10241" max="10241" width="43" customWidth="1"/>
    <col min="10242" max="10242" width="31" customWidth="1"/>
    <col min="10243" max="10243" width="11.7109375" customWidth="1"/>
    <col min="10244" max="10244" width="19.425781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2.140625" customWidth="1"/>
    <col min="10497" max="10497" width="43" customWidth="1"/>
    <col min="10498" max="10498" width="31" customWidth="1"/>
    <col min="10499" max="10499" width="11.7109375" customWidth="1"/>
    <col min="10500" max="10500" width="19.425781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2.140625" customWidth="1"/>
    <col min="10753" max="10753" width="43" customWidth="1"/>
    <col min="10754" max="10754" width="31" customWidth="1"/>
    <col min="10755" max="10755" width="11.7109375" customWidth="1"/>
    <col min="10756" max="10756" width="19.425781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2.140625" customWidth="1"/>
    <col min="11009" max="11009" width="43" customWidth="1"/>
    <col min="11010" max="11010" width="31" customWidth="1"/>
    <col min="11011" max="11011" width="11.7109375" customWidth="1"/>
    <col min="11012" max="11012" width="19.425781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2.140625" customWidth="1"/>
    <col min="11265" max="11265" width="43" customWidth="1"/>
    <col min="11266" max="11266" width="31" customWidth="1"/>
    <col min="11267" max="11267" width="11.7109375" customWidth="1"/>
    <col min="11268" max="11268" width="19.425781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2.140625" customWidth="1"/>
    <col min="11521" max="11521" width="43" customWidth="1"/>
    <col min="11522" max="11522" width="31" customWidth="1"/>
    <col min="11523" max="11523" width="11.7109375" customWidth="1"/>
    <col min="11524" max="11524" width="19.425781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2.140625" customWidth="1"/>
    <col min="11777" max="11777" width="43" customWidth="1"/>
    <col min="11778" max="11778" width="31" customWidth="1"/>
    <col min="11779" max="11779" width="11.7109375" customWidth="1"/>
    <col min="11780" max="11780" width="19.425781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2.140625" customWidth="1"/>
    <col min="12033" max="12033" width="43" customWidth="1"/>
    <col min="12034" max="12034" width="31" customWidth="1"/>
    <col min="12035" max="12035" width="11.7109375" customWidth="1"/>
    <col min="12036" max="12036" width="19.425781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2.140625" customWidth="1"/>
    <col min="12289" max="12289" width="43" customWidth="1"/>
    <col min="12290" max="12290" width="31" customWidth="1"/>
    <col min="12291" max="12291" width="11.7109375" customWidth="1"/>
    <col min="12292" max="12292" width="19.425781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2.140625" customWidth="1"/>
    <col min="12545" max="12545" width="43" customWidth="1"/>
    <col min="12546" max="12546" width="31" customWidth="1"/>
    <col min="12547" max="12547" width="11.7109375" customWidth="1"/>
    <col min="12548" max="12548" width="19.425781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2.140625" customWidth="1"/>
    <col min="12801" max="12801" width="43" customWidth="1"/>
    <col min="12802" max="12802" width="31" customWidth="1"/>
    <col min="12803" max="12803" width="11.7109375" customWidth="1"/>
    <col min="12804" max="12804" width="19.425781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2.140625" customWidth="1"/>
    <col min="13057" max="13057" width="43" customWidth="1"/>
    <col min="13058" max="13058" width="31" customWidth="1"/>
    <col min="13059" max="13059" width="11.7109375" customWidth="1"/>
    <col min="13060" max="13060" width="19.425781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2.140625" customWidth="1"/>
    <col min="13313" max="13313" width="43" customWidth="1"/>
    <col min="13314" max="13314" width="31" customWidth="1"/>
    <col min="13315" max="13315" width="11.7109375" customWidth="1"/>
    <col min="13316" max="13316" width="19.425781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2.140625" customWidth="1"/>
    <col min="13569" max="13569" width="43" customWidth="1"/>
    <col min="13570" max="13570" width="31" customWidth="1"/>
    <col min="13571" max="13571" width="11.7109375" customWidth="1"/>
    <col min="13572" max="13572" width="19.425781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2.140625" customWidth="1"/>
    <col min="13825" max="13825" width="43" customWidth="1"/>
    <col min="13826" max="13826" width="31" customWidth="1"/>
    <col min="13827" max="13827" width="11.7109375" customWidth="1"/>
    <col min="13828" max="13828" width="19.425781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2.140625" customWidth="1"/>
    <col min="14081" max="14081" width="43" customWidth="1"/>
    <col min="14082" max="14082" width="31" customWidth="1"/>
    <col min="14083" max="14083" width="11.7109375" customWidth="1"/>
    <col min="14084" max="14084" width="19.425781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2.140625" customWidth="1"/>
    <col min="14337" max="14337" width="43" customWidth="1"/>
    <col min="14338" max="14338" width="31" customWidth="1"/>
    <col min="14339" max="14339" width="11.7109375" customWidth="1"/>
    <col min="14340" max="14340" width="19.425781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2.140625" customWidth="1"/>
    <col min="14593" max="14593" width="43" customWidth="1"/>
    <col min="14594" max="14594" width="31" customWidth="1"/>
    <col min="14595" max="14595" width="11.7109375" customWidth="1"/>
    <col min="14596" max="14596" width="19.425781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2.140625" customWidth="1"/>
    <col min="14849" max="14849" width="43" customWidth="1"/>
    <col min="14850" max="14850" width="31" customWidth="1"/>
    <col min="14851" max="14851" width="11.7109375" customWidth="1"/>
    <col min="14852" max="14852" width="19.425781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2.140625" customWidth="1"/>
    <col min="15105" max="15105" width="43" customWidth="1"/>
    <col min="15106" max="15106" width="31" customWidth="1"/>
    <col min="15107" max="15107" width="11.7109375" customWidth="1"/>
    <col min="15108" max="15108" width="19.425781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2.140625" customWidth="1"/>
    <col min="15361" max="15361" width="43" customWidth="1"/>
    <col min="15362" max="15362" width="31" customWidth="1"/>
    <col min="15363" max="15363" width="11.7109375" customWidth="1"/>
    <col min="15364" max="15364" width="19.425781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2.140625" customWidth="1"/>
    <col min="15617" max="15617" width="43" customWidth="1"/>
    <col min="15618" max="15618" width="31" customWidth="1"/>
    <col min="15619" max="15619" width="11.7109375" customWidth="1"/>
    <col min="15620" max="15620" width="19.425781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2.140625" customWidth="1"/>
    <col min="15873" max="15873" width="43" customWidth="1"/>
    <col min="15874" max="15874" width="31" customWidth="1"/>
    <col min="15875" max="15875" width="11.7109375" customWidth="1"/>
    <col min="15876" max="15876" width="19.425781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2.140625" customWidth="1"/>
    <col min="16129" max="16129" width="43" customWidth="1"/>
    <col min="16130" max="16130" width="31" customWidth="1"/>
    <col min="16131" max="16131" width="11.7109375" customWidth="1"/>
    <col min="16132" max="16132" width="19.425781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2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3407</v>
      </c>
      <c r="C5" s="1594"/>
      <c r="D5" s="1594"/>
      <c r="E5" s="1595"/>
      <c r="F5" s="326" t="s">
        <v>171</v>
      </c>
      <c r="G5" s="326"/>
      <c r="H5" s="1618">
        <v>406020105110103</v>
      </c>
      <c r="I5" s="1619"/>
      <c r="J5" s="326" t="s">
        <v>172</v>
      </c>
      <c r="K5" s="631" t="s">
        <v>3408</v>
      </c>
      <c r="L5" s="326" t="s">
        <v>436</v>
      </c>
      <c r="M5" s="326"/>
      <c r="N5" s="631"/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3409</v>
      </c>
      <c r="C7" s="1594"/>
      <c r="D7" s="1594"/>
      <c r="E7" s="1595"/>
      <c r="F7" s="1596" t="s">
        <v>3208</v>
      </c>
      <c r="G7" s="1596"/>
      <c r="H7" s="625" t="s">
        <v>3410</v>
      </c>
      <c r="I7" s="626"/>
      <c r="J7" s="627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>
      <c r="A9" s="326" t="s">
        <v>178</v>
      </c>
      <c r="B9" s="1593" t="s">
        <v>3411</v>
      </c>
      <c r="C9" s="1594"/>
      <c r="D9" s="1594"/>
      <c r="E9" s="1595"/>
      <c r="F9" s="1601" t="s">
        <v>3205</v>
      </c>
      <c r="G9" s="1602"/>
      <c r="H9" s="1620" t="s">
        <v>3412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3413</v>
      </c>
      <c r="C13" s="1612"/>
      <c r="D13" s="1612" t="s">
        <v>3414</v>
      </c>
      <c r="E13" s="1612"/>
      <c r="F13" s="1612"/>
      <c r="G13" s="1612" t="s">
        <v>3415</v>
      </c>
      <c r="H13" s="1612"/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2" t="s">
        <v>3416</v>
      </c>
      <c r="C14" s="1612"/>
      <c r="D14" s="1612" t="s">
        <v>3417</v>
      </c>
      <c r="E14" s="1612"/>
      <c r="F14" s="1612"/>
      <c r="G14" s="1612" t="s">
        <v>3418</v>
      </c>
      <c r="H14" s="1612"/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1612" t="s">
        <v>3419</v>
      </c>
      <c r="C15" s="1612"/>
      <c r="D15" s="1612" t="s">
        <v>3420</v>
      </c>
      <c r="E15" s="1612"/>
      <c r="F15" s="1612"/>
      <c r="G15" s="1612" t="s">
        <v>3421</v>
      </c>
      <c r="H15" s="1612"/>
      <c r="I15" s="1612"/>
      <c r="J15" s="1612"/>
      <c r="K15" s="1612"/>
      <c r="L15" s="1612"/>
      <c r="M15" s="1612"/>
      <c r="N15" s="326"/>
    </row>
    <row r="16" spans="1:14">
      <c r="A16" s="631" t="s">
        <v>197</v>
      </c>
      <c r="B16" s="1612" t="s">
        <v>3422</v>
      </c>
      <c r="C16" s="1612"/>
      <c r="D16" s="1612"/>
      <c r="E16" s="1612"/>
      <c r="F16" s="1612"/>
      <c r="G16" s="1612" t="s">
        <v>3423</v>
      </c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3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11</v>
      </c>
      <c r="I18" s="326" t="s">
        <v>201</v>
      </c>
      <c r="J18" s="632">
        <v>1</v>
      </c>
      <c r="K18" s="326" t="s">
        <v>202</v>
      </c>
      <c r="L18" s="631">
        <v>2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203</v>
      </c>
      <c r="D21" s="326" t="s">
        <v>205</v>
      </c>
      <c r="E21" s="631">
        <v>10</v>
      </c>
      <c r="F21" s="326" t="s">
        <v>206</v>
      </c>
      <c r="G21" s="80">
        <v>1</v>
      </c>
      <c r="H21" s="326" t="s">
        <v>230</v>
      </c>
      <c r="I21" s="80">
        <v>214</v>
      </c>
      <c r="J21" s="326" t="s">
        <v>207</v>
      </c>
      <c r="K21" s="631">
        <v>45</v>
      </c>
      <c r="L21" s="326" t="s">
        <v>3187</v>
      </c>
      <c r="M21" s="326"/>
      <c r="N21" s="631">
        <v>15</v>
      </c>
    </row>
    <row r="22" spans="1:14">
      <c r="A22" s="326" t="s">
        <v>209</v>
      </c>
      <c r="B22" s="326" t="s">
        <v>210</v>
      </c>
      <c r="C22" s="631">
        <v>465</v>
      </c>
      <c r="D22" s="326" t="s">
        <v>211</v>
      </c>
      <c r="E22" s="631">
        <v>25</v>
      </c>
      <c r="F22" s="326" t="s">
        <v>212</v>
      </c>
      <c r="G22" s="631">
        <v>3</v>
      </c>
      <c r="H22" s="326" t="s">
        <v>411</v>
      </c>
      <c r="I22" s="80">
        <v>493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473</v>
      </c>
      <c r="D23" s="326" t="s">
        <v>214</v>
      </c>
      <c r="E23" s="631">
        <v>27</v>
      </c>
      <c r="F23" s="326" t="s">
        <v>215</v>
      </c>
      <c r="G23" s="631">
        <v>2</v>
      </c>
      <c r="H23" s="326" t="s">
        <v>410</v>
      </c>
      <c r="I23" s="80">
        <v>502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8060</v>
      </c>
      <c r="C29" s="322" t="s">
        <v>233</v>
      </c>
      <c r="D29" s="335">
        <v>4191272.5</v>
      </c>
      <c r="E29" s="335">
        <v>146500</v>
      </c>
      <c r="F29" s="335"/>
      <c r="G29" s="335">
        <v>142710</v>
      </c>
      <c r="H29" s="335"/>
      <c r="I29" s="335"/>
      <c r="J29" s="335"/>
      <c r="K29" s="335"/>
      <c r="L29" s="335"/>
      <c r="M29" s="322">
        <f>SUM(F29:L29)</f>
        <v>142710</v>
      </c>
      <c r="N29" s="323">
        <f>+M29/E29*100</f>
        <v>97.412969283276453</v>
      </c>
    </row>
    <row r="30" spans="1:14">
      <c r="A30" s="322" t="s">
        <v>234</v>
      </c>
      <c r="B30" s="322">
        <v>1120</v>
      </c>
      <c r="C30" s="322" t="s">
        <v>233</v>
      </c>
      <c r="D30" s="335">
        <v>582410.07999999996</v>
      </c>
      <c r="E30" s="335"/>
      <c r="F30" s="335"/>
      <c r="G30" s="335"/>
      <c r="H30" s="335"/>
      <c r="I30" s="335"/>
      <c r="J30" s="335"/>
      <c r="K30" s="335"/>
      <c r="L30" s="335"/>
      <c r="M30" s="322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86</v>
      </c>
      <c r="C31" s="322" t="s">
        <v>236</v>
      </c>
      <c r="D31" s="335">
        <v>44720.773999999998</v>
      </c>
      <c r="E31" s="335">
        <v>18000</v>
      </c>
      <c r="F31" s="335"/>
      <c r="G31" s="335"/>
      <c r="H31" s="335"/>
      <c r="I31" s="335"/>
      <c r="J31" s="335"/>
      <c r="K31" s="335"/>
      <c r="L31" s="335"/>
      <c r="M31" s="322">
        <f t="shared" si="0"/>
        <v>0</v>
      </c>
      <c r="N31" s="323">
        <f t="shared" ref="N31:N38" si="1">+M31/E31*100</f>
        <v>0</v>
      </c>
    </row>
    <row r="32" spans="1:14">
      <c r="A32" s="322" t="s">
        <v>237</v>
      </c>
      <c r="B32" s="322">
        <v>68</v>
      </c>
      <c r="C32" s="322" t="s">
        <v>236</v>
      </c>
      <c r="D32" s="335">
        <v>35360.612000000001</v>
      </c>
      <c r="E32" s="335">
        <v>16000</v>
      </c>
      <c r="F32" s="335"/>
      <c r="G32" s="335"/>
      <c r="H32" s="335"/>
      <c r="I32" s="335"/>
      <c r="J32" s="335"/>
      <c r="K32" s="335"/>
      <c r="L32" s="335"/>
      <c r="M32" s="322">
        <f t="shared" si="0"/>
        <v>0</v>
      </c>
      <c r="N32" s="323">
        <f t="shared" si="1"/>
        <v>0</v>
      </c>
    </row>
    <row r="33" spans="1:14">
      <c r="A33" s="322" t="s">
        <v>238</v>
      </c>
      <c r="B33" s="322">
        <v>1200</v>
      </c>
      <c r="C33" s="322" t="s">
        <v>233</v>
      </c>
      <c r="D33" s="335">
        <v>600010.80000000005</v>
      </c>
      <c r="E33" s="335">
        <v>200000</v>
      </c>
      <c r="F33" s="335"/>
      <c r="G33" s="335">
        <v>134941</v>
      </c>
      <c r="H33" s="335"/>
      <c r="I33" s="335"/>
      <c r="J33" s="335"/>
      <c r="K33" s="335"/>
      <c r="L33" s="335"/>
      <c r="M33" s="322">
        <f t="shared" si="0"/>
        <v>134941</v>
      </c>
      <c r="N33" s="323">
        <f t="shared" si="1"/>
        <v>67.470500000000001</v>
      </c>
    </row>
    <row r="34" spans="1:14">
      <c r="A34" s="322" t="s">
        <v>667</v>
      </c>
      <c r="B34" s="322">
        <v>565</v>
      </c>
      <c r="C34" s="322" t="s">
        <v>233</v>
      </c>
      <c r="D34" s="335">
        <v>282505.09000000003</v>
      </c>
      <c r="E34" s="335"/>
      <c r="F34" s="335"/>
      <c r="G34" s="335"/>
      <c r="H34" s="335"/>
      <c r="I34" s="335"/>
      <c r="J34" s="335"/>
      <c r="K34" s="335"/>
      <c r="L34" s="335"/>
      <c r="M34" s="322">
        <f t="shared" si="0"/>
        <v>0</v>
      </c>
      <c r="N34" s="323">
        <v>0</v>
      </c>
    </row>
    <row r="35" spans="1:14">
      <c r="A35" s="322" t="s">
        <v>240</v>
      </c>
      <c r="B35" s="322">
        <v>1000</v>
      </c>
      <c r="C35" s="322" t="s">
        <v>233</v>
      </c>
      <c r="D35" s="335">
        <v>500009</v>
      </c>
      <c r="E35" s="335"/>
      <c r="F35" s="335"/>
      <c r="G35" s="335"/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v>231000</v>
      </c>
      <c r="E36" s="335">
        <v>30250</v>
      </c>
      <c r="F36" s="335"/>
      <c r="G36" s="335">
        <v>16500</v>
      </c>
      <c r="H36" s="335"/>
      <c r="I36" s="335"/>
      <c r="J36" s="335"/>
      <c r="K36" s="335"/>
      <c r="L36" s="335"/>
      <c r="M36" s="322">
        <f t="shared" si="0"/>
        <v>16500</v>
      </c>
      <c r="N36" s="323">
        <f t="shared" si="1"/>
        <v>54.54545454545454</v>
      </c>
    </row>
    <row r="37" spans="1:14">
      <c r="A37" s="324" t="s">
        <v>670</v>
      </c>
      <c r="B37" s="322">
        <v>0</v>
      </c>
      <c r="C37" s="324" t="s">
        <v>244</v>
      </c>
      <c r="D37" s="335"/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>
        <f>SUM(B29:B37)</f>
        <v>14849</v>
      </c>
      <c r="C38" s="322"/>
      <c r="D38" s="653">
        <f>SUM(D29:D37)</f>
        <v>6467288.8559999997</v>
      </c>
      <c r="E38" s="653">
        <f>SUM(E29:E37)</f>
        <v>410750</v>
      </c>
      <c r="F38" s="653">
        <f t="shared" ref="F38:L38" si="2">SUM(F29:F37)</f>
        <v>0</v>
      </c>
      <c r="G38" s="653">
        <f t="shared" si="2"/>
        <v>294151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294151</v>
      </c>
      <c r="N38" s="323">
        <f t="shared" si="1"/>
        <v>71.613146682897138</v>
      </c>
    </row>
    <row r="39" spans="1:14">
      <c r="B39" s="332"/>
      <c r="C39" s="332"/>
      <c r="F39" s="332"/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  <c r="F42" s="332"/>
    </row>
  </sheetData>
  <mergeCells count="32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54" header="0.39" footer="0.31496062992126"/>
  <pageSetup paperSize="9" scale="60" orientation="landscape" r:id="rId1"/>
  <headerFooter>
    <oddFooter>&amp;L&amp;9&amp;F&amp;R&amp;9&amp;A</oddFooter>
  </headerFooter>
</worksheet>
</file>

<file path=xl/worksheets/sheet324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N42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4" max="4" width="19.425781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0.5703125" customWidth="1"/>
    <col min="257" max="257" width="43" customWidth="1"/>
    <col min="258" max="258" width="31" customWidth="1"/>
    <col min="260" max="260" width="19.425781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0.5703125" customWidth="1"/>
    <col min="513" max="513" width="43" customWidth="1"/>
    <col min="514" max="514" width="31" customWidth="1"/>
    <col min="516" max="516" width="19.425781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0.5703125" customWidth="1"/>
    <col min="769" max="769" width="43" customWidth="1"/>
    <col min="770" max="770" width="31" customWidth="1"/>
    <col min="772" max="772" width="19.425781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0.5703125" customWidth="1"/>
    <col min="1025" max="1025" width="43" customWidth="1"/>
    <col min="1026" max="1026" width="31" customWidth="1"/>
    <col min="1028" max="1028" width="19.425781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0.5703125" customWidth="1"/>
    <col min="1281" max="1281" width="43" customWidth="1"/>
    <col min="1282" max="1282" width="31" customWidth="1"/>
    <col min="1284" max="1284" width="19.425781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0.5703125" customWidth="1"/>
    <col min="1537" max="1537" width="43" customWidth="1"/>
    <col min="1538" max="1538" width="31" customWidth="1"/>
    <col min="1540" max="1540" width="19.425781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0.5703125" customWidth="1"/>
    <col min="1793" max="1793" width="43" customWidth="1"/>
    <col min="1794" max="1794" width="31" customWidth="1"/>
    <col min="1796" max="1796" width="19.425781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0.5703125" customWidth="1"/>
    <col min="2049" max="2049" width="43" customWidth="1"/>
    <col min="2050" max="2050" width="31" customWidth="1"/>
    <col min="2052" max="2052" width="19.425781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0.5703125" customWidth="1"/>
    <col min="2305" max="2305" width="43" customWidth="1"/>
    <col min="2306" max="2306" width="31" customWidth="1"/>
    <col min="2308" max="2308" width="19.425781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0.5703125" customWidth="1"/>
    <col min="2561" max="2561" width="43" customWidth="1"/>
    <col min="2562" max="2562" width="31" customWidth="1"/>
    <col min="2564" max="2564" width="19.425781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0.5703125" customWidth="1"/>
    <col min="2817" max="2817" width="43" customWidth="1"/>
    <col min="2818" max="2818" width="31" customWidth="1"/>
    <col min="2820" max="2820" width="19.425781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0.5703125" customWidth="1"/>
    <col min="3073" max="3073" width="43" customWidth="1"/>
    <col min="3074" max="3074" width="31" customWidth="1"/>
    <col min="3076" max="3076" width="19.425781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0.5703125" customWidth="1"/>
    <col min="3329" max="3329" width="43" customWidth="1"/>
    <col min="3330" max="3330" width="31" customWidth="1"/>
    <col min="3332" max="3332" width="19.425781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0.5703125" customWidth="1"/>
    <col min="3585" max="3585" width="43" customWidth="1"/>
    <col min="3586" max="3586" width="31" customWidth="1"/>
    <col min="3588" max="3588" width="19.425781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0.5703125" customWidth="1"/>
    <col min="3841" max="3841" width="43" customWidth="1"/>
    <col min="3842" max="3842" width="31" customWidth="1"/>
    <col min="3844" max="3844" width="19.425781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0.5703125" customWidth="1"/>
    <col min="4097" max="4097" width="43" customWidth="1"/>
    <col min="4098" max="4098" width="31" customWidth="1"/>
    <col min="4100" max="4100" width="19.425781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0.5703125" customWidth="1"/>
    <col min="4353" max="4353" width="43" customWidth="1"/>
    <col min="4354" max="4354" width="31" customWidth="1"/>
    <col min="4356" max="4356" width="19.425781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0.5703125" customWidth="1"/>
    <col min="4609" max="4609" width="43" customWidth="1"/>
    <col min="4610" max="4610" width="31" customWidth="1"/>
    <col min="4612" max="4612" width="19.425781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0.5703125" customWidth="1"/>
    <col min="4865" max="4865" width="43" customWidth="1"/>
    <col min="4866" max="4866" width="31" customWidth="1"/>
    <col min="4868" max="4868" width="19.425781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0.5703125" customWidth="1"/>
    <col min="5121" max="5121" width="43" customWidth="1"/>
    <col min="5122" max="5122" width="31" customWidth="1"/>
    <col min="5124" max="5124" width="19.425781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0.5703125" customWidth="1"/>
    <col min="5377" max="5377" width="43" customWidth="1"/>
    <col min="5378" max="5378" width="31" customWidth="1"/>
    <col min="5380" max="5380" width="19.425781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0.5703125" customWidth="1"/>
    <col min="5633" max="5633" width="43" customWidth="1"/>
    <col min="5634" max="5634" width="31" customWidth="1"/>
    <col min="5636" max="5636" width="19.425781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0.5703125" customWidth="1"/>
    <col min="5889" max="5889" width="43" customWidth="1"/>
    <col min="5890" max="5890" width="31" customWidth="1"/>
    <col min="5892" max="5892" width="19.425781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0.5703125" customWidth="1"/>
    <col min="6145" max="6145" width="43" customWidth="1"/>
    <col min="6146" max="6146" width="31" customWidth="1"/>
    <col min="6148" max="6148" width="19.425781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0.5703125" customWidth="1"/>
    <col min="6401" max="6401" width="43" customWidth="1"/>
    <col min="6402" max="6402" width="31" customWidth="1"/>
    <col min="6404" max="6404" width="19.425781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0.5703125" customWidth="1"/>
    <col min="6657" max="6657" width="43" customWidth="1"/>
    <col min="6658" max="6658" width="31" customWidth="1"/>
    <col min="6660" max="6660" width="19.425781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0.5703125" customWidth="1"/>
    <col min="6913" max="6913" width="43" customWidth="1"/>
    <col min="6914" max="6914" width="31" customWidth="1"/>
    <col min="6916" max="6916" width="19.425781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0.5703125" customWidth="1"/>
    <col min="7169" max="7169" width="43" customWidth="1"/>
    <col min="7170" max="7170" width="31" customWidth="1"/>
    <col min="7172" max="7172" width="19.425781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0.5703125" customWidth="1"/>
    <col min="7425" max="7425" width="43" customWidth="1"/>
    <col min="7426" max="7426" width="31" customWidth="1"/>
    <col min="7428" max="7428" width="19.425781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0.5703125" customWidth="1"/>
    <col min="7681" max="7681" width="43" customWidth="1"/>
    <col min="7682" max="7682" width="31" customWidth="1"/>
    <col min="7684" max="7684" width="19.425781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0.5703125" customWidth="1"/>
    <col min="7937" max="7937" width="43" customWidth="1"/>
    <col min="7938" max="7938" width="31" customWidth="1"/>
    <col min="7940" max="7940" width="19.425781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0.5703125" customWidth="1"/>
    <col min="8193" max="8193" width="43" customWidth="1"/>
    <col min="8194" max="8194" width="31" customWidth="1"/>
    <col min="8196" max="8196" width="19.425781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0.5703125" customWidth="1"/>
    <col min="8449" max="8449" width="43" customWidth="1"/>
    <col min="8450" max="8450" width="31" customWidth="1"/>
    <col min="8452" max="8452" width="19.425781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0.5703125" customWidth="1"/>
    <col min="8705" max="8705" width="43" customWidth="1"/>
    <col min="8706" max="8706" width="31" customWidth="1"/>
    <col min="8708" max="8708" width="19.425781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0.5703125" customWidth="1"/>
    <col min="8961" max="8961" width="43" customWidth="1"/>
    <col min="8962" max="8962" width="31" customWidth="1"/>
    <col min="8964" max="8964" width="19.425781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0.5703125" customWidth="1"/>
    <col min="9217" max="9217" width="43" customWidth="1"/>
    <col min="9218" max="9218" width="31" customWidth="1"/>
    <col min="9220" max="9220" width="19.425781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0.5703125" customWidth="1"/>
    <col min="9473" max="9473" width="43" customWidth="1"/>
    <col min="9474" max="9474" width="31" customWidth="1"/>
    <col min="9476" max="9476" width="19.425781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0.5703125" customWidth="1"/>
    <col min="9729" max="9729" width="43" customWidth="1"/>
    <col min="9730" max="9730" width="31" customWidth="1"/>
    <col min="9732" max="9732" width="19.425781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0.5703125" customWidth="1"/>
    <col min="9985" max="9985" width="43" customWidth="1"/>
    <col min="9986" max="9986" width="31" customWidth="1"/>
    <col min="9988" max="9988" width="19.425781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0.5703125" customWidth="1"/>
    <col min="10241" max="10241" width="43" customWidth="1"/>
    <col min="10242" max="10242" width="31" customWidth="1"/>
    <col min="10244" max="10244" width="19.425781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0.5703125" customWidth="1"/>
    <col min="10497" max="10497" width="43" customWidth="1"/>
    <col min="10498" max="10498" width="31" customWidth="1"/>
    <col min="10500" max="10500" width="19.425781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0.5703125" customWidth="1"/>
    <col min="10753" max="10753" width="43" customWidth="1"/>
    <col min="10754" max="10754" width="31" customWidth="1"/>
    <col min="10756" max="10756" width="19.425781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0.5703125" customWidth="1"/>
    <col min="11009" max="11009" width="43" customWidth="1"/>
    <col min="11010" max="11010" width="31" customWidth="1"/>
    <col min="11012" max="11012" width="19.425781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0.5703125" customWidth="1"/>
    <col min="11265" max="11265" width="43" customWidth="1"/>
    <col min="11266" max="11266" width="31" customWidth="1"/>
    <col min="11268" max="11268" width="19.425781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0.5703125" customWidth="1"/>
    <col min="11521" max="11521" width="43" customWidth="1"/>
    <col min="11522" max="11522" width="31" customWidth="1"/>
    <col min="11524" max="11524" width="19.425781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0.5703125" customWidth="1"/>
    <col min="11777" max="11777" width="43" customWidth="1"/>
    <col min="11778" max="11778" width="31" customWidth="1"/>
    <col min="11780" max="11780" width="19.425781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0.5703125" customWidth="1"/>
    <col min="12033" max="12033" width="43" customWidth="1"/>
    <col min="12034" max="12034" width="31" customWidth="1"/>
    <col min="12036" max="12036" width="19.425781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0.5703125" customWidth="1"/>
    <col min="12289" max="12289" width="43" customWidth="1"/>
    <col min="12290" max="12290" width="31" customWidth="1"/>
    <col min="12292" max="12292" width="19.425781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0.5703125" customWidth="1"/>
    <col min="12545" max="12545" width="43" customWidth="1"/>
    <col min="12546" max="12546" width="31" customWidth="1"/>
    <col min="12548" max="12548" width="19.425781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0.5703125" customWidth="1"/>
    <col min="12801" max="12801" width="43" customWidth="1"/>
    <col min="12802" max="12802" width="31" customWidth="1"/>
    <col min="12804" max="12804" width="19.425781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0.5703125" customWidth="1"/>
    <col min="13057" max="13057" width="43" customWidth="1"/>
    <col min="13058" max="13058" width="31" customWidth="1"/>
    <col min="13060" max="13060" width="19.425781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0.5703125" customWidth="1"/>
    <col min="13313" max="13313" width="43" customWidth="1"/>
    <col min="13314" max="13314" width="31" customWidth="1"/>
    <col min="13316" max="13316" width="19.425781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0.5703125" customWidth="1"/>
    <col min="13569" max="13569" width="43" customWidth="1"/>
    <col min="13570" max="13570" width="31" customWidth="1"/>
    <col min="13572" max="13572" width="19.425781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0.5703125" customWidth="1"/>
    <col min="13825" max="13825" width="43" customWidth="1"/>
    <col min="13826" max="13826" width="31" customWidth="1"/>
    <col min="13828" max="13828" width="19.425781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0.5703125" customWidth="1"/>
    <col min="14081" max="14081" width="43" customWidth="1"/>
    <col min="14082" max="14082" width="31" customWidth="1"/>
    <col min="14084" max="14084" width="19.425781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0.5703125" customWidth="1"/>
    <col min="14337" max="14337" width="43" customWidth="1"/>
    <col min="14338" max="14338" width="31" customWidth="1"/>
    <col min="14340" max="14340" width="19.425781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0.5703125" customWidth="1"/>
    <col min="14593" max="14593" width="43" customWidth="1"/>
    <col min="14594" max="14594" width="31" customWidth="1"/>
    <col min="14596" max="14596" width="19.425781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0.5703125" customWidth="1"/>
    <col min="14849" max="14849" width="43" customWidth="1"/>
    <col min="14850" max="14850" width="31" customWidth="1"/>
    <col min="14852" max="14852" width="19.425781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0.5703125" customWidth="1"/>
    <col min="15105" max="15105" width="43" customWidth="1"/>
    <col min="15106" max="15106" width="31" customWidth="1"/>
    <col min="15108" max="15108" width="19.425781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0.5703125" customWidth="1"/>
    <col min="15361" max="15361" width="43" customWidth="1"/>
    <col min="15362" max="15362" width="31" customWidth="1"/>
    <col min="15364" max="15364" width="19.425781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0.5703125" customWidth="1"/>
    <col min="15617" max="15617" width="43" customWidth="1"/>
    <col min="15618" max="15618" width="31" customWidth="1"/>
    <col min="15620" max="15620" width="19.425781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0.5703125" customWidth="1"/>
    <col min="15873" max="15873" width="43" customWidth="1"/>
    <col min="15874" max="15874" width="31" customWidth="1"/>
    <col min="15876" max="15876" width="19.425781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0.5703125" customWidth="1"/>
    <col min="16129" max="16129" width="43" customWidth="1"/>
    <col min="16130" max="16130" width="31" customWidth="1"/>
    <col min="16132" max="16132" width="19.425781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0.5703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3424</v>
      </c>
      <c r="C5" s="1594"/>
      <c r="D5" s="1594"/>
      <c r="E5" s="1595"/>
      <c r="F5" s="326" t="s">
        <v>171</v>
      </c>
      <c r="G5" s="326"/>
      <c r="H5" s="1618">
        <v>406020107080202</v>
      </c>
      <c r="I5" s="1619"/>
      <c r="J5" s="326" t="s">
        <v>172</v>
      </c>
      <c r="K5" s="631">
        <v>501.471</v>
      </c>
      <c r="L5" s="326" t="s">
        <v>436</v>
      </c>
      <c r="M5" s="326"/>
      <c r="N5" s="631"/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3425</v>
      </c>
      <c r="C7" s="1594"/>
      <c r="D7" s="1594"/>
      <c r="E7" s="1595"/>
      <c r="F7" s="1596" t="s">
        <v>3208</v>
      </c>
      <c r="G7" s="1596"/>
      <c r="H7" s="625" t="s">
        <v>3426</v>
      </c>
      <c r="I7" s="626"/>
      <c r="J7" s="627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>
      <c r="A9" s="326" t="s">
        <v>178</v>
      </c>
      <c r="B9" s="1593" t="s">
        <v>3427</v>
      </c>
      <c r="C9" s="1594"/>
      <c r="D9" s="1594"/>
      <c r="E9" s="1595"/>
      <c r="F9" s="1601" t="s">
        <v>3205</v>
      </c>
      <c r="G9" s="1602"/>
      <c r="H9" s="1620" t="s">
        <v>3428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3429</v>
      </c>
      <c r="C13" s="1612"/>
      <c r="D13" s="1612" t="s">
        <v>3430</v>
      </c>
      <c r="E13" s="1612"/>
      <c r="F13" s="1612"/>
      <c r="G13" s="1612" t="s">
        <v>1874</v>
      </c>
      <c r="H13" s="1612"/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2" t="s">
        <v>3431</v>
      </c>
      <c r="C14" s="1612"/>
      <c r="D14" s="1612" t="s">
        <v>3432</v>
      </c>
      <c r="E14" s="1612"/>
      <c r="F14" s="1612"/>
      <c r="G14" s="1612" t="s">
        <v>3433</v>
      </c>
      <c r="H14" s="1612"/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1612" t="s">
        <v>3431</v>
      </c>
      <c r="C15" s="1612"/>
      <c r="D15" s="1612" t="s">
        <v>3434</v>
      </c>
      <c r="E15" s="1612"/>
      <c r="F15" s="1612"/>
      <c r="G15" s="1612" t="s">
        <v>3435</v>
      </c>
      <c r="H15" s="1612"/>
      <c r="I15" s="1612"/>
      <c r="J15" s="1612"/>
      <c r="K15" s="1612"/>
      <c r="L15" s="1612"/>
      <c r="M15" s="1612"/>
      <c r="N15" s="326"/>
    </row>
    <row r="16" spans="1:14">
      <c r="A16" s="631" t="s">
        <v>197</v>
      </c>
      <c r="B16" s="1612" t="s">
        <v>3436</v>
      </c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4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9</v>
      </c>
      <c r="I18" s="326" t="s">
        <v>201</v>
      </c>
      <c r="J18" s="632">
        <v>1</v>
      </c>
      <c r="K18" s="326" t="s">
        <v>202</v>
      </c>
      <c r="L18" s="631">
        <v>3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189</v>
      </c>
      <c r="D21" s="326" t="s">
        <v>205</v>
      </c>
      <c r="E21" s="631">
        <v>9</v>
      </c>
      <c r="F21" s="326" t="s">
        <v>206</v>
      </c>
      <c r="G21" s="80">
        <v>8</v>
      </c>
      <c r="H21" s="326" t="s">
        <v>230</v>
      </c>
      <c r="I21" s="80">
        <v>206</v>
      </c>
      <c r="J21" s="326" t="s">
        <v>207</v>
      </c>
      <c r="K21" s="631">
        <v>53</v>
      </c>
      <c r="L21" s="326" t="s">
        <v>3187</v>
      </c>
      <c r="M21" s="326"/>
      <c r="N21" s="631">
        <v>15</v>
      </c>
    </row>
    <row r="22" spans="1:14">
      <c r="A22" s="326" t="s">
        <v>209</v>
      </c>
      <c r="B22" s="326" t="s">
        <v>210</v>
      </c>
      <c r="C22" s="631">
        <v>295</v>
      </c>
      <c r="D22" s="326" t="s">
        <v>211</v>
      </c>
      <c r="E22" s="631">
        <v>20</v>
      </c>
      <c r="F22" s="326" t="s">
        <v>212</v>
      </c>
      <c r="G22" s="631">
        <v>2</v>
      </c>
      <c r="H22" s="326" t="s">
        <v>411</v>
      </c>
      <c r="I22" s="80">
        <v>317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328</v>
      </c>
      <c r="D23" s="326" t="s">
        <v>214</v>
      </c>
      <c r="E23" s="631">
        <v>18</v>
      </c>
      <c r="F23" s="326" t="s">
        <v>215</v>
      </c>
      <c r="G23" s="631">
        <v>1</v>
      </c>
      <c r="H23" s="326" t="s">
        <v>410</v>
      </c>
      <c r="I23" s="80">
        <v>347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8060</v>
      </c>
      <c r="C29" s="322" t="s">
        <v>233</v>
      </c>
      <c r="D29" s="335">
        <v>4041856.26</v>
      </c>
      <c r="E29" s="335">
        <v>146500</v>
      </c>
      <c r="F29" s="335"/>
      <c r="G29" s="335">
        <v>96787</v>
      </c>
      <c r="H29" s="335"/>
      <c r="I29" s="335"/>
      <c r="J29" s="335"/>
      <c r="K29" s="335"/>
      <c r="L29" s="335"/>
      <c r="M29" s="322">
        <f>SUM(F29:L29)</f>
        <v>96787</v>
      </c>
      <c r="N29" s="323">
        <f>+M29/E29*100</f>
        <v>66.066211604095557</v>
      </c>
    </row>
    <row r="30" spans="1:14">
      <c r="A30" s="322" t="s">
        <v>234</v>
      </c>
      <c r="B30" s="322">
        <v>1120</v>
      </c>
      <c r="C30" s="322" t="s">
        <v>233</v>
      </c>
      <c r="D30" s="335">
        <v>561647.52</v>
      </c>
      <c r="E30" s="335"/>
      <c r="F30" s="335"/>
      <c r="G30" s="335"/>
      <c r="H30" s="335"/>
      <c r="I30" s="335"/>
      <c r="J30" s="335"/>
      <c r="K30" s="335"/>
      <c r="L30" s="335"/>
      <c r="M30" s="322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86</v>
      </c>
      <c r="C31" s="322" t="s">
        <v>236</v>
      </c>
      <c r="D31" s="335">
        <v>43126.506000000001</v>
      </c>
      <c r="E31" s="335">
        <v>18000</v>
      </c>
      <c r="F31" s="335"/>
      <c r="G31" s="335"/>
      <c r="H31" s="335"/>
      <c r="I31" s="335"/>
      <c r="J31" s="335"/>
      <c r="K31" s="335"/>
      <c r="L31" s="335"/>
      <c r="M31" s="322">
        <f t="shared" si="0"/>
        <v>0</v>
      </c>
      <c r="N31" s="323">
        <f t="shared" ref="N31:N38" si="1">+M31/E31*100</f>
        <v>0</v>
      </c>
    </row>
    <row r="32" spans="1:14">
      <c r="A32" s="322" t="s">
        <v>237</v>
      </c>
      <c r="B32" s="322">
        <v>68</v>
      </c>
      <c r="C32" s="322" t="s">
        <v>236</v>
      </c>
      <c r="D32" s="335">
        <v>34100.027999999998</v>
      </c>
      <c r="E32" s="335">
        <v>16000</v>
      </c>
      <c r="F32" s="335"/>
      <c r="G32" s="335"/>
      <c r="H32" s="335"/>
      <c r="I32" s="335"/>
      <c r="J32" s="335"/>
      <c r="K32" s="335"/>
      <c r="L32" s="335"/>
      <c r="M32" s="322">
        <f t="shared" si="0"/>
        <v>0</v>
      </c>
      <c r="N32" s="323">
        <f t="shared" si="1"/>
        <v>0</v>
      </c>
    </row>
    <row r="33" spans="1:14">
      <c r="A33" s="322" t="s">
        <v>238</v>
      </c>
      <c r="B33" s="322">
        <v>1200</v>
      </c>
      <c r="C33" s="322" t="s">
        <v>233</v>
      </c>
      <c r="D33" s="335">
        <v>601765.19999999995</v>
      </c>
      <c r="E33" s="335">
        <v>200000</v>
      </c>
      <c r="F33" s="335"/>
      <c r="G33" s="335">
        <v>140611</v>
      </c>
      <c r="H33" s="335"/>
      <c r="I33" s="335"/>
      <c r="J33" s="335"/>
      <c r="K33" s="335"/>
      <c r="L33" s="335"/>
      <c r="M33" s="322">
        <f t="shared" si="0"/>
        <v>140611</v>
      </c>
      <c r="N33" s="323">
        <f t="shared" si="1"/>
        <v>70.305499999999995</v>
      </c>
    </row>
    <row r="34" spans="1:14">
      <c r="A34" s="322" t="s">
        <v>667</v>
      </c>
      <c r="B34" s="322">
        <v>565</v>
      </c>
      <c r="C34" s="322" t="s">
        <v>233</v>
      </c>
      <c r="D34" s="335">
        <v>283331.11499999999</v>
      </c>
      <c r="E34" s="335">
        <v>150705</v>
      </c>
      <c r="F34" s="335"/>
      <c r="G34" s="335"/>
      <c r="H34" s="335"/>
      <c r="I34" s="335"/>
      <c r="J34" s="335"/>
      <c r="K34" s="335"/>
      <c r="L34" s="335"/>
      <c r="M34" s="322">
        <f t="shared" si="0"/>
        <v>0</v>
      </c>
      <c r="N34" s="323">
        <f t="shared" si="1"/>
        <v>0</v>
      </c>
    </row>
    <row r="35" spans="1:14">
      <c r="A35" s="322" t="s">
        <v>240</v>
      </c>
      <c r="B35" s="322">
        <v>1000</v>
      </c>
      <c r="C35" s="322" t="s">
        <v>233</v>
      </c>
      <c r="D35" s="335">
        <v>501471</v>
      </c>
      <c r="E35" s="335"/>
      <c r="F35" s="335"/>
      <c r="G35" s="335"/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v>231000</v>
      </c>
      <c r="E36" s="335">
        <v>30250</v>
      </c>
      <c r="F36" s="335"/>
      <c r="G36" s="335">
        <v>13250</v>
      </c>
      <c r="H36" s="335"/>
      <c r="I36" s="335"/>
      <c r="J36" s="335"/>
      <c r="K36" s="335"/>
      <c r="L36" s="335"/>
      <c r="M36" s="322">
        <f t="shared" si="0"/>
        <v>13250</v>
      </c>
      <c r="N36" s="323">
        <f t="shared" si="1"/>
        <v>43.801652892561982</v>
      </c>
    </row>
    <row r="37" spans="1:14">
      <c r="A37" s="324" t="s">
        <v>670</v>
      </c>
      <c r="B37" s="322">
        <v>0</v>
      </c>
      <c r="C37" s="324" t="s">
        <v>244</v>
      </c>
      <c r="D37" s="335">
        <f>B37/100000</f>
        <v>0</v>
      </c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>
        <f>SUM(B29:B37)</f>
        <v>14849</v>
      </c>
      <c r="C38" s="322"/>
      <c r="D38" s="653">
        <f>SUM(D29:D37)</f>
        <v>6298297.6289999997</v>
      </c>
      <c r="E38" s="653">
        <f>SUM(E29:E37)</f>
        <v>561455</v>
      </c>
      <c r="F38" s="653">
        <f t="shared" ref="F38:L38" si="2">SUM(F29:F37)</f>
        <v>0</v>
      </c>
      <c r="G38" s="653">
        <f t="shared" si="2"/>
        <v>250648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250648</v>
      </c>
      <c r="N38" s="323">
        <f t="shared" si="1"/>
        <v>44.642580438325425</v>
      </c>
    </row>
    <row r="40" spans="1:14">
      <c r="A40" t="s">
        <v>5678</v>
      </c>
      <c r="D40" t="s">
        <v>5679</v>
      </c>
      <c r="E40" s="332"/>
    </row>
    <row r="42" spans="1:14">
      <c r="A42" s="320" t="s">
        <v>5680</v>
      </c>
      <c r="B42" s="320"/>
      <c r="C42" s="320"/>
      <c r="D42" s="320" t="s">
        <v>5681</v>
      </c>
    </row>
  </sheetData>
  <mergeCells count="32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49" header="0.39" footer="0.31496062992126"/>
  <pageSetup paperSize="9" scale="60" orientation="landscape" r:id="rId1"/>
  <headerFooter>
    <oddFooter>&amp;L&amp;9&amp;F&amp;R&amp;9&amp;A</oddFooter>
  </headerFooter>
</worksheet>
</file>

<file path=xl/worksheets/sheet32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N42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4" max="4" width="19.425781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2.140625" customWidth="1"/>
    <col min="257" max="257" width="43" customWidth="1"/>
    <col min="258" max="258" width="31" customWidth="1"/>
    <col min="260" max="260" width="19.425781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2.140625" customWidth="1"/>
    <col min="513" max="513" width="43" customWidth="1"/>
    <col min="514" max="514" width="31" customWidth="1"/>
    <col min="516" max="516" width="19.425781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2.140625" customWidth="1"/>
    <col min="769" max="769" width="43" customWidth="1"/>
    <col min="770" max="770" width="31" customWidth="1"/>
    <col min="772" max="772" width="19.425781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2.140625" customWidth="1"/>
    <col min="1025" max="1025" width="43" customWidth="1"/>
    <col min="1026" max="1026" width="31" customWidth="1"/>
    <col min="1028" max="1028" width="19.425781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2.140625" customWidth="1"/>
    <col min="1281" max="1281" width="43" customWidth="1"/>
    <col min="1282" max="1282" width="31" customWidth="1"/>
    <col min="1284" max="1284" width="19.425781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2.140625" customWidth="1"/>
    <col min="1537" max="1537" width="43" customWidth="1"/>
    <col min="1538" max="1538" width="31" customWidth="1"/>
    <col min="1540" max="1540" width="19.425781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2.140625" customWidth="1"/>
    <col min="1793" max="1793" width="43" customWidth="1"/>
    <col min="1794" max="1794" width="31" customWidth="1"/>
    <col min="1796" max="1796" width="19.425781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2.140625" customWidth="1"/>
    <col min="2049" max="2049" width="43" customWidth="1"/>
    <col min="2050" max="2050" width="31" customWidth="1"/>
    <col min="2052" max="2052" width="19.425781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2.140625" customWidth="1"/>
    <col min="2305" max="2305" width="43" customWidth="1"/>
    <col min="2306" max="2306" width="31" customWidth="1"/>
    <col min="2308" max="2308" width="19.425781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2.140625" customWidth="1"/>
    <col min="2561" max="2561" width="43" customWidth="1"/>
    <col min="2562" max="2562" width="31" customWidth="1"/>
    <col min="2564" max="2564" width="19.425781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2.140625" customWidth="1"/>
    <col min="2817" max="2817" width="43" customWidth="1"/>
    <col min="2818" max="2818" width="31" customWidth="1"/>
    <col min="2820" max="2820" width="19.425781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2.140625" customWidth="1"/>
    <col min="3073" max="3073" width="43" customWidth="1"/>
    <col min="3074" max="3074" width="31" customWidth="1"/>
    <col min="3076" max="3076" width="19.425781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2.140625" customWidth="1"/>
    <col min="3329" max="3329" width="43" customWidth="1"/>
    <col min="3330" max="3330" width="31" customWidth="1"/>
    <col min="3332" max="3332" width="19.425781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2.140625" customWidth="1"/>
    <col min="3585" max="3585" width="43" customWidth="1"/>
    <col min="3586" max="3586" width="31" customWidth="1"/>
    <col min="3588" max="3588" width="19.425781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2.140625" customWidth="1"/>
    <col min="3841" max="3841" width="43" customWidth="1"/>
    <col min="3842" max="3842" width="31" customWidth="1"/>
    <col min="3844" max="3844" width="19.425781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2.140625" customWidth="1"/>
    <col min="4097" max="4097" width="43" customWidth="1"/>
    <col min="4098" max="4098" width="31" customWidth="1"/>
    <col min="4100" max="4100" width="19.425781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2.140625" customWidth="1"/>
    <col min="4353" max="4353" width="43" customWidth="1"/>
    <col min="4354" max="4354" width="31" customWidth="1"/>
    <col min="4356" max="4356" width="19.425781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2.140625" customWidth="1"/>
    <col min="4609" max="4609" width="43" customWidth="1"/>
    <col min="4610" max="4610" width="31" customWidth="1"/>
    <col min="4612" max="4612" width="19.425781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2.140625" customWidth="1"/>
    <col min="4865" max="4865" width="43" customWidth="1"/>
    <col min="4866" max="4866" width="31" customWidth="1"/>
    <col min="4868" max="4868" width="19.425781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2.140625" customWidth="1"/>
    <col min="5121" max="5121" width="43" customWidth="1"/>
    <col min="5122" max="5122" width="31" customWidth="1"/>
    <col min="5124" max="5124" width="19.425781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2.140625" customWidth="1"/>
    <col min="5377" max="5377" width="43" customWidth="1"/>
    <col min="5378" max="5378" width="31" customWidth="1"/>
    <col min="5380" max="5380" width="19.425781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2.140625" customWidth="1"/>
    <col min="5633" max="5633" width="43" customWidth="1"/>
    <col min="5634" max="5634" width="31" customWidth="1"/>
    <col min="5636" max="5636" width="19.425781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2.140625" customWidth="1"/>
    <col min="5889" max="5889" width="43" customWidth="1"/>
    <col min="5890" max="5890" width="31" customWidth="1"/>
    <col min="5892" max="5892" width="19.425781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2.140625" customWidth="1"/>
    <col min="6145" max="6145" width="43" customWidth="1"/>
    <col min="6146" max="6146" width="31" customWidth="1"/>
    <col min="6148" max="6148" width="19.425781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2.140625" customWidth="1"/>
    <col min="6401" max="6401" width="43" customWidth="1"/>
    <col min="6402" max="6402" width="31" customWidth="1"/>
    <col min="6404" max="6404" width="19.425781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2.140625" customWidth="1"/>
    <col min="6657" max="6657" width="43" customWidth="1"/>
    <col min="6658" max="6658" width="31" customWidth="1"/>
    <col min="6660" max="6660" width="19.425781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2.140625" customWidth="1"/>
    <col min="6913" max="6913" width="43" customWidth="1"/>
    <col min="6914" max="6914" width="31" customWidth="1"/>
    <col min="6916" max="6916" width="19.425781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2.140625" customWidth="1"/>
    <col min="7169" max="7169" width="43" customWidth="1"/>
    <col min="7170" max="7170" width="31" customWidth="1"/>
    <col min="7172" max="7172" width="19.425781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2.140625" customWidth="1"/>
    <col min="7425" max="7425" width="43" customWidth="1"/>
    <col min="7426" max="7426" width="31" customWidth="1"/>
    <col min="7428" max="7428" width="19.425781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2.140625" customWidth="1"/>
    <col min="7681" max="7681" width="43" customWidth="1"/>
    <col min="7682" max="7682" width="31" customWidth="1"/>
    <col min="7684" max="7684" width="19.425781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2.140625" customWidth="1"/>
    <col min="7937" max="7937" width="43" customWidth="1"/>
    <col min="7938" max="7938" width="31" customWidth="1"/>
    <col min="7940" max="7940" width="19.425781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2.140625" customWidth="1"/>
    <col min="8193" max="8193" width="43" customWidth="1"/>
    <col min="8194" max="8194" width="31" customWidth="1"/>
    <col min="8196" max="8196" width="19.425781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2.140625" customWidth="1"/>
    <col min="8449" max="8449" width="43" customWidth="1"/>
    <col min="8450" max="8450" width="31" customWidth="1"/>
    <col min="8452" max="8452" width="19.425781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2.140625" customWidth="1"/>
    <col min="8705" max="8705" width="43" customWidth="1"/>
    <col min="8706" max="8706" width="31" customWidth="1"/>
    <col min="8708" max="8708" width="19.425781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2.140625" customWidth="1"/>
    <col min="8961" max="8961" width="43" customWidth="1"/>
    <col min="8962" max="8962" width="31" customWidth="1"/>
    <col min="8964" max="8964" width="19.425781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2.140625" customWidth="1"/>
    <col min="9217" max="9217" width="43" customWidth="1"/>
    <col min="9218" max="9218" width="31" customWidth="1"/>
    <col min="9220" max="9220" width="19.425781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2.140625" customWidth="1"/>
    <col min="9473" max="9473" width="43" customWidth="1"/>
    <col min="9474" max="9474" width="31" customWidth="1"/>
    <col min="9476" max="9476" width="19.425781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2.140625" customWidth="1"/>
    <col min="9729" max="9729" width="43" customWidth="1"/>
    <col min="9730" max="9730" width="31" customWidth="1"/>
    <col min="9732" max="9732" width="19.425781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2.140625" customWidth="1"/>
    <col min="9985" max="9985" width="43" customWidth="1"/>
    <col min="9986" max="9986" width="31" customWidth="1"/>
    <col min="9988" max="9988" width="19.425781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2.140625" customWidth="1"/>
    <col min="10241" max="10241" width="43" customWidth="1"/>
    <col min="10242" max="10242" width="31" customWidth="1"/>
    <col min="10244" max="10244" width="19.425781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2.140625" customWidth="1"/>
    <col min="10497" max="10497" width="43" customWidth="1"/>
    <col min="10498" max="10498" width="31" customWidth="1"/>
    <col min="10500" max="10500" width="19.425781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2.140625" customWidth="1"/>
    <col min="10753" max="10753" width="43" customWidth="1"/>
    <col min="10754" max="10754" width="31" customWidth="1"/>
    <col min="10756" max="10756" width="19.425781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2.140625" customWidth="1"/>
    <col min="11009" max="11009" width="43" customWidth="1"/>
    <col min="11010" max="11010" width="31" customWidth="1"/>
    <col min="11012" max="11012" width="19.425781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2.140625" customWidth="1"/>
    <col min="11265" max="11265" width="43" customWidth="1"/>
    <col min="11266" max="11266" width="31" customWidth="1"/>
    <col min="11268" max="11268" width="19.425781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2.140625" customWidth="1"/>
    <col min="11521" max="11521" width="43" customWidth="1"/>
    <col min="11522" max="11522" width="31" customWidth="1"/>
    <col min="11524" max="11524" width="19.425781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2.140625" customWidth="1"/>
    <col min="11777" max="11777" width="43" customWidth="1"/>
    <col min="11778" max="11778" width="31" customWidth="1"/>
    <col min="11780" max="11780" width="19.425781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2.140625" customWidth="1"/>
    <col min="12033" max="12033" width="43" customWidth="1"/>
    <col min="12034" max="12034" width="31" customWidth="1"/>
    <col min="12036" max="12036" width="19.425781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2.140625" customWidth="1"/>
    <col min="12289" max="12289" width="43" customWidth="1"/>
    <col min="12290" max="12290" width="31" customWidth="1"/>
    <col min="12292" max="12292" width="19.425781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2.140625" customWidth="1"/>
    <col min="12545" max="12545" width="43" customWidth="1"/>
    <col min="12546" max="12546" width="31" customWidth="1"/>
    <col min="12548" max="12548" width="19.425781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2.140625" customWidth="1"/>
    <col min="12801" max="12801" width="43" customWidth="1"/>
    <col min="12802" max="12802" width="31" customWidth="1"/>
    <col min="12804" max="12804" width="19.425781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2.140625" customWidth="1"/>
    <col min="13057" max="13057" width="43" customWidth="1"/>
    <col min="13058" max="13058" width="31" customWidth="1"/>
    <col min="13060" max="13060" width="19.425781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2.140625" customWidth="1"/>
    <col min="13313" max="13313" width="43" customWidth="1"/>
    <col min="13314" max="13314" width="31" customWidth="1"/>
    <col min="13316" max="13316" width="19.425781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2.140625" customWidth="1"/>
    <col min="13569" max="13569" width="43" customWidth="1"/>
    <col min="13570" max="13570" width="31" customWidth="1"/>
    <col min="13572" max="13572" width="19.425781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2.140625" customWidth="1"/>
    <col min="13825" max="13825" width="43" customWidth="1"/>
    <col min="13826" max="13826" width="31" customWidth="1"/>
    <col min="13828" max="13828" width="19.425781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2.140625" customWidth="1"/>
    <col min="14081" max="14081" width="43" customWidth="1"/>
    <col min="14082" max="14082" width="31" customWidth="1"/>
    <col min="14084" max="14084" width="19.425781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2.140625" customWidth="1"/>
    <col min="14337" max="14337" width="43" customWidth="1"/>
    <col min="14338" max="14338" width="31" customWidth="1"/>
    <col min="14340" max="14340" width="19.425781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2.140625" customWidth="1"/>
    <col min="14593" max="14593" width="43" customWidth="1"/>
    <col min="14594" max="14594" width="31" customWidth="1"/>
    <col min="14596" max="14596" width="19.425781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2.140625" customWidth="1"/>
    <col min="14849" max="14849" width="43" customWidth="1"/>
    <col min="14850" max="14850" width="31" customWidth="1"/>
    <col min="14852" max="14852" width="19.425781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2.140625" customWidth="1"/>
    <col min="15105" max="15105" width="43" customWidth="1"/>
    <col min="15106" max="15106" width="31" customWidth="1"/>
    <col min="15108" max="15108" width="19.425781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2.140625" customWidth="1"/>
    <col min="15361" max="15361" width="43" customWidth="1"/>
    <col min="15362" max="15362" width="31" customWidth="1"/>
    <col min="15364" max="15364" width="19.425781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2.140625" customWidth="1"/>
    <col min="15617" max="15617" width="43" customWidth="1"/>
    <col min="15618" max="15618" width="31" customWidth="1"/>
    <col min="15620" max="15620" width="19.425781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2.140625" customWidth="1"/>
    <col min="15873" max="15873" width="43" customWidth="1"/>
    <col min="15874" max="15874" width="31" customWidth="1"/>
    <col min="15876" max="15876" width="19.425781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2.140625" customWidth="1"/>
    <col min="16129" max="16129" width="43" customWidth="1"/>
    <col min="16130" max="16130" width="31" customWidth="1"/>
    <col min="16132" max="16132" width="19.425781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2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154</v>
      </c>
      <c r="C5" s="1594"/>
      <c r="D5" s="1594"/>
      <c r="E5" s="1595"/>
      <c r="F5" s="326" t="s">
        <v>171</v>
      </c>
      <c r="G5" s="326"/>
      <c r="H5" s="1618">
        <v>406020107010101</v>
      </c>
      <c r="I5" s="1619"/>
      <c r="J5" s="326" t="s">
        <v>172</v>
      </c>
      <c r="K5" s="631">
        <v>507.05099999999999</v>
      </c>
      <c r="L5" s="326" t="s">
        <v>436</v>
      </c>
      <c r="M5" s="326"/>
      <c r="N5" s="631"/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3437</v>
      </c>
      <c r="C7" s="1594"/>
      <c r="D7" s="1594"/>
      <c r="E7" s="1595"/>
      <c r="F7" s="1596" t="s">
        <v>3208</v>
      </c>
      <c r="G7" s="1596"/>
      <c r="H7" s="625" t="s">
        <v>3438</v>
      </c>
      <c r="I7" s="626"/>
      <c r="J7" s="627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>
      <c r="A9" s="326" t="s">
        <v>178</v>
      </c>
      <c r="B9" s="1593" t="s">
        <v>3439</v>
      </c>
      <c r="C9" s="1594"/>
      <c r="D9" s="1594"/>
      <c r="E9" s="1595"/>
      <c r="F9" s="1601" t="s">
        <v>3205</v>
      </c>
      <c r="G9" s="1602"/>
      <c r="H9" s="1620" t="s">
        <v>3440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3441</v>
      </c>
      <c r="C13" s="1612"/>
      <c r="D13" s="1612" t="s">
        <v>3442</v>
      </c>
      <c r="E13" s="1612"/>
      <c r="F13" s="1612"/>
      <c r="G13" s="1612" t="s">
        <v>3443</v>
      </c>
      <c r="H13" s="1612"/>
      <c r="I13" s="1612"/>
      <c r="J13" s="1612" t="s">
        <v>3444</v>
      </c>
      <c r="K13" s="1612"/>
      <c r="L13" s="1612"/>
      <c r="M13" s="1612"/>
      <c r="N13" s="326"/>
    </row>
    <row r="14" spans="1:14">
      <c r="A14" s="631" t="s">
        <v>187</v>
      </c>
      <c r="B14" s="1612" t="s">
        <v>3445</v>
      </c>
      <c r="C14" s="1612"/>
      <c r="D14" s="1612" t="s">
        <v>3446</v>
      </c>
      <c r="E14" s="1612"/>
      <c r="F14" s="1612"/>
      <c r="G14" s="1612" t="s">
        <v>3447</v>
      </c>
      <c r="H14" s="1612"/>
      <c r="I14" s="1612"/>
      <c r="J14" s="1612" t="s">
        <v>3448</v>
      </c>
      <c r="K14" s="1612"/>
      <c r="L14" s="1612"/>
      <c r="M14" s="1612"/>
      <c r="N14" s="326"/>
    </row>
    <row r="15" spans="1:14">
      <c r="A15" s="631" t="s">
        <v>192</v>
      </c>
      <c r="B15" s="1612" t="s">
        <v>3439</v>
      </c>
      <c r="C15" s="1612"/>
      <c r="D15" s="1612" t="s">
        <v>3449</v>
      </c>
      <c r="E15" s="1612"/>
      <c r="F15" s="1612"/>
      <c r="G15" s="1612" t="s">
        <v>3450</v>
      </c>
      <c r="H15" s="1612"/>
      <c r="I15" s="1612"/>
      <c r="J15" s="1612" t="s">
        <v>3451</v>
      </c>
      <c r="K15" s="1612"/>
      <c r="L15" s="1612"/>
      <c r="M15" s="1612"/>
      <c r="N15" s="326"/>
    </row>
    <row r="16" spans="1:14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6</v>
      </c>
      <c r="C18" s="326" t="s">
        <v>199</v>
      </c>
      <c r="D18" s="326"/>
      <c r="E18" s="326"/>
      <c r="F18" s="631">
        <v>4</v>
      </c>
      <c r="G18" s="326" t="s">
        <v>200</v>
      </c>
      <c r="H18" s="632">
        <v>12</v>
      </c>
      <c r="I18" s="326" t="s">
        <v>201</v>
      </c>
      <c r="J18" s="632"/>
      <c r="K18" s="326" t="s">
        <v>202</v>
      </c>
      <c r="L18" s="631">
        <v>2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157</v>
      </c>
      <c r="D21" s="326" t="s">
        <v>205</v>
      </c>
      <c r="E21" s="631">
        <v>4</v>
      </c>
      <c r="F21" s="326" t="s">
        <v>206</v>
      </c>
      <c r="G21" s="80">
        <v>36</v>
      </c>
      <c r="H21" s="326" t="s">
        <v>230</v>
      </c>
      <c r="I21" s="80">
        <v>197</v>
      </c>
      <c r="J21" s="326" t="s">
        <v>207</v>
      </c>
      <c r="K21" s="631">
        <v>58</v>
      </c>
      <c r="L21" s="326" t="s">
        <v>3187</v>
      </c>
      <c r="M21" s="326"/>
      <c r="N21" s="631">
        <v>23</v>
      </c>
    </row>
    <row r="22" spans="1:14">
      <c r="A22" s="326" t="s">
        <v>209</v>
      </c>
      <c r="B22" s="326" t="s">
        <v>210</v>
      </c>
      <c r="C22" s="631">
        <v>322</v>
      </c>
      <c r="D22" s="326" t="s">
        <v>211</v>
      </c>
      <c r="E22" s="631">
        <v>11</v>
      </c>
      <c r="F22" s="326" t="s">
        <v>212</v>
      </c>
      <c r="G22" s="631">
        <v>107</v>
      </c>
      <c r="H22" s="326" t="s">
        <v>411</v>
      </c>
      <c r="I22" s="80">
        <v>440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331</v>
      </c>
      <c r="D23" s="326" t="s">
        <v>214</v>
      </c>
      <c r="E23" s="631">
        <v>12</v>
      </c>
      <c r="F23" s="326" t="s">
        <v>215</v>
      </c>
      <c r="G23" s="631">
        <v>83</v>
      </c>
      <c r="H23" s="326" t="s">
        <v>410</v>
      </c>
      <c r="I23" s="80">
        <v>426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8060</v>
      </c>
      <c r="C29" s="322" t="s">
        <v>233</v>
      </c>
      <c r="D29" s="335">
        <v>4086831.06</v>
      </c>
      <c r="E29" s="335">
        <v>146500</v>
      </c>
      <c r="F29" s="335"/>
      <c r="G29" s="335">
        <v>102800</v>
      </c>
      <c r="H29" s="335"/>
      <c r="I29" s="335"/>
      <c r="J29" s="335"/>
      <c r="K29" s="335"/>
      <c r="L29" s="335"/>
      <c r="M29" s="322">
        <f>SUM(F29:L29)</f>
        <v>102800</v>
      </c>
      <c r="N29" s="323">
        <f>+M29/E29*100</f>
        <v>70.170648464163818</v>
      </c>
    </row>
    <row r="30" spans="1:14">
      <c r="A30" s="322" t="s">
        <v>234</v>
      </c>
      <c r="B30" s="322">
        <v>1120</v>
      </c>
      <c r="C30" s="322" t="s">
        <v>233</v>
      </c>
      <c r="D30" s="335">
        <v>567897.12</v>
      </c>
      <c r="E30" s="335"/>
      <c r="F30" s="335"/>
      <c r="G30" s="335"/>
      <c r="H30" s="335"/>
      <c r="I30" s="335"/>
      <c r="J30" s="335"/>
      <c r="K30" s="335"/>
      <c r="L30" s="335"/>
      <c r="M30" s="322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86</v>
      </c>
      <c r="C31" s="322" t="s">
        <v>236</v>
      </c>
      <c r="D31" s="335">
        <v>43606.385999999999</v>
      </c>
      <c r="E31" s="335">
        <v>18000</v>
      </c>
      <c r="F31" s="335"/>
      <c r="G31" s="335"/>
      <c r="H31" s="335"/>
      <c r="I31" s="335"/>
      <c r="J31" s="335"/>
      <c r="K31" s="335"/>
      <c r="L31" s="335"/>
      <c r="M31" s="322">
        <f t="shared" si="0"/>
        <v>0</v>
      </c>
      <c r="N31" s="323">
        <f t="shared" ref="N31:N38" si="1">+M31/E31*100</f>
        <v>0</v>
      </c>
    </row>
    <row r="32" spans="1:14">
      <c r="A32" s="322" t="s">
        <v>237</v>
      </c>
      <c r="B32" s="322">
        <v>68</v>
      </c>
      <c r="C32" s="322" t="s">
        <v>236</v>
      </c>
      <c r="D32" s="335">
        <v>34479.468000000001</v>
      </c>
      <c r="E32" s="335">
        <v>16000</v>
      </c>
      <c r="F32" s="335"/>
      <c r="G32" s="335"/>
      <c r="H32" s="335"/>
      <c r="I32" s="335"/>
      <c r="J32" s="335"/>
      <c r="K32" s="335"/>
      <c r="L32" s="335"/>
      <c r="M32" s="322">
        <f t="shared" si="0"/>
        <v>0</v>
      </c>
      <c r="N32" s="323">
        <f t="shared" si="1"/>
        <v>0</v>
      </c>
    </row>
    <row r="33" spans="1:14">
      <c r="A33" s="322" t="s">
        <v>238</v>
      </c>
      <c r="B33" s="322">
        <v>1200</v>
      </c>
      <c r="C33" s="322" t="s">
        <v>233</v>
      </c>
      <c r="D33" s="335">
        <v>608461.19999999995</v>
      </c>
      <c r="E33" s="335">
        <v>200000</v>
      </c>
      <c r="F33" s="335"/>
      <c r="G33" s="335">
        <v>149129</v>
      </c>
      <c r="H33" s="335"/>
      <c r="I33" s="335"/>
      <c r="J33" s="335"/>
      <c r="K33" s="335"/>
      <c r="L33" s="335"/>
      <c r="M33" s="322">
        <f t="shared" si="0"/>
        <v>149129</v>
      </c>
      <c r="N33" s="323">
        <f t="shared" si="1"/>
        <v>74.564499999999995</v>
      </c>
    </row>
    <row r="34" spans="1:14">
      <c r="A34" s="322" t="s">
        <v>667</v>
      </c>
      <c r="B34" s="322">
        <v>565</v>
      </c>
      <c r="C34" s="322" t="s">
        <v>233</v>
      </c>
      <c r="D34" s="335">
        <v>286483.815</v>
      </c>
      <c r="E34" s="335">
        <v>150147</v>
      </c>
      <c r="F34" s="335"/>
      <c r="G34" s="335"/>
      <c r="H34" s="335"/>
      <c r="I34" s="335"/>
      <c r="J34" s="335"/>
      <c r="K34" s="335"/>
      <c r="L34" s="335"/>
      <c r="M34" s="322">
        <f t="shared" si="0"/>
        <v>0</v>
      </c>
      <c r="N34" s="323">
        <v>0</v>
      </c>
    </row>
    <row r="35" spans="1:14">
      <c r="A35" s="322" t="s">
        <v>240</v>
      </c>
      <c r="B35" s="322">
        <v>1000</v>
      </c>
      <c r="C35" s="322" t="s">
        <v>233</v>
      </c>
      <c r="D35" s="335">
        <v>507051</v>
      </c>
      <c r="E35" s="335"/>
      <c r="F35" s="335"/>
      <c r="G35" s="335"/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v>231000</v>
      </c>
      <c r="E36" s="335">
        <v>30250</v>
      </c>
      <c r="F36" s="335"/>
      <c r="G36" s="335">
        <v>12953</v>
      </c>
      <c r="H36" s="335"/>
      <c r="I36" s="335"/>
      <c r="J36" s="335"/>
      <c r="K36" s="335"/>
      <c r="L36" s="335"/>
      <c r="M36" s="322">
        <f t="shared" si="0"/>
        <v>12953</v>
      </c>
      <c r="N36" s="323">
        <f t="shared" si="1"/>
        <v>42.819834710743805</v>
      </c>
    </row>
    <row r="37" spans="1:14">
      <c r="A37" s="324" t="s">
        <v>670</v>
      </c>
      <c r="B37" s="322">
        <v>0</v>
      </c>
      <c r="C37" s="324" t="s">
        <v>244</v>
      </c>
      <c r="D37" s="335">
        <f>B37/100000</f>
        <v>0</v>
      </c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>
        <f>SUM(B29:B37)</f>
        <v>14849</v>
      </c>
      <c r="C38" s="322"/>
      <c r="D38" s="653">
        <f>SUM(D29:D37)</f>
        <v>6365810.0490000006</v>
      </c>
      <c r="E38" s="653">
        <f>SUM(E29:E37)</f>
        <v>560897</v>
      </c>
      <c r="F38" s="653">
        <f t="shared" ref="F38:L38" si="2">SUM(F29:F37)</f>
        <v>0</v>
      </c>
      <c r="G38" s="653">
        <f t="shared" si="2"/>
        <v>264882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264882</v>
      </c>
      <c r="N38" s="323">
        <f t="shared" si="1"/>
        <v>47.224713271777169</v>
      </c>
    </row>
    <row r="39" spans="1:14">
      <c r="A39" s="332"/>
      <c r="B39" s="332"/>
      <c r="E39" s="332"/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  <c r="E42" s="332"/>
    </row>
  </sheetData>
  <mergeCells count="32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53" header="0.39" footer="0.31496062992126"/>
  <pageSetup paperSize="9" scale="60" orientation="landscape" r:id="rId1"/>
  <headerFooter>
    <oddFooter>&amp;L&amp;9&amp;F&amp;R&amp;9&amp;A</oddFooter>
  </headerFooter>
</worksheet>
</file>

<file path=xl/worksheets/sheet326.xml><?xml version="1.0" encoding="utf-8"?>
<worksheet xmlns="http://schemas.openxmlformats.org/spreadsheetml/2006/main" xmlns:r="http://schemas.openxmlformats.org/officeDocument/2006/relationships">
  <sheetPr>
    <tabColor theme="8" tint="-0.249977111117893"/>
    <pageSetUpPr fitToPage="1"/>
  </sheetPr>
  <dimension ref="A1:N42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4" max="4" width="19.425781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2.140625" customWidth="1"/>
    <col min="257" max="257" width="43" customWidth="1"/>
    <col min="258" max="258" width="31" customWidth="1"/>
    <col min="260" max="260" width="19.425781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2.140625" customWidth="1"/>
    <col min="513" max="513" width="43" customWidth="1"/>
    <col min="514" max="514" width="31" customWidth="1"/>
    <col min="516" max="516" width="19.425781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2.140625" customWidth="1"/>
    <col min="769" max="769" width="43" customWidth="1"/>
    <col min="770" max="770" width="31" customWidth="1"/>
    <col min="772" max="772" width="19.425781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2.140625" customWidth="1"/>
    <col min="1025" max="1025" width="43" customWidth="1"/>
    <col min="1026" max="1026" width="31" customWidth="1"/>
    <col min="1028" max="1028" width="19.425781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2.140625" customWidth="1"/>
    <col min="1281" max="1281" width="43" customWidth="1"/>
    <col min="1282" max="1282" width="31" customWidth="1"/>
    <col min="1284" max="1284" width="19.425781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2.140625" customWidth="1"/>
    <col min="1537" max="1537" width="43" customWidth="1"/>
    <col min="1538" max="1538" width="31" customWidth="1"/>
    <col min="1540" max="1540" width="19.425781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2.140625" customWidth="1"/>
    <col min="1793" max="1793" width="43" customWidth="1"/>
    <col min="1794" max="1794" width="31" customWidth="1"/>
    <col min="1796" max="1796" width="19.425781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2.140625" customWidth="1"/>
    <col min="2049" max="2049" width="43" customWidth="1"/>
    <col min="2050" max="2050" width="31" customWidth="1"/>
    <col min="2052" max="2052" width="19.425781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2.140625" customWidth="1"/>
    <col min="2305" max="2305" width="43" customWidth="1"/>
    <col min="2306" max="2306" width="31" customWidth="1"/>
    <col min="2308" max="2308" width="19.425781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2.140625" customWidth="1"/>
    <col min="2561" max="2561" width="43" customWidth="1"/>
    <col min="2562" max="2562" width="31" customWidth="1"/>
    <col min="2564" max="2564" width="19.425781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2.140625" customWidth="1"/>
    <col min="2817" max="2817" width="43" customWidth="1"/>
    <col min="2818" max="2818" width="31" customWidth="1"/>
    <col min="2820" max="2820" width="19.425781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2.140625" customWidth="1"/>
    <col min="3073" max="3073" width="43" customWidth="1"/>
    <col min="3074" max="3074" width="31" customWidth="1"/>
    <col min="3076" max="3076" width="19.425781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2.140625" customWidth="1"/>
    <col min="3329" max="3329" width="43" customWidth="1"/>
    <col min="3330" max="3330" width="31" customWidth="1"/>
    <col min="3332" max="3332" width="19.425781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2.140625" customWidth="1"/>
    <col min="3585" max="3585" width="43" customWidth="1"/>
    <col min="3586" max="3586" width="31" customWidth="1"/>
    <col min="3588" max="3588" width="19.425781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2.140625" customWidth="1"/>
    <col min="3841" max="3841" width="43" customWidth="1"/>
    <col min="3842" max="3842" width="31" customWidth="1"/>
    <col min="3844" max="3844" width="19.425781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2.140625" customWidth="1"/>
    <col min="4097" max="4097" width="43" customWidth="1"/>
    <col min="4098" max="4098" width="31" customWidth="1"/>
    <col min="4100" max="4100" width="19.425781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2.140625" customWidth="1"/>
    <col min="4353" max="4353" width="43" customWidth="1"/>
    <col min="4354" max="4354" width="31" customWidth="1"/>
    <col min="4356" max="4356" width="19.425781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2.140625" customWidth="1"/>
    <col min="4609" max="4609" width="43" customWidth="1"/>
    <col min="4610" max="4610" width="31" customWidth="1"/>
    <col min="4612" max="4612" width="19.425781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2.140625" customWidth="1"/>
    <col min="4865" max="4865" width="43" customWidth="1"/>
    <col min="4866" max="4866" width="31" customWidth="1"/>
    <col min="4868" max="4868" width="19.425781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2.140625" customWidth="1"/>
    <col min="5121" max="5121" width="43" customWidth="1"/>
    <col min="5122" max="5122" width="31" customWidth="1"/>
    <col min="5124" max="5124" width="19.425781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2.140625" customWidth="1"/>
    <col min="5377" max="5377" width="43" customWidth="1"/>
    <col min="5378" max="5378" width="31" customWidth="1"/>
    <col min="5380" max="5380" width="19.425781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2.140625" customWidth="1"/>
    <col min="5633" max="5633" width="43" customWidth="1"/>
    <col min="5634" max="5634" width="31" customWidth="1"/>
    <col min="5636" max="5636" width="19.425781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2.140625" customWidth="1"/>
    <col min="5889" max="5889" width="43" customWidth="1"/>
    <col min="5890" max="5890" width="31" customWidth="1"/>
    <col min="5892" max="5892" width="19.425781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2.140625" customWidth="1"/>
    <col min="6145" max="6145" width="43" customWidth="1"/>
    <col min="6146" max="6146" width="31" customWidth="1"/>
    <col min="6148" max="6148" width="19.425781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2.140625" customWidth="1"/>
    <col min="6401" max="6401" width="43" customWidth="1"/>
    <col min="6402" max="6402" width="31" customWidth="1"/>
    <col min="6404" max="6404" width="19.425781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2.140625" customWidth="1"/>
    <col min="6657" max="6657" width="43" customWidth="1"/>
    <col min="6658" max="6658" width="31" customWidth="1"/>
    <col min="6660" max="6660" width="19.425781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2.140625" customWidth="1"/>
    <col min="6913" max="6913" width="43" customWidth="1"/>
    <col min="6914" max="6914" width="31" customWidth="1"/>
    <col min="6916" max="6916" width="19.425781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2.140625" customWidth="1"/>
    <col min="7169" max="7169" width="43" customWidth="1"/>
    <col min="7170" max="7170" width="31" customWidth="1"/>
    <col min="7172" max="7172" width="19.425781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2.140625" customWidth="1"/>
    <col min="7425" max="7425" width="43" customWidth="1"/>
    <col min="7426" max="7426" width="31" customWidth="1"/>
    <col min="7428" max="7428" width="19.425781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2.140625" customWidth="1"/>
    <col min="7681" max="7681" width="43" customWidth="1"/>
    <col min="7682" max="7682" width="31" customWidth="1"/>
    <col min="7684" max="7684" width="19.425781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2.140625" customWidth="1"/>
    <col min="7937" max="7937" width="43" customWidth="1"/>
    <col min="7938" max="7938" width="31" customWidth="1"/>
    <col min="7940" max="7940" width="19.425781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2.140625" customWidth="1"/>
    <col min="8193" max="8193" width="43" customWidth="1"/>
    <col min="8194" max="8194" width="31" customWidth="1"/>
    <col min="8196" max="8196" width="19.425781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2.140625" customWidth="1"/>
    <col min="8449" max="8449" width="43" customWidth="1"/>
    <col min="8450" max="8450" width="31" customWidth="1"/>
    <col min="8452" max="8452" width="19.425781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2.140625" customWidth="1"/>
    <col min="8705" max="8705" width="43" customWidth="1"/>
    <col min="8706" max="8706" width="31" customWidth="1"/>
    <col min="8708" max="8708" width="19.425781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2.140625" customWidth="1"/>
    <col min="8961" max="8961" width="43" customWidth="1"/>
    <col min="8962" max="8962" width="31" customWidth="1"/>
    <col min="8964" max="8964" width="19.425781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2.140625" customWidth="1"/>
    <col min="9217" max="9217" width="43" customWidth="1"/>
    <col min="9218" max="9218" width="31" customWidth="1"/>
    <col min="9220" max="9220" width="19.425781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2.140625" customWidth="1"/>
    <col min="9473" max="9473" width="43" customWidth="1"/>
    <col min="9474" max="9474" width="31" customWidth="1"/>
    <col min="9476" max="9476" width="19.425781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2.140625" customWidth="1"/>
    <col min="9729" max="9729" width="43" customWidth="1"/>
    <col min="9730" max="9730" width="31" customWidth="1"/>
    <col min="9732" max="9732" width="19.425781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2.140625" customWidth="1"/>
    <col min="9985" max="9985" width="43" customWidth="1"/>
    <col min="9986" max="9986" width="31" customWidth="1"/>
    <col min="9988" max="9988" width="19.425781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2.140625" customWidth="1"/>
    <col min="10241" max="10241" width="43" customWidth="1"/>
    <col min="10242" max="10242" width="31" customWidth="1"/>
    <col min="10244" max="10244" width="19.425781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2.140625" customWidth="1"/>
    <col min="10497" max="10497" width="43" customWidth="1"/>
    <col min="10498" max="10498" width="31" customWidth="1"/>
    <col min="10500" max="10500" width="19.425781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2.140625" customWidth="1"/>
    <col min="10753" max="10753" width="43" customWidth="1"/>
    <col min="10754" max="10754" width="31" customWidth="1"/>
    <col min="10756" max="10756" width="19.425781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2.140625" customWidth="1"/>
    <col min="11009" max="11009" width="43" customWidth="1"/>
    <col min="11010" max="11010" width="31" customWidth="1"/>
    <col min="11012" max="11012" width="19.425781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2.140625" customWidth="1"/>
    <col min="11265" max="11265" width="43" customWidth="1"/>
    <col min="11266" max="11266" width="31" customWidth="1"/>
    <col min="11268" max="11268" width="19.425781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2.140625" customWidth="1"/>
    <col min="11521" max="11521" width="43" customWidth="1"/>
    <col min="11522" max="11522" width="31" customWidth="1"/>
    <col min="11524" max="11524" width="19.425781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2.140625" customWidth="1"/>
    <col min="11777" max="11777" width="43" customWidth="1"/>
    <col min="11778" max="11778" width="31" customWidth="1"/>
    <col min="11780" max="11780" width="19.425781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2.140625" customWidth="1"/>
    <col min="12033" max="12033" width="43" customWidth="1"/>
    <col min="12034" max="12034" width="31" customWidth="1"/>
    <col min="12036" max="12036" width="19.425781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2.140625" customWidth="1"/>
    <col min="12289" max="12289" width="43" customWidth="1"/>
    <col min="12290" max="12290" width="31" customWidth="1"/>
    <col min="12292" max="12292" width="19.425781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2.140625" customWidth="1"/>
    <col min="12545" max="12545" width="43" customWidth="1"/>
    <col min="12546" max="12546" width="31" customWidth="1"/>
    <col min="12548" max="12548" width="19.425781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2.140625" customWidth="1"/>
    <col min="12801" max="12801" width="43" customWidth="1"/>
    <col min="12802" max="12802" width="31" customWidth="1"/>
    <col min="12804" max="12804" width="19.425781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2.140625" customWidth="1"/>
    <col min="13057" max="13057" width="43" customWidth="1"/>
    <col min="13058" max="13058" width="31" customWidth="1"/>
    <col min="13060" max="13060" width="19.425781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2.140625" customWidth="1"/>
    <col min="13313" max="13313" width="43" customWidth="1"/>
    <col min="13314" max="13314" width="31" customWidth="1"/>
    <col min="13316" max="13316" width="19.425781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2.140625" customWidth="1"/>
    <col min="13569" max="13569" width="43" customWidth="1"/>
    <col min="13570" max="13570" width="31" customWidth="1"/>
    <col min="13572" max="13572" width="19.425781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2.140625" customWidth="1"/>
    <col min="13825" max="13825" width="43" customWidth="1"/>
    <col min="13826" max="13826" width="31" customWidth="1"/>
    <col min="13828" max="13828" width="19.425781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2.140625" customWidth="1"/>
    <col min="14081" max="14081" width="43" customWidth="1"/>
    <col min="14082" max="14082" width="31" customWidth="1"/>
    <col min="14084" max="14084" width="19.425781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2.140625" customWidth="1"/>
    <col min="14337" max="14337" width="43" customWidth="1"/>
    <col min="14338" max="14338" width="31" customWidth="1"/>
    <col min="14340" max="14340" width="19.425781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2.140625" customWidth="1"/>
    <col min="14593" max="14593" width="43" customWidth="1"/>
    <col min="14594" max="14594" width="31" customWidth="1"/>
    <col min="14596" max="14596" width="19.425781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2.140625" customWidth="1"/>
    <col min="14849" max="14849" width="43" customWidth="1"/>
    <col min="14850" max="14850" width="31" customWidth="1"/>
    <col min="14852" max="14852" width="19.425781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2.140625" customWidth="1"/>
    <col min="15105" max="15105" width="43" customWidth="1"/>
    <col min="15106" max="15106" width="31" customWidth="1"/>
    <col min="15108" max="15108" width="19.425781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2.140625" customWidth="1"/>
    <col min="15361" max="15361" width="43" customWidth="1"/>
    <col min="15362" max="15362" width="31" customWidth="1"/>
    <col min="15364" max="15364" width="19.425781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2.140625" customWidth="1"/>
    <col min="15617" max="15617" width="43" customWidth="1"/>
    <col min="15618" max="15618" width="31" customWidth="1"/>
    <col min="15620" max="15620" width="19.425781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2.140625" customWidth="1"/>
    <col min="15873" max="15873" width="43" customWidth="1"/>
    <col min="15874" max="15874" width="31" customWidth="1"/>
    <col min="15876" max="15876" width="19.425781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2.140625" customWidth="1"/>
    <col min="16129" max="16129" width="43" customWidth="1"/>
    <col min="16130" max="16130" width="31" customWidth="1"/>
    <col min="16132" max="16132" width="19.425781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2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625" t="s">
        <v>3452</v>
      </c>
      <c r="C5" s="626"/>
      <c r="D5" s="626"/>
      <c r="E5" s="627"/>
      <c r="F5" s="326" t="s">
        <v>171</v>
      </c>
      <c r="G5" s="326"/>
      <c r="H5" s="642">
        <v>406020108010103</v>
      </c>
      <c r="I5" s="643"/>
      <c r="J5" s="326" t="s">
        <v>172</v>
      </c>
      <c r="K5" s="631">
        <v>500.12299999999999</v>
      </c>
      <c r="L5" s="326" t="s">
        <v>436</v>
      </c>
      <c r="M5" s="326"/>
      <c r="N5" s="631"/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625" t="s">
        <v>3453</v>
      </c>
      <c r="C7" s="626"/>
      <c r="D7" s="626"/>
      <c r="E7" s="627"/>
      <c r="F7" s="628" t="s">
        <v>3208</v>
      </c>
      <c r="G7" s="628"/>
      <c r="H7" s="625" t="s">
        <v>3454</v>
      </c>
      <c r="I7" s="626"/>
      <c r="J7" s="627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" customHeight="1">
      <c r="A9" s="326" t="s">
        <v>178</v>
      </c>
      <c r="B9" s="625" t="s">
        <v>3455</v>
      </c>
      <c r="C9" s="626"/>
      <c r="D9" s="626"/>
      <c r="E9" s="627"/>
      <c r="F9" s="1601" t="s">
        <v>3205</v>
      </c>
      <c r="G9" s="1629"/>
      <c r="H9" s="1631" t="s">
        <v>3456</v>
      </c>
      <c r="I9" s="1632"/>
      <c r="J9" s="1632"/>
      <c r="K9" s="1632"/>
      <c r="L9" s="1632"/>
      <c r="M9" s="1633"/>
      <c r="N9" s="326"/>
    </row>
    <row r="10" spans="1:14" ht="21" customHeight="1">
      <c r="A10" s="326"/>
      <c r="B10" s="637"/>
      <c r="C10" s="637"/>
      <c r="D10" s="637"/>
      <c r="E10" s="637"/>
      <c r="F10" s="1630"/>
      <c r="G10" s="1630"/>
      <c r="H10" s="1634"/>
      <c r="I10" s="1635"/>
      <c r="J10" s="1635"/>
      <c r="K10" s="1635"/>
      <c r="L10" s="1635"/>
      <c r="M10" s="1636"/>
      <c r="N10" s="326"/>
    </row>
    <row r="11" spans="1:14" ht="21" customHeight="1">
      <c r="A11" s="326"/>
      <c r="B11" s="637"/>
      <c r="C11" s="637"/>
      <c r="D11" s="637"/>
      <c r="E11" s="637"/>
      <c r="F11" s="1630"/>
      <c r="G11" s="1630"/>
      <c r="H11" s="1637"/>
      <c r="I11" s="1638"/>
      <c r="J11" s="1638"/>
      <c r="K11" s="1638"/>
      <c r="L11" s="1638"/>
      <c r="M11" s="1639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623" t="s">
        <v>3457</v>
      </c>
      <c r="C13" s="623"/>
      <c r="D13" s="623" t="s">
        <v>3458</v>
      </c>
      <c r="E13" s="623"/>
      <c r="F13" s="623"/>
      <c r="G13" s="623" t="s">
        <v>3459</v>
      </c>
      <c r="H13" s="623"/>
      <c r="I13" s="623"/>
      <c r="J13" s="623" t="s">
        <v>3460</v>
      </c>
      <c r="K13" s="623"/>
      <c r="L13" s="623"/>
      <c r="M13" s="623"/>
      <c r="N13" s="326"/>
    </row>
    <row r="14" spans="1:14">
      <c r="A14" s="631" t="s">
        <v>187</v>
      </c>
      <c r="B14" s="623" t="s">
        <v>3461</v>
      </c>
      <c r="C14" s="623"/>
      <c r="D14" s="623" t="s">
        <v>3462</v>
      </c>
      <c r="E14" s="623"/>
      <c r="F14" s="623"/>
      <c r="G14" s="623" t="s">
        <v>3463</v>
      </c>
      <c r="H14" s="623"/>
      <c r="I14" s="623"/>
      <c r="J14" s="623" t="s">
        <v>3464</v>
      </c>
      <c r="K14" s="623"/>
      <c r="L14" s="623"/>
      <c r="M14" s="623"/>
      <c r="N14" s="326"/>
    </row>
    <row r="15" spans="1:14">
      <c r="A15" s="631" t="s">
        <v>192</v>
      </c>
      <c r="B15" s="623" t="s">
        <v>3465</v>
      </c>
      <c r="C15" s="623"/>
      <c r="D15" s="623" t="s">
        <v>3466</v>
      </c>
      <c r="E15" s="623"/>
      <c r="F15" s="623"/>
      <c r="G15" s="623" t="s">
        <v>3467</v>
      </c>
      <c r="H15" s="623"/>
      <c r="I15" s="623"/>
      <c r="J15" s="623" t="s">
        <v>3468</v>
      </c>
      <c r="K15" s="623"/>
      <c r="L15" s="623"/>
      <c r="M15" s="623"/>
      <c r="N15" s="326"/>
    </row>
    <row r="16" spans="1:14">
      <c r="A16" s="631" t="s">
        <v>197</v>
      </c>
      <c r="B16" s="623" t="s">
        <v>3469</v>
      </c>
      <c r="C16" s="623"/>
      <c r="D16" s="623"/>
      <c r="E16" s="623"/>
      <c r="F16" s="623"/>
      <c r="G16" s="623" t="s">
        <v>3470</v>
      </c>
      <c r="H16" s="623"/>
      <c r="I16" s="623"/>
      <c r="J16" s="623" t="s">
        <v>3471</v>
      </c>
      <c r="K16" s="623"/>
      <c r="L16" s="623"/>
      <c r="M16" s="623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5</v>
      </c>
      <c r="C18" s="326" t="s">
        <v>199</v>
      </c>
      <c r="D18" s="326"/>
      <c r="E18" s="326"/>
      <c r="F18" s="631">
        <v>4</v>
      </c>
      <c r="G18" s="326" t="s">
        <v>200</v>
      </c>
      <c r="H18" s="632">
        <v>20</v>
      </c>
      <c r="I18" s="326" t="s">
        <v>201</v>
      </c>
      <c r="J18" s="632">
        <v>2</v>
      </c>
      <c r="K18" s="326" t="s">
        <v>202</v>
      </c>
      <c r="L18" s="631">
        <v>3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162</v>
      </c>
      <c r="D21" s="326" t="s">
        <v>205</v>
      </c>
      <c r="E21" s="631">
        <v>52</v>
      </c>
      <c r="F21" s="326" t="s">
        <v>206</v>
      </c>
      <c r="G21" s="80">
        <v>64</v>
      </c>
      <c r="H21" s="326" t="s">
        <v>230</v>
      </c>
      <c r="I21" s="80">
        <v>278</v>
      </c>
      <c r="J21" s="326" t="s">
        <v>207</v>
      </c>
      <c r="K21" s="631">
        <v>200</v>
      </c>
      <c r="L21" s="326" t="s">
        <v>3187</v>
      </c>
      <c r="M21" s="326"/>
      <c r="N21" s="631"/>
    </row>
    <row r="22" spans="1:14">
      <c r="A22" s="326" t="s">
        <v>209</v>
      </c>
      <c r="B22" s="326" t="s">
        <v>210</v>
      </c>
      <c r="C22" s="631">
        <v>412</v>
      </c>
      <c r="D22" s="326" t="s">
        <v>211</v>
      </c>
      <c r="E22" s="631">
        <v>127</v>
      </c>
      <c r="F22" s="326" t="s">
        <v>212</v>
      </c>
      <c r="G22" s="631">
        <v>46</v>
      </c>
      <c r="H22" s="326" t="s">
        <v>411</v>
      </c>
      <c r="I22" s="80">
        <v>585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443</v>
      </c>
      <c r="D23" s="326" t="s">
        <v>214</v>
      </c>
      <c r="E23" s="631">
        <v>101</v>
      </c>
      <c r="F23" s="326" t="s">
        <v>215</v>
      </c>
      <c r="G23" s="631">
        <v>58</v>
      </c>
      <c r="H23" s="326" t="s">
        <v>410</v>
      </c>
      <c r="I23" s="80">
        <v>604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>
      <c r="A27" s="631" t="s">
        <v>217</v>
      </c>
      <c r="B27" s="632" t="s">
        <v>218</v>
      </c>
      <c r="C27" s="632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5" customHeight="1">
      <c r="A28" s="631"/>
      <c r="B28" s="632"/>
      <c r="C28" s="632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8060</v>
      </c>
      <c r="C29" s="322" t="s">
        <v>233</v>
      </c>
      <c r="D29" s="335">
        <v>4030991.38</v>
      </c>
      <c r="E29" s="335">
        <v>146500</v>
      </c>
      <c r="F29" s="335"/>
      <c r="G29" s="335">
        <v>100337</v>
      </c>
      <c r="H29" s="335"/>
      <c r="I29" s="335"/>
      <c r="J29" s="335"/>
      <c r="K29" s="335"/>
      <c r="L29" s="335"/>
      <c r="M29" s="322">
        <f>SUM(F29:L29)</f>
        <v>100337</v>
      </c>
      <c r="N29" s="323">
        <f>+M29/E29*100</f>
        <v>68.489419795221835</v>
      </c>
    </row>
    <row r="30" spans="1:14">
      <c r="A30" s="322" t="s">
        <v>234</v>
      </c>
      <c r="B30" s="322">
        <v>1120</v>
      </c>
      <c r="C30" s="322" t="s">
        <v>233</v>
      </c>
      <c r="D30" s="335">
        <v>560137.76</v>
      </c>
      <c r="E30" s="335"/>
      <c r="F30" s="335"/>
      <c r="G30" s="335"/>
      <c r="H30" s="335"/>
      <c r="I30" s="335"/>
      <c r="J30" s="335"/>
      <c r="K30" s="335"/>
      <c r="L30" s="335"/>
      <c r="M30" s="322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86</v>
      </c>
      <c r="C31" s="322" t="s">
        <v>236</v>
      </c>
      <c r="D31" s="335">
        <v>43010.578000000001</v>
      </c>
      <c r="E31" s="335">
        <v>18000</v>
      </c>
      <c r="F31" s="335"/>
      <c r="G31" s="335"/>
      <c r="H31" s="335"/>
      <c r="I31" s="335"/>
      <c r="J31" s="335"/>
      <c r="K31" s="335"/>
      <c r="L31" s="335"/>
      <c r="M31" s="322">
        <f t="shared" si="0"/>
        <v>0</v>
      </c>
      <c r="N31" s="323">
        <f t="shared" ref="N31:N38" si="1">+M31/E31*100</f>
        <v>0</v>
      </c>
    </row>
    <row r="32" spans="1:14">
      <c r="A32" s="322" t="s">
        <v>237</v>
      </c>
      <c r="B32" s="322">
        <v>68</v>
      </c>
      <c r="C32" s="322" t="s">
        <v>236</v>
      </c>
      <c r="D32" s="335">
        <v>34008.364000000001</v>
      </c>
      <c r="E32" s="335">
        <v>16000</v>
      </c>
      <c r="F32" s="335"/>
      <c r="G32" s="335"/>
      <c r="H32" s="335"/>
      <c r="I32" s="335"/>
      <c r="J32" s="335"/>
      <c r="K32" s="335"/>
      <c r="L32" s="335"/>
      <c r="M32" s="322">
        <f t="shared" si="0"/>
        <v>0</v>
      </c>
      <c r="N32" s="323">
        <f t="shared" si="1"/>
        <v>0</v>
      </c>
    </row>
    <row r="33" spans="1:14">
      <c r="A33" s="322" t="s">
        <v>238</v>
      </c>
      <c r="B33" s="322">
        <v>1200</v>
      </c>
      <c r="C33" s="322" t="s">
        <v>233</v>
      </c>
      <c r="D33" s="335">
        <v>600147.6</v>
      </c>
      <c r="E33" s="335">
        <v>200000</v>
      </c>
      <c r="F33" s="335"/>
      <c r="G33" s="335">
        <v>152291</v>
      </c>
      <c r="H33" s="335"/>
      <c r="I33" s="335"/>
      <c r="J33" s="335"/>
      <c r="K33" s="335"/>
      <c r="L33" s="335"/>
      <c r="M33" s="322">
        <f t="shared" si="0"/>
        <v>152291</v>
      </c>
      <c r="N33" s="323">
        <f t="shared" si="1"/>
        <v>76.145499999999998</v>
      </c>
    </row>
    <row r="34" spans="1:14">
      <c r="A34" s="322" t="s">
        <v>667</v>
      </c>
      <c r="B34" s="322">
        <v>565</v>
      </c>
      <c r="C34" s="322" t="s">
        <v>233</v>
      </c>
      <c r="D34" s="335">
        <v>282569.495</v>
      </c>
      <c r="E34" s="335">
        <v>152012</v>
      </c>
      <c r="F34" s="335"/>
      <c r="G34" s="335"/>
      <c r="H34" s="335"/>
      <c r="I34" s="335"/>
      <c r="J34" s="335"/>
      <c r="K34" s="335"/>
      <c r="L34" s="335"/>
      <c r="M34" s="322">
        <f t="shared" si="0"/>
        <v>0</v>
      </c>
      <c r="N34" s="323">
        <f t="shared" si="1"/>
        <v>0</v>
      </c>
    </row>
    <row r="35" spans="1:14">
      <c r="A35" s="322" t="s">
        <v>240</v>
      </c>
      <c r="B35" s="322">
        <v>1000</v>
      </c>
      <c r="C35" s="322" t="s">
        <v>233</v>
      </c>
      <c r="D35" s="335">
        <v>500123</v>
      </c>
      <c r="E35" s="335"/>
      <c r="F35" s="335"/>
      <c r="G35" s="335"/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v>231000</v>
      </c>
      <c r="E36" s="335">
        <v>30250</v>
      </c>
      <c r="F36" s="335"/>
      <c r="G36" s="335">
        <v>11900</v>
      </c>
      <c r="H36" s="335"/>
      <c r="I36" s="335"/>
      <c r="J36" s="335"/>
      <c r="K36" s="335"/>
      <c r="L36" s="335"/>
      <c r="M36" s="322">
        <f t="shared" si="0"/>
        <v>11900</v>
      </c>
      <c r="N36" s="323">
        <f t="shared" si="1"/>
        <v>39.33884297520661</v>
      </c>
    </row>
    <row r="37" spans="1:14">
      <c r="A37" s="324" t="s">
        <v>670</v>
      </c>
      <c r="B37" s="322">
        <v>0</v>
      </c>
      <c r="C37" s="324" t="s">
        <v>244</v>
      </c>
      <c r="D37" s="335">
        <f>B37/100000</f>
        <v>0</v>
      </c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>
        <f>SUM(B29:B37)</f>
        <v>14849</v>
      </c>
      <c r="C38" s="322"/>
      <c r="D38" s="653">
        <f>SUM(D29:D37)</f>
        <v>6281988.1769999992</v>
      </c>
      <c r="E38" s="653">
        <f>SUM(E29:E37)</f>
        <v>562762</v>
      </c>
      <c r="F38" s="653">
        <f t="shared" ref="F38:L38" si="2">SUM(F29:F37)</f>
        <v>0</v>
      </c>
      <c r="G38" s="653">
        <f t="shared" si="2"/>
        <v>264528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264528</v>
      </c>
      <c r="N38" s="323">
        <f t="shared" si="1"/>
        <v>47.005305973040109</v>
      </c>
    </row>
    <row r="39" spans="1:14">
      <c r="A39" s="332"/>
      <c r="B39" s="332"/>
      <c r="E39" s="332"/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  <c r="E42" s="332"/>
    </row>
  </sheetData>
  <mergeCells count="8">
    <mergeCell ref="D27:D28"/>
    <mergeCell ref="E27:E28"/>
    <mergeCell ref="F27:N27"/>
    <mergeCell ref="A1:N1"/>
    <mergeCell ref="A2:N2"/>
    <mergeCell ref="A3:C3"/>
    <mergeCell ref="F9:G11"/>
    <mergeCell ref="H9:M11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47" header="0.39" footer="0.31496062992126"/>
  <pageSetup paperSize="9" scale="60" orientation="landscape" r:id="rId1"/>
  <headerFooter>
    <oddFooter>&amp;L&amp;9&amp;F&amp;R&amp;9&amp;A</oddFooter>
  </headerFooter>
</worksheet>
</file>

<file path=xl/worksheets/sheet327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N42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4" max="4" width="19.425781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2.140625" customWidth="1"/>
    <col min="257" max="257" width="43" customWidth="1"/>
    <col min="258" max="258" width="31" customWidth="1"/>
    <col min="260" max="260" width="19.425781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2.140625" customWidth="1"/>
    <col min="513" max="513" width="43" customWidth="1"/>
    <col min="514" max="514" width="31" customWidth="1"/>
    <col min="516" max="516" width="19.425781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2.140625" customWidth="1"/>
    <col min="769" max="769" width="43" customWidth="1"/>
    <col min="770" max="770" width="31" customWidth="1"/>
    <col min="772" max="772" width="19.425781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2.140625" customWidth="1"/>
    <col min="1025" max="1025" width="43" customWidth="1"/>
    <col min="1026" max="1026" width="31" customWidth="1"/>
    <col min="1028" max="1028" width="19.425781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2.140625" customWidth="1"/>
    <col min="1281" max="1281" width="43" customWidth="1"/>
    <col min="1282" max="1282" width="31" customWidth="1"/>
    <col min="1284" max="1284" width="19.425781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2.140625" customWidth="1"/>
    <col min="1537" max="1537" width="43" customWidth="1"/>
    <col min="1538" max="1538" width="31" customWidth="1"/>
    <col min="1540" max="1540" width="19.425781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2.140625" customWidth="1"/>
    <col min="1793" max="1793" width="43" customWidth="1"/>
    <col min="1794" max="1794" width="31" customWidth="1"/>
    <col min="1796" max="1796" width="19.425781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2.140625" customWidth="1"/>
    <col min="2049" max="2049" width="43" customWidth="1"/>
    <col min="2050" max="2050" width="31" customWidth="1"/>
    <col min="2052" max="2052" width="19.425781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2.140625" customWidth="1"/>
    <col min="2305" max="2305" width="43" customWidth="1"/>
    <col min="2306" max="2306" width="31" customWidth="1"/>
    <col min="2308" max="2308" width="19.425781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2.140625" customWidth="1"/>
    <col min="2561" max="2561" width="43" customWidth="1"/>
    <col min="2562" max="2562" width="31" customWidth="1"/>
    <col min="2564" max="2564" width="19.425781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2.140625" customWidth="1"/>
    <col min="2817" max="2817" width="43" customWidth="1"/>
    <col min="2818" max="2818" width="31" customWidth="1"/>
    <col min="2820" max="2820" width="19.425781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2.140625" customWidth="1"/>
    <col min="3073" max="3073" width="43" customWidth="1"/>
    <col min="3074" max="3074" width="31" customWidth="1"/>
    <col min="3076" max="3076" width="19.425781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2.140625" customWidth="1"/>
    <col min="3329" max="3329" width="43" customWidth="1"/>
    <col min="3330" max="3330" width="31" customWidth="1"/>
    <col min="3332" max="3332" width="19.425781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2.140625" customWidth="1"/>
    <col min="3585" max="3585" width="43" customWidth="1"/>
    <col min="3586" max="3586" width="31" customWidth="1"/>
    <col min="3588" max="3588" width="19.425781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2.140625" customWidth="1"/>
    <col min="3841" max="3841" width="43" customWidth="1"/>
    <col min="3842" max="3842" width="31" customWidth="1"/>
    <col min="3844" max="3844" width="19.425781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2.140625" customWidth="1"/>
    <col min="4097" max="4097" width="43" customWidth="1"/>
    <col min="4098" max="4098" width="31" customWidth="1"/>
    <col min="4100" max="4100" width="19.425781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2.140625" customWidth="1"/>
    <col min="4353" max="4353" width="43" customWidth="1"/>
    <col min="4354" max="4354" width="31" customWidth="1"/>
    <col min="4356" max="4356" width="19.425781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2.140625" customWidth="1"/>
    <col min="4609" max="4609" width="43" customWidth="1"/>
    <col min="4610" max="4610" width="31" customWidth="1"/>
    <col min="4612" max="4612" width="19.425781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2.140625" customWidth="1"/>
    <col min="4865" max="4865" width="43" customWidth="1"/>
    <col min="4866" max="4866" width="31" customWidth="1"/>
    <col min="4868" max="4868" width="19.425781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2.140625" customWidth="1"/>
    <col min="5121" max="5121" width="43" customWidth="1"/>
    <col min="5122" max="5122" width="31" customWidth="1"/>
    <col min="5124" max="5124" width="19.425781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2.140625" customWidth="1"/>
    <col min="5377" max="5377" width="43" customWidth="1"/>
    <col min="5378" max="5378" width="31" customWidth="1"/>
    <col min="5380" max="5380" width="19.425781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2.140625" customWidth="1"/>
    <col min="5633" max="5633" width="43" customWidth="1"/>
    <col min="5634" max="5634" width="31" customWidth="1"/>
    <col min="5636" max="5636" width="19.425781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2.140625" customWidth="1"/>
    <col min="5889" max="5889" width="43" customWidth="1"/>
    <col min="5890" max="5890" width="31" customWidth="1"/>
    <col min="5892" max="5892" width="19.425781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2.140625" customWidth="1"/>
    <col min="6145" max="6145" width="43" customWidth="1"/>
    <col min="6146" max="6146" width="31" customWidth="1"/>
    <col min="6148" max="6148" width="19.425781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2.140625" customWidth="1"/>
    <col min="6401" max="6401" width="43" customWidth="1"/>
    <col min="6402" max="6402" width="31" customWidth="1"/>
    <col min="6404" max="6404" width="19.425781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2.140625" customWidth="1"/>
    <col min="6657" max="6657" width="43" customWidth="1"/>
    <col min="6658" max="6658" width="31" customWidth="1"/>
    <col min="6660" max="6660" width="19.425781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2.140625" customWidth="1"/>
    <col min="6913" max="6913" width="43" customWidth="1"/>
    <col min="6914" max="6914" width="31" customWidth="1"/>
    <col min="6916" max="6916" width="19.425781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2.140625" customWidth="1"/>
    <col min="7169" max="7169" width="43" customWidth="1"/>
    <col min="7170" max="7170" width="31" customWidth="1"/>
    <col min="7172" max="7172" width="19.425781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2.140625" customWidth="1"/>
    <col min="7425" max="7425" width="43" customWidth="1"/>
    <col min="7426" max="7426" width="31" customWidth="1"/>
    <col min="7428" max="7428" width="19.425781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2.140625" customWidth="1"/>
    <col min="7681" max="7681" width="43" customWidth="1"/>
    <col min="7682" max="7682" width="31" customWidth="1"/>
    <col min="7684" max="7684" width="19.425781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2.140625" customWidth="1"/>
    <col min="7937" max="7937" width="43" customWidth="1"/>
    <col min="7938" max="7938" width="31" customWidth="1"/>
    <col min="7940" max="7940" width="19.425781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2.140625" customWidth="1"/>
    <col min="8193" max="8193" width="43" customWidth="1"/>
    <col min="8194" max="8194" width="31" customWidth="1"/>
    <col min="8196" max="8196" width="19.425781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2.140625" customWidth="1"/>
    <col min="8449" max="8449" width="43" customWidth="1"/>
    <col min="8450" max="8450" width="31" customWidth="1"/>
    <col min="8452" max="8452" width="19.425781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2.140625" customWidth="1"/>
    <col min="8705" max="8705" width="43" customWidth="1"/>
    <col min="8706" max="8706" width="31" customWidth="1"/>
    <col min="8708" max="8708" width="19.425781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2.140625" customWidth="1"/>
    <col min="8961" max="8961" width="43" customWidth="1"/>
    <col min="8962" max="8962" width="31" customWidth="1"/>
    <col min="8964" max="8964" width="19.425781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2.140625" customWidth="1"/>
    <col min="9217" max="9217" width="43" customWidth="1"/>
    <col min="9218" max="9218" width="31" customWidth="1"/>
    <col min="9220" max="9220" width="19.425781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2.140625" customWidth="1"/>
    <col min="9473" max="9473" width="43" customWidth="1"/>
    <col min="9474" max="9474" width="31" customWidth="1"/>
    <col min="9476" max="9476" width="19.425781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2.140625" customWidth="1"/>
    <col min="9729" max="9729" width="43" customWidth="1"/>
    <col min="9730" max="9730" width="31" customWidth="1"/>
    <col min="9732" max="9732" width="19.425781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2.140625" customWidth="1"/>
    <col min="9985" max="9985" width="43" customWidth="1"/>
    <col min="9986" max="9986" width="31" customWidth="1"/>
    <col min="9988" max="9988" width="19.425781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2.140625" customWidth="1"/>
    <col min="10241" max="10241" width="43" customWidth="1"/>
    <col min="10242" max="10242" width="31" customWidth="1"/>
    <col min="10244" max="10244" width="19.425781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2.140625" customWidth="1"/>
    <col min="10497" max="10497" width="43" customWidth="1"/>
    <col min="10498" max="10498" width="31" customWidth="1"/>
    <col min="10500" max="10500" width="19.425781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2.140625" customWidth="1"/>
    <col min="10753" max="10753" width="43" customWidth="1"/>
    <col min="10754" max="10754" width="31" customWidth="1"/>
    <col min="10756" max="10756" width="19.425781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2.140625" customWidth="1"/>
    <col min="11009" max="11009" width="43" customWidth="1"/>
    <col min="11010" max="11010" width="31" customWidth="1"/>
    <col min="11012" max="11012" width="19.425781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2.140625" customWidth="1"/>
    <col min="11265" max="11265" width="43" customWidth="1"/>
    <col min="11266" max="11266" width="31" customWidth="1"/>
    <col min="11268" max="11268" width="19.425781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2.140625" customWidth="1"/>
    <col min="11521" max="11521" width="43" customWidth="1"/>
    <col min="11522" max="11522" width="31" customWidth="1"/>
    <col min="11524" max="11524" width="19.425781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2.140625" customWidth="1"/>
    <col min="11777" max="11777" width="43" customWidth="1"/>
    <col min="11778" max="11778" width="31" customWidth="1"/>
    <col min="11780" max="11780" width="19.425781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2.140625" customWidth="1"/>
    <col min="12033" max="12033" width="43" customWidth="1"/>
    <col min="12034" max="12034" width="31" customWidth="1"/>
    <col min="12036" max="12036" width="19.425781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2.140625" customWidth="1"/>
    <col min="12289" max="12289" width="43" customWidth="1"/>
    <col min="12290" max="12290" width="31" customWidth="1"/>
    <col min="12292" max="12292" width="19.425781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2.140625" customWidth="1"/>
    <col min="12545" max="12545" width="43" customWidth="1"/>
    <col min="12546" max="12546" width="31" customWidth="1"/>
    <col min="12548" max="12548" width="19.425781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2.140625" customWidth="1"/>
    <col min="12801" max="12801" width="43" customWidth="1"/>
    <col min="12802" max="12802" width="31" customWidth="1"/>
    <col min="12804" max="12804" width="19.425781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2.140625" customWidth="1"/>
    <col min="13057" max="13057" width="43" customWidth="1"/>
    <col min="13058" max="13058" width="31" customWidth="1"/>
    <col min="13060" max="13060" width="19.425781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2.140625" customWidth="1"/>
    <col min="13313" max="13313" width="43" customWidth="1"/>
    <col min="13314" max="13314" width="31" customWidth="1"/>
    <col min="13316" max="13316" width="19.425781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2.140625" customWidth="1"/>
    <col min="13569" max="13569" width="43" customWidth="1"/>
    <col min="13570" max="13570" width="31" customWidth="1"/>
    <col min="13572" max="13572" width="19.425781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2.140625" customWidth="1"/>
    <col min="13825" max="13825" width="43" customWidth="1"/>
    <col min="13826" max="13826" width="31" customWidth="1"/>
    <col min="13828" max="13828" width="19.425781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2.140625" customWidth="1"/>
    <col min="14081" max="14081" width="43" customWidth="1"/>
    <col min="14082" max="14082" width="31" customWidth="1"/>
    <col min="14084" max="14084" width="19.425781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2.140625" customWidth="1"/>
    <col min="14337" max="14337" width="43" customWidth="1"/>
    <col min="14338" max="14338" width="31" customWidth="1"/>
    <col min="14340" max="14340" width="19.425781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2.140625" customWidth="1"/>
    <col min="14593" max="14593" width="43" customWidth="1"/>
    <col min="14594" max="14594" width="31" customWidth="1"/>
    <col min="14596" max="14596" width="19.425781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2.140625" customWidth="1"/>
    <col min="14849" max="14849" width="43" customWidth="1"/>
    <col min="14850" max="14850" width="31" customWidth="1"/>
    <col min="14852" max="14852" width="19.425781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2.140625" customWidth="1"/>
    <col min="15105" max="15105" width="43" customWidth="1"/>
    <col min="15106" max="15106" width="31" customWidth="1"/>
    <col min="15108" max="15108" width="19.425781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2.140625" customWidth="1"/>
    <col min="15361" max="15361" width="43" customWidth="1"/>
    <col min="15362" max="15362" width="31" customWidth="1"/>
    <col min="15364" max="15364" width="19.425781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2.140625" customWidth="1"/>
    <col min="15617" max="15617" width="43" customWidth="1"/>
    <col min="15618" max="15618" width="31" customWidth="1"/>
    <col min="15620" max="15620" width="19.425781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2.140625" customWidth="1"/>
    <col min="15873" max="15873" width="43" customWidth="1"/>
    <col min="15874" max="15874" width="31" customWidth="1"/>
    <col min="15876" max="15876" width="19.425781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2.140625" customWidth="1"/>
    <col min="16129" max="16129" width="43" customWidth="1"/>
    <col min="16130" max="16130" width="31" customWidth="1"/>
    <col min="16132" max="16132" width="19.425781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2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625" t="s">
        <v>3472</v>
      </c>
      <c r="C5" s="626"/>
      <c r="D5" s="626"/>
      <c r="E5" s="627"/>
      <c r="F5" s="326" t="s">
        <v>171</v>
      </c>
      <c r="G5" s="326"/>
      <c r="H5" s="642">
        <v>406020108100202</v>
      </c>
      <c r="I5" s="643"/>
      <c r="J5" s="326" t="s">
        <v>172</v>
      </c>
      <c r="K5" s="631">
        <v>510.471</v>
      </c>
      <c r="L5" s="326" t="s">
        <v>436</v>
      </c>
      <c r="M5" s="326"/>
      <c r="N5" s="631"/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625" t="s">
        <v>3473</v>
      </c>
      <c r="C7" s="626"/>
      <c r="D7" s="626"/>
      <c r="E7" s="627"/>
      <c r="F7" s="628" t="s">
        <v>3208</v>
      </c>
      <c r="G7" s="628"/>
      <c r="H7" s="625" t="s">
        <v>3474</v>
      </c>
      <c r="I7" s="626"/>
      <c r="J7" s="627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625" t="s">
        <v>3475</v>
      </c>
      <c r="C9" s="626"/>
      <c r="D9" s="626"/>
      <c r="E9" s="627"/>
      <c r="F9" s="629" t="s">
        <v>3205</v>
      </c>
      <c r="G9" s="630"/>
      <c r="H9" s="633" t="s">
        <v>3476</v>
      </c>
      <c r="I9" s="634"/>
      <c r="J9" s="634"/>
      <c r="K9" s="635"/>
      <c r="L9" s="326"/>
      <c r="M9" s="326"/>
      <c r="N9" s="326"/>
    </row>
    <row r="10" spans="1:14">
      <c r="A10" s="326"/>
      <c r="B10" s="637"/>
      <c r="C10" s="637"/>
      <c r="D10" s="637"/>
      <c r="E10" s="637"/>
      <c r="F10" s="629"/>
      <c r="G10" s="630"/>
      <c r="H10" s="636"/>
      <c r="I10" s="637"/>
      <c r="J10" s="637"/>
      <c r="K10" s="63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629"/>
      <c r="G11" s="630"/>
      <c r="H11" s="639"/>
      <c r="I11" s="640"/>
      <c r="J11" s="640"/>
      <c r="K11" s="64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623" t="s">
        <v>3477</v>
      </c>
      <c r="C13" s="623"/>
      <c r="D13" s="623" t="s">
        <v>3478</v>
      </c>
      <c r="E13" s="623"/>
      <c r="F13" s="623"/>
      <c r="G13" s="623" t="s">
        <v>3479</v>
      </c>
      <c r="H13" s="623"/>
      <c r="I13" s="623"/>
      <c r="J13" s="623"/>
      <c r="K13" s="623"/>
      <c r="L13" s="623"/>
      <c r="M13" s="623"/>
      <c r="N13" s="326"/>
    </row>
    <row r="14" spans="1:14">
      <c r="A14" s="631" t="s">
        <v>187</v>
      </c>
      <c r="B14" s="623" t="s">
        <v>3480</v>
      </c>
      <c r="C14" s="623"/>
      <c r="D14" s="623" t="s">
        <v>3481</v>
      </c>
      <c r="E14" s="623"/>
      <c r="F14" s="623"/>
      <c r="G14" s="623" t="s">
        <v>3482</v>
      </c>
      <c r="H14" s="623"/>
      <c r="I14" s="623"/>
      <c r="J14" s="623"/>
      <c r="K14" s="623"/>
      <c r="L14" s="623"/>
      <c r="M14" s="623"/>
      <c r="N14" s="326"/>
    </row>
    <row r="15" spans="1:14">
      <c r="A15" s="631" t="s">
        <v>192</v>
      </c>
      <c r="B15" s="623" t="s">
        <v>3483</v>
      </c>
      <c r="C15" s="623"/>
      <c r="D15" s="623" t="s">
        <v>3484</v>
      </c>
      <c r="E15" s="623"/>
      <c r="F15" s="623"/>
      <c r="G15" s="623" t="s">
        <v>3485</v>
      </c>
      <c r="H15" s="623"/>
      <c r="I15" s="623"/>
      <c r="J15" s="623"/>
      <c r="K15" s="623"/>
      <c r="L15" s="623"/>
      <c r="M15" s="623"/>
      <c r="N15" s="326"/>
    </row>
    <row r="16" spans="1:14">
      <c r="A16" s="631" t="s">
        <v>197</v>
      </c>
      <c r="B16" s="623" t="s">
        <v>3473</v>
      </c>
      <c r="C16" s="623"/>
      <c r="D16" s="623"/>
      <c r="E16" s="623"/>
      <c r="F16" s="623"/>
      <c r="G16" s="623"/>
      <c r="H16" s="623"/>
      <c r="I16" s="623"/>
      <c r="J16" s="623"/>
      <c r="K16" s="623"/>
      <c r="L16" s="623"/>
      <c r="M16" s="623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3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6</v>
      </c>
      <c r="I18" s="326" t="s">
        <v>201</v>
      </c>
      <c r="J18" s="632">
        <v>2</v>
      </c>
      <c r="K18" s="326" t="s">
        <v>202</v>
      </c>
      <c r="L18" s="631">
        <v>4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222</v>
      </c>
      <c r="D21" s="326" t="s">
        <v>205</v>
      </c>
      <c r="E21" s="631">
        <v>0</v>
      </c>
      <c r="F21" s="326" t="s">
        <v>206</v>
      </c>
      <c r="G21" s="80">
        <v>0</v>
      </c>
      <c r="H21" s="326" t="s">
        <v>230</v>
      </c>
      <c r="I21" s="80">
        <v>222</v>
      </c>
      <c r="J21" s="326" t="s">
        <v>207</v>
      </c>
      <c r="K21" s="631">
        <v>44</v>
      </c>
      <c r="L21" s="326" t="s">
        <v>3187</v>
      </c>
      <c r="M21" s="326"/>
      <c r="N21" s="631">
        <v>4</v>
      </c>
    </row>
    <row r="22" spans="1:14">
      <c r="A22" s="326" t="s">
        <v>209</v>
      </c>
      <c r="B22" s="326" t="s">
        <v>210</v>
      </c>
      <c r="C22" s="631">
        <v>322</v>
      </c>
      <c r="D22" s="326" t="s">
        <v>211</v>
      </c>
      <c r="E22" s="631">
        <v>0</v>
      </c>
      <c r="F22" s="326" t="s">
        <v>212</v>
      </c>
      <c r="G22" s="631">
        <v>0</v>
      </c>
      <c r="H22" s="326" t="s">
        <v>411</v>
      </c>
      <c r="I22" s="80">
        <v>322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334</v>
      </c>
      <c r="D23" s="326" t="s">
        <v>214</v>
      </c>
      <c r="E23" s="631">
        <v>0</v>
      </c>
      <c r="F23" s="326" t="s">
        <v>215</v>
      </c>
      <c r="G23" s="631">
        <v>0</v>
      </c>
      <c r="H23" s="326" t="s">
        <v>410</v>
      </c>
      <c r="I23" s="80">
        <v>334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631" t="s">
        <v>217</v>
      </c>
      <c r="B27" s="632" t="s">
        <v>218</v>
      </c>
      <c r="C27" s="632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631"/>
      <c r="B28" s="632"/>
      <c r="C28" s="632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8060</v>
      </c>
      <c r="C29" s="322" t="s">
        <v>233</v>
      </c>
      <c r="D29" s="335">
        <f>+K5*B29</f>
        <v>4114396.2600000002</v>
      </c>
      <c r="E29" s="335">
        <v>146500</v>
      </c>
      <c r="F29" s="335"/>
      <c r="G29" s="335">
        <v>114830</v>
      </c>
      <c r="H29" s="335"/>
      <c r="I29" s="335"/>
      <c r="J29" s="335"/>
      <c r="K29" s="335"/>
      <c r="L29" s="335"/>
      <c r="M29" s="335">
        <f>SUM(F29:L29)</f>
        <v>114830</v>
      </c>
      <c r="N29" s="323">
        <f>+M29/E29*100</f>
        <v>78.382252559726965</v>
      </c>
    </row>
    <row r="30" spans="1:14">
      <c r="A30" s="322" t="s">
        <v>234</v>
      </c>
      <c r="B30" s="322">
        <v>1120</v>
      </c>
      <c r="C30" s="322" t="s">
        <v>233</v>
      </c>
      <c r="D30" s="335">
        <v>571727.52</v>
      </c>
      <c r="E30" s="335"/>
      <c r="F30" s="335"/>
      <c r="G30" s="335"/>
      <c r="H30" s="335"/>
      <c r="I30" s="335"/>
      <c r="J30" s="335"/>
      <c r="K30" s="335"/>
      <c r="L30" s="335"/>
      <c r="M30" s="335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86</v>
      </c>
      <c r="C31" s="322" t="s">
        <v>236</v>
      </c>
      <c r="D31" s="335">
        <v>43900.506000000001</v>
      </c>
      <c r="E31" s="335">
        <v>18000</v>
      </c>
      <c r="F31" s="335"/>
      <c r="G31" s="335"/>
      <c r="H31" s="335"/>
      <c r="I31" s="335"/>
      <c r="J31" s="335"/>
      <c r="K31" s="335"/>
      <c r="L31" s="335"/>
      <c r="M31" s="335">
        <f t="shared" si="0"/>
        <v>0</v>
      </c>
      <c r="N31" s="323">
        <f t="shared" ref="N31:N38" si="1">+M31/E31*100</f>
        <v>0</v>
      </c>
    </row>
    <row r="32" spans="1:14">
      <c r="A32" s="322" t="s">
        <v>237</v>
      </c>
      <c r="B32" s="322">
        <v>68</v>
      </c>
      <c r="C32" s="322" t="s">
        <v>236</v>
      </c>
      <c r="D32" s="335">
        <v>34712.027999999998</v>
      </c>
      <c r="E32" s="335">
        <v>16000</v>
      </c>
      <c r="F32" s="335"/>
      <c r="G32" s="335"/>
      <c r="H32" s="335"/>
      <c r="I32" s="335"/>
      <c r="J32" s="335"/>
      <c r="K32" s="335"/>
      <c r="L32" s="335"/>
      <c r="M32" s="335">
        <f t="shared" si="0"/>
        <v>0</v>
      </c>
      <c r="N32" s="323">
        <f t="shared" si="1"/>
        <v>0</v>
      </c>
    </row>
    <row r="33" spans="1:14">
      <c r="A33" s="322" t="s">
        <v>238</v>
      </c>
      <c r="B33" s="322">
        <v>1200</v>
      </c>
      <c r="C33" s="322" t="s">
        <v>233</v>
      </c>
      <c r="D33" s="335">
        <v>612565.19999999995</v>
      </c>
      <c r="E33" s="335">
        <v>200000</v>
      </c>
      <c r="F33" s="335"/>
      <c r="G33" s="335">
        <v>147813</v>
      </c>
      <c r="H33" s="335"/>
      <c r="I33" s="335"/>
      <c r="J33" s="335"/>
      <c r="K33" s="335"/>
      <c r="L33" s="335"/>
      <c r="M33" s="335">
        <f t="shared" si="0"/>
        <v>147813</v>
      </c>
      <c r="N33" s="323">
        <f t="shared" si="1"/>
        <v>73.906499999999994</v>
      </c>
    </row>
    <row r="34" spans="1:14">
      <c r="A34" s="322" t="s">
        <v>667</v>
      </c>
      <c r="B34" s="322">
        <v>565</v>
      </c>
      <c r="C34" s="322" t="s">
        <v>233</v>
      </c>
      <c r="D34" s="335">
        <v>288416.11499999999</v>
      </c>
      <c r="E34" s="335">
        <v>151047</v>
      </c>
      <c r="F34" s="335"/>
      <c r="G34" s="335"/>
      <c r="H34" s="335"/>
      <c r="I34" s="335"/>
      <c r="J34" s="335"/>
      <c r="K34" s="335"/>
      <c r="L34" s="335"/>
      <c r="M34" s="335">
        <f t="shared" si="0"/>
        <v>0</v>
      </c>
      <c r="N34" s="323">
        <v>0</v>
      </c>
    </row>
    <row r="35" spans="1:14">
      <c r="A35" s="322" t="s">
        <v>240</v>
      </c>
      <c r="B35" s="322">
        <v>1000</v>
      </c>
      <c r="C35" s="322" t="s">
        <v>233</v>
      </c>
      <c r="D35" s="335">
        <v>510471</v>
      </c>
      <c r="E35" s="335"/>
      <c r="F35" s="335"/>
      <c r="G35" s="335"/>
      <c r="H35" s="335"/>
      <c r="I35" s="335"/>
      <c r="J35" s="335"/>
      <c r="K35" s="335"/>
      <c r="L35" s="335"/>
      <c r="M35" s="335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v>231000</v>
      </c>
      <c r="E36" s="335">
        <v>30250</v>
      </c>
      <c r="F36" s="335"/>
      <c r="G36" s="335">
        <v>11500</v>
      </c>
      <c r="H36" s="335"/>
      <c r="I36" s="335"/>
      <c r="J36" s="335"/>
      <c r="K36" s="335"/>
      <c r="L36" s="335"/>
      <c r="M36" s="335">
        <f t="shared" si="0"/>
        <v>11500</v>
      </c>
      <c r="N36" s="323">
        <f t="shared" si="1"/>
        <v>38.016528925619838</v>
      </c>
    </row>
    <row r="37" spans="1:14">
      <c r="A37" s="324" t="s">
        <v>670</v>
      </c>
      <c r="B37" s="322">
        <v>0</v>
      </c>
      <c r="C37" s="324" t="s">
        <v>244</v>
      </c>
      <c r="D37" s="335">
        <f>B37/100000</f>
        <v>0</v>
      </c>
      <c r="E37" s="335"/>
      <c r="F37" s="335"/>
      <c r="G37" s="335"/>
      <c r="H37" s="335"/>
      <c r="I37" s="335"/>
      <c r="J37" s="335"/>
      <c r="K37" s="335"/>
      <c r="L37" s="335"/>
      <c r="M37" s="335">
        <f t="shared" si="0"/>
        <v>0</v>
      </c>
      <c r="N37" s="323">
        <v>0</v>
      </c>
    </row>
    <row r="38" spans="1:14">
      <c r="A38" s="631" t="s">
        <v>245</v>
      </c>
      <c r="B38" s="322">
        <f>SUM(B29:B37)</f>
        <v>14849</v>
      </c>
      <c r="C38" s="322"/>
      <c r="D38" s="653">
        <f>SUM(D29:D37)</f>
        <v>6407188.6290000007</v>
      </c>
      <c r="E38" s="653">
        <f>SUM(E29:E37)</f>
        <v>561797</v>
      </c>
      <c r="F38" s="653">
        <f t="shared" ref="F38:L38" si="2">SUM(F29:F37)</f>
        <v>0</v>
      </c>
      <c r="G38" s="653">
        <f t="shared" si="2"/>
        <v>274143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53">
        <f t="shared" si="0"/>
        <v>274143</v>
      </c>
      <c r="N38" s="323">
        <f t="shared" si="1"/>
        <v>48.79751938867598</v>
      </c>
    </row>
    <row r="39" spans="1:14">
      <c r="A39" s="332"/>
      <c r="B39" s="332"/>
      <c r="E39" s="332"/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  <c r="E42" s="332"/>
    </row>
  </sheetData>
  <mergeCells count="6">
    <mergeCell ref="A1:N1"/>
    <mergeCell ref="A2:N2"/>
    <mergeCell ref="A3:C3"/>
    <mergeCell ref="D27:D28"/>
    <mergeCell ref="E27:E28"/>
    <mergeCell ref="F27:N27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51" header="0.39" footer="0.31496062992126"/>
  <pageSetup paperSize="9" scale="60" orientation="landscape" r:id="rId1"/>
  <headerFooter>
    <oddFooter>&amp;L&amp;9&amp;F&amp;R&amp;9&amp;A</oddFooter>
  </headerFooter>
</worksheet>
</file>

<file path=xl/worksheets/sheet328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2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4" max="4" width="19.425781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2.140625" customWidth="1"/>
    <col min="257" max="257" width="43" customWidth="1"/>
    <col min="258" max="258" width="31" customWidth="1"/>
    <col min="260" max="260" width="19.425781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2.140625" customWidth="1"/>
    <col min="513" max="513" width="43" customWidth="1"/>
    <col min="514" max="514" width="31" customWidth="1"/>
    <col min="516" max="516" width="19.425781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2.140625" customWidth="1"/>
    <col min="769" max="769" width="43" customWidth="1"/>
    <col min="770" max="770" width="31" customWidth="1"/>
    <col min="772" max="772" width="19.425781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2.140625" customWidth="1"/>
    <col min="1025" max="1025" width="43" customWidth="1"/>
    <col min="1026" max="1026" width="31" customWidth="1"/>
    <col min="1028" max="1028" width="19.425781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2.140625" customWidth="1"/>
    <col min="1281" max="1281" width="43" customWidth="1"/>
    <col min="1282" max="1282" width="31" customWidth="1"/>
    <col min="1284" max="1284" width="19.425781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2.140625" customWidth="1"/>
    <col min="1537" max="1537" width="43" customWidth="1"/>
    <col min="1538" max="1538" width="31" customWidth="1"/>
    <col min="1540" max="1540" width="19.425781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2.140625" customWidth="1"/>
    <col min="1793" max="1793" width="43" customWidth="1"/>
    <col min="1794" max="1794" width="31" customWidth="1"/>
    <col min="1796" max="1796" width="19.425781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2.140625" customWidth="1"/>
    <col min="2049" max="2049" width="43" customWidth="1"/>
    <col min="2050" max="2050" width="31" customWidth="1"/>
    <col min="2052" max="2052" width="19.425781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2.140625" customWidth="1"/>
    <col min="2305" max="2305" width="43" customWidth="1"/>
    <col min="2306" max="2306" width="31" customWidth="1"/>
    <col min="2308" max="2308" width="19.425781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2.140625" customWidth="1"/>
    <col min="2561" max="2561" width="43" customWidth="1"/>
    <col min="2562" max="2562" width="31" customWidth="1"/>
    <col min="2564" max="2564" width="19.425781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2.140625" customWidth="1"/>
    <col min="2817" max="2817" width="43" customWidth="1"/>
    <col min="2818" max="2818" width="31" customWidth="1"/>
    <col min="2820" max="2820" width="19.425781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2.140625" customWidth="1"/>
    <col min="3073" max="3073" width="43" customWidth="1"/>
    <col min="3074" max="3074" width="31" customWidth="1"/>
    <col min="3076" max="3076" width="19.425781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2.140625" customWidth="1"/>
    <col min="3329" max="3329" width="43" customWidth="1"/>
    <col min="3330" max="3330" width="31" customWidth="1"/>
    <col min="3332" max="3332" width="19.425781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2.140625" customWidth="1"/>
    <col min="3585" max="3585" width="43" customWidth="1"/>
    <col min="3586" max="3586" width="31" customWidth="1"/>
    <col min="3588" max="3588" width="19.425781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2.140625" customWidth="1"/>
    <col min="3841" max="3841" width="43" customWidth="1"/>
    <col min="3842" max="3842" width="31" customWidth="1"/>
    <col min="3844" max="3844" width="19.425781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2.140625" customWidth="1"/>
    <col min="4097" max="4097" width="43" customWidth="1"/>
    <col min="4098" max="4098" width="31" customWidth="1"/>
    <col min="4100" max="4100" width="19.425781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2.140625" customWidth="1"/>
    <col min="4353" max="4353" width="43" customWidth="1"/>
    <col min="4354" max="4354" width="31" customWidth="1"/>
    <col min="4356" max="4356" width="19.425781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2.140625" customWidth="1"/>
    <col min="4609" max="4609" width="43" customWidth="1"/>
    <col min="4610" max="4610" width="31" customWidth="1"/>
    <col min="4612" max="4612" width="19.425781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2.140625" customWidth="1"/>
    <col min="4865" max="4865" width="43" customWidth="1"/>
    <col min="4866" max="4866" width="31" customWidth="1"/>
    <col min="4868" max="4868" width="19.425781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2.140625" customWidth="1"/>
    <col min="5121" max="5121" width="43" customWidth="1"/>
    <col min="5122" max="5122" width="31" customWidth="1"/>
    <col min="5124" max="5124" width="19.425781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2.140625" customWidth="1"/>
    <col min="5377" max="5377" width="43" customWidth="1"/>
    <col min="5378" max="5378" width="31" customWidth="1"/>
    <col min="5380" max="5380" width="19.425781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2.140625" customWidth="1"/>
    <col min="5633" max="5633" width="43" customWidth="1"/>
    <col min="5634" max="5634" width="31" customWidth="1"/>
    <col min="5636" max="5636" width="19.425781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2.140625" customWidth="1"/>
    <col min="5889" max="5889" width="43" customWidth="1"/>
    <col min="5890" max="5890" width="31" customWidth="1"/>
    <col min="5892" max="5892" width="19.425781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2.140625" customWidth="1"/>
    <col min="6145" max="6145" width="43" customWidth="1"/>
    <col min="6146" max="6146" width="31" customWidth="1"/>
    <col min="6148" max="6148" width="19.425781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2.140625" customWidth="1"/>
    <col min="6401" max="6401" width="43" customWidth="1"/>
    <col min="6402" max="6402" width="31" customWidth="1"/>
    <col min="6404" max="6404" width="19.425781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2.140625" customWidth="1"/>
    <col min="6657" max="6657" width="43" customWidth="1"/>
    <col min="6658" max="6658" width="31" customWidth="1"/>
    <col min="6660" max="6660" width="19.425781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2.140625" customWidth="1"/>
    <col min="6913" max="6913" width="43" customWidth="1"/>
    <col min="6914" max="6914" width="31" customWidth="1"/>
    <col min="6916" max="6916" width="19.425781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2.140625" customWidth="1"/>
    <col min="7169" max="7169" width="43" customWidth="1"/>
    <col min="7170" max="7170" width="31" customWidth="1"/>
    <col min="7172" max="7172" width="19.425781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2.140625" customWidth="1"/>
    <col min="7425" max="7425" width="43" customWidth="1"/>
    <col min="7426" max="7426" width="31" customWidth="1"/>
    <col min="7428" max="7428" width="19.425781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2.140625" customWidth="1"/>
    <col min="7681" max="7681" width="43" customWidth="1"/>
    <col min="7682" max="7682" width="31" customWidth="1"/>
    <col min="7684" max="7684" width="19.425781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2.140625" customWidth="1"/>
    <col min="7937" max="7937" width="43" customWidth="1"/>
    <col min="7938" max="7938" width="31" customWidth="1"/>
    <col min="7940" max="7940" width="19.425781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2.140625" customWidth="1"/>
    <col min="8193" max="8193" width="43" customWidth="1"/>
    <col min="8194" max="8194" width="31" customWidth="1"/>
    <col min="8196" max="8196" width="19.425781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2.140625" customWidth="1"/>
    <col min="8449" max="8449" width="43" customWidth="1"/>
    <col min="8450" max="8450" width="31" customWidth="1"/>
    <col min="8452" max="8452" width="19.425781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2.140625" customWidth="1"/>
    <col min="8705" max="8705" width="43" customWidth="1"/>
    <col min="8706" max="8706" width="31" customWidth="1"/>
    <col min="8708" max="8708" width="19.425781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2.140625" customWidth="1"/>
    <col min="8961" max="8961" width="43" customWidth="1"/>
    <col min="8962" max="8962" width="31" customWidth="1"/>
    <col min="8964" max="8964" width="19.425781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2.140625" customWidth="1"/>
    <col min="9217" max="9217" width="43" customWidth="1"/>
    <col min="9218" max="9218" width="31" customWidth="1"/>
    <col min="9220" max="9220" width="19.425781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2.140625" customWidth="1"/>
    <col min="9473" max="9473" width="43" customWidth="1"/>
    <col min="9474" max="9474" width="31" customWidth="1"/>
    <col min="9476" max="9476" width="19.425781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2.140625" customWidth="1"/>
    <col min="9729" max="9729" width="43" customWidth="1"/>
    <col min="9730" max="9730" width="31" customWidth="1"/>
    <col min="9732" max="9732" width="19.425781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2.140625" customWidth="1"/>
    <col min="9985" max="9985" width="43" customWidth="1"/>
    <col min="9986" max="9986" width="31" customWidth="1"/>
    <col min="9988" max="9988" width="19.425781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2.140625" customWidth="1"/>
    <col min="10241" max="10241" width="43" customWidth="1"/>
    <col min="10242" max="10242" width="31" customWidth="1"/>
    <col min="10244" max="10244" width="19.425781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2.140625" customWidth="1"/>
    <col min="10497" max="10497" width="43" customWidth="1"/>
    <col min="10498" max="10498" width="31" customWidth="1"/>
    <col min="10500" max="10500" width="19.425781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2.140625" customWidth="1"/>
    <col min="10753" max="10753" width="43" customWidth="1"/>
    <col min="10754" max="10754" width="31" customWidth="1"/>
    <col min="10756" max="10756" width="19.425781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2.140625" customWidth="1"/>
    <col min="11009" max="11009" width="43" customWidth="1"/>
    <col min="11010" max="11010" width="31" customWidth="1"/>
    <col min="11012" max="11012" width="19.425781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2.140625" customWidth="1"/>
    <col min="11265" max="11265" width="43" customWidth="1"/>
    <col min="11266" max="11266" width="31" customWidth="1"/>
    <col min="11268" max="11268" width="19.425781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2.140625" customWidth="1"/>
    <col min="11521" max="11521" width="43" customWidth="1"/>
    <col min="11522" max="11522" width="31" customWidth="1"/>
    <col min="11524" max="11524" width="19.425781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2.140625" customWidth="1"/>
    <col min="11777" max="11777" width="43" customWidth="1"/>
    <col min="11778" max="11778" width="31" customWidth="1"/>
    <col min="11780" max="11780" width="19.425781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2.140625" customWidth="1"/>
    <col min="12033" max="12033" width="43" customWidth="1"/>
    <col min="12034" max="12034" width="31" customWidth="1"/>
    <col min="12036" max="12036" width="19.425781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2.140625" customWidth="1"/>
    <col min="12289" max="12289" width="43" customWidth="1"/>
    <col min="12290" max="12290" width="31" customWidth="1"/>
    <col min="12292" max="12292" width="19.425781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2.140625" customWidth="1"/>
    <col min="12545" max="12545" width="43" customWidth="1"/>
    <col min="12546" max="12546" width="31" customWidth="1"/>
    <col min="12548" max="12548" width="19.425781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2.140625" customWidth="1"/>
    <col min="12801" max="12801" width="43" customWidth="1"/>
    <col min="12802" max="12802" width="31" customWidth="1"/>
    <col min="12804" max="12804" width="19.425781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2.140625" customWidth="1"/>
    <col min="13057" max="13057" width="43" customWidth="1"/>
    <col min="13058" max="13058" width="31" customWidth="1"/>
    <col min="13060" max="13060" width="19.425781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2.140625" customWidth="1"/>
    <col min="13313" max="13313" width="43" customWidth="1"/>
    <col min="13314" max="13314" width="31" customWidth="1"/>
    <col min="13316" max="13316" width="19.425781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2.140625" customWidth="1"/>
    <col min="13569" max="13569" width="43" customWidth="1"/>
    <col min="13570" max="13570" width="31" customWidth="1"/>
    <col min="13572" max="13572" width="19.425781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2.140625" customWidth="1"/>
    <col min="13825" max="13825" width="43" customWidth="1"/>
    <col min="13826" max="13826" width="31" customWidth="1"/>
    <col min="13828" max="13828" width="19.425781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2.140625" customWidth="1"/>
    <col min="14081" max="14081" width="43" customWidth="1"/>
    <col min="14082" max="14082" width="31" customWidth="1"/>
    <col min="14084" max="14084" width="19.425781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2.140625" customWidth="1"/>
    <col min="14337" max="14337" width="43" customWidth="1"/>
    <col min="14338" max="14338" width="31" customWidth="1"/>
    <col min="14340" max="14340" width="19.425781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2.140625" customWidth="1"/>
    <col min="14593" max="14593" width="43" customWidth="1"/>
    <col min="14594" max="14594" width="31" customWidth="1"/>
    <col min="14596" max="14596" width="19.425781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2.140625" customWidth="1"/>
    <col min="14849" max="14849" width="43" customWidth="1"/>
    <col min="14850" max="14850" width="31" customWidth="1"/>
    <col min="14852" max="14852" width="19.425781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2.140625" customWidth="1"/>
    <col min="15105" max="15105" width="43" customWidth="1"/>
    <col min="15106" max="15106" width="31" customWidth="1"/>
    <col min="15108" max="15108" width="19.425781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2.140625" customWidth="1"/>
    <col min="15361" max="15361" width="43" customWidth="1"/>
    <col min="15362" max="15362" width="31" customWidth="1"/>
    <col min="15364" max="15364" width="19.425781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2.140625" customWidth="1"/>
    <col min="15617" max="15617" width="43" customWidth="1"/>
    <col min="15618" max="15618" width="31" customWidth="1"/>
    <col min="15620" max="15620" width="19.425781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2.140625" customWidth="1"/>
    <col min="15873" max="15873" width="43" customWidth="1"/>
    <col min="15874" max="15874" width="31" customWidth="1"/>
    <col min="15876" max="15876" width="19.425781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2.140625" customWidth="1"/>
    <col min="16129" max="16129" width="43" customWidth="1"/>
    <col min="16130" max="16130" width="31" customWidth="1"/>
    <col min="16132" max="16132" width="19.425781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2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3486</v>
      </c>
      <c r="C5" s="1594"/>
      <c r="D5" s="1594"/>
      <c r="E5" s="1595"/>
      <c r="F5" s="326" t="s">
        <v>171</v>
      </c>
      <c r="G5" s="326"/>
      <c r="H5" s="1618">
        <v>406020108100203</v>
      </c>
      <c r="I5" s="1619"/>
      <c r="J5" s="326" t="s">
        <v>172</v>
      </c>
      <c r="K5" s="631">
        <v>490.05099999999999</v>
      </c>
      <c r="L5" s="326" t="s">
        <v>436</v>
      </c>
      <c r="M5" s="326"/>
      <c r="N5" s="631"/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3487</v>
      </c>
      <c r="C7" s="1594"/>
      <c r="D7" s="1594"/>
      <c r="E7" s="1595"/>
      <c r="F7" s="1596" t="s">
        <v>3208</v>
      </c>
      <c r="G7" s="1596"/>
      <c r="H7" s="625" t="s">
        <v>3488</v>
      </c>
      <c r="I7" s="626"/>
      <c r="J7" s="627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>
      <c r="A9" s="326" t="s">
        <v>178</v>
      </c>
      <c r="B9" s="1593" t="s">
        <v>3489</v>
      </c>
      <c r="C9" s="1594"/>
      <c r="D9" s="1594"/>
      <c r="E9" s="1595"/>
      <c r="F9" s="1601" t="s">
        <v>3205</v>
      </c>
      <c r="G9" s="1602"/>
      <c r="H9" s="1620" t="s">
        <v>3490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3491</v>
      </c>
      <c r="C13" s="1612"/>
      <c r="D13" s="1612" t="s">
        <v>3492</v>
      </c>
      <c r="E13" s="1612"/>
      <c r="F13" s="1612"/>
      <c r="G13" s="1612" t="s">
        <v>3493</v>
      </c>
      <c r="H13" s="1612"/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2" t="s">
        <v>3494</v>
      </c>
      <c r="C14" s="1612"/>
      <c r="D14" s="1612" t="s">
        <v>3495</v>
      </c>
      <c r="E14" s="1612"/>
      <c r="F14" s="1612"/>
      <c r="G14" s="1612" t="s">
        <v>3496</v>
      </c>
      <c r="H14" s="1612"/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1612" t="s">
        <v>3497</v>
      </c>
      <c r="C15" s="1612"/>
      <c r="D15" s="1612" t="s">
        <v>3498</v>
      </c>
      <c r="E15" s="1612"/>
      <c r="F15" s="1612"/>
      <c r="G15" s="1612" t="s">
        <v>3499</v>
      </c>
      <c r="H15" s="1612"/>
      <c r="I15" s="1612"/>
      <c r="J15" s="1612"/>
      <c r="K15" s="1612"/>
      <c r="L15" s="1612"/>
      <c r="M15" s="1612"/>
      <c r="N15" s="326"/>
    </row>
    <row r="16" spans="1:14">
      <c r="A16" s="631" t="s">
        <v>197</v>
      </c>
      <c r="B16" s="1612"/>
      <c r="C16" s="1612"/>
      <c r="D16" s="1612" t="s">
        <v>3489</v>
      </c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3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9</v>
      </c>
      <c r="I18" s="326" t="s">
        <v>201</v>
      </c>
      <c r="J18" s="632">
        <v>3</v>
      </c>
      <c r="K18" s="326" t="s">
        <v>202</v>
      </c>
      <c r="L18" s="631">
        <v>2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98</v>
      </c>
      <c r="D21" s="326" t="s">
        <v>205</v>
      </c>
      <c r="E21" s="631"/>
      <c r="F21" s="326" t="s">
        <v>206</v>
      </c>
      <c r="G21" s="80">
        <v>2</v>
      </c>
      <c r="H21" s="326" t="s">
        <v>230</v>
      </c>
      <c r="I21" s="80">
        <v>100</v>
      </c>
      <c r="J21" s="326" t="s">
        <v>207</v>
      </c>
      <c r="K21" s="631">
        <v>20</v>
      </c>
      <c r="L21" s="326" t="s">
        <v>3187</v>
      </c>
      <c r="M21" s="326"/>
      <c r="N21" s="631">
        <v>11</v>
      </c>
    </row>
    <row r="22" spans="1:14">
      <c r="A22" s="326" t="s">
        <v>209</v>
      </c>
      <c r="B22" s="326" t="s">
        <v>210</v>
      </c>
      <c r="C22" s="631">
        <v>222</v>
      </c>
      <c r="D22" s="326" t="s">
        <v>211</v>
      </c>
      <c r="E22" s="631"/>
      <c r="F22" s="326" t="s">
        <v>212</v>
      </c>
      <c r="G22" s="631">
        <v>3</v>
      </c>
      <c r="H22" s="326" t="s">
        <v>411</v>
      </c>
      <c r="I22" s="80">
        <v>225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255</v>
      </c>
      <c r="D23" s="326" t="s">
        <v>214</v>
      </c>
      <c r="E23" s="631"/>
      <c r="F23" s="326" t="s">
        <v>215</v>
      </c>
      <c r="G23" s="631">
        <v>2</v>
      </c>
      <c r="H23" s="326" t="s">
        <v>410</v>
      </c>
      <c r="I23" s="80">
        <v>257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8060</v>
      </c>
      <c r="C29" s="322" t="s">
        <v>233</v>
      </c>
      <c r="D29" s="335">
        <v>394981.06</v>
      </c>
      <c r="E29" s="335">
        <v>146500</v>
      </c>
      <c r="F29" s="335"/>
      <c r="G29" s="335">
        <v>80130</v>
      </c>
      <c r="H29" s="335"/>
      <c r="I29" s="335"/>
      <c r="J29" s="335"/>
      <c r="K29" s="335"/>
      <c r="L29" s="335"/>
      <c r="M29" s="335">
        <f>SUM(F29:L29)</f>
        <v>80130</v>
      </c>
      <c r="N29" s="323">
        <f>+M29/E29*100</f>
        <v>54.696245733788395</v>
      </c>
    </row>
    <row r="30" spans="1:14">
      <c r="A30" s="322" t="s">
        <v>234</v>
      </c>
      <c r="B30" s="322">
        <v>1120</v>
      </c>
      <c r="C30" s="322" t="s">
        <v>233</v>
      </c>
      <c r="D30" s="335">
        <v>548857.12</v>
      </c>
      <c r="E30" s="335"/>
      <c r="F30" s="335"/>
      <c r="G30" s="335"/>
      <c r="H30" s="335"/>
      <c r="I30" s="335"/>
      <c r="J30" s="335"/>
      <c r="K30" s="335"/>
      <c r="L30" s="335"/>
      <c r="M30" s="335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86</v>
      </c>
      <c r="C31" s="322" t="s">
        <v>236</v>
      </c>
      <c r="D31" s="335">
        <v>42144.385999999999</v>
      </c>
      <c r="E31" s="335">
        <v>18000</v>
      </c>
      <c r="F31" s="335"/>
      <c r="G31" s="335"/>
      <c r="H31" s="335"/>
      <c r="I31" s="335"/>
      <c r="J31" s="335"/>
      <c r="K31" s="335"/>
      <c r="L31" s="335"/>
      <c r="M31" s="335">
        <f t="shared" si="0"/>
        <v>0</v>
      </c>
      <c r="N31" s="323">
        <f t="shared" ref="N31:N38" si="1">+M31/E31*100</f>
        <v>0</v>
      </c>
    </row>
    <row r="32" spans="1:14">
      <c r="A32" s="322" t="s">
        <v>237</v>
      </c>
      <c r="B32" s="322">
        <v>68</v>
      </c>
      <c r="C32" s="322" t="s">
        <v>236</v>
      </c>
      <c r="D32" s="335">
        <v>33323.468000000001</v>
      </c>
      <c r="E32" s="335">
        <v>16000</v>
      </c>
      <c r="F32" s="335"/>
      <c r="G32" s="335"/>
      <c r="H32" s="335"/>
      <c r="I32" s="335"/>
      <c r="J32" s="335"/>
      <c r="K32" s="335"/>
      <c r="L32" s="335"/>
      <c r="M32" s="335">
        <f t="shared" si="0"/>
        <v>0</v>
      </c>
      <c r="N32" s="323">
        <f t="shared" si="1"/>
        <v>0</v>
      </c>
    </row>
    <row r="33" spans="1:14">
      <c r="A33" s="322" t="s">
        <v>238</v>
      </c>
      <c r="B33" s="322">
        <v>1200</v>
      </c>
      <c r="C33" s="322" t="s">
        <v>233</v>
      </c>
      <c r="D33" s="335">
        <v>588061.19999999995</v>
      </c>
      <c r="E33" s="335">
        <v>200000</v>
      </c>
      <c r="F33" s="335"/>
      <c r="G33" s="335">
        <v>142515</v>
      </c>
      <c r="H33" s="335"/>
      <c r="I33" s="335"/>
      <c r="J33" s="335"/>
      <c r="K33" s="335"/>
      <c r="L33" s="335"/>
      <c r="M33" s="335">
        <f t="shared" si="0"/>
        <v>142515</v>
      </c>
      <c r="N33" s="323">
        <f t="shared" si="1"/>
        <v>71.257499999999993</v>
      </c>
    </row>
    <row r="34" spans="1:14">
      <c r="A34" s="322" t="s">
        <v>667</v>
      </c>
      <c r="B34" s="322">
        <v>565</v>
      </c>
      <c r="C34" s="322" t="s">
        <v>233</v>
      </c>
      <c r="D34" s="335">
        <v>276878.815</v>
      </c>
      <c r="E34" s="335">
        <v>149005</v>
      </c>
      <c r="F34" s="335"/>
      <c r="G34" s="335"/>
      <c r="H34" s="335"/>
      <c r="I34" s="335"/>
      <c r="J34" s="335"/>
      <c r="K34" s="335"/>
      <c r="L34" s="335"/>
      <c r="M34" s="335">
        <f t="shared" si="0"/>
        <v>0</v>
      </c>
      <c r="N34" s="323">
        <f t="shared" si="1"/>
        <v>0</v>
      </c>
    </row>
    <row r="35" spans="1:14">
      <c r="A35" s="322" t="s">
        <v>240</v>
      </c>
      <c r="B35" s="322">
        <v>1000</v>
      </c>
      <c r="C35" s="322" t="s">
        <v>233</v>
      </c>
      <c r="D35" s="335">
        <v>490051</v>
      </c>
      <c r="E35" s="335"/>
      <c r="F35" s="335"/>
      <c r="G35" s="335"/>
      <c r="H35" s="335"/>
      <c r="I35" s="335"/>
      <c r="J35" s="335"/>
      <c r="K35" s="335"/>
      <c r="L35" s="335"/>
      <c r="M35" s="335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35">
        <v>231000</v>
      </c>
      <c r="E36" s="335">
        <v>30250</v>
      </c>
      <c r="F36" s="335"/>
      <c r="G36" s="335">
        <v>10600</v>
      </c>
      <c r="H36" s="335"/>
      <c r="I36" s="335"/>
      <c r="J36" s="335"/>
      <c r="K36" s="335"/>
      <c r="L36" s="335"/>
      <c r="M36" s="335">
        <f t="shared" si="0"/>
        <v>10600</v>
      </c>
      <c r="N36" s="323">
        <f t="shared" si="1"/>
        <v>35.041322314049587</v>
      </c>
    </row>
    <row r="37" spans="1:14">
      <c r="A37" s="324" t="s">
        <v>670</v>
      </c>
      <c r="B37" s="322">
        <v>0</v>
      </c>
      <c r="C37" s="324" t="s">
        <v>244</v>
      </c>
      <c r="D37" s="335"/>
      <c r="E37" s="335"/>
      <c r="F37" s="335"/>
      <c r="G37" s="335"/>
      <c r="H37" s="335"/>
      <c r="I37" s="335"/>
      <c r="J37" s="335"/>
      <c r="K37" s="335"/>
      <c r="L37" s="335"/>
      <c r="M37" s="335">
        <f t="shared" si="0"/>
        <v>0</v>
      </c>
      <c r="N37" s="323">
        <v>0</v>
      </c>
    </row>
    <row r="38" spans="1:14">
      <c r="A38" s="631" t="s">
        <v>245</v>
      </c>
      <c r="B38" s="322">
        <f>SUM(B29:B37)</f>
        <v>14849</v>
      </c>
      <c r="C38" s="322"/>
      <c r="D38" s="653">
        <f>SUM(D29:D37)</f>
        <v>2605297.0489999996</v>
      </c>
      <c r="E38" s="653">
        <f>SUM(E29:E37)</f>
        <v>559755</v>
      </c>
      <c r="F38" s="653">
        <f t="shared" ref="F38:L38" si="2">SUM(F29:F37)</f>
        <v>0</v>
      </c>
      <c r="G38" s="653">
        <f t="shared" si="2"/>
        <v>233245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53">
        <f t="shared" si="0"/>
        <v>233245</v>
      </c>
      <c r="N38" s="323">
        <f t="shared" si="1"/>
        <v>41.669123098498453</v>
      </c>
    </row>
    <row r="39" spans="1:14">
      <c r="B39" s="332"/>
      <c r="C39" s="332"/>
      <c r="F39" s="332"/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  <c r="F42" s="332"/>
    </row>
  </sheetData>
  <mergeCells count="32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54" header="0.39" footer="0.31496062992126"/>
  <pageSetup paperSize="9" scale="60" orientation="landscape" r:id="rId1"/>
  <headerFooter>
    <oddFooter>&amp;L&amp;9&amp;F&amp;R&amp;9&amp;A</oddFooter>
  </headerFooter>
</worksheet>
</file>

<file path=xl/worksheets/sheet329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N42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4" max="4" width="19.425781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2.140625" customWidth="1"/>
    <col min="257" max="257" width="43" customWidth="1"/>
    <col min="258" max="258" width="31" customWidth="1"/>
    <col min="260" max="260" width="19.425781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2.140625" customWidth="1"/>
    <col min="513" max="513" width="43" customWidth="1"/>
    <col min="514" max="514" width="31" customWidth="1"/>
    <col min="516" max="516" width="19.425781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2.140625" customWidth="1"/>
    <col min="769" max="769" width="43" customWidth="1"/>
    <col min="770" max="770" width="31" customWidth="1"/>
    <col min="772" max="772" width="19.425781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2.140625" customWidth="1"/>
    <col min="1025" max="1025" width="43" customWidth="1"/>
    <col min="1026" max="1026" width="31" customWidth="1"/>
    <col min="1028" max="1028" width="19.425781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2.140625" customWidth="1"/>
    <col min="1281" max="1281" width="43" customWidth="1"/>
    <col min="1282" max="1282" width="31" customWidth="1"/>
    <col min="1284" max="1284" width="19.425781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2.140625" customWidth="1"/>
    <col min="1537" max="1537" width="43" customWidth="1"/>
    <col min="1538" max="1538" width="31" customWidth="1"/>
    <col min="1540" max="1540" width="19.425781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2.140625" customWidth="1"/>
    <col min="1793" max="1793" width="43" customWidth="1"/>
    <col min="1794" max="1794" width="31" customWidth="1"/>
    <col min="1796" max="1796" width="19.425781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2.140625" customWidth="1"/>
    <col min="2049" max="2049" width="43" customWidth="1"/>
    <col min="2050" max="2050" width="31" customWidth="1"/>
    <col min="2052" max="2052" width="19.425781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2.140625" customWidth="1"/>
    <col min="2305" max="2305" width="43" customWidth="1"/>
    <col min="2306" max="2306" width="31" customWidth="1"/>
    <col min="2308" max="2308" width="19.425781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2.140625" customWidth="1"/>
    <col min="2561" max="2561" width="43" customWidth="1"/>
    <col min="2562" max="2562" width="31" customWidth="1"/>
    <col min="2564" max="2564" width="19.425781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2.140625" customWidth="1"/>
    <col min="2817" max="2817" width="43" customWidth="1"/>
    <col min="2818" max="2818" width="31" customWidth="1"/>
    <col min="2820" max="2820" width="19.425781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2.140625" customWidth="1"/>
    <col min="3073" max="3073" width="43" customWidth="1"/>
    <col min="3074" max="3074" width="31" customWidth="1"/>
    <col min="3076" max="3076" width="19.425781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2.140625" customWidth="1"/>
    <col min="3329" max="3329" width="43" customWidth="1"/>
    <col min="3330" max="3330" width="31" customWidth="1"/>
    <col min="3332" max="3332" width="19.425781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2.140625" customWidth="1"/>
    <col min="3585" max="3585" width="43" customWidth="1"/>
    <col min="3586" max="3586" width="31" customWidth="1"/>
    <col min="3588" max="3588" width="19.425781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2.140625" customWidth="1"/>
    <col min="3841" max="3841" width="43" customWidth="1"/>
    <col min="3842" max="3842" width="31" customWidth="1"/>
    <col min="3844" max="3844" width="19.425781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2.140625" customWidth="1"/>
    <col min="4097" max="4097" width="43" customWidth="1"/>
    <col min="4098" max="4098" width="31" customWidth="1"/>
    <col min="4100" max="4100" width="19.425781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2.140625" customWidth="1"/>
    <col min="4353" max="4353" width="43" customWidth="1"/>
    <col min="4354" max="4354" width="31" customWidth="1"/>
    <col min="4356" max="4356" width="19.425781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2.140625" customWidth="1"/>
    <col min="4609" max="4609" width="43" customWidth="1"/>
    <col min="4610" max="4610" width="31" customWidth="1"/>
    <col min="4612" max="4612" width="19.425781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2.140625" customWidth="1"/>
    <col min="4865" max="4865" width="43" customWidth="1"/>
    <col min="4866" max="4866" width="31" customWidth="1"/>
    <col min="4868" max="4868" width="19.425781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2.140625" customWidth="1"/>
    <col min="5121" max="5121" width="43" customWidth="1"/>
    <col min="5122" max="5122" width="31" customWidth="1"/>
    <col min="5124" max="5124" width="19.425781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2.140625" customWidth="1"/>
    <col min="5377" max="5377" width="43" customWidth="1"/>
    <col min="5378" max="5378" width="31" customWidth="1"/>
    <col min="5380" max="5380" width="19.425781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2.140625" customWidth="1"/>
    <col min="5633" max="5633" width="43" customWidth="1"/>
    <col min="5634" max="5634" width="31" customWidth="1"/>
    <col min="5636" max="5636" width="19.425781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2.140625" customWidth="1"/>
    <col min="5889" max="5889" width="43" customWidth="1"/>
    <col min="5890" max="5890" width="31" customWidth="1"/>
    <col min="5892" max="5892" width="19.425781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2.140625" customWidth="1"/>
    <col min="6145" max="6145" width="43" customWidth="1"/>
    <col min="6146" max="6146" width="31" customWidth="1"/>
    <col min="6148" max="6148" width="19.425781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2.140625" customWidth="1"/>
    <col min="6401" max="6401" width="43" customWidth="1"/>
    <col min="6402" max="6402" width="31" customWidth="1"/>
    <col min="6404" max="6404" width="19.425781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2.140625" customWidth="1"/>
    <col min="6657" max="6657" width="43" customWidth="1"/>
    <col min="6658" max="6658" width="31" customWidth="1"/>
    <col min="6660" max="6660" width="19.425781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2.140625" customWidth="1"/>
    <col min="6913" max="6913" width="43" customWidth="1"/>
    <col min="6914" max="6914" width="31" customWidth="1"/>
    <col min="6916" max="6916" width="19.425781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2.140625" customWidth="1"/>
    <col min="7169" max="7169" width="43" customWidth="1"/>
    <col min="7170" max="7170" width="31" customWidth="1"/>
    <col min="7172" max="7172" width="19.425781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2.140625" customWidth="1"/>
    <col min="7425" max="7425" width="43" customWidth="1"/>
    <col min="7426" max="7426" width="31" customWidth="1"/>
    <col min="7428" max="7428" width="19.425781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2.140625" customWidth="1"/>
    <col min="7681" max="7681" width="43" customWidth="1"/>
    <col min="7682" max="7682" width="31" customWidth="1"/>
    <col min="7684" max="7684" width="19.425781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2.140625" customWidth="1"/>
    <col min="7937" max="7937" width="43" customWidth="1"/>
    <col min="7938" max="7938" width="31" customWidth="1"/>
    <col min="7940" max="7940" width="19.425781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2.140625" customWidth="1"/>
    <col min="8193" max="8193" width="43" customWidth="1"/>
    <col min="8194" max="8194" width="31" customWidth="1"/>
    <col min="8196" max="8196" width="19.425781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2.140625" customWidth="1"/>
    <col min="8449" max="8449" width="43" customWidth="1"/>
    <col min="8450" max="8450" width="31" customWidth="1"/>
    <col min="8452" max="8452" width="19.425781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2.140625" customWidth="1"/>
    <col min="8705" max="8705" width="43" customWidth="1"/>
    <col min="8706" max="8706" width="31" customWidth="1"/>
    <col min="8708" max="8708" width="19.425781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2.140625" customWidth="1"/>
    <col min="8961" max="8961" width="43" customWidth="1"/>
    <col min="8962" max="8962" width="31" customWidth="1"/>
    <col min="8964" max="8964" width="19.425781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2.140625" customWidth="1"/>
    <col min="9217" max="9217" width="43" customWidth="1"/>
    <col min="9218" max="9218" width="31" customWidth="1"/>
    <col min="9220" max="9220" width="19.425781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2.140625" customWidth="1"/>
    <col min="9473" max="9473" width="43" customWidth="1"/>
    <col min="9474" max="9474" width="31" customWidth="1"/>
    <col min="9476" max="9476" width="19.425781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2.140625" customWidth="1"/>
    <col min="9729" max="9729" width="43" customWidth="1"/>
    <col min="9730" max="9730" width="31" customWidth="1"/>
    <col min="9732" max="9732" width="19.425781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2.140625" customWidth="1"/>
    <col min="9985" max="9985" width="43" customWidth="1"/>
    <col min="9986" max="9986" width="31" customWidth="1"/>
    <col min="9988" max="9988" width="19.425781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2.140625" customWidth="1"/>
    <col min="10241" max="10241" width="43" customWidth="1"/>
    <col min="10242" max="10242" width="31" customWidth="1"/>
    <col min="10244" max="10244" width="19.425781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2.140625" customWidth="1"/>
    <col min="10497" max="10497" width="43" customWidth="1"/>
    <col min="10498" max="10498" width="31" customWidth="1"/>
    <col min="10500" max="10500" width="19.425781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2.140625" customWidth="1"/>
    <col min="10753" max="10753" width="43" customWidth="1"/>
    <col min="10754" max="10754" width="31" customWidth="1"/>
    <col min="10756" max="10756" width="19.425781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2.140625" customWidth="1"/>
    <col min="11009" max="11009" width="43" customWidth="1"/>
    <col min="11010" max="11010" width="31" customWidth="1"/>
    <col min="11012" max="11012" width="19.425781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2.140625" customWidth="1"/>
    <col min="11265" max="11265" width="43" customWidth="1"/>
    <col min="11266" max="11266" width="31" customWidth="1"/>
    <col min="11268" max="11268" width="19.425781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2.140625" customWidth="1"/>
    <col min="11521" max="11521" width="43" customWidth="1"/>
    <col min="11522" max="11522" width="31" customWidth="1"/>
    <col min="11524" max="11524" width="19.425781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2.140625" customWidth="1"/>
    <col min="11777" max="11777" width="43" customWidth="1"/>
    <col min="11778" max="11778" width="31" customWidth="1"/>
    <col min="11780" max="11780" width="19.425781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2.140625" customWidth="1"/>
    <col min="12033" max="12033" width="43" customWidth="1"/>
    <col min="12034" max="12034" width="31" customWidth="1"/>
    <col min="12036" max="12036" width="19.425781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2.140625" customWidth="1"/>
    <col min="12289" max="12289" width="43" customWidth="1"/>
    <col min="12290" max="12290" width="31" customWidth="1"/>
    <col min="12292" max="12292" width="19.425781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2.140625" customWidth="1"/>
    <col min="12545" max="12545" width="43" customWidth="1"/>
    <col min="12546" max="12546" width="31" customWidth="1"/>
    <col min="12548" max="12548" width="19.425781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2.140625" customWidth="1"/>
    <col min="12801" max="12801" width="43" customWidth="1"/>
    <col min="12802" max="12802" width="31" customWidth="1"/>
    <col min="12804" max="12804" width="19.425781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2.140625" customWidth="1"/>
    <col min="13057" max="13057" width="43" customWidth="1"/>
    <col min="13058" max="13058" width="31" customWidth="1"/>
    <col min="13060" max="13060" width="19.425781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2.140625" customWidth="1"/>
    <col min="13313" max="13313" width="43" customWidth="1"/>
    <col min="13314" max="13314" width="31" customWidth="1"/>
    <col min="13316" max="13316" width="19.425781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2.140625" customWidth="1"/>
    <col min="13569" max="13569" width="43" customWidth="1"/>
    <col min="13570" max="13570" width="31" customWidth="1"/>
    <col min="13572" max="13572" width="19.425781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2.140625" customWidth="1"/>
    <col min="13825" max="13825" width="43" customWidth="1"/>
    <col min="13826" max="13826" width="31" customWidth="1"/>
    <col min="13828" max="13828" width="19.425781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2.140625" customWidth="1"/>
    <col min="14081" max="14081" width="43" customWidth="1"/>
    <col min="14082" max="14082" width="31" customWidth="1"/>
    <col min="14084" max="14084" width="19.425781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2.140625" customWidth="1"/>
    <col min="14337" max="14337" width="43" customWidth="1"/>
    <col min="14338" max="14338" width="31" customWidth="1"/>
    <col min="14340" max="14340" width="19.425781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2.140625" customWidth="1"/>
    <col min="14593" max="14593" width="43" customWidth="1"/>
    <col min="14594" max="14594" width="31" customWidth="1"/>
    <col min="14596" max="14596" width="19.425781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2.140625" customWidth="1"/>
    <col min="14849" max="14849" width="43" customWidth="1"/>
    <col min="14850" max="14850" width="31" customWidth="1"/>
    <col min="14852" max="14852" width="19.425781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2.140625" customWidth="1"/>
    <col min="15105" max="15105" width="43" customWidth="1"/>
    <col min="15106" max="15106" width="31" customWidth="1"/>
    <col min="15108" max="15108" width="19.425781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2.140625" customWidth="1"/>
    <col min="15361" max="15361" width="43" customWidth="1"/>
    <col min="15362" max="15362" width="31" customWidth="1"/>
    <col min="15364" max="15364" width="19.425781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2.140625" customWidth="1"/>
    <col min="15617" max="15617" width="43" customWidth="1"/>
    <col min="15618" max="15618" width="31" customWidth="1"/>
    <col min="15620" max="15620" width="19.425781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2.140625" customWidth="1"/>
    <col min="15873" max="15873" width="43" customWidth="1"/>
    <col min="15874" max="15874" width="31" customWidth="1"/>
    <col min="15876" max="15876" width="19.425781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2.140625" customWidth="1"/>
    <col min="16129" max="16129" width="43" customWidth="1"/>
    <col min="16130" max="16130" width="31" customWidth="1"/>
    <col min="16132" max="16132" width="19.425781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2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3500</v>
      </c>
      <c r="C5" s="1594"/>
      <c r="D5" s="1594"/>
      <c r="E5" s="1595"/>
      <c r="F5" s="326" t="s">
        <v>171</v>
      </c>
      <c r="G5" s="326"/>
      <c r="H5" s="1618">
        <v>406020108010201</v>
      </c>
      <c r="I5" s="1619"/>
      <c r="J5" s="326" t="s">
        <v>172</v>
      </c>
      <c r="K5" s="631" t="s">
        <v>3501</v>
      </c>
      <c r="L5" s="326" t="s">
        <v>436</v>
      </c>
      <c r="M5" s="326"/>
      <c r="N5" s="631"/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3502</v>
      </c>
      <c r="C7" s="1594"/>
      <c r="D7" s="1594"/>
      <c r="E7" s="1595"/>
      <c r="F7" s="1640" t="s">
        <v>3208</v>
      </c>
      <c r="G7" s="1641"/>
      <c r="H7" s="625" t="s">
        <v>3503</v>
      </c>
      <c r="I7" s="626"/>
      <c r="J7" s="627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 t="s">
        <v>3504</v>
      </c>
      <c r="C9" s="1594"/>
      <c r="D9" s="1594"/>
      <c r="E9" s="1595"/>
      <c r="F9" s="1601" t="s">
        <v>3205</v>
      </c>
      <c r="G9" s="1602"/>
      <c r="H9" s="1620" t="s">
        <v>3505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593" t="s">
        <v>3506</v>
      </c>
      <c r="C13" s="1595"/>
      <c r="D13" s="1593" t="s">
        <v>3507</v>
      </c>
      <c r="E13" s="1594"/>
      <c r="F13" s="1595"/>
      <c r="G13" s="1593" t="s">
        <v>3508</v>
      </c>
      <c r="H13" s="1594"/>
      <c r="I13" s="1595"/>
      <c r="J13" s="1593"/>
      <c r="K13" s="1594"/>
      <c r="L13" s="1594"/>
      <c r="M13" s="1595"/>
      <c r="N13" s="326"/>
    </row>
    <row r="14" spans="1:14">
      <c r="A14" s="631" t="s">
        <v>187</v>
      </c>
      <c r="B14" s="1593" t="s">
        <v>3509</v>
      </c>
      <c r="C14" s="1595"/>
      <c r="D14" s="1593" t="s">
        <v>3510</v>
      </c>
      <c r="E14" s="1594"/>
      <c r="F14" s="1595"/>
      <c r="G14" s="1593" t="s">
        <v>3511</v>
      </c>
      <c r="H14" s="1594"/>
      <c r="I14" s="1595"/>
      <c r="J14" s="1593"/>
      <c r="K14" s="1594"/>
      <c r="L14" s="1594"/>
      <c r="M14" s="1595"/>
      <c r="N14" s="326"/>
    </row>
    <row r="15" spans="1:14">
      <c r="A15" s="631" t="s">
        <v>192</v>
      </c>
      <c r="B15" s="1593" t="s">
        <v>3512</v>
      </c>
      <c r="C15" s="1595"/>
      <c r="D15" s="1593" t="s">
        <v>3513</v>
      </c>
      <c r="E15" s="1594"/>
      <c r="F15" s="1595"/>
      <c r="G15" s="1593" t="s">
        <v>3514</v>
      </c>
      <c r="H15" s="1594"/>
      <c r="I15" s="1595"/>
      <c r="J15" s="1593"/>
      <c r="K15" s="1594"/>
      <c r="L15" s="1594"/>
      <c r="M15" s="1595"/>
      <c r="N15" s="326"/>
    </row>
    <row r="16" spans="1:14">
      <c r="A16" s="631" t="s">
        <v>197</v>
      </c>
      <c r="B16" s="1593" t="s">
        <v>3515</v>
      </c>
      <c r="C16" s="1595"/>
      <c r="D16" s="1593" t="s">
        <v>3516</v>
      </c>
      <c r="E16" s="1594"/>
      <c r="F16" s="1595"/>
      <c r="G16" s="1593" t="s">
        <v>3516</v>
      </c>
      <c r="H16" s="1594"/>
      <c r="I16" s="1595"/>
      <c r="J16" s="1593"/>
      <c r="K16" s="1594"/>
      <c r="L16" s="1594"/>
      <c r="M16" s="1595"/>
      <c r="N16" s="326"/>
    </row>
    <row r="17" spans="1:14" ht="1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5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13</v>
      </c>
      <c r="I18" s="326" t="s">
        <v>201</v>
      </c>
      <c r="J18" s="632">
        <v>4</v>
      </c>
      <c r="K18" s="326" t="s">
        <v>202</v>
      </c>
      <c r="L18" s="631">
        <v>4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268</v>
      </c>
      <c r="D21" s="326" t="s">
        <v>205</v>
      </c>
      <c r="E21" s="631">
        <v>3</v>
      </c>
      <c r="F21" s="326" t="s">
        <v>206</v>
      </c>
      <c r="G21" s="80">
        <v>11</v>
      </c>
      <c r="H21" s="326" t="s">
        <v>230</v>
      </c>
      <c r="I21" s="80">
        <v>282</v>
      </c>
      <c r="J21" s="326" t="s">
        <v>207</v>
      </c>
      <c r="K21" s="631">
        <v>201</v>
      </c>
      <c r="L21" s="326" t="s">
        <v>3187</v>
      </c>
      <c r="M21" s="326"/>
      <c r="N21" s="631">
        <v>81</v>
      </c>
    </row>
    <row r="22" spans="1:14">
      <c r="A22" s="326" t="s">
        <v>209</v>
      </c>
      <c r="B22" s="326" t="s">
        <v>210</v>
      </c>
      <c r="C22" s="631">
        <v>578</v>
      </c>
      <c r="D22" s="326" t="s">
        <v>211</v>
      </c>
      <c r="E22" s="631">
        <v>3</v>
      </c>
      <c r="F22" s="326" t="s">
        <v>212</v>
      </c>
      <c r="G22" s="631">
        <v>14</v>
      </c>
      <c r="H22" s="326" t="s">
        <v>411</v>
      </c>
      <c r="I22" s="80">
        <v>595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567</v>
      </c>
      <c r="D23" s="326" t="s">
        <v>214</v>
      </c>
      <c r="E23" s="631">
        <v>10</v>
      </c>
      <c r="F23" s="326" t="s">
        <v>215</v>
      </c>
      <c r="G23" s="631">
        <v>14</v>
      </c>
      <c r="H23" s="326" t="s">
        <v>410</v>
      </c>
      <c r="I23" s="80">
        <v>591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42" t="s">
        <v>217</v>
      </c>
      <c r="B27" s="1644" t="s">
        <v>218</v>
      </c>
      <c r="C27" s="1644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43"/>
      <c r="B28" s="1645"/>
      <c r="C28" s="1645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8060</v>
      </c>
      <c r="C29" s="322" t="s">
        <v>233</v>
      </c>
      <c r="D29" s="323">
        <v>4031152.58</v>
      </c>
      <c r="E29" s="335">
        <v>146500</v>
      </c>
      <c r="F29" s="335"/>
      <c r="G29" s="335">
        <v>70362</v>
      </c>
      <c r="H29" s="335"/>
      <c r="I29" s="335"/>
      <c r="J29" s="335"/>
      <c r="K29" s="335"/>
      <c r="L29" s="335"/>
      <c r="M29" s="322">
        <f>SUM(F29:L29)</f>
        <v>70362</v>
      </c>
      <c r="N29" s="323">
        <f>+M29/E29*100</f>
        <v>48.028668941979525</v>
      </c>
    </row>
    <row r="30" spans="1:14">
      <c r="A30" s="322" t="s">
        <v>234</v>
      </c>
      <c r="B30" s="322">
        <v>1120</v>
      </c>
      <c r="C30" s="322" t="s">
        <v>233</v>
      </c>
      <c r="D30" s="323">
        <v>560160.16</v>
      </c>
      <c r="E30" s="335"/>
      <c r="F30" s="335"/>
      <c r="G30" s="335"/>
      <c r="H30" s="335"/>
      <c r="I30" s="335"/>
      <c r="J30" s="335"/>
      <c r="K30" s="335"/>
      <c r="L30" s="335"/>
      <c r="M30" s="322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86</v>
      </c>
      <c r="C31" s="322" t="s">
        <v>236</v>
      </c>
      <c r="D31" s="323">
        <v>43012.298000000003</v>
      </c>
      <c r="E31" s="335">
        <v>18000</v>
      </c>
      <c r="F31" s="335"/>
      <c r="G31" s="335"/>
      <c r="H31" s="335"/>
      <c r="I31" s="335"/>
      <c r="J31" s="335"/>
      <c r="K31" s="335"/>
      <c r="L31" s="335"/>
      <c r="M31" s="322">
        <f t="shared" si="0"/>
        <v>0</v>
      </c>
      <c r="N31" s="323">
        <f t="shared" ref="N31:N38" si="1">+M31/E31*100</f>
        <v>0</v>
      </c>
    </row>
    <row r="32" spans="1:14">
      <c r="A32" s="322" t="s">
        <v>237</v>
      </c>
      <c r="B32" s="322">
        <v>68</v>
      </c>
      <c r="C32" s="322" t="s">
        <v>236</v>
      </c>
      <c r="D32" s="323">
        <v>34009.724000000002</v>
      </c>
      <c r="E32" s="335">
        <v>16000</v>
      </c>
      <c r="F32" s="335"/>
      <c r="G32" s="335"/>
      <c r="H32" s="335"/>
      <c r="I32" s="335"/>
      <c r="J32" s="335"/>
      <c r="K32" s="335"/>
      <c r="L32" s="335"/>
      <c r="M32" s="322">
        <f t="shared" si="0"/>
        <v>0</v>
      </c>
      <c r="N32" s="323">
        <f t="shared" si="1"/>
        <v>0</v>
      </c>
    </row>
    <row r="33" spans="1:14">
      <c r="A33" s="322" t="s">
        <v>238</v>
      </c>
      <c r="B33" s="322">
        <v>1200</v>
      </c>
      <c r="C33" s="322" t="s">
        <v>233</v>
      </c>
      <c r="D33" s="323">
        <v>600171.6</v>
      </c>
      <c r="E33" s="335">
        <v>200000</v>
      </c>
      <c r="F33" s="335"/>
      <c r="G33" s="335">
        <v>185475</v>
      </c>
      <c r="H33" s="335"/>
      <c r="I33" s="335"/>
      <c r="J33" s="335"/>
      <c r="K33" s="335"/>
      <c r="L33" s="335"/>
      <c r="M33" s="322">
        <f t="shared" si="0"/>
        <v>185475</v>
      </c>
      <c r="N33" s="323">
        <f t="shared" si="1"/>
        <v>92.737499999999997</v>
      </c>
    </row>
    <row r="34" spans="1:14">
      <c r="A34" s="322" t="s">
        <v>667</v>
      </c>
      <c r="B34" s="322">
        <v>565</v>
      </c>
      <c r="C34" s="322" t="s">
        <v>233</v>
      </c>
      <c r="D34" s="323">
        <v>282580.79499999998</v>
      </c>
      <c r="E34" s="335">
        <v>150014</v>
      </c>
      <c r="F34" s="335"/>
      <c r="G34" s="335"/>
      <c r="H34" s="335"/>
      <c r="I34" s="335"/>
      <c r="J34" s="335"/>
      <c r="K34" s="335"/>
      <c r="L34" s="335"/>
      <c r="M34" s="322">
        <f t="shared" si="0"/>
        <v>0</v>
      </c>
      <c r="N34" s="323">
        <f t="shared" si="1"/>
        <v>0</v>
      </c>
    </row>
    <row r="35" spans="1:14">
      <c r="A35" s="322" t="s">
        <v>240</v>
      </c>
      <c r="B35" s="322">
        <v>1000</v>
      </c>
      <c r="C35" s="322" t="s">
        <v>233</v>
      </c>
      <c r="D35" s="323">
        <v>500143</v>
      </c>
      <c r="E35" s="335"/>
      <c r="F35" s="335"/>
      <c r="G35" s="335"/>
      <c r="H35" s="335"/>
      <c r="I35" s="335"/>
      <c r="J35" s="335"/>
      <c r="K35" s="335"/>
      <c r="L35" s="335"/>
      <c r="M35" s="322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231000</v>
      </c>
      <c r="E36" s="335">
        <v>30250</v>
      </c>
      <c r="F36" s="335"/>
      <c r="G36" s="335">
        <v>12303</v>
      </c>
      <c r="H36" s="335"/>
      <c r="I36" s="335"/>
      <c r="J36" s="335"/>
      <c r="K36" s="335"/>
      <c r="L36" s="335"/>
      <c r="M36" s="322">
        <f t="shared" si="0"/>
        <v>12303</v>
      </c>
      <c r="N36" s="323">
        <f t="shared" si="1"/>
        <v>40.671074380165287</v>
      </c>
    </row>
    <row r="37" spans="1:14">
      <c r="A37" s="324" t="s">
        <v>670</v>
      </c>
      <c r="B37" s="322">
        <v>0</v>
      </c>
      <c r="C37" s="324" t="s">
        <v>244</v>
      </c>
      <c r="D37" s="323">
        <f>B37/100000</f>
        <v>0</v>
      </c>
      <c r="E37" s="335"/>
      <c r="F37" s="335"/>
      <c r="G37" s="335"/>
      <c r="H37" s="335"/>
      <c r="I37" s="335"/>
      <c r="J37" s="335"/>
      <c r="K37" s="335"/>
      <c r="L37" s="335"/>
      <c r="M37" s="322">
        <f t="shared" si="0"/>
        <v>0</v>
      </c>
      <c r="N37" s="323">
        <v>0</v>
      </c>
    </row>
    <row r="38" spans="1:14">
      <c r="A38" s="631" t="s">
        <v>245</v>
      </c>
      <c r="B38" s="322">
        <f>SUM(B29:B37)</f>
        <v>14849</v>
      </c>
      <c r="C38" s="322"/>
      <c r="D38" s="321">
        <f>SUM(D29:D37)</f>
        <v>6282230.1570000006</v>
      </c>
      <c r="E38" s="653">
        <f>SUM(E29:E37)</f>
        <v>560764</v>
      </c>
      <c r="F38" s="653">
        <f t="shared" ref="F38:L38" si="2">SUM(F29:F37)</f>
        <v>0</v>
      </c>
      <c r="G38" s="653">
        <f t="shared" si="2"/>
        <v>268140</v>
      </c>
      <c r="H38" s="653">
        <f t="shared" si="2"/>
        <v>0</v>
      </c>
      <c r="I38" s="653">
        <f t="shared" si="2"/>
        <v>0</v>
      </c>
      <c r="J38" s="653">
        <f t="shared" si="2"/>
        <v>0</v>
      </c>
      <c r="K38" s="653">
        <f t="shared" si="2"/>
        <v>0</v>
      </c>
      <c r="L38" s="653">
        <f t="shared" si="2"/>
        <v>0</v>
      </c>
      <c r="M38" s="631">
        <f t="shared" si="0"/>
        <v>268140</v>
      </c>
      <c r="N38" s="323">
        <f t="shared" si="1"/>
        <v>47.816906934111323</v>
      </c>
    </row>
    <row r="39" spans="1:14">
      <c r="A39" s="332"/>
      <c r="B39" s="332"/>
      <c r="E39" s="332"/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  <c r="E42" s="332"/>
    </row>
  </sheetData>
  <mergeCells count="32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59" header="0.39" footer="0.31496062992126"/>
  <pageSetup paperSize="9" scale="60" orientation="landscape" r:id="rId1"/>
  <headerFooter>
    <oddFooter>&amp;L&amp;9&amp;F&amp;R&amp;9&amp;A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765</v>
      </c>
      <c r="C2" t="s">
        <v>611</v>
      </c>
      <c r="D2" t="s">
        <v>5730</v>
      </c>
      <c r="F2" t="s">
        <v>612</v>
      </c>
      <c r="G2">
        <v>295</v>
      </c>
      <c r="H2" t="s">
        <v>613</v>
      </c>
      <c r="I2">
        <v>80</v>
      </c>
      <c r="K2" s="808" t="s">
        <v>4176</v>
      </c>
      <c r="L2" s="808"/>
      <c r="M2" s="808"/>
    </row>
    <row r="3" spans="1:15">
      <c r="A3" t="s">
        <v>614</v>
      </c>
      <c r="B3" t="s">
        <v>766</v>
      </c>
      <c r="E3" t="s">
        <v>616</v>
      </c>
      <c r="G3" t="s">
        <v>767</v>
      </c>
    </row>
    <row r="4" spans="1:15">
      <c r="A4" t="s">
        <v>618</v>
      </c>
      <c r="B4" t="s">
        <v>768</v>
      </c>
      <c r="G4" t="s">
        <v>620</v>
      </c>
      <c r="I4" t="s">
        <v>769</v>
      </c>
    </row>
    <row r="5" spans="1:15">
      <c r="A5" t="s">
        <v>622</v>
      </c>
      <c r="B5" t="s">
        <v>770</v>
      </c>
      <c r="E5" t="s">
        <v>771</v>
      </c>
    </row>
    <row r="6" spans="1:15">
      <c r="A6" t="s">
        <v>628</v>
      </c>
      <c r="B6" t="s">
        <v>772</v>
      </c>
      <c r="E6" t="s">
        <v>773</v>
      </c>
    </row>
    <row r="7" spans="1:15">
      <c r="A7" t="s">
        <v>634</v>
      </c>
      <c r="B7" t="s">
        <v>774</v>
      </c>
      <c r="E7" t="s">
        <v>775</v>
      </c>
    </row>
    <row r="8" spans="1:15">
      <c r="A8" t="s">
        <v>639</v>
      </c>
    </row>
    <row r="9" spans="1:15">
      <c r="A9" t="s">
        <v>641</v>
      </c>
      <c r="B9">
        <v>3</v>
      </c>
      <c r="C9" t="s">
        <v>642</v>
      </c>
      <c r="D9">
        <v>2</v>
      </c>
      <c r="E9" t="s">
        <v>643</v>
      </c>
      <c r="F9">
        <v>3</v>
      </c>
      <c r="G9" t="s">
        <v>644</v>
      </c>
      <c r="H9">
        <v>1</v>
      </c>
      <c r="I9" t="s">
        <v>645</v>
      </c>
      <c r="J9">
        <v>3</v>
      </c>
    </row>
    <row r="10" spans="1:15">
      <c r="A10" t="s">
        <v>646</v>
      </c>
      <c r="B10" t="s">
        <v>204</v>
      </c>
      <c r="C10">
        <v>30</v>
      </c>
      <c r="D10" t="s">
        <v>205</v>
      </c>
      <c r="E10">
        <v>3</v>
      </c>
      <c r="F10" t="s">
        <v>206</v>
      </c>
      <c r="G10">
        <v>0</v>
      </c>
      <c r="H10" t="s">
        <v>230</v>
      </c>
      <c r="I10">
        <v>33</v>
      </c>
      <c r="J10" t="s">
        <v>647</v>
      </c>
      <c r="K10">
        <v>11</v>
      </c>
      <c r="L10" t="s">
        <v>648</v>
      </c>
      <c r="M10">
        <v>16</v>
      </c>
    </row>
    <row r="11" spans="1:15">
      <c r="A11" t="s">
        <v>209</v>
      </c>
      <c r="B11" t="s">
        <v>210</v>
      </c>
      <c r="C11">
        <v>69</v>
      </c>
      <c r="D11" t="s">
        <v>649</v>
      </c>
      <c r="E11">
        <v>5</v>
      </c>
      <c r="F11" t="s">
        <v>212</v>
      </c>
      <c r="G11">
        <v>0</v>
      </c>
      <c r="H11" t="s">
        <v>411</v>
      </c>
      <c r="I11">
        <v>74</v>
      </c>
    </row>
    <row r="12" spans="1:15">
      <c r="B12" t="s">
        <v>213</v>
      </c>
      <c r="C12">
        <v>61</v>
      </c>
      <c r="D12" t="s">
        <v>650</v>
      </c>
      <c r="E12">
        <v>8</v>
      </c>
      <c r="F12" t="s">
        <v>215</v>
      </c>
      <c r="G12">
        <v>0</v>
      </c>
      <c r="H12" t="s">
        <v>410</v>
      </c>
      <c r="I12">
        <v>69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23.6</v>
      </c>
      <c r="F16">
        <v>2360000</v>
      </c>
      <c r="G16">
        <v>0</v>
      </c>
      <c r="H16">
        <v>154683</v>
      </c>
      <c r="I16">
        <v>676346</v>
      </c>
      <c r="J16">
        <v>454176</v>
      </c>
      <c r="K16">
        <v>158049</v>
      </c>
      <c r="L16">
        <v>213153</v>
      </c>
      <c r="N16">
        <f>G16+H16+I16+J16+K16+L16+M16</f>
        <v>1656407</v>
      </c>
    </row>
    <row r="17" spans="1:15">
      <c r="A17" t="s">
        <v>665</v>
      </c>
      <c r="C17">
        <v>7000</v>
      </c>
      <c r="D17" t="s">
        <v>664</v>
      </c>
      <c r="E17">
        <v>5.6</v>
      </c>
      <c r="F17">
        <v>550000</v>
      </c>
      <c r="G17">
        <v>0</v>
      </c>
      <c r="H17">
        <v>0</v>
      </c>
      <c r="I17">
        <v>171463</v>
      </c>
      <c r="J17">
        <v>115302</v>
      </c>
      <c r="K17">
        <v>0</v>
      </c>
      <c r="L17">
        <v>272329</v>
      </c>
      <c r="N17">
        <f t="shared" ref="N17:N23" si="0">G17+H17+I17+J17+K17+L17+M17</f>
        <v>559094</v>
      </c>
    </row>
    <row r="18" spans="1:15">
      <c r="A18" t="s">
        <v>235</v>
      </c>
      <c r="C18">
        <v>86</v>
      </c>
      <c r="D18" t="s">
        <v>664</v>
      </c>
      <c r="E18">
        <v>0.25</v>
      </c>
      <c r="F18">
        <v>43000</v>
      </c>
      <c r="G18">
        <v>0</v>
      </c>
      <c r="H18">
        <v>0</v>
      </c>
      <c r="I18">
        <v>0</v>
      </c>
      <c r="J18">
        <v>6079</v>
      </c>
      <c r="K18">
        <v>0</v>
      </c>
      <c r="L18">
        <v>36207</v>
      </c>
      <c r="N18">
        <f t="shared" si="0"/>
        <v>42286</v>
      </c>
    </row>
    <row r="19" spans="1:15">
      <c r="A19" t="s">
        <v>666</v>
      </c>
      <c r="C19">
        <v>68</v>
      </c>
      <c r="D19" t="s">
        <v>664</v>
      </c>
      <c r="E19">
        <v>0.2</v>
      </c>
      <c r="F19">
        <v>34000</v>
      </c>
      <c r="G19">
        <v>0</v>
      </c>
      <c r="H19">
        <v>0</v>
      </c>
      <c r="I19">
        <v>0</v>
      </c>
      <c r="J19">
        <v>16165</v>
      </c>
      <c r="K19">
        <v>13637</v>
      </c>
      <c r="L19">
        <v>0</v>
      </c>
      <c r="N19">
        <f t="shared" si="0"/>
        <v>29802</v>
      </c>
    </row>
    <row r="20" spans="1:15">
      <c r="A20" t="s">
        <v>238</v>
      </c>
      <c r="C20">
        <v>1200</v>
      </c>
      <c r="D20" t="s">
        <v>664</v>
      </c>
      <c r="E20">
        <v>3.54</v>
      </c>
      <c r="F20">
        <v>80000</v>
      </c>
      <c r="G20">
        <v>0</v>
      </c>
      <c r="H20">
        <v>0</v>
      </c>
      <c r="I20">
        <v>0</v>
      </c>
      <c r="J20">
        <v>0</v>
      </c>
      <c r="K20">
        <v>40000</v>
      </c>
      <c r="L20">
        <v>149700</v>
      </c>
      <c r="N20">
        <f t="shared" si="0"/>
        <v>189700</v>
      </c>
    </row>
    <row r="21" spans="1:15">
      <c r="A21" t="s">
        <v>667</v>
      </c>
      <c r="C21">
        <v>565</v>
      </c>
      <c r="D21" t="s">
        <v>664</v>
      </c>
      <c r="E21">
        <v>1.1299999999999999</v>
      </c>
      <c r="F21">
        <v>110000</v>
      </c>
      <c r="G21">
        <v>0</v>
      </c>
      <c r="H21">
        <v>0</v>
      </c>
      <c r="I21">
        <v>0</v>
      </c>
      <c r="J21">
        <v>0</v>
      </c>
      <c r="K21">
        <v>110000</v>
      </c>
      <c r="N21">
        <f t="shared" si="0"/>
        <v>110000</v>
      </c>
    </row>
    <row r="22" spans="1:15">
      <c r="A22" t="s">
        <v>668</v>
      </c>
      <c r="C22">
        <v>1000</v>
      </c>
      <c r="D22" t="s">
        <v>664</v>
      </c>
      <c r="E22">
        <v>2.95</v>
      </c>
      <c r="F22">
        <v>295000</v>
      </c>
      <c r="L22">
        <v>55000</v>
      </c>
      <c r="N22">
        <f t="shared" si="0"/>
        <v>55000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H23">
        <v>36308</v>
      </c>
      <c r="I23">
        <v>15755</v>
      </c>
      <c r="J23">
        <v>45932</v>
      </c>
      <c r="K23">
        <v>36423</v>
      </c>
      <c r="L23">
        <v>9450</v>
      </c>
      <c r="N23">
        <f t="shared" si="0"/>
        <v>143868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39.680000000000014</v>
      </c>
      <c r="F25">
        <f t="shared" ref="F25:O25" si="1">SUM(F16:F24)</f>
        <v>3604000</v>
      </c>
      <c r="G25">
        <f t="shared" si="1"/>
        <v>0</v>
      </c>
      <c r="H25">
        <f t="shared" si="1"/>
        <v>190991</v>
      </c>
      <c r="I25">
        <f t="shared" si="1"/>
        <v>863564</v>
      </c>
      <c r="J25">
        <f t="shared" si="1"/>
        <v>637654</v>
      </c>
      <c r="K25">
        <f t="shared" si="1"/>
        <v>358109</v>
      </c>
      <c r="L25">
        <f t="shared" si="1"/>
        <v>735839</v>
      </c>
      <c r="M25">
        <f t="shared" si="1"/>
        <v>0</v>
      </c>
      <c r="N25">
        <f t="shared" si="1"/>
        <v>2786157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330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N41"/>
  <sheetViews>
    <sheetView zoomScale="87" zoomScaleNormal="87" workbookViewId="0">
      <selection activeCell="A3" sqref="A3:C3"/>
    </sheetView>
  </sheetViews>
  <sheetFormatPr defaultRowHeight="15"/>
  <cols>
    <col min="1" max="1" width="43" customWidth="1"/>
    <col min="2" max="2" width="31" customWidth="1"/>
    <col min="4" max="4" width="19.42578125" customWidth="1"/>
    <col min="5" max="5" width="11.5703125" customWidth="1"/>
    <col min="6" max="6" width="15" customWidth="1"/>
    <col min="7" max="7" width="16" customWidth="1"/>
    <col min="8" max="8" width="19.28515625" customWidth="1"/>
    <col min="9" max="9" width="14.28515625" customWidth="1"/>
    <col min="10" max="10" width="14.140625" bestFit="1" customWidth="1"/>
    <col min="11" max="11" width="13.5703125" customWidth="1"/>
    <col min="12" max="12" width="11.140625" customWidth="1"/>
    <col min="13" max="13" width="10.28515625" customWidth="1"/>
    <col min="14" max="14" width="12.140625" customWidth="1"/>
    <col min="257" max="257" width="43" customWidth="1"/>
    <col min="258" max="258" width="31" customWidth="1"/>
    <col min="260" max="260" width="19.42578125" customWidth="1"/>
    <col min="261" max="261" width="11.5703125" customWidth="1"/>
    <col min="262" max="262" width="15" customWidth="1"/>
    <col min="263" max="263" width="16" customWidth="1"/>
    <col min="264" max="264" width="19.28515625" customWidth="1"/>
    <col min="265" max="265" width="14.28515625" customWidth="1"/>
    <col min="266" max="266" width="14.140625" bestFit="1" customWidth="1"/>
    <col min="267" max="267" width="13.5703125" customWidth="1"/>
    <col min="268" max="268" width="11.140625" customWidth="1"/>
    <col min="269" max="269" width="10.28515625" customWidth="1"/>
    <col min="270" max="270" width="12.140625" customWidth="1"/>
    <col min="513" max="513" width="43" customWidth="1"/>
    <col min="514" max="514" width="31" customWidth="1"/>
    <col min="516" max="516" width="19.42578125" customWidth="1"/>
    <col min="517" max="517" width="11.5703125" customWidth="1"/>
    <col min="518" max="518" width="15" customWidth="1"/>
    <col min="519" max="519" width="16" customWidth="1"/>
    <col min="520" max="520" width="19.28515625" customWidth="1"/>
    <col min="521" max="521" width="14.28515625" customWidth="1"/>
    <col min="522" max="522" width="14.140625" bestFit="1" customWidth="1"/>
    <col min="523" max="523" width="13.5703125" customWidth="1"/>
    <col min="524" max="524" width="11.140625" customWidth="1"/>
    <col min="525" max="525" width="10.28515625" customWidth="1"/>
    <col min="526" max="526" width="12.140625" customWidth="1"/>
    <col min="769" max="769" width="43" customWidth="1"/>
    <col min="770" max="770" width="31" customWidth="1"/>
    <col min="772" max="772" width="19.42578125" customWidth="1"/>
    <col min="773" max="773" width="11.5703125" customWidth="1"/>
    <col min="774" max="774" width="15" customWidth="1"/>
    <col min="775" max="775" width="16" customWidth="1"/>
    <col min="776" max="776" width="19.28515625" customWidth="1"/>
    <col min="777" max="777" width="14.28515625" customWidth="1"/>
    <col min="778" max="778" width="14.140625" bestFit="1" customWidth="1"/>
    <col min="779" max="779" width="13.5703125" customWidth="1"/>
    <col min="780" max="780" width="11.140625" customWidth="1"/>
    <col min="781" max="781" width="10.28515625" customWidth="1"/>
    <col min="782" max="782" width="12.140625" customWidth="1"/>
    <col min="1025" max="1025" width="43" customWidth="1"/>
    <col min="1026" max="1026" width="31" customWidth="1"/>
    <col min="1028" max="1028" width="19.42578125" customWidth="1"/>
    <col min="1029" max="1029" width="11.5703125" customWidth="1"/>
    <col min="1030" max="1030" width="15" customWidth="1"/>
    <col min="1031" max="1031" width="16" customWidth="1"/>
    <col min="1032" max="1032" width="19.28515625" customWidth="1"/>
    <col min="1033" max="1033" width="14.28515625" customWidth="1"/>
    <col min="1034" max="1034" width="14.140625" bestFit="1" customWidth="1"/>
    <col min="1035" max="1035" width="13.5703125" customWidth="1"/>
    <col min="1036" max="1036" width="11.140625" customWidth="1"/>
    <col min="1037" max="1037" width="10.28515625" customWidth="1"/>
    <col min="1038" max="1038" width="12.140625" customWidth="1"/>
    <col min="1281" max="1281" width="43" customWidth="1"/>
    <col min="1282" max="1282" width="31" customWidth="1"/>
    <col min="1284" max="1284" width="19.42578125" customWidth="1"/>
    <col min="1285" max="1285" width="11.5703125" customWidth="1"/>
    <col min="1286" max="1286" width="15" customWidth="1"/>
    <col min="1287" max="1287" width="16" customWidth="1"/>
    <col min="1288" max="1288" width="19.28515625" customWidth="1"/>
    <col min="1289" max="1289" width="14.28515625" customWidth="1"/>
    <col min="1290" max="1290" width="14.140625" bestFit="1" customWidth="1"/>
    <col min="1291" max="1291" width="13.5703125" customWidth="1"/>
    <col min="1292" max="1292" width="11.140625" customWidth="1"/>
    <col min="1293" max="1293" width="10.28515625" customWidth="1"/>
    <col min="1294" max="1294" width="12.140625" customWidth="1"/>
    <col min="1537" max="1537" width="43" customWidth="1"/>
    <col min="1538" max="1538" width="31" customWidth="1"/>
    <col min="1540" max="1540" width="19.42578125" customWidth="1"/>
    <col min="1541" max="1541" width="11.5703125" customWidth="1"/>
    <col min="1542" max="1542" width="15" customWidth="1"/>
    <col min="1543" max="1543" width="16" customWidth="1"/>
    <col min="1544" max="1544" width="19.28515625" customWidth="1"/>
    <col min="1545" max="1545" width="14.28515625" customWidth="1"/>
    <col min="1546" max="1546" width="14.140625" bestFit="1" customWidth="1"/>
    <col min="1547" max="1547" width="13.5703125" customWidth="1"/>
    <col min="1548" max="1548" width="11.140625" customWidth="1"/>
    <col min="1549" max="1549" width="10.28515625" customWidth="1"/>
    <col min="1550" max="1550" width="12.140625" customWidth="1"/>
    <col min="1793" max="1793" width="43" customWidth="1"/>
    <col min="1794" max="1794" width="31" customWidth="1"/>
    <col min="1796" max="1796" width="19.42578125" customWidth="1"/>
    <col min="1797" max="1797" width="11.5703125" customWidth="1"/>
    <col min="1798" max="1798" width="15" customWidth="1"/>
    <col min="1799" max="1799" width="16" customWidth="1"/>
    <col min="1800" max="1800" width="19.28515625" customWidth="1"/>
    <col min="1801" max="1801" width="14.28515625" customWidth="1"/>
    <col min="1802" max="1802" width="14.140625" bestFit="1" customWidth="1"/>
    <col min="1803" max="1803" width="13.5703125" customWidth="1"/>
    <col min="1804" max="1804" width="11.140625" customWidth="1"/>
    <col min="1805" max="1805" width="10.28515625" customWidth="1"/>
    <col min="1806" max="1806" width="12.140625" customWidth="1"/>
    <col min="2049" max="2049" width="43" customWidth="1"/>
    <col min="2050" max="2050" width="31" customWidth="1"/>
    <col min="2052" max="2052" width="19.42578125" customWidth="1"/>
    <col min="2053" max="2053" width="11.5703125" customWidth="1"/>
    <col min="2054" max="2054" width="15" customWidth="1"/>
    <col min="2055" max="2055" width="16" customWidth="1"/>
    <col min="2056" max="2056" width="19.28515625" customWidth="1"/>
    <col min="2057" max="2057" width="14.28515625" customWidth="1"/>
    <col min="2058" max="2058" width="14.140625" bestFit="1" customWidth="1"/>
    <col min="2059" max="2059" width="13.5703125" customWidth="1"/>
    <col min="2060" max="2060" width="11.140625" customWidth="1"/>
    <col min="2061" max="2061" width="10.28515625" customWidth="1"/>
    <col min="2062" max="2062" width="12.140625" customWidth="1"/>
    <col min="2305" max="2305" width="43" customWidth="1"/>
    <col min="2306" max="2306" width="31" customWidth="1"/>
    <col min="2308" max="2308" width="19.42578125" customWidth="1"/>
    <col min="2309" max="2309" width="11.5703125" customWidth="1"/>
    <col min="2310" max="2310" width="15" customWidth="1"/>
    <col min="2311" max="2311" width="16" customWidth="1"/>
    <col min="2312" max="2312" width="19.28515625" customWidth="1"/>
    <col min="2313" max="2313" width="14.28515625" customWidth="1"/>
    <col min="2314" max="2314" width="14.140625" bestFit="1" customWidth="1"/>
    <col min="2315" max="2315" width="13.5703125" customWidth="1"/>
    <col min="2316" max="2316" width="11.140625" customWidth="1"/>
    <col min="2317" max="2317" width="10.28515625" customWidth="1"/>
    <col min="2318" max="2318" width="12.140625" customWidth="1"/>
    <col min="2561" max="2561" width="43" customWidth="1"/>
    <col min="2562" max="2562" width="31" customWidth="1"/>
    <col min="2564" max="2564" width="19.42578125" customWidth="1"/>
    <col min="2565" max="2565" width="11.5703125" customWidth="1"/>
    <col min="2566" max="2566" width="15" customWidth="1"/>
    <col min="2567" max="2567" width="16" customWidth="1"/>
    <col min="2568" max="2568" width="19.28515625" customWidth="1"/>
    <col min="2569" max="2569" width="14.28515625" customWidth="1"/>
    <col min="2570" max="2570" width="14.140625" bestFit="1" customWidth="1"/>
    <col min="2571" max="2571" width="13.5703125" customWidth="1"/>
    <col min="2572" max="2572" width="11.140625" customWidth="1"/>
    <col min="2573" max="2573" width="10.28515625" customWidth="1"/>
    <col min="2574" max="2574" width="12.140625" customWidth="1"/>
    <col min="2817" max="2817" width="43" customWidth="1"/>
    <col min="2818" max="2818" width="31" customWidth="1"/>
    <col min="2820" max="2820" width="19.42578125" customWidth="1"/>
    <col min="2821" max="2821" width="11.5703125" customWidth="1"/>
    <col min="2822" max="2822" width="15" customWidth="1"/>
    <col min="2823" max="2823" width="16" customWidth="1"/>
    <col min="2824" max="2824" width="19.28515625" customWidth="1"/>
    <col min="2825" max="2825" width="14.28515625" customWidth="1"/>
    <col min="2826" max="2826" width="14.140625" bestFit="1" customWidth="1"/>
    <col min="2827" max="2827" width="13.5703125" customWidth="1"/>
    <col min="2828" max="2828" width="11.140625" customWidth="1"/>
    <col min="2829" max="2829" width="10.28515625" customWidth="1"/>
    <col min="2830" max="2830" width="12.140625" customWidth="1"/>
    <col min="3073" max="3073" width="43" customWidth="1"/>
    <col min="3074" max="3074" width="31" customWidth="1"/>
    <col min="3076" max="3076" width="19.42578125" customWidth="1"/>
    <col min="3077" max="3077" width="11.5703125" customWidth="1"/>
    <col min="3078" max="3078" width="15" customWidth="1"/>
    <col min="3079" max="3079" width="16" customWidth="1"/>
    <col min="3080" max="3080" width="19.28515625" customWidth="1"/>
    <col min="3081" max="3081" width="14.28515625" customWidth="1"/>
    <col min="3082" max="3082" width="14.140625" bestFit="1" customWidth="1"/>
    <col min="3083" max="3083" width="13.5703125" customWidth="1"/>
    <col min="3084" max="3084" width="11.140625" customWidth="1"/>
    <col min="3085" max="3085" width="10.28515625" customWidth="1"/>
    <col min="3086" max="3086" width="12.140625" customWidth="1"/>
    <col min="3329" max="3329" width="43" customWidth="1"/>
    <col min="3330" max="3330" width="31" customWidth="1"/>
    <col min="3332" max="3332" width="19.42578125" customWidth="1"/>
    <col min="3333" max="3333" width="11.5703125" customWidth="1"/>
    <col min="3334" max="3334" width="15" customWidth="1"/>
    <col min="3335" max="3335" width="16" customWidth="1"/>
    <col min="3336" max="3336" width="19.28515625" customWidth="1"/>
    <col min="3337" max="3337" width="14.28515625" customWidth="1"/>
    <col min="3338" max="3338" width="14.140625" bestFit="1" customWidth="1"/>
    <col min="3339" max="3339" width="13.5703125" customWidth="1"/>
    <col min="3340" max="3340" width="11.140625" customWidth="1"/>
    <col min="3341" max="3341" width="10.28515625" customWidth="1"/>
    <col min="3342" max="3342" width="12.140625" customWidth="1"/>
    <col min="3585" max="3585" width="43" customWidth="1"/>
    <col min="3586" max="3586" width="31" customWidth="1"/>
    <col min="3588" max="3588" width="19.42578125" customWidth="1"/>
    <col min="3589" max="3589" width="11.5703125" customWidth="1"/>
    <col min="3590" max="3590" width="15" customWidth="1"/>
    <col min="3591" max="3591" width="16" customWidth="1"/>
    <col min="3592" max="3592" width="19.28515625" customWidth="1"/>
    <col min="3593" max="3593" width="14.28515625" customWidth="1"/>
    <col min="3594" max="3594" width="14.140625" bestFit="1" customWidth="1"/>
    <col min="3595" max="3595" width="13.5703125" customWidth="1"/>
    <col min="3596" max="3596" width="11.140625" customWidth="1"/>
    <col min="3597" max="3597" width="10.28515625" customWidth="1"/>
    <col min="3598" max="3598" width="12.140625" customWidth="1"/>
    <col min="3841" max="3841" width="43" customWidth="1"/>
    <col min="3842" max="3842" width="31" customWidth="1"/>
    <col min="3844" max="3844" width="19.42578125" customWidth="1"/>
    <col min="3845" max="3845" width="11.5703125" customWidth="1"/>
    <col min="3846" max="3846" width="15" customWidth="1"/>
    <col min="3847" max="3847" width="16" customWidth="1"/>
    <col min="3848" max="3848" width="19.28515625" customWidth="1"/>
    <col min="3849" max="3849" width="14.28515625" customWidth="1"/>
    <col min="3850" max="3850" width="14.140625" bestFit="1" customWidth="1"/>
    <col min="3851" max="3851" width="13.5703125" customWidth="1"/>
    <col min="3852" max="3852" width="11.140625" customWidth="1"/>
    <col min="3853" max="3853" width="10.28515625" customWidth="1"/>
    <col min="3854" max="3854" width="12.140625" customWidth="1"/>
    <col min="4097" max="4097" width="43" customWidth="1"/>
    <col min="4098" max="4098" width="31" customWidth="1"/>
    <col min="4100" max="4100" width="19.42578125" customWidth="1"/>
    <col min="4101" max="4101" width="11.5703125" customWidth="1"/>
    <col min="4102" max="4102" width="15" customWidth="1"/>
    <col min="4103" max="4103" width="16" customWidth="1"/>
    <col min="4104" max="4104" width="19.28515625" customWidth="1"/>
    <col min="4105" max="4105" width="14.28515625" customWidth="1"/>
    <col min="4106" max="4106" width="14.140625" bestFit="1" customWidth="1"/>
    <col min="4107" max="4107" width="13.5703125" customWidth="1"/>
    <col min="4108" max="4108" width="11.140625" customWidth="1"/>
    <col min="4109" max="4109" width="10.28515625" customWidth="1"/>
    <col min="4110" max="4110" width="12.140625" customWidth="1"/>
    <col min="4353" max="4353" width="43" customWidth="1"/>
    <col min="4354" max="4354" width="31" customWidth="1"/>
    <col min="4356" max="4356" width="19.42578125" customWidth="1"/>
    <col min="4357" max="4357" width="11.5703125" customWidth="1"/>
    <col min="4358" max="4358" width="15" customWidth="1"/>
    <col min="4359" max="4359" width="16" customWidth="1"/>
    <col min="4360" max="4360" width="19.28515625" customWidth="1"/>
    <col min="4361" max="4361" width="14.28515625" customWidth="1"/>
    <col min="4362" max="4362" width="14.140625" bestFit="1" customWidth="1"/>
    <col min="4363" max="4363" width="13.5703125" customWidth="1"/>
    <col min="4364" max="4364" width="11.140625" customWidth="1"/>
    <col min="4365" max="4365" width="10.28515625" customWidth="1"/>
    <col min="4366" max="4366" width="12.140625" customWidth="1"/>
    <col min="4609" max="4609" width="43" customWidth="1"/>
    <col min="4610" max="4610" width="31" customWidth="1"/>
    <col min="4612" max="4612" width="19.42578125" customWidth="1"/>
    <col min="4613" max="4613" width="11.5703125" customWidth="1"/>
    <col min="4614" max="4614" width="15" customWidth="1"/>
    <col min="4615" max="4615" width="16" customWidth="1"/>
    <col min="4616" max="4616" width="19.28515625" customWidth="1"/>
    <col min="4617" max="4617" width="14.28515625" customWidth="1"/>
    <col min="4618" max="4618" width="14.140625" bestFit="1" customWidth="1"/>
    <col min="4619" max="4619" width="13.5703125" customWidth="1"/>
    <col min="4620" max="4620" width="11.140625" customWidth="1"/>
    <col min="4621" max="4621" width="10.28515625" customWidth="1"/>
    <col min="4622" max="4622" width="12.140625" customWidth="1"/>
    <col min="4865" max="4865" width="43" customWidth="1"/>
    <col min="4866" max="4866" width="31" customWidth="1"/>
    <col min="4868" max="4868" width="19.42578125" customWidth="1"/>
    <col min="4869" max="4869" width="11.5703125" customWidth="1"/>
    <col min="4870" max="4870" width="15" customWidth="1"/>
    <col min="4871" max="4871" width="16" customWidth="1"/>
    <col min="4872" max="4872" width="19.28515625" customWidth="1"/>
    <col min="4873" max="4873" width="14.28515625" customWidth="1"/>
    <col min="4874" max="4874" width="14.140625" bestFit="1" customWidth="1"/>
    <col min="4875" max="4875" width="13.5703125" customWidth="1"/>
    <col min="4876" max="4876" width="11.140625" customWidth="1"/>
    <col min="4877" max="4877" width="10.28515625" customWidth="1"/>
    <col min="4878" max="4878" width="12.140625" customWidth="1"/>
    <col min="5121" max="5121" width="43" customWidth="1"/>
    <col min="5122" max="5122" width="31" customWidth="1"/>
    <col min="5124" max="5124" width="19.42578125" customWidth="1"/>
    <col min="5125" max="5125" width="11.5703125" customWidth="1"/>
    <col min="5126" max="5126" width="15" customWidth="1"/>
    <col min="5127" max="5127" width="16" customWidth="1"/>
    <col min="5128" max="5128" width="19.28515625" customWidth="1"/>
    <col min="5129" max="5129" width="14.28515625" customWidth="1"/>
    <col min="5130" max="5130" width="14.140625" bestFit="1" customWidth="1"/>
    <col min="5131" max="5131" width="13.5703125" customWidth="1"/>
    <col min="5132" max="5132" width="11.140625" customWidth="1"/>
    <col min="5133" max="5133" width="10.28515625" customWidth="1"/>
    <col min="5134" max="5134" width="12.140625" customWidth="1"/>
    <col min="5377" max="5377" width="43" customWidth="1"/>
    <col min="5378" max="5378" width="31" customWidth="1"/>
    <col min="5380" max="5380" width="19.42578125" customWidth="1"/>
    <col min="5381" max="5381" width="11.5703125" customWidth="1"/>
    <col min="5382" max="5382" width="15" customWidth="1"/>
    <col min="5383" max="5383" width="16" customWidth="1"/>
    <col min="5384" max="5384" width="19.28515625" customWidth="1"/>
    <col min="5385" max="5385" width="14.28515625" customWidth="1"/>
    <col min="5386" max="5386" width="14.140625" bestFit="1" customWidth="1"/>
    <col min="5387" max="5387" width="13.5703125" customWidth="1"/>
    <col min="5388" max="5388" width="11.140625" customWidth="1"/>
    <col min="5389" max="5389" width="10.28515625" customWidth="1"/>
    <col min="5390" max="5390" width="12.140625" customWidth="1"/>
    <col min="5633" max="5633" width="43" customWidth="1"/>
    <col min="5634" max="5634" width="31" customWidth="1"/>
    <col min="5636" max="5636" width="19.42578125" customWidth="1"/>
    <col min="5637" max="5637" width="11.5703125" customWidth="1"/>
    <col min="5638" max="5638" width="15" customWidth="1"/>
    <col min="5639" max="5639" width="16" customWidth="1"/>
    <col min="5640" max="5640" width="19.28515625" customWidth="1"/>
    <col min="5641" max="5641" width="14.28515625" customWidth="1"/>
    <col min="5642" max="5642" width="14.140625" bestFit="1" customWidth="1"/>
    <col min="5643" max="5643" width="13.5703125" customWidth="1"/>
    <col min="5644" max="5644" width="11.140625" customWidth="1"/>
    <col min="5645" max="5645" width="10.28515625" customWidth="1"/>
    <col min="5646" max="5646" width="12.140625" customWidth="1"/>
    <col min="5889" max="5889" width="43" customWidth="1"/>
    <col min="5890" max="5890" width="31" customWidth="1"/>
    <col min="5892" max="5892" width="19.42578125" customWidth="1"/>
    <col min="5893" max="5893" width="11.5703125" customWidth="1"/>
    <col min="5894" max="5894" width="15" customWidth="1"/>
    <col min="5895" max="5895" width="16" customWidth="1"/>
    <col min="5896" max="5896" width="19.28515625" customWidth="1"/>
    <col min="5897" max="5897" width="14.28515625" customWidth="1"/>
    <col min="5898" max="5898" width="14.140625" bestFit="1" customWidth="1"/>
    <col min="5899" max="5899" width="13.5703125" customWidth="1"/>
    <col min="5900" max="5900" width="11.140625" customWidth="1"/>
    <col min="5901" max="5901" width="10.28515625" customWidth="1"/>
    <col min="5902" max="5902" width="12.140625" customWidth="1"/>
    <col min="6145" max="6145" width="43" customWidth="1"/>
    <col min="6146" max="6146" width="31" customWidth="1"/>
    <col min="6148" max="6148" width="19.42578125" customWidth="1"/>
    <col min="6149" max="6149" width="11.5703125" customWidth="1"/>
    <col min="6150" max="6150" width="15" customWidth="1"/>
    <col min="6151" max="6151" width="16" customWidth="1"/>
    <col min="6152" max="6152" width="19.28515625" customWidth="1"/>
    <col min="6153" max="6153" width="14.28515625" customWidth="1"/>
    <col min="6154" max="6154" width="14.140625" bestFit="1" customWidth="1"/>
    <col min="6155" max="6155" width="13.5703125" customWidth="1"/>
    <col min="6156" max="6156" width="11.140625" customWidth="1"/>
    <col min="6157" max="6157" width="10.28515625" customWidth="1"/>
    <col min="6158" max="6158" width="12.140625" customWidth="1"/>
    <col min="6401" max="6401" width="43" customWidth="1"/>
    <col min="6402" max="6402" width="31" customWidth="1"/>
    <col min="6404" max="6404" width="19.42578125" customWidth="1"/>
    <col min="6405" max="6405" width="11.5703125" customWidth="1"/>
    <col min="6406" max="6406" width="15" customWidth="1"/>
    <col min="6407" max="6407" width="16" customWidth="1"/>
    <col min="6408" max="6408" width="19.28515625" customWidth="1"/>
    <col min="6409" max="6409" width="14.28515625" customWidth="1"/>
    <col min="6410" max="6410" width="14.140625" bestFit="1" customWidth="1"/>
    <col min="6411" max="6411" width="13.5703125" customWidth="1"/>
    <col min="6412" max="6412" width="11.140625" customWidth="1"/>
    <col min="6413" max="6413" width="10.28515625" customWidth="1"/>
    <col min="6414" max="6414" width="12.140625" customWidth="1"/>
    <col min="6657" max="6657" width="43" customWidth="1"/>
    <col min="6658" max="6658" width="31" customWidth="1"/>
    <col min="6660" max="6660" width="19.42578125" customWidth="1"/>
    <col min="6661" max="6661" width="11.5703125" customWidth="1"/>
    <col min="6662" max="6662" width="15" customWidth="1"/>
    <col min="6663" max="6663" width="16" customWidth="1"/>
    <col min="6664" max="6664" width="19.28515625" customWidth="1"/>
    <col min="6665" max="6665" width="14.28515625" customWidth="1"/>
    <col min="6666" max="6666" width="14.140625" bestFit="1" customWidth="1"/>
    <col min="6667" max="6667" width="13.5703125" customWidth="1"/>
    <col min="6668" max="6668" width="11.140625" customWidth="1"/>
    <col min="6669" max="6669" width="10.28515625" customWidth="1"/>
    <col min="6670" max="6670" width="12.140625" customWidth="1"/>
    <col min="6913" max="6913" width="43" customWidth="1"/>
    <col min="6914" max="6914" width="31" customWidth="1"/>
    <col min="6916" max="6916" width="19.42578125" customWidth="1"/>
    <col min="6917" max="6917" width="11.5703125" customWidth="1"/>
    <col min="6918" max="6918" width="15" customWidth="1"/>
    <col min="6919" max="6919" width="16" customWidth="1"/>
    <col min="6920" max="6920" width="19.28515625" customWidth="1"/>
    <col min="6921" max="6921" width="14.28515625" customWidth="1"/>
    <col min="6922" max="6922" width="14.140625" bestFit="1" customWidth="1"/>
    <col min="6923" max="6923" width="13.5703125" customWidth="1"/>
    <col min="6924" max="6924" width="11.140625" customWidth="1"/>
    <col min="6925" max="6925" width="10.28515625" customWidth="1"/>
    <col min="6926" max="6926" width="12.140625" customWidth="1"/>
    <col min="7169" max="7169" width="43" customWidth="1"/>
    <col min="7170" max="7170" width="31" customWidth="1"/>
    <col min="7172" max="7172" width="19.42578125" customWidth="1"/>
    <col min="7173" max="7173" width="11.5703125" customWidth="1"/>
    <col min="7174" max="7174" width="15" customWidth="1"/>
    <col min="7175" max="7175" width="16" customWidth="1"/>
    <col min="7176" max="7176" width="19.28515625" customWidth="1"/>
    <col min="7177" max="7177" width="14.28515625" customWidth="1"/>
    <col min="7178" max="7178" width="14.140625" bestFit="1" customWidth="1"/>
    <col min="7179" max="7179" width="13.5703125" customWidth="1"/>
    <col min="7180" max="7180" width="11.140625" customWidth="1"/>
    <col min="7181" max="7181" width="10.28515625" customWidth="1"/>
    <col min="7182" max="7182" width="12.140625" customWidth="1"/>
    <col min="7425" max="7425" width="43" customWidth="1"/>
    <col min="7426" max="7426" width="31" customWidth="1"/>
    <col min="7428" max="7428" width="19.42578125" customWidth="1"/>
    <col min="7429" max="7429" width="11.5703125" customWidth="1"/>
    <col min="7430" max="7430" width="15" customWidth="1"/>
    <col min="7431" max="7431" width="16" customWidth="1"/>
    <col min="7432" max="7432" width="19.28515625" customWidth="1"/>
    <col min="7433" max="7433" width="14.28515625" customWidth="1"/>
    <col min="7434" max="7434" width="14.140625" bestFit="1" customWidth="1"/>
    <col min="7435" max="7435" width="13.5703125" customWidth="1"/>
    <col min="7436" max="7436" width="11.140625" customWidth="1"/>
    <col min="7437" max="7437" width="10.28515625" customWidth="1"/>
    <col min="7438" max="7438" width="12.140625" customWidth="1"/>
    <col min="7681" max="7681" width="43" customWidth="1"/>
    <col min="7682" max="7682" width="31" customWidth="1"/>
    <col min="7684" max="7684" width="19.42578125" customWidth="1"/>
    <col min="7685" max="7685" width="11.5703125" customWidth="1"/>
    <col min="7686" max="7686" width="15" customWidth="1"/>
    <col min="7687" max="7687" width="16" customWidth="1"/>
    <col min="7688" max="7688" width="19.28515625" customWidth="1"/>
    <col min="7689" max="7689" width="14.28515625" customWidth="1"/>
    <col min="7690" max="7690" width="14.140625" bestFit="1" customWidth="1"/>
    <col min="7691" max="7691" width="13.5703125" customWidth="1"/>
    <col min="7692" max="7692" width="11.140625" customWidth="1"/>
    <col min="7693" max="7693" width="10.28515625" customWidth="1"/>
    <col min="7694" max="7694" width="12.140625" customWidth="1"/>
    <col min="7937" max="7937" width="43" customWidth="1"/>
    <col min="7938" max="7938" width="31" customWidth="1"/>
    <col min="7940" max="7940" width="19.42578125" customWidth="1"/>
    <col min="7941" max="7941" width="11.5703125" customWidth="1"/>
    <col min="7942" max="7942" width="15" customWidth="1"/>
    <col min="7943" max="7943" width="16" customWidth="1"/>
    <col min="7944" max="7944" width="19.28515625" customWidth="1"/>
    <col min="7945" max="7945" width="14.28515625" customWidth="1"/>
    <col min="7946" max="7946" width="14.140625" bestFit="1" customWidth="1"/>
    <col min="7947" max="7947" width="13.5703125" customWidth="1"/>
    <col min="7948" max="7948" width="11.140625" customWidth="1"/>
    <col min="7949" max="7949" width="10.28515625" customWidth="1"/>
    <col min="7950" max="7950" width="12.140625" customWidth="1"/>
    <col min="8193" max="8193" width="43" customWidth="1"/>
    <col min="8194" max="8194" width="31" customWidth="1"/>
    <col min="8196" max="8196" width="19.42578125" customWidth="1"/>
    <col min="8197" max="8197" width="11.5703125" customWidth="1"/>
    <col min="8198" max="8198" width="15" customWidth="1"/>
    <col min="8199" max="8199" width="16" customWidth="1"/>
    <col min="8200" max="8200" width="19.28515625" customWidth="1"/>
    <col min="8201" max="8201" width="14.28515625" customWidth="1"/>
    <col min="8202" max="8202" width="14.140625" bestFit="1" customWidth="1"/>
    <col min="8203" max="8203" width="13.5703125" customWidth="1"/>
    <col min="8204" max="8204" width="11.140625" customWidth="1"/>
    <col min="8205" max="8205" width="10.28515625" customWidth="1"/>
    <col min="8206" max="8206" width="12.140625" customWidth="1"/>
    <col min="8449" max="8449" width="43" customWidth="1"/>
    <col min="8450" max="8450" width="31" customWidth="1"/>
    <col min="8452" max="8452" width="19.42578125" customWidth="1"/>
    <col min="8453" max="8453" width="11.5703125" customWidth="1"/>
    <col min="8454" max="8454" width="15" customWidth="1"/>
    <col min="8455" max="8455" width="16" customWidth="1"/>
    <col min="8456" max="8456" width="19.28515625" customWidth="1"/>
    <col min="8457" max="8457" width="14.28515625" customWidth="1"/>
    <col min="8458" max="8458" width="14.140625" bestFit="1" customWidth="1"/>
    <col min="8459" max="8459" width="13.5703125" customWidth="1"/>
    <col min="8460" max="8460" width="11.140625" customWidth="1"/>
    <col min="8461" max="8461" width="10.28515625" customWidth="1"/>
    <col min="8462" max="8462" width="12.140625" customWidth="1"/>
    <col min="8705" max="8705" width="43" customWidth="1"/>
    <col min="8706" max="8706" width="31" customWidth="1"/>
    <col min="8708" max="8708" width="19.42578125" customWidth="1"/>
    <col min="8709" max="8709" width="11.5703125" customWidth="1"/>
    <col min="8710" max="8710" width="15" customWidth="1"/>
    <col min="8711" max="8711" width="16" customWidth="1"/>
    <col min="8712" max="8712" width="19.28515625" customWidth="1"/>
    <col min="8713" max="8713" width="14.28515625" customWidth="1"/>
    <col min="8714" max="8714" width="14.140625" bestFit="1" customWidth="1"/>
    <col min="8715" max="8715" width="13.5703125" customWidth="1"/>
    <col min="8716" max="8716" width="11.140625" customWidth="1"/>
    <col min="8717" max="8717" width="10.28515625" customWidth="1"/>
    <col min="8718" max="8718" width="12.140625" customWidth="1"/>
    <col min="8961" max="8961" width="43" customWidth="1"/>
    <col min="8962" max="8962" width="31" customWidth="1"/>
    <col min="8964" max="8964" width="19.42578125" customWidth="1"/>
    <col min="8965" max="8965" width="11.5703125" customWidth="1"/>
    <col min="8966" max="8966" width="15" customWidth="1"/>
    <col min="8967" max="8967" width="16" customWidth="1"/>
    <col min="8968" max="8968" width="19.28515625" customWidth="1"/>
    <col min="8969" max="8969" width="14.28515625" customWidth="1"/>
    <col min="8970" max="8970" width="14.140625" bestFit="1" customWidth="1"/>
    <col min="8971" max="8971" width="13.5703125" customWidth="1"/>
    <col min="8972" max="8972" width="11.140625" customWidth="1"/>
    <col min="8973" max="8973" width="10.28515625" customWidth="1"/>
    <col min="8974" max="8974" width="12.140625" customWidth="1"/>
    <col min="9217" max="9217" width="43" customWidth="1"/>
    <col min="9218" max="9218" width="31" customWidth="1"/>
    <col min="9220" max="9220" width="19.42578125" customWidth="1"/>
    <col min="9221" max="9221" width="11.5703125" customWidth="1"/>
    <col min="9222" max="9222" width="15" customWidth="1"/>
    <col min="9223" max="9223" width="16" customWidth="1"/>
    <col min="9224" max="9224" width="19.28515625" customWidth="1"/>
    <col min="9225" max="9225" width="14.28515625" customWidth="1"/>
    <col min="9226" max="9226" width="14.140625" bestFit="1" customWidth="1"/>
    <col min="9227" max="9227" width="13.5703125" customWidth="1"/>
    <col min="9228" max="9228" width="11.140625" customWidth="1"/>
    <col min="9229" max="9229" width="10.28515625" customWidth="1"/>
    <col min="9230" max="9230" width="12.140625" customWidth="1"/>
    <col min="9473" max="9473" width="43" customWidth="1"/>
    <col min="9474" max="9474" width="31" customWidth="1"/>
    <col min="9476" max="9476" width="19.42578125" customWidth="1"/>
    <col min="9477" max="9477" width="11.5703125" customWidth="1"/>
    <col min="9478" max="9478" width="15" customWidth="1"/>
    <col min="9479" max="9479" width="16" customWidth="1"/>
    <col min="9480" max="9480" width="19.28515625" customWidth="1"/>
    <col min="9481" max="9481" width="14.28515625" customWidth="1"/>
    <col min="9482" max="9482" width="14.140625" bestFit="1" customWidth="1"/>
    <col min="9483" max="9483" width="13.5703125" customWidth="1"/>
    <col min="9484" max="9484" width="11.140625" customWidth="1"/>
    <col min="9485" max="9485" width="10.28515625" customWidth="1"/>
    <col min="9486" max="9486" width="12.140625" customWidth="1"/>
    <col min="9729" max="9729" width="43" customWidth="1"/>
    <col min="9730" max="9730" width="31" customWidth="1"/>
    <col min="9732" max="9732" width="19.42578125" customWidth="1"/>
    <col min="9733" max="9733" width="11.5703125" customWidth="1"/>
    <col min="9734" max="9734" width="15" customWidth="1"/>
    <col min="9735" max="9735" width="16" customWidth="1"/>
    <col min="9736" max="9736" width="19.28515625" customWidth="1"/>
    <col min="9737" max="9737" width="14.28515625" customWidth="1"/>
    <col min="9738" max="9738" width="14.140625" bestFit="1" customWidth="1"/>
    <col min="9739" max="9739" width="13.5703125" customWidth="1"/>
    <col min="9740" max="9740" width="11.140625" customWidth="1"/>
    <col min="9741" max="9741" width="10.28515625" customWidth="1"/>
    <col min="9742" max="9742" width="12.140625" customWidth="1"/>
    <col min="9985" max="9985" width="43" customWidth="1"/>
    <col min="9986" max="9986" width="31" customWidth="1"/>
    <col min="9988" max="9988" width="19.42578125" customWidth="1"/>
    <col min="9989" max="9989" width="11.5703125" customWidth="1"/>
    <col min="9990" max="9990" width="15" customWidth="1"/>
    <col min="9991" max="9991" width="16" customWidth="1"/>
    <col min="9992" max="9992" width="19.28515625" customWidth="1"/>
    <col min="9993" max="9993" width="14.28515625" customWidth="1"/>
    <col min="9994" max="9994" width="14.140625" bestFit="1" customWidth="1"/>
    <col min="9995" max="9995" width="13.5703125" customWidth="1"/>
    <col min="9996" max="9996" width="11.140625" customWidth="1"/>
    <col min="9997" max="9997" width="10.28515625" customWidth="1"/>
    <col min="9998" max="9998" width="12.140625" customWidth="1"/>
    <col min="10241" max="10241" width="43" customWidth="1"/>
    <col min="10242" max="10242" width="31" customWidth="1"/>
    <col min="10244" max="10244" width="19.42578125" customWidth="1"/>
    <col min="10245" max="10245" width="11.5703125" customWidth="1"/>
    <col min="10246" max="10246" width="15" customWidth="1"/>
    <col min="10247" max="10247" width="16" customWidth="1"/>
    <col min="10248" max="10248" width="19.28515625" customWidth="1"/>
    <col min="10249" max="10249" width="14.28515625" customWidth="1"/>
    <col min="10250" max="10250" width="14.140625" bestFit="1" customWidth="1"/>
    <col min="10251" max="10251" width="13.5703125" customWidth="1"/>
    <col min="10252" max="10252" width="11.140625" customWidth="1"/>
    <col min="10253" max="10253" width="10.28515625" customWidth="1"/>
    <col min="10254" max="10254" width="12.140625" customWidth="1"/>
    <col min="10497" max="10497" width="43" customWidth="1"/>
    <col min="10498" max="10498" width="31" customWidth="1"/>
    <col min="10500" max="10500" width="19.42578125" customWidth="1"/>
    <col min="10501" max="10501" width="11.5703125" customWidth="1"/>
    <col min="10502" max="10502" width="15" customWidth="1"/>
    <col min="10503" max="10503" width="16" customWidth="1"/>
    <col min="10504" max="10504" width="19.28515625" customWidth="1"/>
    <col min="10505" max="10505" width="14.28515625" customWidth="1"/>
    <col min="10506" max="10506" width="14.140625" bestFit="1" customWidth="1"/>
    <col min="10507" max="10507" width="13.5703125" customWidth="1"/>
    <col min="10508" max="10508" width="11.140625" customWidth="1"/>
    <col min="10509" max="10509" width="10.28515625" customWidth="1"/>
    <col min="10510" max="10510" width="12.140625" customWidth="1"/>
    <col min="10753" max="10753" width="43" customWidth="1"/>
    <col min="10754" max="10754" width="31" customWidth="1"/>
    <col min="10756" max="10756" width="19.42578125" customWidth="1"/>
    <col min="10757" max="10757" width="11.5703125" customWidth="1"/>
    <col min="10758" max="10758" width="15" customWidth="1"/>
    <col min="10759" max="10759" width="16" customWidth="1"/>
    <col min="10760" max="10760" width="19.28515625" customWidth="1"/>
    <col min="10761" max="10761" width="14.28515625" customWidth="1"/>
    <col min="10762" max="10762" width="14.140625" bestFit="1" customWidth="1"/>
    <col min="10763" max="10763" width="13.5703125" customWidth="1"/>
    <col min="10764" max="10764" width="11.140625" customWidth="1"/>
    <col min="10765" max="10765" width="10.28515625" customWidth="1"/>
    <col min="10766" max="10766" width="12.140625" customWidth="1"/>
    <col min="11009" max="11009" width="43" customWidth="1"/>
    <col min="11010" max="11010" width="31" customWidth="1"/>
    <col min="11012" max="11012" width="19.42578125" customWidth="1"/>
    <col min="11013" max="11013" width="11.5703125" customWidth="1"/>
    <col min="11014" max="11014" width="15" customWidth="1"/>
    <col min="11015" max="11015" width="16" customWidth="1"/>
    <col min="11016" max="11016" width="19.28515625" customWidth="1"/>
    <col min="11017" max="11017" width="14.28515625" customWidth="1"/>
    <col min="11018" max="11018" width="14.140625" bestFit="1" customWidth="1"/>
    <col min="11019" max="11019" width="13.5703125" customWidth="1"/>
    <col min="11020" max="11020" width="11.140625" customWidth="1"/>
    <col min="11021" max="11021" width="10.28515625" customWidth="1"/>
    <col min="11022" max="11022" width="12.140625" customWidth="1"/>
    <col min="11265" max="11265" width="43" customWidth="1"/>
    <col min="11266" max="11266" width="31" customWidth="1"/>
    <col min="11268" max="11268" width="19.42578125" customWidth="1"/>
    <col min="11269" max="11269" width="11.5703125" customWidth="1"/>
    <col min="11270" max="11270" width="15" customWidth="1"/>
    <col min="11271" max="11271" width="16" customWidth="1"/>
    <col min="11272" max="11272" width="19.28515625" customWidth="1"/>
    <col min="11273" max="11273" width="14.28515625" customWidth="1"/>
    <col min="11274" max="11274" width="14.140625" bestFit="1" customWidth="1"/>
    <col min="11275" max="11275" width="13.5703125" customWidth="1"/>
    <col min="11276" max="11276" width="11.140625" customWidth="1"/>
    <col min="11277" max="11277" width="10.28515625" customWidth="1"/>
    <col min="11278" max="11278" width="12.140625" customWidth="1"/>
    <col min="11521" max="11521" width="43" customWidth="1"/>
    <col min="11522" max="11522" width="31" customWidth="1"/>
    <col min="11524" max="11524" width="19.42578125" customWidth="1"/>
    <col min="11525" max="11525" width="11.5703125" customWidth="1"/>
    <col min="11526" max="11526" width="15" customWidth="1"/>
    <col min="11527" max="11527" width="16" customWidth="1"/>
    <col min="11528" max="11528" width="19.28515625" customWidth="1"/>
    <col min="11529" max="11529" width="14.28515625" customWidth="1"/>
    <col min="11530" max="11530" width="14.140625" bestFit="1" customWidth="1"/>
    <col min="11531" max="11531" width="13.5703125" customWidth="1"/>
    <col min="11532" max="11532" width="11.140625" customWidth="1"/>
    <col min="11533" max="11533" width="10.28515625" customWidth="1"/>
    <col min="11534" max="11534" width="12.140625" customWidth="1"/>
    <col min="11777" max="11777" width="43" customWidth="1"/>
    <col min="11778" max="11778" width="31" customWidth="1"/>
    <col min="11780" max="11780" width="19.42578125" customWidth="1"/>
    <col min="11781" max="11781" width="11.5703125" customWidth="1"/>
    <col min="11782" max="11782" width="15" customWidth="1"/>
    <col min="11783" max="11783" width="16" customWidth="1"/>
    <col min="11784" max="11784" width="19.28515625" customWidth="1"/>
    <col min="11785" max="11785" width="14.28515625" customWidth="1"/>
    <col min="11786" max="11786" width="14.140625" bestFit="1" customWidth="1"/>
    <col min="11787" max="11787" width="13.5703125" customWidth="1"/>
    <col min="11788" max="11788" width="11.140625" customWidth="1"/>
    <col min="11789" max="11789" width="10.28515625" customWidth="1"/>
    <col min="11790" max="11790" width="12.140625" customWidth="1"/>
    <col min="12033" max="12033" width="43" customWidth="1"/>
    <col min="12034" max="12034" width="31" customWidth="1"/>
    <col min="12036" max="12036" width="19.42578125" customWidth="1"/>
    <col min="12037" max="12037" width="11.5703125" customWidth="1"/>
    <col min="12038" max="12038" width="15" customWidth="1"/>
    <col min="12039" max="12039" width="16" customWidth="1"/>
    <col min="12040" max="12040" width="19.28515625" customWidth="1"/>
    <col min="12041" max="12041" width="14.28515625" customWidth="1"/>
    <col min="12042" max="12042" width="14.140625" bestFit="1" customWidth="1"/>
    <col min="12043" max="12043" width="13.5703125" customWidth="1"/>
    <col min="12044" max="12044" width="11.140625" customWidth="1"/>
    <col min="12045" max="12045" width="10.28515625" customWidth="1"/>
    <col min="12046" max="12046" width="12.140625" customWidth="1"/>
    <col min="12289" max="12289" width="43" customWidth="1"/>
    <col min="12290" max="12290" width="31" customWidth="1"/>
    <col min="12292" max="12292" width="19.42578125" customWidth="1"/>
    <col min="12293" max="12293" width="11.5703125" customWidth="1"/>
    <col min="12294" max="12294" width="15" customWidth="1"/>
    <col min="12295" max="12295" width="16" customWidth="1"/>
    <col min="12296" max="12296" width="19.28515625" customWidth="1"/>
    <col min="12297" max="12297" width="14.28515625" customWidth="1"/>
    <col min="12298" max="12298" width="14.140625" bestFit="1" customWidth="1"/>
    <col min="12299" max="12299" width="13.5703125" customWidth="1"/>
    <col min="12300" max="12300" width="11.140625" customWidth="1"/>
    <col min="12301" max="12301" width="10.28515625" customWidth="1"/>
    <col min="12302" max="12302" width="12.140625" customWidth="1"/>
    <col min="12545" max="12545" width="43" customWidth="1"/>
    <col min="12546" max="12546" width="31" customWidth="1"/>
    <col min="12548" max="12548" width="19.42578125" customWidth="1"/>
    <col min="12549" max="12549" width="11.5703125" customWidth="1"/>
    <col min="12550" max="12550" width="15" customWidth="1"/>
    <col min="12551" max="12551" width="16" customWidth="1"/>
    <col min="12552" max="12552" width="19.28515625" customWidth="1"/>
    <col min="12553" max="12553" width="14.28515625" customWidth="1"/>
    <col min="12554" max="12554" width="14.140625" bestFit="1" customWidth="1"/>
    <col min="12555" max="12555" width="13.5703125" customWidth="1"/>
    <col min="12556" max="12556" width="11.140625" customWidth="1"/>
    <col min="12557" max="12557" width="10.28515625" customWidth="1"/>
    <col min="12558" max="12558" width="12.140625" customWidth="1"/>
    <col min="12801" max="12801" width="43" customWidth="1"/>
    <col min="12802" max="12802" width="31" customWidth="1"/>
    <col min="12804" max="12804" width="19.42578125" customWidth="1"/>
    <col min="12805" max="12805" width="11.5703125" customWidth="1"/>
    <col min="12806" max="12806" width="15" customWidth="1"/>
    <col min="12807" max="12807" width="16" customWidth="1"/>
    <col min="12808" max="12808" width="19.28515625" customWidth="1"/>
    <col min="12809" max="12809" width="14.28515625" customWidth="1"/>
    <col min="12810" max="12810" width="14.140625" bestFit="1" customWidth="1"/>
    <col min="12811" max="12811" width="13.5703125" customWidth="1"/>
    <col min="12812" max="12812" width="11.140625" customWidth="1"/>
    <col min="12813" max="12813" width="10.28515625" customWidth="1"/>
    <col min="12814" max="12814" width="12.140625" customWidth="1"/>
    <col min="13057" max="13057" width="43" customWidth="1"/>
    <col min="13058" max="13058" width="31" customWidth="1"/>
    <col min="13060" max="13060" width="19.42578125" customWidth="1"/>
    <col min="13061" max="13061" width="11.5703125" customWidth="1"/>
    <col min="13062" max="13062" width="15" customWidth="1"/>
    <col min="13063" max="13063" width="16" customWidth="1"/>
    <col min="13064" max="13064" width="19.28515625" customWidth="1"/>
    <col min="13065" max="13065" width="14.28515625" customWidth="1"/>
    <col min="13066" max="13066" width="14.140625" bestFit="1" customWidth="1"/>
    <col min="13067" max="13067" width="13.5703125" customWidth="1"/>
    <col min="13068" max="13068" width="11.140625" customWidth="1"/>
    <col min="13069" max="13069" width="10.28515625" customWidth="1"/>
    <col min="13070" max="13070" width="12.140625" customWidth="1"/>
    <col min="13313" max="13313" width="43" customWidth="1"/>
    <col min="13314" max="13314" width="31" customWidth="1"/>
    <col min="13316" max="13316" width="19.42578125" customWidth="1"/>
    <col min="13317" max="13317" width="11.5703125" customWidth="1"/>
    <col min="13318" max="13318" width="15" customWidth="1"/>
    <col min="13319" max="13319" width="16" customWidth="1"/>
    <col min="13320" max="13320" width="19.28515625" customWidth="1"/>
    <col min="13321" max="13321" width="14.28515625" customWidth="1"/>
    <col min="13322" max="13322" width="14.140625" bestFit="1" customWidth="1"/>
    <col min="13323" max="13323" width="13.5703125" customWidth="1"/>
    <col min="13324" max="13324" width="11.140625" customWidth="1"/>
    <col min="13325" max="13325" width="10.28515625" customWidth="1"/>
    <col min="13326" max="13326" width="12.140625" customWidth="1"/>
    <col min="13569" max="13569" width="43" customWidth="1"/>
    <col min="13570" max="13570" width="31" customWidth="1"/>
    <col min="13572" max="13572" width="19.42578125" customWidth="1"/>
    <col min="13573" max="13573" width="11.5703125" customWidth="1"/>
    <col min="13574" max="13574" width="15" customWidth="1"/>
    <col min="13575" max="13575" width="16" customWidth="1"/>
    <col min="13576" max="13576" width="19.28515625" customWidth="1"/>
    <col min="13577" max="13577" width="14.28515625" customWidth="1"/>
    <col min="13578" max="13578" width="14.140625" bestFit="1" customWidth="1"/>
    <col min="13579" max="13579" width="13.5703125" customWidth="1"/>
    <col min="13580" max="13580" width="11.140625" customWidth="1"/>
    <col min="13581" max="13581" width="10.28515625" customWidth="1"/>
    <col min="13582" max="13582" width="12.140625" customWidth="1"/>
    <col min="13825" max="13825" width="43" customWidth="1"/>
    <col min="13826" max="13826" width="31" customWidth="1"/>
    <col min="13828" max="13828" width="19.42578125" customWidth="1"/>
    <col min="13829" max="13829" width="11.5703125" customWidth="1"/>
    <col min="13830" max="13830" width="15" customWidth="1"/>
    <col min="13831" max="13831" width="16" customWidth="1"/>
    <col min="13832" max="13832" width="19.28515625" customWidth="1"/>
    <col min="13833" max="13833" width="14.28515625" customWidth="1"/>
    <col min="13834" max="13834" width="14.140625" bestFit="1" customWidth="1"/>
    <col min="13835" max="13835" width="13.5703125" customWidth="1"/>
    <col min="13836" max="13836" width="11.140625" customWidth="1"/>
    <col min="13837" max="13837" width="10.28515625" customWidth="1"/>
    <col min="13838" max="13838" width="12.140625" customWidth="1"/>
    <col min="14081" max="14081" width="43" customWidth="1"/>
    <col min="14082" max="14082" width="31" customWidth="1"/>
    <col min="14084" max="14084" width="19.42578125" customWidth="1"/>
    <col min="14085" max="14085" width="11.5703125" customWidth="1"/>
    <col min="14086" max="14086" width="15" customWidth="1"/>
    <col min="14087" max="14087" width="16" customWidth="1"/>
    <col min="14088" max="14088" width="19.28515625" customWidth="1"/>
    <col min="14089" max="14089" width="14.28515625" customWidth="1"/>
    <col min="14090" max="14090" width="14.140625" bestFit="1" customWidth="1"/>
    <col min="14091" max="14091" width="13.5703125" customWidth="1"/>
    <col min="14092" max="14092" width="11.140625" customWidth="1"/>
    <col min="14093" max="14093" width="10.28515625" customWidth="1"/>
    <col min="14094" max="14094" width="12.140625" customWidth="1"/>
    <col min="14337" max="14337" width="43" customWidth="1"/>
    <col min="14338" max="14338" width="31" customWidth="1"/>
    <col min="14340" max="14340" width="19.42578125" customWidth="1"/>
    <col min="14341" max="14341" width="11.5703125" customWidth="1"/>
    <col min="14342" max="14342" width="15" customWidth="1"/>
    <col min="14343" max="14343" width="16" customWidth="1"/>
    <col min="14344" max="14344" width="19.28515625" customWidth="1"/>
    <col min="14345" max="14345" width="14.28515625" customWidth="1"/>
    <col min="14346" max="14346" width="14.140625" bestFit="1" customWidth="1"/>
    <col min="14347" max="14347" width="13.5703125" customWidth="1"/>
    <col min="14348" max="14348" width="11.140625" customWidth="1"/>
    <col min="14349" max="14349" width="10.28515625" customWidth="1"/>
    <col min="14350" max="14350" width="12.140625" customWidth="1"/>
    <col min="14593" max="14593" width="43" customWidth="1"/>
    <col min="14594" max="14594" width="31" customWidth="1"/>
    <col min="14596" max="14596" width="19.42578125" customWidth="1"/>
    <col min="14597" max="14597" width="11.5703125" customWidth="1"/>
    <col min="14598" max="14598" width="15" customWidth="1"/>
    <col min="14599" max="14599" width="16" customWidth="1"/>
    <col min="14600" max="14600" width="19.28515625" customWidth="1"/>
    <col min="14601" max="14601" width="14.28515625" customWidth="1"/>
    <col min="14602" max="14602" width="14.140625" bestFit="1" customWidth="1"/>
    <col min="14603" max="14603" width="13.5703125" customWidth="1"/>
    <col min="14604" max="14604" width="11.140625" customWidth="1"/>
    <col min="14605" max="14605" width="10.28515625" customWidth="1"/>
    <col min="14606" max="14606" width="12.140625" customWidth="1"/>
    <col min="14849" max="14849" width="43" customWidth="1"/>
    <col min="14850" max="14850" width="31" customWidth="1"/>
    <col min="14852" max="14852" width="19.42578125" customWidth="1"/>
    <col min="14853" max="14853" width="11.5703125" customWidth="1"/>
    <col min="14854" max="14854" width="15" customWidth="1"/>
    <col min="14855" max="14855" width="16" customWidth="1"/>
    <col min="14856" max="14856" width="19.28515625" customWidth="1"/>
    <col min="14857" max="14857" width="14.28515625" customWidth="1"/>
    <col min="14858" max="14858" width="14.140625" bestFit="1" customWidth="1"/>
    <col min="14859" max="14859" width="13.5703125" customWidth="1"/>
    <col min="14860" max="14860" width="11.140625" customWidth="1"/>
    <col min="14861" max="14861" width="10.28515625" customWidth="1"/>
    <col min="14862" max="14862" width="12.140625" customWidth="1"/>
    <col min="15105" max="15105" width="43" customWidth="1"/>
    <col min="15106" max="15106" width="31" customWidth="1"/>
    <col min="15108" max="15108" width="19.42578125" customWidth="1"/>
    <col min="15109" max="15109" width="11.5703125" customWidth="1"/>
    <col min="15110" max="15110" width="15" customWidth="1"/>
    <col min="15111" max="15111" width="16" customWidth="1"/>
    <col min="15112" max="15112" width="19.28515625" customWidth="1"/>
    <col min="15113" max="15113" width="14.28515625" customWidth="1"/>
    <col min="15114" max="15114" width="14.140625" bestFit="1" customWidth="1"/>
    <col min="15115" max="15115" width="13.5703125" customWidth="1"/>
    <col min="15116" max="15116" width="11.140625" customWidth="1"/>
    <col min="15117" max="15117" width="10.28515625" customWidth="1"/>
    <col min="15118" max="15118" width="12.140625" customWidth="1"/>
    <col min="15361" max="15361" width="43" customWidth="1"/>
    <col min="15362" max="15362" width="31" customWidth="1"/>
    <col min="15364" max="15364" width="19.42578125" customWidth="1"/>
    <col min="15365" max="15365" width="11.5703125" customWidth="1"/>
    <col min="15366" max="15366" width="15" customWidth="1"/>
    <col min="15367" max="15367" width="16" customWidth="1"/>
    <col min="15368" max="15368" width="19.28515625" customWidth="1"/>
    <col min="15369" max="15369" width="14.28515625" customWidth="1"/>
    <col min="15370" max="15370" width="14.140625" bestFit="1" customWidth="1"/>
    <col min="15371" max="15371" width="13.5703125" customWidth="1"/>
    <col min="15372" max="15372" width="11.140625" customWidth="1"/>
    <col min="15373" max="15373" width="10.28515625" customWidth="1"/>
    <col min="15374" max="15374" width="12.140625" customWidth="1"/>
    <col min="15617" max="15617" width="43" customWidth="1"/>
    <col min="15618" max="15618" width="31" customWidth="1"/>
    <col min="15620" max="15620" width="19.42578125" customWidth="1"/>
    <col min="15621" max="15621" width="11.5703125" customWidth="1"/>
    <col min="15622" max="15622" width="15" customWidth="1"/>
    <col min="15623" max="15623" width="16" customWidth="1"/>
    <col min="15624" max="15624" width="19.28515625" customWidth="1"/>
    <col min="15625" max="15625" width="14.28515625" customWidth="1"/>
    <col min="15626" max="15626" width="14.140625" bestFit="1" customWidth="1"/>
    <col min="15627" max="15627" width="13.5703125" customWidth="1"/>
    <col min="15628" max="15628" width="11.140625" customWidth="1"/>
    <col min="15629" max="15629" width="10.28515625" customWidth="1"/>
    <col min="15630" max="15630" width="12.140625" customWidth="1"/>
    <col min="15873" max="15873" width="43" customWidth="1"/>
    <col min="15874" max="15874" width="31" customWidth="1"/>
    <col min="15876" max="15876" width="19.42578125" customWidth="1"/>
    <col min="15877" max="15877" width="11.5703125" customWidth="1"/>
    <col min="15878" max="15878" width="15" customWidth="1"/>
    <col min="15879" max="15879" width="16" customWidth="1"/>
    <col min="15880" max="15880" width="19.28515625" customWidth="1"/>
    <col min="15881" max="15881" width="14.28515625" customWidth="1"/>
    <col min="15882" max="15882" width="14.140625" bestFit="1" customWidth="1"/>
    <col min="15883" max="15883" width="13.5703125" customWidth="1"/>
    <col min="15884" max="15884" width="11.140625" customWidth="1"/>
    <col min="15885" max="15885" width="10.28515625" customWidth="1"/>
    <col min="15886" max="15886" width="12.140625" customWidth="1"/>
    <col min="16129" max="16129" width="43" customWidth="1"/>
    <col min="16130" max="16130" width="31" customWidth="1"/>
    <col min="16132" max="16132" width="19.42578125" customWidth="1"/>
    <col min="16133" max="16133" width="11.5703125" customWidth="1"/>
    <col min="16134" max="16134" width="15" customWidth="1"/>
    <col min="16135" max="16135" width="16" customWidth="1"/>
    <col min="16136" max="16136" width="19.28515625" customWidth="1"/>
    <col min="16137" max="16137" width="14.28515625" customWidth="1"/>
    <col min="16138" max="16138" width="14.140625" bestFit="1" customWidth="1"/>
    <col min="16139" max="16139" width="13.5703125" customWidth="1"/>
    <col min="16140" max="16140" width="11.140625" customWidth="1"/>
    <col min="16141" max="16141" width="10.28515625" customWidth="1"/>
    <col min="16142" max="16142" width="12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>
      <c r="A4" s="326" t="s">
        <v>3214</v>
      </c>
      <c r="B4" s="625" t="s">
        <v>3517</v>
      </c>
      <c r="C4" s="626"/>
      <c r="D4" s="626"/>
      <c r="E4" s="627"/>
      <c r="F4" s="326" t="s">
        <v>171</v>
      </c>
      <c r="G4" s="326"/>
      <c r="H4" s="642">
        <v>40602105050103</v>
      </c>
      <c r="I4" s="643"/>
      <c r="J4" s="326" t="s">
        <v>172</v>
      </c>
      <c r="K4" s="631">
        <v>450.04700000000003</v>
      </c>
      <c r="L4" s="326" t="s">
        <v>436</v>
      </c>
      <c r="M4" s="326"/>
      <c r="N4" s="631"/>
    </row>
    <row r="5" spans="1:14">
      <c r="A5" s="326"/>
      <c r="B5" s="637"/>
      <c r="C5" s="637"/>
      <c r="D5" s="637"/>
      <c r="E5" s="637"/>
      <c r="F5" s="326"/>
      <c r="G5" s="326"/>
      <c r="H5" s="326"/>
      <c r="I5" s="326"/>
      <c r="J5" s="326"/>
      <c r="K5" s="326"/>
      <c r="L5" s="326"/>
      <c r="M5" s="326"/>
      <c r="N5" s="326"/>
    </row>
    <row r="6" spans="1:14">
      <c r="A6" s="326" t="s">
        <v>174</v>
      </c>
      <c r="B6" s="625" t="s">
        <v>3518</v>
      </c>
      <c r="C6" s="626"/>
      <c r="D6" s="626"/>
      <c r="E6" s="627"/>
      <c r="F6" s="628" t="s">
        <v>3208</v>
      </c>
      <c r="G6" s="628"/>
      <c r="H6" s="625" t="s">
        <v>3447</v>
      </c>
      <c r="I6" s="626"/>
      <c r="J6" s="627"/>
      <c r="K6" s="326"/>
      <c r="L6" s="326"/>
      <c r="M6" s="326"/>
      <c r="N6" s="326"/>
    </row>
    <row r="7" spans="1:14">
      <c r="A7" s="326"/>
      <c r="B7" s="637"/>
      <c r="C7" s="637"/>
      <c r="D7" s="637"/>
      <c r="E7" s="637"/>
      <c r="F7" s="628"/>
      <c r="G7" s="628"/>
      <c r="H7" s="637"/>
      <c r="I7" s="637"/>
      <c r="J7" s="637"/>
      <c r="K7" s="326"/>
      <c r="L7" s="326"/>
      <c r="M7" s="326"/>
      <c r="N7" s="326"/>
    </row>
    <row r="8" spans="1:14" ht="15" customHeight="1">
      <c r="A8" s="326" t="s">
        <v>178</v>
      </c>
      <c r="B8" s="625" t="s">
        <v>3519</v>
      </c>
      <c r="C8" s="626"/>
      <c r="D8" s="626"/>
      <c r="E8" s="627"/>
      <c r="F8" s="629" t="s">
        <v>3205</v>
      </c>
      <c r="G8" s="630"/>
      <c r="H8" s="633" t="s">
        <v>3520</v>
      </c>
      <c r="I8" s="634"/>
      <c r="J8" s="634"/>
      <c r="K8" s="635"/>
      <c r="L8" s="326"/>
      <c r="M8" s="326"/>
      <c r="N8" s="326"/>
    </row>
    <row r="9" spans="1:14">
      <c r="A9" s="326"/>
      <c r="B9" s="637"/>
      <c r="C9" s="637"/>
      <c r="D9" s="637"/>
      <c r="E9" s="637"/>
      <c r="F9" s="629"/>
      <c r="G9" s="630"/>
      <c r="H9" s="636"/>
      <c r="I9" s="637"/>
      <c r="J9" s="637"/>
      <c r="K9" s="638"/>
      <c r="L9" s="326"/>
      <c r="M9" s="326"/>
      <c r="N9" s="326"/>
    </row>
    <row r="10" spans="1:14">
      <c r="A10" s="326"/>
      <c r="B10" s="637"/>
      <c r="C10" s="637"/>
      <c r="D10" s="637"/>
      <c r="E10" s="637"/>
      <c r="F10" s="629"/>
      <c r="G10" s="630"/>
      <c r="H10" s="639"/>
      <c r="I10" s="640"/>
      <c r="J10" s="640"/>
      <c r="K10" s="641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326"/>
      <c r="G11" s="326"/>
      <c r="H11" s="637"/>
      <c r="I11" s="637"/>
      <c r="J11" s="637"/>
      <c r="K11" s="637"/>
      <c r="L11" s="326"/>
      <c r="M11" s="326"/>
      <c r="N11" s="326"/>
    </row>
    <row r="12" spans="1:14">
      <c r="A12" s="631" t="s">
        <v>838</v>
      </c>
      <c r="B12" s="623" t="s">
        <v>1122</v>
      </c>
      <c r="C12" s="623"/>
      <c r="D12" s="623" t="s">
        <v>3521</v>
      </c>
      <c r="E12" s="623"/>
      <c r="F12" s="623"/>
      <c r="G12" s="623" t="s">
        <v>3522</v>
      </c>
      <c r="H12" s="623"/>
      <c r="I12" s="623"/>
      <c r="J12" s="623" t="s">
        <v>3523</v>
      </c>
      <c r="K12" s="623"/>
      <c r="L12" s="623"/>
      <c r="M12" s="623"/>
      <c r="N12" s="326"/>
    </row>
    <row r="13" spans="1:14">
      <c r="A13" s="631" t="s">
        <v>187</v>
      </c>
      <c r="B13" s="623" t="s">
        <v>3489</v>
      </c>
      <c r="C13" s="623"/>
      <c r="D13" s="623" t="s">
        <v>3524</v>
      </c>
      <c r="E13" s="623"/>
      <c r="F13" s="623"/>
      <c r="G13" s="623" t="s">
        <v>3525</v>
      </c>
      <c r="H13" s="623"/>
      <c r="I13" s="623"/>
      <c r="J13" s="623" t="s">
        <v>3526</v>
      </c>
      <c r="K13" s="623"/>
      <c r="L13" s="623"/>
      <c r="M13" s="623"/>
      <c r="N13" s="326"/>
    </row>
    <row r="14" spans="1:14">
      <c r="A14" s="631" t="s">
        <v>192</v>
      </c>
      <c r="B14" s="623" t="s">
        <v>3527</v>
      </c>
      <c r="C14" s="623"/>
      <c r="D14" s="623" t="s">
        <v>3528</v>
      </c>
      <c r="E14" s="623"/>
      <c r="F14" s="623"/>
      <c r="G14" s="623" t="s">
        <v>3529</v>
      </c>
      <c r="H14" s="623"/>
      <c r="I14" s="623"/>
      <c r="J14" s="623" t="s">
        <v>3530</v>
      </c>
      <c r="K14" s="623"/>
      <c r="L14" s="623"/>
      <c r="M14" s="623"/>
      <c r="N14" s="326"/>
    </row>
    <row r="15" spans="1:14">
      <c r="A15" s="631" t="s">
        <v>197</v>
      </c>
      <c r="B15" s="623"/>
      <c r="C15" s="623"/>
      <c r="D15" s="623"/>
      <c r="E15" s="623"/>
      <c r="F15" s="623"/>
      <c r="G15" s="623"/>
      <c r="H15" s="623"/>
      <c r="I15" s="623"/>
      <c r="J15" s="623"/>
      <c r="K15" s="623"/>
      <c r="L15" s="623"/>
      <c r="M15" s="623"/>
      <c r="N15" s="326"/>
    </row>
    <row r="16" spans="1:14">
      <c r="A16" s="326"/>
      <c r="B16" s="637"/>
      <c r="C16" s="637"/>
      <c r="D16" s="637"/>
      <c r="E16" s="637"/>
      <c r="F16" s="637"/>
      <c r="G16" s="637"/>
      <c r="H16" s="637"/>
      <c r="I16" s="637"/>
      <c r="J16" s="637"/>
      <c r="K16" s="637"/>
      <c r="L16" s="637"/>
      <c r="M16" s="637"/>
      <c r="N16" s="326"/>
    </row>
    <row r="17" spans="1:14">
      <c r="A17" s="326" t="s">
        <v>198</v>
      </c>
      <c r="B17" s="631">
        <v>4</v>
      </c>
      <c r="C17" s="326" t="s">
        <v>199</v>
      </c>
      <c r="D17" s="326"/>
      <c r="E17" s="326"/>
      <c r="F17" s="631">
        <v>4</v>
      </c>
      <c r="G17" s="326" t="s">
        <v>200</v>
      </c>
      <c r="H17" s="632">
        <v>16</v>
      </c>
      <c r="I17" s="326" t="s">
        <v>201</v>
      </c>
      <c r="J17" s="632">
        <v>2</v>
      </c>
      <c r="K17" s="326" t="s">
        <v>202</v>
      </c>
      <c r="L17" s="631">
        <v>3</v>
      </c>
      <c r="M17" s="326"/>
      <c r="N17" s="326"/>
    </row>
    <row r="18" spans="1:14">
      <c r="A18" s="326"/>
      <c r="B18" s="326"/>
      <c r="C18" s="326"/>
      <c r="D18" s="326"/>
      <c r="E18" s="326"/>
      <c r="F18" s="326"/>
      <c r="G18" s="326"/>
      <c r="H18" s="644"/>
      <c r="I18" s="644"/>
      <c r="J18" s="644"/>
      <c r="K18" s="637"/>
      <c r="L18" s="637"/>
      <c r="M18" s="637"/>
      <c r="N18" s="326"/>
    </row>
    <row r="19" spans="1:14">
      <c r="A19" s="326"/>
      <c r="C19" s="326"/>
      <c r="D19" s="326"/>
      <c r="E19" s="326"/>
      <c r="G19" s="326"/>
      <c r="I19" s="326"/>
      <c r="J19" s="326"/>
      <c r="K19" s="326"/>
      <c r="L19" s="326"/>
      <c r="M19" s="326"/>
      <c r="N19" s="326"/>
    </row>
    <row r="20" spans="1:14">
      <c r="A20" s="326" t="s">
        <v>203</v>
      </c>
      <c r="B20" s="326" t="s">
        <v>204</v>
      </c>
      <c r="C20" s="631">
        <v>182</v>
      </c>
      <c r="D20" s="326" t="s">
        <v>205</v>
      </c>
      <c r="E20" s="631">
        <v>46</v>
      </c>
      <c r="F20" s="326" t="s">
        <v>206</v>
      </c>
      <c r="G20" s="80">
        <v>118</v>
      </c>
      <c r="H20" s="326" t="s">
        <v>230</v>
      </c>
      <c r="I20" s="80">
        <v>346</v>
      </c>
      <c r="J20" s="326" t="s">
        <v>207</v>
      </c>
      <c r="K20" s="631">
        <v>66</v>
      </c>
      <c r="L20" s="326" t="s">
        <v>3187</v>
      </c>
      <c r="M20" s="326"/>
      <c r="N20" s="631">
        <v>46</v>
      </c>
    </row>
    <row r="21" spans="1:14">
      <c r="A21" s="326" t="s">
        <v>209</v>
      </c>
      <c r="B21" s="326" t="s">
        <v>210</v>
      </c>
      <c r="C21" s="631">
        <v>314</v>
      </c>
      <c r="D21" s="326" t="s">
        <v>211</v>
      </c>
      <c r="E21" s="631">
        <v>213</v>
      </c>
      <c r="F21" s="326" t="s">
        <v>212</v>
      </c>
      <c r="G21" s="631">
        <v>385</v>
      </c>
      <c r="H21" s="326" t="s">
        <v>411</v>
      </c>
      <c r="I21" s="80">
        <v>912</v>
      </c>
      <c r="J21" s="326"/>
      <c r="K21" s="326"/>
      <c r="L21" s="326"/>
      <c r="M21" s="326"/>
      <c r="N21" s="326"/>
    </row>
    <row r="22" spans="1:14">
      <c r="A22" s="326"/>
      <c r="B22" s="326" t="s">
        <v>213</v>
      </c>
      <c r="C22" s="631">
        <v>332</v>
      </c>
      <c r="D22" s="326" t="s">
        <v>214</v>
      </c>
      <c r="E22" s="631">
        <v>221</v>
      </c>
      <c r="F22" s="326" t="s">
        <v>215</v>
      </c>
      <c r="G22" s="631">
        <v>272</v>
      </c>
      <c r="H22" s="326" t="s">
        <v>410</v>
      </c>
      <c r="I22" s="80">
        <v>825</v>
      </c>
      <c r="J22" s="326"/>
      <c r="K22" s="326"/>
      <c r="L22" s="326"/>
      <c r="M22" s="326"/>
      <c r="N22" s="326"/>
    </row>
    <row r="23" spans="1:14">
      <c r="A23" s="326"/>
      <c r="B23" s="326"/>
      <c r="C23" s="326"/>
      <c r="D23" s="326"/>
      <c r="E23" s="326"/>
      <c r="F23" s="326"/>
      <c r="G23" s="326"/>
      <c r="H23" s="326"/>
      <c r="I23" s="295"/>
      <c r="J23" s="326"/>
      <c r="K23" s="326"/>
      <c r="L23" s="326"/>
      <c r="M23" s="326"/>
      <c r="N23" s="326"/>
    </row>
    <row r="24" spans="1:14">
      <c r="A24" s="327" t="s">
        <v>216</v>
      </c>
      <c r="B24" s="326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</row>
    <row r="25" spans="1:14">
      <c r="A25" s="326"/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 ht="15" customHeight="1">
      <c r="A26" s="631" t="s">
        <v>217</v>
      </c>
      <c r="B26" s="632" t="s">
        <v>218</v>
      </c>
      <c r="C26" s="632" t="s">
        <v>219</v>
      </c>
      <c r="D26" s="1616" t="s">
        <v>5676</v>
      </c>
      <c r="E26" s="1616" t="s">
        <v>653</v>
      </c>
      <c r="F26" s="1593" t="s">
        <v>5677</v>
      </c>
      <c r="G26" s="1594"/>
      <c r="H26" s="1594"/>
      <c r="I26" s="1594"/>
      <c r="J26" s="1594"/>
      <c r="K26" s="1594"/>
      <c r="L26" s="1594"/>
      <c r="M26" s="1594"/>
      <c r="N26" s="1595"/>
    </row>
    <row r="27" spans="1:14">
      <c r="A27" s="631"/>
      <c r="B27" s="632"/>
      <c r="C27" s="632"/>
      <c r="D27" s="1616"/>
      <c r="E27" s="1616"/>
      <c r="F27" s="325" t="s">
        <v>3186</v>
      </c>
      <c r="G27" s="623" t="s">
        <v>3185</v>
      </c>
      <c r="H27" s="623">
        <v>3</v>
      </c>
      <c r="I27" s="623">
        <f>H27+1</f>
        <v>4</v>
      </c>
      <c r="J27" s="623">
        <f>I27+1</f>
        <v>5</v>
      </c>
      <c r="K27" s="623">
        <f>J27+1</f>
        <v>6</v>
      </c>
      <c r="L27" s="623">
        <f>K27+1</f>
        <v>7</v>
      </c>
      <c r="M27" s="623" t="s">
        <v>230</v>
      </c>
      <c r="N27" s="623" t="s">
        <v>231</v>
      </c>
    </row>
    <row r="28" spans="1:14">
      <c r="A28" s="322" t="s">
        <v>232</v>
      </c>
      <c r="B28" s="322">
        <v>8060</v>
      </c>
      <c r="C28" s="322" t="s">
        <v>233</v>
      </c>
      <c r="D28" s="335">
        <v>3627378.82</v>
      </c>
      <c r="E28" s="335">
        <v>146500</v>
      </c>
      <c r="F28" s="335"/>
      <c r="G28" s="335">
        <v>23770</v>
      </c>
      <c r="H28" s="335"/>
      <c r="I28" s="335"/>
      <c r="J28" s="335"/>
      <c r="K28" s="335"/>
      <c r="L28" s="335"/>
      <c r="M28" s="322">
        <f>SUM(F28:L28)</f>
        <v>23770</v>
      </c>
      <c r="N28" s="323">
        <f>+M28/E28*100</f>
        <v>16.225255972696246</v>
      </c>
    </row>
    <row r="29" spans="1:14">
      <c r="A29" s="322" t="s">
        <v>234</v>
      </c>
      <c r="B29" s="322">
        <v>1120</v>
      </c>
      <c r="C29" s="322" t="s">
        <v>233</v>
      </c>
      <c r="D29" s="335">
        <v>504052.64</v>
      </c>
      <c r="E29" s="335"/>
      <c r="F29" s="335"/>
      <c r="G29" s="335"/>
      <c r="H29" s="335"/>
      <c r="I29" s="335"/>
      <c r="J29" s="335"/>
      <c r="K29" s="335"/>
      <c r="L29" s="335"/>
      <c r="M29" s="322">
        <f t="shared" ref="M29:M37" si="0">SUM(F29:L29)</f>
        <v>0</v>
      </c>
      <c r="N29" s="323">
        <v>0</v>
      </c>
    </row>
    <row r="30" spans="1:14">
      <c r="A30" s="322" t="s">
        <v>235</v>
      </c>
      <c r="B30" s="322">
        <v>86</v>
      </c>
      <c r="C30" s="322" t="s">
        <v>236</v>
      </c>
      <c r="D30" s="335">
        <v>38704.042000000001</v>
      </c>
      <c r="E30" s="335">
        <v>18000</v>
      </c>
      <c r="F30" s="335"/>
      <c r="G30" s="335"/>
      <c r="H30" s="335"/>
      <c r="I30" s="335"/>
      <c r="J30" s="335"/>
      <c r="K30" s="335"/>
      <c r="L30" s="335"/>
      <c r="M30" s="322">
        <f t="shared" si="0"/>
        <v>0</v>
      </c>
      <c r="N30" s="323">
        <f t="shared" ref="N30:N37" si="1">+M30/E30*100</f>
        <v>0</v>
      </c>
    </row>
    <row r="31" spans="1:14">
      <c r="A31" s="322" t="s">
        <v>237</v>
      </c>
      <c r="B31" s="322">
        <v>68</v>
      </c>
      <c r="C31" s="322" t="s">
        <v>236</v>
      </c>
      <c r="D31" s="335">
        <v>30603.196</v>
      </c>
      <c r="E31" s="335">
        <v>16000</v>
      </c>
      <c r="F31" s="335"/>
      <c r="G31" s="335"/>
      <c r="H31" s="335"/>
      <c r="I31" s="335"/>
      <c r="J31" s="335"/>
      <c r="K31" s="335"/>
      <c r="L31" s="335"/>
      <c r="M31" s="322">
        <f t="shared" si="0"/>
        <v>0</v>
      </c>
      <c r="N31" s="323">
        <f t="shared" si="1"/>
        <v>0</v>
      </c>
    </row>
    <row r="32" spans="1:14">
      <c r="A32" s="322" t="s">
        <v>238</v>
      </c>
      <c r="B32" s="322">
        <v>1200</v>
      </c>
      <c r="C32" s="322" t="s">
        <v>233</v>
      </c>
      <c r="D32" s="335">
        <v>540564</v>
      </c>
      <c r="E32" s="335">
        <v>200000</v>
      </c>
      <c r="F32" s="335"/>
      <c r="G32" s="335">
        <v>152409</v>
      </c>
      <c r="H32" s="335"/>
      <c r="I32" s="335"/>
      <c r="J32" s="335"/>
      <c r="K32" s="335"/>
      <c r="L32" s="335"/>
      <c r="M32" s="322">
        <f t="shared" si="0"/>
        <v>152409</v>
      </c>
      <c r="N32" s="323">
        <f t="shared" si="1"/>
        <v>76.204499999999996</v>
      </c>
    </row>
    <row r="33" spans="1:14">
      <c r="A33" s="322" t="s">
        <v>667</v>
      </c>
      <c r="B33" s="322">
        <v>565</v>
      </c>
      <c r="C33" s="322" t="s">
        <v>233</v>
      </c>
      <c r="D33" s="335">
        <v>254276.55499999999</v>
      </c>
      <c r="E33" s="335">
        <v>145005</v>
      </c>
      <c r="F33" s="335"/>
      <c r="G33" s="335"/>
      <c r="H33" s="335"/>
      <c r="I33" s="335"/>
      <c r="J33" s="335"/>
      <c r="K33" s="335"/>
      <c r="L33" s="335"/>
      <c r="M33" s="322">
        <f t="shared" si="0"/>
        <v>0</v>
      </c>
      <c r="N33" s="323">
        <v>0</v>
      </c>
    </row>
    <row r="34" spans="1:14">
      <c r="A34" s="322" t="s">
        <v>240</v>
      </c>
      <c r="B34" s="322">
        <v>1000</v>
      </c>
      <c r="C34" s="322" t="s">
        <v>233</v>
      </c>
      <c r="D34" s="335">
        <v>450047</v>
      </c>
      <c r="E34" s="335"/>
      <c r="F34" s="335"/>
      <c r="G34" s="335"/>
      <c r="H34" s="335"/>
      <c r="I34" s="335"/>
      <c r="J34" s="335"/>
      <c r="K34" s="335"/>
      <c r="L34" s="335"/>
      <c r="M34" s="322">
        <f t="shared" si="0"/>
        <v>0</v>
      </c>
      <c r="N34" s="323">
        <v>0</v>
      </c>
    </row>
    <row r="35" spans="1:14">
      <c r="A35" s="322" t="s">
        <v>394</v>
      </c>
      <c r="B35" s="322">
        <v>2750</v>
      </c>
      <c r="C35" s="322" t="s">
        <v>242</v>
      </c>
      <c r="D35" s="335">
        <v>231000</v>
      </c>
      <c r="E35" s="335">
        <v>30250</v>
      </c>
      <c r="F35" s="335"/>
      <c r="G35" s="335">
        <v>10500</v>
      </c>
      <c r="H35" s="335"/>
      <c r="I35" s="335"/>
      <c r="J35" s="335"/>
      <c r="K35" s="335"/>
      <c r="L35" s="335"/>
      <c r="M35" s="322">
        <f t="shared" si="0"/>
        <v>10500</v>
      </c>
      <c r="N35" s="323">
        <f t="shared" si="1"/>
        <v>34.710743801652896</v>
      </c>
    </row>
    <row r="36" spans="1:14">
      <c r="A36" s="324" t="s">
        <v>670</v>
      </c>
      <c r="B36" s="322">
        <v>0</v>
      </c>
      <c r="C36" s="324" t="s">
        <v>244</v>
      </c>
      <c r="D36" s="335">
        <f>B36/100000</f>
        <v>0</v>
      </c>
      <c r="E36" s="335"/>
      <c r="F36" s="335"/>
      <c r="G36" s="335"/>
      <c r="H36" s="335"/>
      <c r="I36" s="335"/>
      <c r="J36" s="335"/>
      <c r="K36" s="335"/>
      <c r="L36" s="335"/>
      <c r="M36" s="322">
        <f t="shared" si="0"/>
        <v>0</v>
      </c>
      <c r="N36" s="323">
        <v>0</v>
      </c>
    </row>
    <row r="37" spans="1:14">
      <c r="A37" s="631" t="s">
        <v>245</v>
      </c>
      <c r="B37" s="322">
        <f>SUM(B28:B36)</f>
        <v>14849</v>
      </c>
      <c r="C37" s="322"/>
      <c r="D37" s="653">
        <f>SUM(D28:D36)</f>
        <v>5676626.2529999996</v>
      </c>
      <c r="E37" s="653">
        <f>SUM(E28:E36)</f>
        <v>555755</v>
      </c>
      <c r="F37" s="653">
        <f t="shared" ref="F37:L37" si="2">SUM(F28:F36)</f>
        <v>0</v>
      </c>
      <c r="G37" s="653">
        <f t="shared" si="2"/>
        <v>186679</v>
      </c>
      <c r="H37" s="653">
        <f t="shared" si="2"/>
        <v>0</v>
      </c>
      <c r="I37" s="653">
        <f t="shared" si="2"/>
        <v>0</v>
      </c>
      <c r="J37" s="653">
        <f t="shared" si="2"/>
        <v>0</v>
      </c>
      <c r="K37" s="653">
        <f t="shared" si="2"/>
        <v>0</v>
      </c>
      <c r="L37" s="653">
        <f t="shared" si="2"/>
        <v>0</v>
      </c>
      <c r="M37" s="631">
        <f t="shared" si="0"/>
        <v>186679</v>
      </c>
      <c r="N37" s="323">
        <f t="shared" si="1"/>
        <v>33.590161132153554</v>
      </c>
    </row>
    <row r="38" spans="1:14">
      <c r="A38" s="332"/>
      <c r="B38" s="332"/>
      <c r="E38" s="332"/>
    </row>
    <row r="39" spans="1:14">
      <c r="A39" t="s">
        <v>5678</v>
      </c>
      <c r="D39" t="s">
        <v>5679</v>
      </c>
    </row>
    <row r="41" spans="1:14">
      <c r="A41" s="320" t="s">
        <v>5680</v>
      </c>
      <c r="B41" s="320"/>
      <c r="C41" s="320"/>
      <c r="D41" s="320" t="s">
        <v>5681</v>
      </c>
      <c r="E41" s="332"/>
    </row>
  </sheetData>
  <mergeCells count="6">
    <mergeCell ref="A1:N1"/>
    <mergeCell ref="A2:N2"/>
    <mergeCell ref="A3:C3"/>
    <mergeCell ref="D26:D27"/>
    <mergeCell ref="E26:E27"/>
    <mergeCell ref="F26:N26"/>
  </mergeCells>
  <hyperlinks>
    <hyperlink ref="A3" location="'Fact Sheet of VDC'!A1" display="&lt;&lt;Back"/>
  </hyperlinks>
  <printOptions horizontalCentered="1" verticalCentered="1"/>
  <pageMargins left="0.23622047244094499" right="0.15748031496063" top="0.31" bottom="0.55000000000000004" header="0.39" footer="0.31496062992126"/>
  <pageSetup paperSize="9" scale="57" orientation="landscape" r:id="rId1"/>
  <headerFooter>
    <oddFooter>&amp;L&amp;9&amp;F&amp;R&amp;9&amp;A</oddFooter>
  </headerFooter>
</worksheet>
</file>

<file path=xl/worksheets/sheet331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593" t="s">
        <v>3531</v>
      </c>
      <c r="C5" s="1594"/>
      <c r="D5" s="1594"/>
      <c r="E5" s="1595"/>
      <c r="F5" s="326" t="s">
        <v>171</v>
      </c>
      <c r="G5" s="326"/>
      <c r="H5" s="1646">
        <v>406020109080201</v>
      </c>
      <c r="I5" s="1647"/>
      <c r="J5" s="326" t="s">
        <v>172</v>
      </c>
      <c r="K5" s="631">
        <v>231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3532</v>
      </c>
      <c r="C7" s="1594"/>
      <c r="D7" s="1594"/>
      <c r="E7" s="1595"/>
      <c r="F7" s="1596" t="s">
        <v>3208</v>
      </c>
      <c r="G7" s="1596"/>
      <c r="H7" s="1593" t="s">
        <v>3533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3534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3535</v>
      </c>
      <c r="C13" s="1612"/>
      <c r="D13" s="1612" t="s">
        <v>3536</v>
      </c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3537</v>
      </c>
      <c r="C14" s="1612"/>
      <c r="D14" s="1612" t="s">
        <v>3538</v>
      </c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31.5" customHeight="1">
      <c r="A15" s="631" t="s">
        <v>192</v>
      </c>
      <c r="B15" s="1613" t="s">
        <v>3539</v>
      </c>
      <c r="C15" s="1614"/>
      <c r="D15" s="1612" t="s">
        <v>3540</v>
      </c>
      <c r="E15" s="1612"/>
      <c r="F15" s="1612"/>
      <c r="G15" s="1612" t="s">
        <v>3541</v>
      </c>
      <c r="H15" s="1612"/>
      <c r="I15" s="1612"/>
      <c r="J15" s="1612" t="s">
        <v>3542</v>
      </c>
      <c r="K15" s="1612"/>
      <c r="L15" s="1612"/>
      <c r="M15" s="1612"/>
      <c r="N15" s="326" t="s">
        <v>3543</v>
      </c>
    </row>
    <row r="16" spans="1:14" ht="31.5" customHeight="1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2</v>
      </c>
      <c r="C18" s="326" t="s">
        <v>199</v>
      </c>
      <c r="D18" s="326"/>
      <c r="E18" s="326"/>
      <c r="F18" s="631">
        <v>2</v>
      </c>
      <c r="G18" s="326" t="s">
        <v>200</v>
      </c>
      <c r="H18" s="632">
        <v>3</v>
      </c>
      <c r="I18" s="326" t="s">
        <v>201</v>
      </c>
      <c r="J18" s="632">
        <v>0</v>
      </c>
      <c r="K18" s="326" t="s">
        <v>202</v>
      </c>
      <c r="L18" s="631">
        <v>2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45</v>
      </c>
      <c r="D21" s="326" t="s">
        <v>205</v>
      </c>
      <c r="E21" s="631">
        <v>0</v>
      </c>
      <c r="F21" s="326" t="s">
        <v>206</v>
      </c>
      <c r="G21" s="80">
        <v>0</v>
      </c>
      <c r="H21" s="326" t="s">
        <v>230</v>
      </c>
      <c r="I21" s="80">
        <v>45</v>
      </c>
      <c r="J21" s="326" t="s">
        <v>207</v>
      </c>
      <c r="K21" s="631">
        <v>10</v>
      </c>
      <c r="L21" s="326" t="s">
        <v>3187</v>
      </c>
      <c r="M21" s="326"/>
      <c r="N21" s="631">
        <v>6</v>
      </c>
    </row>
    <row r="22" spans="1:14" ht="21.75" customHeight="1">
      <c r="A22" s="326" t="s">
        <v>209</v>
      </c>
      <c r="B22" s="326" t="s">
        <v>210</v>
      </c>
      <c r="C22" s="631">
        <v>90</v>
      </c>
      <c r="D22" s="326" t="s">
        <v>211</v>
      </c>
      <c r="E22" s="631">
        <v>0</v>
      </c>
      <c r="F22" s="326" t="s">
        <v>212</v>
      </c>
      <c r="G22" s="631">
        <v>0</v>
      </c>
      <c r="H22" s="326" t="s">
        <v>411</v>
      </c>
      <c r="I22" s="80">
        <f>C22+E22</f>
        <v>90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101</v>
      </c>
      <c r="D23" s="326" t="s">
        <v>214</v>
      </c>
      <c r="E23" s="631">
        <v>0</v>
      </c>
      <c r="F23" s="326" t="s">
        <v>215</v>
      </c>
      <c r="G23" s="631">
        <v>0</v>
      </c>
      <c r="H23" s="326" t="s">
        <v>410</v>
      </c>
      <c r="I23" s="80">
        <f>C23+E23</f>
        <v>101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18.48</v>
      </c>
      <c r="E29" s="323">
        <v>7.6470000000000002</v>
      </c>
      <c r="F29" s="323"/>
      <c r="G29" s="323">
        <v>1.6174500000000001</v>
      </c>
      <c r="H29" s="323"/>
      <c r="I29" s="323"/>
      <c r="J29" s="323"/>
      <c r="K29" s="323"/>
      <c r="L29" s="323"/>
      <c r="M29" s="323">
        <f>SUM(F29:L29)</f>
        <v>1.6174500000000001</v>
      </c>
      <c r="N29" s="323">
        <f>+M29/E29*100</f>
        <v>21.1514319340918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1">SUM(F30:L30)</f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1"/>
        <v>0.125</v>
      </c>
      <c r="N32" s="323">
        <f t="shared" si="2"/>
        <v>78.125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2.7719999999999998</v>
      </c>
      <c r="E33" s="323">
        <v>2</v>
      </c>
      <c r="F33" s="323"/>
      <c r="G33" s="323">
        <v>1.8245</v>
      </c>
      <c r="H33" s="323"/>
      <c r="I33" s="323"/>
      <c r="J33" s="323"/>
      <c r="K33" s="323"/>
      <c r="L33" s="323"/>
      <c r="M33" s="323">
        <f t="shared" si="1"/>
        <v>1.8245</v>
      </c>
      <c r="N33" s="323">
        <f t="shared" si="2"/>
        <v>91.224999999999994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1.30515</v>
      </c>
      <c r="E34" s="323">
        <v>1.2310000000000001</v>
      </c>
      <c r="F34" s="323"/>
      <c r="G34" s="323">
        <v>0.05</v>
      </c>
      <c r="H34" s="323"/>
      <c r="I34" s="323"/>
      <c r="J34" s="323"/>
      <c r="K34" s="323"/>
      <c r="L34" s="323"/>
      <c r="M34" s="323">
        <f t="shared" si="1"/>
        <v>0.05</v>
      </c>
      <c r="N34" s="323">
        <f t="shared" si="2"/>
        <v>4.0617384240454912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2.31</v>
      </c>
      <c r="E35" s="323">
        <v>0</v>
      </c>
      <c r="F35" s="323"/>
      <c r="G35" s="323">
        <v>0</v>
      </c>
      <c r="H35" s="323"/>
      <c r="I35" s="323"/>
      <c r="J35" s="323"/>
      <c r="K35" s="323"/>
      <c r="L35" s="323"/>
      <c r="M35" s="323">
        <f t="shared" si="1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0.23649999999999999</v>
      </c>
      <c r="H36" s="323"/>
      <c r="I36" s="323"/>
      <c r="J36" s="323"/>
      <c r="K36" s="323"/>
      <c r="L36" s="323"/>
      <c r="M36" s="323">
        <f t="shared" si="1"/>
        <v>0.23649999999999999</v>
      </c>
      <c r="N36" s="323">
        <f t="shared" si="2"/>
        <v>78.181818181818187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>
        <v>0</v>
      </c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>SUM(D29:D37)</f>
        <v>33.677149999999997</v>
      </c>
      <c r="E38" s="321">
        <f t="shared" ref="E38:L38" si="3">SUM(E29:E37)</f>
        <v>11.5205</v>
      </c>
      <c r="F38" s="321"/>
      <c r="G38" s="321">
        <f>SUM(G29:G37)</f>
        <v>4.0334500000000002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4.0334500000000002</v>
      </c>
      <c r="N38" s="323">
        <f t="shared" si="2"/>
        <v>35.011067227984896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/>
  <pageMargins left="0.2" right="0.2" top="0.31" bottom="0.47" header="0.25" footer="0.28000000000000003"/>
  <pageSetup paperSize="9" scale="67" orientation="landscape" r:id="rId1"/>
  <headerFooter>
    <oddFooter>&amp;L&amp;9&amp;F&amp;R&amp;9&amp;A</oddFooter>
  </headerFooter>
</worksheet>
</file>

<file path=xl/worksheets/sheet332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3544</v>
      </c>
      <c r="C5" s="1594"/>
      <c r="D5" s="1594"/>
      <c r="E5" s="1595"/>
      <c r="F5" s="326" t="s">
        <v>171</v>
      </c>
      <c r="G5" s="326"/>
      <c r="H5" s="1646">
        <v>406020108220101</v>
      </c>
      <c r="I5" s="1647"/>
      <c r="J5" s="326" t="s">
        <v>172</v>
      </c>
      <c r="K5" s="631">
        <v>596</v>
      </c>
      <c r="L5" s="326" t="s">
        <v>436</v>
      </c>
      <c r="M5" s="326"/>
      <c r="N5" s="631">
        <v>80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3545</v>
      </c>
      <c r="C7" s="1594"/>
      <c r="D7" s="1594"/>
      <c r="E7" s="1595"/>
      <c r="F7" s="1596" t="s">
        <v>3208</v>
      </c>
      <c r="G7" s="1596"/>
      <c r="H7" s="1593" t="s">
        <v>3546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4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3547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3548</v>
      </c>
      <c r="C13" s="1612"/>
      <c r="D13" s="1612" t="s">
        <v>3549</v>
      </c>
      <c r="E13" s="1612"/>
      <c r="F13" s="1612" t="s">
        <v>3550</v>
      </c>
      <c r="G13" s="1612"/>
      <c r="H13" s="1612"/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2" t="s">
        <v>3551</v>
      </c>
      <c r="C14" s="1612"/>
      <c r="D14" s="1612" t="s">
        <v>3552</v>
      </c>
      <c r="E14" s="1612"/>
      <c r="F14" s="1612" t="s">
        <v>3553</v>
      </c>
      <c r="G14" s="1612"/>
      <c r="H14" s="1612"/>
      <c r="I14" s="1612"/>
      <c r="J14" s="1612"/>
      <c r="K14" s="1612"/>
      <c r="L14" s="1612"/>
      <c r="M14" s="1612"/>
      <c r="N14" s="326"/>
    </row>
    <row r="15" spans="1:14" ht="15" customHeight="1">
      <c r="A15" s="631" t="s">
        <v>192</v>
      </c>
      <c r="B15" s="1613" t="s">
        <v>3554</v>
      </c>
      <c r="C15" s="1614"/>
      <c r="D15" s="1612" t="s">
        <v>3555</v>
      </c>
      <c r="E15" s="1612"/>
      <c r="F15" s="1612" t="s">
        <v>3556</v>
      </c>
      <c r="G15" s="1612"/>
      <c r="H15" s="1612" t="s">
        <v>3557</v>
      </c>
      <c r="I15" s="1612"/>
      <c r="J15" s="1612" t="s">
        <v>3558</v>
      </c>
      <c r="K15" s="1612"/>
      <c r="L15" s="1612"/>
      <c r="M15" s="1612"/>
      <c r="N15" s="326"/>
    </row>
    <row r="16" spans="1:14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3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8</v>
      </c>
      <c r="I18" s="326" t="s">
        <v>201</v>
      </c>
      <c r="J18" s="632">
        <v>1</v>
      </c>
      <c r="K18" s="326" t="s">
        <v>202</v>
      </c>
      <c r="L18" s="631">
        <v>4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25</v>
      </c>
      <c r="D21" s="326" t="s">
        <v>205</v>
      </c>
      <c r="E21" s="631">
        <v>24</v>
      </c>
      <c r="F21" s="326" t="s">
        <v>206</v>
      </c>
      <c r="G21" s="80">
        <f>I21-E21-C21</f>
        <v>30</v>
      </c>
      <c r="H21" s="326" t="s">
        <v>230</v>
      </c>
      <c r="I21" s="80">
        <v>79</v>
      </c>
      <c r="J21" s="326" t="s">
        <v>207</v>
      </c>
      <c r="K21" s="631">
        <v>38</v>
      </c>
      <c r="L21" s="326" t="s">
        <v>3187</v>
      </c>
      <c r="M21" s="326"/>
      <c r="N21" s="631"/>
    </row>
    <row r="22" spans="1:14">
      <c r="A22" s="326" t="s">
        <v>209</v>
      </c>
      <c r="B22" s="326" t="s">
        <v>210</v>
      </c>
      <c r="C22" s="631">
        <v>47</v>
      </c>
      <c r="D22" s="326" t="s">
        <v>211</v>
      </c>
      <c r="E22" s="631">
        <v>56</v>
      </c>
      <c r="F22" s="326" t="s">
        <v>212</v>
      </c>
      <c r="G22" s="631">
        <v>65</v>
      </c>
      <c r="H22" s="326" t="s">
        <v>411</v>
      </c>
      <c r="I22" s="80">
        <f>C22+E22+G22</f>
        <v>168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53</v>
      </c>
      <c r="D23" s="326" t="s">
        <v>214</v>
      </c>
      <c r="E23" s="631">
        <v>58</v>
      </c>
      <c r="F23" s="326" t="s">
        <v>215</v>
      </c>
      <c r="G23" s="631">
        <v>83</v>
      </c>
      <c r="H23" s="326" t="s">
        <v>410</v>
      </c>
      <c r="I23" s="80">
        <f>C23+E23+G23</f>
        <v>194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23.25" customHeight="1">
      <c r="A28" s="1615"/>
      <c r="B28" s="1616"/>
      <c r="C28" s="1616"/>
      <c r="D28" s="1616"/>
      <c r="E28" s="1616"/>
      <c r="F28" s="325">
        <v>1</v>
      </c>
      <c r="G28" s="623">
        <v>2</v>
      </c>
      <c r="H28" s="623">
        <v>3</v>
      </c>
      <c r="I28" s="623">
        <v>4</v>
      </c>
      <c r="J28" s="623">
        <v>5</v>
      </c>
      <c r="K28" s="623">
        <v>6</v>
      </c>
      <c r="L28" s="623"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23">
        <f>B29*$K$5/100000</f>
        <v>47.68</v>
      </c>
      <c r="E29" s="323">
        <v>7.6470000000000002</v>
      </c>
      <c r="F29" s="323"/>
      <c r="G29" s="323">
        <v>1.6460999999999999</v>
      </c>
      <c r="H29" s="323"/>
      <c r="I29" s="323"/>
      <c r="J29" s="323"/>
      <c r="K29" s="323"/>
      <c r="L29" s="323"/>
      <c r="M29" s="323">
        <f>SUM(F29:L29)</f>
        <v>1.6460999999999999</v>
      </c>
      <c r="N29" s="323">
        <f>+M29/E29*100</f>
        <v>21.526088662220477</v>
      </c>
    </row>
    <row r="30" spans="1:14">
      <c r="A30" s="322" t="s">
        <v>234</v>
      </c>
      <c r="B30" s="322">
        <v>7000</v>
      </c>
      <c r="C30" s="322" t="s">
        <v>233</v>
      </c>
      <c r="D30" s="323"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23"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0"/>
        <v>0.18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23"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0"/>
        <v>0.125</v>
      </c>
      <c r="N32" s="323">
        <f t="shared" si="1"/>
        <v>78.125</v>
      </c>
    </row>
    <row r="33" spans="1:14">
      <c r="A33" s="322" t="s">
        <v>238</v>
      </c>
      <c r="B33" s="322">
        <v>1200</v>
      </c>
      <c r="C33" s="322" t="s">
        <v>233</v>
      </c>
      <c r="D33" s="323">
        <f>B33*$K$5/100000</f>
        <v>7.1520000000000001</v>
      </c>
      <c r="E33" s="323">
        <v>2</v>
      </c>
      <c r="F33" s="323"/>
      <c r="G33" s="323">
        <v>1.82317</v>
      </c>
      <c r="H33" s="323"/>
      <c r="I33" s="323"/>
      <c r="J33" s="323"/>
      <c r="K33" s="323"/>
      <c r="L33" s="323"/>
      <c r="M33" s="323">
        <f t="shared" si="0"/>
        <v>1.82317</v>
      </c>
      <c r="N33" s="323">
        <f t="shared" si="1"/>
        <v>91.158500000000004</v>
      </c>
    </row>
    <row r="34" spans="1:14">
      <c r="A34" s="322" t="s">
        <v>667</v>
      </c>
      <c r="B34" s="322">
        <v>565</v>
      </c>
      <c r="C34" s="322" t="s">
        <v>233</v>
      </c>
      <c r="D34" s="323">
        <f>B34*$K$5/100000</f>
        <v>3.3673999999999999</v>
      </c>
      <c r="E34" s="323">
        <v>1.5960000000000001</v>
      </c>
      <c r="F34" s="323"/>
      <c r="G34" s="323">
        <v>0.22</v>
      </c>
      <c r="H34" s="323"/>
      <c r="I34" s="323"/>
      <c r="J34" s="323"/>
      <c r="K34" s="323"/>
      <c r="L34" s="323"/>
      <c r="M34" s="323">
        <f t="shared" si="0"/>
        <v>0.22</v>
      </c>
      <c r="N34" s="323">
        <f t="shared" si="1"/>
        <v>13.784461152882205</v>
      </c>
    </row>
    <row r="35" spans="1:14">
      <c r="A35" s="322" t="s">
        <v>240</v>
      </c>
      <c r="B35" s="322">
        <v>1000</v>
      </c>
      <c r="C35" s="322" t="s">
        <v>233</v>
      </c>
      <c r="D35" s="323">
        <f>B35*$K$5/100000</f>
        <v>5.96</v>
      </c>
      <c r="E35" s="323">
        <v>0</v>
      </c>
      <c r="F35" s="323"/>
      <c r="G35" s="323">
        <v>0</v>
      </c>
      <c r="H35" s="323"/>
      <c r="I35" s="323"/>
      <c r="J35" s="323"/>
      <c r="K35" s="323"/>
      <c r="L35" s="323"/>
      <c r="M35" s="323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2.31</v>
      </c>
      <c r="E36" s="323">
        <v>0.30249999999999999</v>
      </c>
      <c r="F36" s="323"/>
      <c r="G36" s="323">
        <v>0.22750000000000001</v>
      </c>
      <c r="H36" s="323"/>
      <c r="I36" s="323"/>
      <c r="J36" s="323"/>
      <c r="K36" s="323"/>
      <c r="L36" s="323"/>
      <c r="M36" s="323">
        <f t="shared" si="0"/>
        <v>0.22750000000000001</v>
      </c>
      <c r="N36" s="323">
        <f t="shared" si="1"/>
        <v>75.206611570247944</v>
      </c>
    </row>
    <row r="37" spans="1:14">
      <c r="A37" s="324" t="s">
        <v>670</v>
      </c>
      <c r="B37" s="322">
        <v>10000</v>
      </c>
      <c r="C37" s="324" t="s">
        <v>244</v>
      </c>
      <c r="D37" s="323">
        <v>0.1</v>
      </c>
      <c r="E37" s="323">
        <v>0</v>
      </c>
      <c r="F37" s="323"/>
      <c r="G37" s="323"/>
      <c r="H37" s="323"/>
      <c r="I37" s="323"/>
      <c r="J37" s="323"/>
      <c r="K37" s="323"/>
      <c r="L37" s="323"/>
      <c r="M37" s="323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321">
        <f>SUM(D29:D37)</f>
        <v>72.969399999999993</v>
      </c>
      <c r="E38" s="321">
        <f>SUM(E29:E37)</f>
        <v>11.8855</v>
      </c>
      <c r="F38" s="321"/>
      <c r="G38" s="321">
        <f>SUM(G29:G37)</f>
        <v>4.2217699999999994</v>
      </c>
      <c r="H38" s="321">
        <v>0</v>
      </c>
      <c r="I38" s="321">
        <v>0</v>
      </c>
      <c r="J38" s="321">
        <v>0</v>
      </c>
      <c r="K38" s="321">
        <v>0</v>
      </c>
      <c r="L38" s="321">
        <v>0</v>
      </c>
      <c r="M38" s="321">
        <f t="shared" si="0"/>
        <v>4.2217699999999994</v>
      </c>
      <c r="N38" s="323">
        <f t="shared" si="1"/>
        <v>35.520339909974332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" right="0.2" top="0.31" bottom="0.46" header="0.2" footer="0.3"/>
  <pageSetup paperSize="9" scale="70" orientation="landscape" r:id="rId1"/>
  <headerFooter>
    <oddFooter>&amp;L&amp;9&amp;F&amp;R&amp;9&amp;A</oddFooter>
  </headerFooter>
</worksheet>
</file>

<file path=xl/worksheets/sheet33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3559</v>
      </c>
      <c r="C5" s="1594"/>
      <c r="D5" s="1594"/>
      <c r="E5" s="1595"/>
      <c r="F5" s="326" t="s">
        <v>171</v>
      </c>
      <c r="G5" s="326"/>
      <c r="H5" s="1646">
        <v>406020108220102</v>
      </c>
      <c r="I5" s="1647"/>
      <c r="J5" s="326" t="s">
        <v>172</v>
      </c>
      <c r="K5" s="631">
        <v>588</v>
      </c>
      <c r="L5" s="326" t="s">
        <v>436</v>
      </c>
      <c r="M5" s="326"/>
      <c r="N5" s="631">
        <v>80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3560</v>
      </c>
      <c r="C7" s="1594"/>
      <c r="D7" s="1594"/>
      <c r="E7" s="1595"/>
      <c r="F7" s="1596" t="s">
        <v>3208</v>
      </c>
      <c r="G7" s="1596"/>
      <c r="H7" s="1593" t="s">
        <v>3561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3562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3563</v>
      </c>
      <c r="C13" s="1612"/>
      <c r="D13" s="1612" t="s">
        <v>3564</v>
      </c>
      <c r="E13" s="1612"/>
      <c r="F13" s="1612" t="s">
        <v>3565</v>
      </c>
      <c r="G13" s="1612"/>
      <c r="H13" s="1612"/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2" t="s">
        <v>3566</v>
      </c>
      <c r="C14" s="1612"/>
      <c r="D14" s="1612" t="s">
        <v>3567</v>
      </c>
      <c r="E14" s="1612"/>
      <c r="F14" s="1612" t="s">
        <v>3568</v>
      </c>
      <c r="G14" s="1612"/>
      <c r="H14" s="1612"/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1613" t="s">
        <v>3569</v>
      </c>
      <c r="C15" s="1614"/>
      <c r="D15" s="1612" t="s">
        <v>3570</v>
      </c>
      <c r="E15" s="1612"/>
      <c r="F15" s="1612" t="s">
        <v>3571</v>
      </c>
      <c r="G15" s="1612"/>
      <c r="H15" s="1612" t="s">
        <v>3572</v>
      </c>
      <c r="I15" s="1612"/>
      <c r="J15" s="1612" t="s">
        <v>3573</v>
      </c>
      <c r="K15" s="1612"/>
      <c r="L15" s="1612"/>
      <c r="M15" s="1612"/>
      <c r="N15" s="326"/>
    </row>
    <row r="16" spans="1:14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3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4</v>
      </c>
      <c r="I18" s="326" t="s">
        <v>201</v>
      </c>
      <c r="J18" s="632">
        <v>0</v>
      </c>
      <c r="K18" s="326" t="s">
        <v>202</v>
      </c>
      <c r="L18" s="631">
        <v>3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50</v>
      </c>
      <c r="D21" s="326" t="s">
        <v>205</v>
      </c>
      <c r="E21" s="631">
        <v>0</v>
      </c>
      <c r="F21" s="326" t="s">
        <v>206</v>
      </c>
      <c r="G21" s="80">
        <v>28</v>
      </c>
      <c r="H21" s="326" t="s">
        <v>230</v>
      </c>
      <c r="I21" s="80">
        <v>78</v>
      </c>
      <c r="J21" s="326" t="s">
        <v>207</v>
      </c>
      <c r="K21" s="631">
        <v>32</v>
      </c>
      <c r="L21" s="326" t="s">
        <v>3187</v>
      </c>
      <c r="M21" s="326"/>
      <c r="N21" s="631"/>
    </row>
    <row r="22" spans="1:14">
      <c r="A22" s="326" t="s">
        <v>209</v>
      </c>
      <c r="B22" s="326" t="s">
        <v>210</v>
      </c>
      <c r="C22" s="631">
        <v>119</v>
      </c>
      <c r="D22" s="326" t="s">
        <v>211</v>
      </c>
      <c r="E22" s="631">
        <v>0</v>
      </c>
      <c r="F22" s="326" t="s">
        <v>212</v>
      </c>
      <c r="G22" s="631">
        <v>56</v>
      </c>
      <c r="H22" s="326" t="s">
        <v>411</v>
      </c>
      <c r="I22" s="80">
        <f>C22+E22+G22</f>
        <v>175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118</v>
      </c>
      <c r="D23" s="326" t="s">
        <v>214</v>
      </c>
      <c r="E23" s="631">
        <v>0</v>
      </c>
      <c r="F23" s="326" t="s">
        <v>215</v>
      </c>
      <c r="G23" s="631">
        <v>63</v>
      </c>
      <c r="H23" s="326" t="s">
        <v>410</v>
      </c>
      <c r="I23" s="80">
        <f>C23+E23+G23</f>
        <v>181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21" customHeight="1">
      <c r="A28" s="1615"/>
      <c r="B28" s="1616"/>
      <c r="C28" s="1616"/>
      <c r="D28" s="1616"/>
      <c r="E28" s="1616"/>
      <c r="F28" s="325">
        <v>1</v>
      </c>
      <c r="G28" s="623">
        <v>2</v>
      </c>
      <c r="H28" s="623">
        <v>3</v>
      </c>
      <c r="I28" s="623">
        <v>4</v>
      </c>
      <c r="J28" s="623">
        <v>5</v>
      </c>
      <c r="K28" s="623">
        <v>6</v>
      </c>
      <c r="L28" s="623"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23">
        <f>B29*$K$5/100000</f>
        <v>47.04</v>
      </c>
      <c r="E29" s="323">
        <v>7.6470000000000002</v>
      </c>
      <c r="F29" s="323"/>
      <c r="G29" s="323">
        <v>1.6465700000000001</v>
      </c>
      <c r="H29" s="323"/>
      <c r="I29" s="323"/>
      <c r="J29" s="323"/>
      <c r="K29" s="323"/>
      <c r="L29" s="323"/>
      <c r="M29" s="323">
        <f>SUM(F29:L29)</f>
        <v>1.6465700000000001</v>
      </c>
      <c r="N29" s="323">
        <f>+M29/E29*100</f>
        <v>21.532234863345103</v>
      </c>
    </row>
    <row r="30" spans="1:14">
      <c r="A30" s="322" t="s">
        <v>234</v>
      </c>
      <c r="B30" s="322">
        <v>7000</v>
      </c>
      <c r="C30" s="322" t="s">
        <v>233</v>
      </c>
      <c r="D30" s="323"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23"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0"/>
        <v>0.18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23"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0"/>
        <v>0.125</v>
      </c>
      <c r="N32" s="323">
        <f t="shared" si="1"/>
        <v>78.125</v>
      </c>
    </row>
    <row r="33" spans="1:14">
      <c r="A33" s="322" t="s">
        <v>238</v>
      </c>
      <c r="B33" s="322">
        <v>1200</v>
      </c>
      <c r="C33" s="322" t="s">
        <v>233</v>
      </c>
      <c r="D33" s="323">
        <f>B33*$K$5/100000</f>
        <v>7.056</v>
      </c>
      <c r="E33" s="323">
        <v>2</v>
      </c>
      <c r="F33" s="323"/>
      <c r="G33" s="323">
        <v>1.7238199999999999</v>
      </c>
      <c r="H33" s="323"/>
      <c r="I33" s="323"/>
      <c r="J33" s="323"/>
      <c r="K33" s="323"/>
      <c r="L33" s="323"/>
      <c r="M33" s="323">
        <f t="shared" si="0"/>
        <v>1.7238199999999999</v>
      </c>
      <c r="N33" s="323">
        <f t="shared" si="1"/>
        <v>86.191000000000003</v>
      </c>
    </row>
    <row r="34" spans="1:14">
      <c r="A34" s="322" t="s">
        <v>667</v>
      </c>
      <c r="B34" s="322">
        <v>565</v>
      </c>
      <c r="C34" s="322" t="s">
        <v>233</v>
      </c>
      <c r="D34" s="323">
        <f>B34*$K$5/100000</f>
        <v>3.3222</v>
      </c>
      <c r="E34" s="323">
        <v>1.5880000000000001</v>
      </c>
      <c r="F34" s="323"/>
      <c r="G34" s="323">
        <v>0.47</v>
      </c>
      <c r="H34" s="323"/>
      <c r="I34" s="323"/>
      <c r="J34" s="323"/>
      <c r="K34" s="323"/>
      <c r="L34" s="323"/>
      <c r="M34" s="323">
        <f t="shared" si="0"/>
        <v>0.47</v>
      </c>
      <c r="N34" s="323">
        <f t="shared" si="1"/>
        <v>29.596977329974809</v>
      </c>
    </row>
    <row r="35" spans="1:14">
      <c r="A35" s="322" t="s">
        <v>240</v>
      </c>
      <c r="B35" s="322">
        <v>1000</v>
      </c>
      <c r="C35" s="322" t="s">
        <v>233</v>
      </c>
      <c r="D35" s="323">
        <f>B35*$K$5/100000</f>
        <v>5.88</v>
      </c>
      <c r="E35" s="323">
        <v>0</v>
      </c>
      <c r="F35" s="323"/>
      <c r="G35" s="323"/>
      <c r="H35" s="323"/>
      <c r="I35" s="323"/>
      <c r="J35" s="323"/>
      <c r="K35" s="323"/>
      <c r="L35" s="323"/>
      <c r="M35" s="323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2.31</v>
      </c>
      <c r="E36" s="323">
        <v>0.30249999999999999</v>
      </c>
      <c r="F36" s="323"/>
      <c r="G36" s="323">
        <v>0.22750000000000001</v>
      </c>
      <c r="H36" s="323"/>
      <c r="I36" s="323"/>
      <c r="J36" s="323"/>
      <c r="K36" s="323"/>
      <c r="L36" s="323"/>
      <c r="M36" s="323">
        <f t="shared" si="0"/>
        <v>0.22750000000000001</v>
      </c>
      <c r="N36" s="323">
        <f t="shared" si="1"/>
        <v>75.206611570247944</v>
      </c>
    </row>
    <row r="37" spans="1:14">
      <c r="A37" s="324" t="s">
        <v>670</v>
      </c>
      <c r="B37" s="322">
        <v>10000</v>
      </c>
      <c r="C37" s="324" t="s">
        <v>244</v>
      </c>
      <c r="D37" s="323">
        <v>0.1</v>
      </c>
      <c r="E37" s="323">
        <v>0</v>
      </c>
      <c r="F37" s="323"/>
      <c r="G37" s="323"/>
      <c r="H37" s="323"/>
      <c r="I37" s="323"/>
      <c r="J37" s="323"/>
      <c r="K37" s="323"/>
      <c r="L37" s="323"/>
      <c r="M37" s="323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321">
        <f>SUM(D29:D37)</f>
        <v>72.108199999999997</v>
      </c>
      <c r="E38" s="321">
        <f>SUM(E29:E37)</f>
        <v>11.8775</v>
      </c>
      <c r="F38" s="321"/>
      <c r="G38" s="321">
        <f>SUM(G29:G37)</f>
        <v>4.3728899999999999</v>
      </c>
      <c r="H38" s="321">
        <v>0</v>
      </c>
      <c r="I38" s="321">
        <v>0</v>
      </c>
      <c r="J38" s="321">
        <v>0</v>
      </c>
      <c r="K38" s="321">
        <v>0</v>
      </c>
      <c r="L38" s="321">
        <v>0</v>
      </c>
      <c r="M38" s="321">
        <f t="shared" si="0"/>
        <v>4.3728899999999999</v>
      </c>
      <c r="N38" s="323">
        <f t="shared" si="1"/>
        <v>36.816585981898548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" right="0.2" top="0.31" bottom="0.42" header="0.2" footer="0.28000000000000003"/>
  <pageSetup paperSize="9" scale="70" orientation="landscape" r:id="rId1"/>
  <headerFooter>
    <oddFooter>&amp;L&amp;9&amp;F&amp;R&amp;9&amp;A</oddFooter>
  </headerFooter>
</worksheet>
</file>

<file path=xl/worksheets/sheet33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3574</v>
      </c>
      <c r="C5" s="1594"/>
      <c r="D5" s="1594"/>
      <c r="E5" s="1595"/>
      <c r="F5" s="326" t="s">
        <v>171</v>
      </c>
      <c r="G5" s="326"/>
      <c r="H5" s="1646">
        <v>406020109050103</v>
      </c>
      <c r="I5" s="1647"/>
      <c r="J5" s="326" t="s">
        <v>172</v>
      </c>
      <c r="K5" s="631">
        <v>574</v>
      </c>
      <c r="L5" s="326" t="s">
        <v>436</v>
      </c>
      <c r="M5" s="326"/>
      <c r="N5" s="631">
        <v>80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3575</v>
      </c>
      <c r="C7" s="1594"/>
      <c r="D7" s="1594"/>
      <c r="E7" s="1595"/>
      <c r="F7" s="1596" t="s">
        <v>3208</v>
      </c>
      <c r="G7" s="1596"/>
      <c r="H7" s="1593" t="s">
        <v>3576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3577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3578</v>
      </c>
      <c r="C13" s="1612"/>
      <c r="D13" s="1612" t="s">
        <v>3579</v>
      </c>
      <c r="E13" s="1612"/>
      <c r="F13" s="1612" t="s">
        <v>3580</v>
      </c>
      <c r="G13" s="1612"/>
      <c r="H13" s="1612" t="s">
        <v>3581</v>
      </c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2" t="s">
        <v>3582</v>
      </c>
      <c r="C14" s="1612"/>
      <c r="D14" s="1612" t="s">
        <v>3583</v>
      </c>
      <c r="E14" s="1612"/>
      <c r="F14" s="1612" t="s">
        <v>3584</v>
      </c>
      <c r="G14" s="1612"/>
      <c r="H14" s="1612" t="s">
        <v>3585</v>
      </c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1613" t="s">
        <v>3586</v>
      </c>
      <c r="C15" s="1614"/>
      <c r="D15" s="1612" t="s">
        <v>3587</v>
      </c>
      <c r="E15" s="1612"/>
      <c r="F15" s="1612" t="s">
        <v>3588</v>
      </c>
      <c r="G15" s="1612"/>
      <c r="H15" s="1612" t="s">
        <v>3589</v>
      </c>
      <c r="I15" s="1612"/>
      <c r="J15" s="1612" t="s">
        <v>3590</v>
      </c>
      <c r="K15" s="1612"/>
      <c r="L15" s="1612"/>
      <c r="M15" s="1612"/>
      <c r="N15" s="326"/>
    </row>
    <row r="16" spans="1:14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5</v>
      </c>
      <c r="C18" s="326" t="s">
        <v>199</v>
      </c>
      <c r="D18" s="326"/>
      <c r="E18" s="326"/>
      <c r="F18" s="631">
        <v>4</v>
      </c>
      <c r="G18" s="326" t="s">
        <v>200</v>
      </c>
      <c r="H18" s="632">
        <v>6</v>
      </c>
      <c r="I18" s="326" t="s">
        <v>201</v>
      </c>
      <c r="J18" s="632">
        <v>0</v>
      </c>
      <c r="K18" s="326" t="s">
        <v>202</v>
      </c>
      <c r="L18" s="631">
        <v>4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66</v>
      </c>
      <c r="D21" s="326" t="s">
        <v>205</v>
      </c>
      <c r="E21" s="631">
        <v>0</v>
      </c>
      <c r="F21" s="326" t="s">
        <v>206</v>
      </c>
      <c r="G21" s="80">
        <f>I21-C21</f>
        <v>45</v>
      </c>
      <c r="H21" s="326" t="s">
        <v>230</v>
      </c>
      <c r="I21" s="80">
        <v>111</v>
      </c>
      <c r="J21" s="326" t="s">
        <v>207</v>
      </c>
      <c r="K21" s="631"/>
      <c r="L21" s="326" t="s">
        <v>3187</v>
      </c>
      <c r="M21" s="326"/>
      <c r="N21" s="631"/>
    </row>
    <row r="22" spans="1:14">
      <c r="A22" s="326" t="s">
        <v>209</v>
      </c>
      <c r="B22" s="326" t="s">
        <v>210</v>
      </c>
      <c r="C22" s="631">
        <v>156</v>
      </c>
      <c r="D22" s="326" t="s">
        <v>211</v>
      </c>
      <c r="E22" s="631">
        <v>0</v>
      </c>
      <c r="F22" s="326" t="s">
        <v>212</v>
      </c>
      <c r="G22" s="631">
        <v>96</v>
      </c>
      <c r="H22" s="326" t="s">
        <v>411</v>
      </c>
      <c r="I22" s="80">
        <f>C22+E22+G22</f>
        <v>252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173</v>
      </c>
      <c r="D23" s="326" t="s">
        <v>214</v>
      </c>
      <c r="E23" s="631">
        <v>0</v>
      </c>
      <c r="F23" s="326" t="s">
        <v>215</v>
      </c>
      <c r="G23" s="631">
        <v>95</v>
      </c>
      <c r="H23" s="326" t="s">
        <v>410</v>
      </c>
      <c r="I23" s="80">
        <f>C23+E23+G23</f>
        <v>268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>
        <v>1</v>
      </c>
      <c r="G28" s="623">
        <v>2</v>
      </c>
      <c r="H28" s="623">
        <v>3</v>
      </c>
      <c r="I28" s="623">
        <v>4</v>
      </c>
      <c r="J28" s="623">
        <v>5</v>
      </c>
      <c r="K28" s="623">
        <v>6</v>
      </c>
      <c r="L28" s="623"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23">
        <f>B29*$K$5/100000</f>
        <v>45.92</v>
      </c>
      <c r="E29" s="323">
        <v>7.6470000000000002</v>
      </c>
      <c r="F29" s="323"/>
      <c r="G29" s="323">
        <v>1.6252800000000001</v>
      </c>
      <c r="H29" s="323"/>
      <c r="I29" s="323"/>
      <c r="J29" s="323"/>
      <c r="K29" s="323"/>
      <c r="L29" s="323"/>
      <c r="M29" s="323">
        <f>SUM(F29:L29)</f>
        <v>1.6252800000000001</v>
      </c>
      <c r="N29" s="323">
        <f>+M29/E29*100</f>
        <v>21.253825029423304</v>
      </c>
    </row>
    <row r="30" spans="1:14">
      <c r="A30" s="322" t="s">
        <v>234</v>
      </c>
      <c r="B30" s="322">
        <v>7000</v>
      </c>
      <c r="C30" s="322" t="s">
        <v>233</v>
      </c>
      <c r="D30" s="323"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23"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0"/>
        <v>0.18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23"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0"/>
        <v>0.125</v>
      </c>
      <c r="N32" s="323">
        <f t="shared" si="1"/>
        <v>78.125</v>
      </c>
    </row>
    <row r="33" spans="1:14">
      <c r="A33" s="322" t="s">
        <v>238</v>
      </c>
      <c r="B33" s="322">
        <v>1200</v>
      </c>
      <c r="C33" s="322" t="s">
        <v>233</v>
      </c>
      <c r="D33" s="323">
        <f>B33*$K$5/100000</f>
        <v>6.8879999999999999</v>
      </c>
      <c r="E33" s="323">
        <v>2</v>
      </c>
      <c r="F33" s="323"/>
      <c r="G33" s="323">
        <v>1.9537899999999999</v>
      </c>
      <c r="H33" s="323"/>
      <c r="I33" s="323"/>
      <c r="J33" s="323"/>
      <c r="K33" s="323"/>
      <c r="L33" s="323"/>
      <c r="M33" s="323">
        <f t="shared" si="0"/>
        <v>1.9537899999999999</v>
      </c>
      <c r="N33" s="323">
        <f t="shared" si="1"/>
        <v>97.689499999999995</v>
      </c>
    </row>
    <row r="34" spans="1:14">
      <c r="A34" s="322" t="s">
        <v>667</v>
      </c>
      <c r="B34" s="322">
        <v>565</v>
      </c>
      <c r="C34" s="322" t="s">
        <v>233</v>
      </c>
      <c r="D34" s="323">
        <f>B34*$K$5/100000</f>
        <v>3.2431000000000001</v>
      </c>
      <c r="E34" s="323">
        <v>1.5740000000000001</v>
      </c>
      <c r="F34" s="323"/>
      <c r="G34" s="323">
        <v>0.37</v>
      </c>
      <c r="H34" s="323"/>
      <c r="I34" s="323"/>
      <c r="J34" s="323"/>
      <c r="K34" s="323"/>
      <c r="L34" s="323"/>
      <c r="M34" s="323">
        <f t="shared" si="0"/>
        <v>0.37</v>
      </c>
      <c r="N34" s="323">
        <f t="shared" si="1"/>
        <v>23.506988564167724</v>
      </c>
    </row>
    <row r="35" spans="1:14">
      <c r="A35" s="322" t="s">
        <v>240</v>
      </c>
      <c r="B35" s="322">
        <v>1000</v>
      </c>
      <c r="C35" s="322" t="s">
        <v>233</v>
      </c>
      <c r="D35" s="323">
        <f>B35*$K$5/100000</f>
        <v>5.74</v>
      </c>
      <c r="E35" s="323">
        <v>0</v>
      </c>
      <c r="F35" s="323"/>
      <c r="G35" s="323"/>
      <c r="H35" s="323"/>
      <c r="I35" s="323"/>
      <c r="J35" s="323"/>
      <c r="K35" s="323"/>
      <c r="L35" s="323"/>
      <c r="M35" s="323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2.31</v>
      </c>
      <c r="E36" s="323">
        <v>0.30249999999999999</v>
      </c>
      <c r="F36" s="323"/>
      <c r="G36" s="323">
        <v>0.22750000000000001</v>
      </c>
      <c r="H36" s="323"/>
      <c r="I36" s="323"/>
      <c r="J36" s="323"/>
      <c r="K36" s="323"/>
      <c r="L36" s="323"/>
      <c r="M36" s="323">
        <f t="shared" si="0"/>
        <v>0.22750000000000001</v>
      </c>
      <c r="N36" s="323">
        <f t="shared" si="1"/>
        <v>75.206611570247944</v>
      </c>
    </row>
    <row r="37" spans="1:14">
      <c r="A37" s="324" t="s">
        <v>670</v>
      </c>
      <c r="B37" s="322">
        <v>10000</v>
      </c>
      <c r="C37" s="324" t="s">
        <v>244</v>
      </c>
      <c r="D37" s="323">
        <v>0.1</v>
      </c>
      <c r="E37" s="323">
        <v>0</v>
      </c>
      <c r="F37" s="323"/>
      <c r="G37" s="323"/>
      <c r="H37" s="323"/>
      <c r="I37" s="323"/>
      <c r="J37" s="323"/>
      <c r="K37" s="323"/>
      <c r="L37" s="323"/>
      <c r="M37" s="323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321">
        <f>SUM(D29:D37)</f>
        <v>70.601099999999988</v>
      </c>
      <c r="E38" s="321">
        <f>SUM(E29:E37)</f>
        <v>11.8635</v>
      </c>
      <c r="F38" s="321"/>
      <c r="G38" s="321">
        <f>SUM(G29:G37)</f>
        <v>4.4815699999999996</v>
      </c>
      <c r="H38" s="321">
        <v>0</v>
      </c>
      <c r="I38" s="321">
        <v>0</v>
      </c>
      <c r="J38" s="321">
        <v>0</v>
      </c>
      <c r="K38" s="321">
        <v>0</v>
      </c>
      <c r="L38" s="321">
        <v>0</v>
      </c>
      <c r="M38" s="321">
        <f t="shared" si="0"/>
        <v>4.4815699999999996</v>
      </c>
      <c r="N38" s="323">
        <f t="shared" si="1"/>
        <v>37.776120032031017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" right="0.2" top="0.31" bottom="0.42" header="0.2" footer="0.28999999999999998"/>
  <pageSetup paperSize="9" scale="70" orientation="landscape" r:id="rId1"/>
  <headerFooter>
    <oddFooter>&amp;L&amp;9&amp;F&amp;R&amp;9&amp;A</oddFooter>
  </headerFooter>
</worksheet>
</file>

<file path=xl/worksheets/sheet33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R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8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8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8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8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8">
      <c r="A5" s="326" t="s">
        <v>3214</v>
      </c>
      <c r="B5" s="1593" t="s">
        <v>3591</v>
      </c>
      <c r="C5" s="1594"/>
      <c r="D5" s="1594"/>
      <c r="E5" s="1595"/>
      <c r="F5" s="326" t="s">
        <v>171</v>
      </c>
      <c r="G5" s="326"/>
      <c r="H5" s="1646">
        <v>406020109050104</v>
      </c>
      <c r="I5" s="1647"/>
      <c r="J5" s="326" t="s">
        <v>172</v>
      </c>
      <c r="K5" s="631">
        <v>557</v>
      </c>
      <c r="L5" s="326" t="s">
        <v>436</v>
      </c>
      <c r="M5" s="326"/>
      <c r="N5" s="631">
        <v>80</v>
      </c>
    </row>
    <row r="6" spans="1:18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8">
      <c r="A7" s="326" t="s">
        <v>174</v>
      </c>
      <c r="B7" s="1593" t="s">
        <v>3592</v>
      </c>
      <c r="C7" s="1594"/>
      <c r="D7" s="1594"/>
      <c r="E7" s="1595"/>
      <c r="F7" s="1596" t="s">
        <v>3208</v>
      </c>
      <c r="G7" s="1596"/>
      <c r="H7" s="1593" t="s">
        <v>3593</v>
      </c>
      <c r="I7" s="1594"/>
      <c r="J7" s="1595"/>
      <c r="K7" s="326"/>
      <c r="L7" s="326"/>
      <c r="M7" s="326"/>
      <c r="N7" s="326"/>
    </row>
    <row r="8" spans="1:18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8" ht="4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3594</v>
      </c>
      <c r="I9" s="1621"/>
      <c r="J9" s="1621"/>
      <c r="K9" s="1622"/>
      <c r="L9" s="326"/>
      <c r="M9" s="326"/>
      <c r="N9" s="326"/>
    </row>
    <row r="10" spans="1:18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8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8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8">
      <c r="A13" s="631" t="s">
        <v>838</v>
      </c>
      <c r="B13" s="1612" t="s">
        <v>3595</v>
      </c>
      <c r="C13" s="1612"/>
      <c r="D13" s="1612" t="s">
        <v>3596</v>
      </c>
      <c r="E13" s="1612"/>
      <c r="F13" s="1612" t="s">
        <v>3597</v>
      </c>
      <c r="G13" s="1612"/>
      <c r="H13" s="1612" t="s">
        <v>3598</v>
      </c>
      <c r="I13" s="1612"/>
      <c r="J13" s="1612" t="s">
        <v>3599</v>
      </c>
      <c r="K13" s="1612"/>
      <c r="L13" s="1612" t="s">
        <v>3600</v>
      </c>
      <c r="M13" s="1612"/>
      <c r="N13" s="326" t="s">
        <v>3601</v>
      </c>
      <c r="P13" t="s">
        <v>3602</v>
      </c>
      <c r="R13" t="s">
        <v>3603</v>
      </c>
    </row>
    <row r="14" spans="1:18">
      <c r="A14" s="631" t="s">
        <v>187</v>
      </c>
      <c r="B14" s="1612" t="s">
        <v>3604</v>
      </c>
      <c r="C14" s="1612"/>
      <c r="D14" s="1612" t="s">
        <v>3605</v>
      </c>
      <c r="E14" s="1612"/>
      <c r="F14" s="1612" t="s">
        <v>3606</v>
      </c>
      <c r="G14" s="1612"/>
      <c r="H14" s="1612" t="s">
        <v>3607</v>
      </c>
      <c r="I14" s="1612"/>
      <c r="J14" s="1612" t="s">
        <v>3608</v>
      </c>
      <c r="K14" s="1612"/>
      <c r="L14" s="1612" t="s">
        <v>3609</v>
      </c>
      <c r="M14" s="1612"/>
      <c r="N14" s="326" t="s">
        <v>3610</v>
      </c>
      <c r="P14" t="s">
        <v>3611</v>
      </c>
      <c r="R14" t="s">
        <v>3612</v>
      </c>
    </row>
    <row r="15" spans="1:18">
      <c r="A15" s="631" t="s">
        <v>192</v>
      </c>
      <c r="B15" s="1613"/>
      <c r="C15" s="1614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8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10</v>
      </c>
      <c r="C18" s="326" t="s">
        <v>199</v>
      </c>
      <c r="D18" s="326"/>
      <c r="E18" s="326"/>
      <c r="F18" s="631">
        <v>9</v>
      </c>
      <c r="G18" s="326" t="s">
        <v>200</v>
      </c>
      <c r="H18" s="632">
        <v>20</v>
      </c>
      <c r="I18" s="326" t="s">
        <v>201</v>
      </c>
      <c r="J18" s="632">
        <v>0</v>
      </c>
      <c r="K18" s="326" t="s">
        <v>202</v>
      </c>
      <c r="L18" s="631">
        <v>4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92</v>
      </c>
      <c r="D21" s="326" t="s">
        <v>205</v>
      </c>
      <c r="E21" s="631">
        <v>109</v>
      </c>
      <c r="F21" s="326" t="s">
        <v>206</v>
      </c>
      <c r="G21" s="80">
        <f>I21-C21-E21</f>
        <v>91</v>
      </c>
      <c r="H21" s="326" t="s">
        <v>230</v>
      </c>
      <c r="I21" s="80">
        <v>292</v>
      </c>
      <c r="J21" s="326" t="s">
        <v>207</v>
      </c>
      <c r="K21" s="631">
        <v>95</v>
      </c>
      <c r="L21" s="326" t="s">
        <v>3187</v>
      </c>
      <c r="M21" s="326"/>
      <c r="N21" s="631"/>
    </row>
    <row r="22" spans="1:14">
      <c r="A22" s="326" t="s">
        <v>209</v>
      </c>
      <c r="B22" s="326" t="s">
        <v>210</v>
      </c>
      <c r="C22" s="631">
        <v>245</v>
      </c>
      <c r="D22" s="326" t="s">
        <v>211</v>
      </c>
      <c r="E22" s="631">
        <v>244</v>
      </c>
      <c r="F22" s="326" t="s">
        <v>212</v>
      </c>
      <c r="G22" s="631">
        <v>160</v>
      </c>
      <c r="H22" s="326" t="s">
        <v>411</v>
      </c>
      <c r="I22" s="80">
        <f>C22+E22+G22</f>
        <v>649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203</v>
      </c>
      <c r="D23" s="326" t="s">
        <v>214</v>
      </c>
      <c r="E23" s="631">
        <v>248</v>
      </c>
      <c r="F23" s="326" t="s">
        <v>215</v>
      </c>
      <c r="G23" s="631">
        <v>184</v>
      </c>
      <c r="H23" s="326" t="s">
        <v>410</v>
      </c>
      <c r="I23" s="80">
        <f>C23+E23+G23</f>
        <v>635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>
        <v>1</v>
      </c>
      <c r="G28" s="623">
        <v>2</v>
      </c>
      <c r="H28" s="623">
        <v>3</v>
      </c>
      <c r="I28" s="623">
        <v>4</v>
      </c>
      <c r="J28" s="623">
        <v>5</v>
      </c>
      <c r="K28" s="623">
        <v>6</v>
      </c>
      <c r="L28" s="623"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23">
        <f>B29*$K$5/100000</f>
        <v>44.56</v>
      </c>
      <c r="E29" s="323">
        <v>7.6470000000000002</v>
      </c>
      <c r="F29" s="323"/>
      <c r="G29" s="323">
        <v>1.6465700000000001</v>
      </c>
      <c r="H29" s="323"/>
      <c r="I29" s="323"/>
      <c r="J29" s="323"/>
      <c r="K29" s="323"/>
      <c r="L29" s="323"/>
      <c r="M29" s="323">
        <f>SUM(F29:L29)</f>
        <v>1.6465700000000001</v>
      </c>
      <c r="N29" s="323">
        <f>+M29/E29*100</f>
        <v>21.532234863345103</v>
      </c>
    </row>
    <row r="30" spans="1:14">
      <c r="A30" s="322" t="s">
        <v>234</v>
      </c>
      <c r="B30" s="322">
        <v>7000</v>
      </c>
      <c r="C30" s="322" t="s">
        <v>233</v>
      </c>
      <c r="D30" s="323"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23"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0"/>
        <v>0.18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23"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0"/>
        <v>0.125</v>
      </c>
      <c r="N32" s="323">
        <f t="shared" si="1"/>
        <v>78.125</v>
      </c>
    </row>
    <row r="33" spans="1:14">
      <c r="A33" s="322" t="s">
        <v>238</v>
      </c>
      <c r="B33" s="322">
        <v>1200</v>
      </c>
      <c r="C33" s="322" t="s">
        <v>233</v>
      </c>
      <c r="D33" s="323">
        <f>B33*$K$5/100000</f>
        <v>6.6840000000000002</v>
      </c>
      <c r="E33" s="323">
        <v>2</v>
      </c>
      <c r="F33" s="323"/>
      <c r="G33" s="323">
        <v>1.9448000000000001</v>
      </c>
      <c r="H33" s="323"/>
      <c r="I33" s="323"/>
      <c r="J33" s="323"/>
      <c r="K33" s="323"/>
      <c r="L33" s="323"/>
      <c r="M33" s="323">
        <f t="shared" si="0"/>
        <v>1.9448000000000001</v>
      </c>
      <c r="N33" s="323">
        <f t="shared" si="1"/>
        <v>97.240000000000009</v>
      </c>
    </row>
    <row r="34" spans="1:14">
      <c r="A34" s="322" t="s">
        <v>667</v>
      </c>
      <c r="B34" s="322">
        <v>565</v>
      </c>
      <c r="C34" s="322" t="s">
        <v>233</v>
      </c>
      <c r="D34" s="323">
        <f>B34*$K$5/100000</f>
        <v>3.1470500000000001</v>
      </c>
      <c r="E34" s="323">
        <v>1.5569999999999999</v>
      </c>
      <c r="F34" s="323"/>
      <c r="G34" s="323">
        <v>0.52</v>
      </c>
      <c r="H34" s="323"/>
      <c r="I34" s="323"/>
      <c r="J34" s="323"/>
      <c r="K34" s="323"/>
      <c r="L34" s="323"/>
      <c r="M34" s="323">
        <f t="shared" si="0"/>
        <v>0.52</v>
      </c>
      <c r="N34" s="323">
        <f t="shared" si="1"/>
        <v>33.397559409120106</v>
      </c>
    </row>
    <row r="35" spans="1:14">
      <c r="A35" s="322" t="s">
        <v>240</v>
      </c>
      <c r="B35" s="322">
        <v>1000</v>
      </c>
      <c r="C35" s="322" t="s">
        <v>233</v>
      </c>
      <c r="D35" s="323">
        <f>B35*$K$5/100000</f>
        <v>5.57</v>
      </c>
      <c r="E35" s="323">
        <v>0</v>
      </c>
      <c r="F35" s="323"/>
      <c r="G35" s="323">
        <v>0</v>
      </c>
      <c r="H35" s="323"/>
      <c r="I35" s="323"/>
      <c r="J35" s="323"/>
      <c r="K35" s="323"/>
      <c r="L35" s="323"/>
      <c r="M35" s="323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2.31</v>
      </c>
      <c r="E36" s="323">
        <v>0.30249999999999999</v>
      </c>
      <c r="F36" s="323"/>
      <c r="G36" s="323">
        <v>0.22750000000000001</v>
      </c>
      <c r="H36" s="323"/>
      <c r="I36" s="323"/>
      <c r="J36" s="323"/>
      <c r="K36" s="323"/>
      <c r="L36" s="323"/>
      <c r="M36" s="323">
        <f t="shared" si="0"/>
        <v>0.22750000000000001</v>
      </c>
      <c r="N36" s="323">
        <f t="shared" si="1"/>
        <v>75.206611570247944</v>
      </c>
    </row>
    <row r="37" spans="1:14">
      <c r="A37" s="324" t="s">
        <v>670</v>
      </c>
      <c r="B37" s="322">
        <v>10000</v>
      </c>
      <c r="C37" s="324" t="s">
        <v>244</v>
      </c>
      <c r="D37" s="323">
        <v>0.1</v>
      </c>
      <c r="E37" s="323">
        <v>0</v>
      </c>
      <c r="F37" s="323"/>
      <c r="G37" s="323">
        <v>0</v>
      </c>
      <c r="H37" s="323"/>
      <c r="I37" s="323"/>
      <c r="J37" s="323"/>
      <c r="K37" s="323"/>
      <c r="L37" s="323"/>
      <c r="M37" s="323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321">
        <f>SUM(D29:D37)</f>
        <v>68.771050000000002</v>
      </c>
      <c r="E38" s="321">
        <f>SUM(E29:E37)</f>
        <v>11.846500000000001</v>
      </c>
      <c r="F38" s="321"/>
      <c r="G38" s="321">
        <f>SUM(G29:G37)</f>
        <v>4.6438700000000006</v>
      </c>
      <c r="H38" s="321">
        <v>0</v>
      </c>
      <c r="I38" s="321">
        <v>0</v>
      </c>
      <c r="J38" s="321">
        <v>0</v>
      </c>
      <c r="K38" s="321">
        <v>0</v>
      </c>
      <c r="L38" s="321">
        <v>0</v>
      </c>
      <c r="M38" s="321">
        <f t="shared" si="0"/>
        <v>4.6438700000000006</v>
      </c>
      <c r="N38" s="323">
        <f t="shared" si="1"/>
        <v>39.200354535094753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" right="0.2" top="0.31" bottom="0.43" header="0.2" footer="0.27"/>
  <pageSetup paperSize="9" scale="70" orientation="landscape" r:id="rId1"/>
  <headerFooter>
    <oddFooter>&amp;L&amp;9&amp;F&amp;R&amp;9&amp;A</oddFooter>
  </headerFooter>
</worksheet>
</file>

<file path=xl/worksheets/sheet33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O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5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5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5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5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5">
      <c r="A5" s="326" t="s">
        <v>3214</v>
      </c>
      <c r="B5" s="1593" t="s">
        <v>3613</v>
      </c>
      <c r="C5" s="1594"/>
      <c r="D5" s="1594"/>
      <c r="E5" s="1595"/>
      <c r="F5" s="326" t="s">
        <v>171</v>
      </c>
      <c r="G5" s="326"/>
      <c r="H5" s="1646">
        <v>406020109060101</v>
      </c>
      <c r="I5" s="1647"/>
      <c r="J5" s="326" t="s">
        <v>172</v>
      </c>
      <c r="K5" s="631">
        <v>598</v>
      </c>
      <c r="L5" s="326" t="s">
        <v>436</v>
      </c>
      <c r="M5" s="326"/>
      <c r="N5" s="631">
        <v>80</v>
      </c>
      <c r="O5" s="326"/>
    </row>
    <row r="6" spans="1:15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  <c r="O6" s="326"/>
    </row>
    <row r="7" spans="1:15">
      <c r="A7" s="326" t="s">
        <v>174</v>
      </c>
      <c r="B7" s="1593" t="s">
        <v>3614</v>
      </c>
      <c r="C7" s="1594"/>
      <c r="D7" s="1594"/>
      <c r="E7" s="1595"/>
      <c r="F7" s="1596" t="s">
        <v>3208</v>
      </c>
      <c r="G7" s="1596"/>
      <c r="H7" s="1593" t="s">
        <v>3615</v>
      </c>
      <c r="I7" s="1594"/>
      <c r="J7" s="1595"/>
      <c r="K7" s="326"/>
      <c r="L7" s="326"/>
      <c r="M7" s="326"/>
      <c r="N7" s="326"/>
      <c r="O7" s="326"/>
    </row>
    <row r="8" spans="1:15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  <c r="O8" s="326"/>
    </row>
    <row r="9" spans="1:15" ht="1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3616</v>
      </c>
      <c r="I9" s="1621"/>
      <c r="J9" s="1621"/>
      <c r="K9" s="1622"/>
      <c r="L9" s="326"/>
      <c r="M9" s="326"/>
      <c r="N9" s="326"/>
      <c r="O9" s="326"/>
    </row>
    <row r="10" spans="1:15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  <c r="O10" s="326"/>
    </row>
    <row r="11" spans="1:15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  <c r="O11" s="326"/>
    </row>
    <row r="12" spans="1:15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  <c r="O12" s="326"/>
    </row>
    <row r="13" spans="1:15">
      <c r="A13" s="631" t="s">
        <v>838</v>
      </c>
      <c r="B13" s="1612" t="s">
        <v>3617</v>
      </c>
      <c r="C13" s="1612"/>
      <c r="D13" s="1612" t="s">
        <v>3618</v>
      </c>
      <c r="E13" s="1612"/>
      <c r="F13" s="1612" t="s">
        <v>3619</v>
      </c>
      <c r="G13" s="1612"/>
      <c r="H13" s="1612" t="s">
        <v>3620</v>
      </c>
      <c r="I13" s="1612"/>
      <c r="J13" s="1612" t="s">
        <v>3621</v>
      </c>
      <c r="K13" s="1612"/>
      <c r="L13" s="1612" t="s">
        <v>3622</v>
      </c>
      <c r="M13" s="1612"/>
      <c r="N13" s="326" t="s">
        <v>3623</v>
      </c>
      <c r="O13" s="631"/>
    </row>
    <row r="14" spans="1:15">
      <c r="A14" s="631" t="s">
        <v>187</v>
      </c>
      <c r="B14" s="1612" t="s">
        <v>3624</v>
      </c>
      <c r="C14" s="1612"/>
      <c r="D14" s="1612" t="s">
        <v>3625</v>
      </c>
      <c r="E14" s="1612"/>
      <c r="F14" s="1612" t="s">
        <v>3626</v>
      </c>
      <c r="G14" s="1612"/>
      <c r="H14" s="1612" t="s">
        <v>3627</v>
      </c>
      <c r="I14" s="1612"/>
      <c r="J14" s="1612" t="s">
        <v>3628</v>
      </c>
      <c r="K14" s="1612"/>
      <c r="L14" s="1612" t="s">
        <v>3629</v>
      </c>
      <c r="M14" s="1612"/>
      <c r="N14" s="326" t="s">
        <v>3630</v>
      </c>
      <c r="O14" s="631"/>
    </row>
    <row r="15" spans="1:15">
      <c r="A15" s="631" t="s">
        <v>192</v>
      </c>
      <c r="B15" s="1613" t="s">
        <v>3631</v>
      </c>
      <c r="C15" s="1614"/>
      <c r="D15" s="1612" t="s">
        <v>3632</v>
      </c>
      <c r="E15" s="1612"/>
      <c r="F15" s="1612" t="s">
        <v>3633</v>
      </c>
      <c r="G15" s="1612"/>
      <c r="H15" s="1612" t="s">
        <v>3634</v>
      </c>
      <c r="I15" s="1612"/>
      <c r="J15" s="1612" t="s">
        <v>3635</v>
      </c>
      <c r="K15" s="1612"/>
      <c r="L15" s="1612"/>
      <c r="M15" s="1612"/>
      <c r="N15" s="326"/>
      <c r="O15" s="631"/>
    </row>
    <row r="16" spans="1:15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  <c r="O16" s="631"/>
    </row>
    <row r="17" spans="1:15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  <c r="O17" s="326"/>
    </row>
    <row r="18" spans="1:15">
      <c r="A18" s="326" t="s">
        <v>198</v>
      </c>
      <c r="B18" s="631">
        <v>7</v>
      </c>
      <c r="C18" s="326" t="s">
        <v>199</v>
      </c>
      <c r="D18" s="326"/>
      <c r="E18" s="326"/>
      <c r="F18" s="631">
        <v>7</v>
      </c>
      <c r="G18" s="326" t="s">
        <v>200</v>
      </c>
      <c r="H18" s="632">
        <v>18</v>
      </c>
      <c r="I18" s="326" t="s">
        <v>201</v>
      </c>
      <c r="J18" s="632">
        <v>1</v>
      </c>
      <c r="K18" s="326" t="s">
        <v>202</v>
      </c>
      <c r="L18" s="631">
        <v>5</v>
      </c>
      <c r="M18" s="326"/>
      <c r="N18" s="326"/>
      <c r="O18" s="326"/>
    </row>
    <row r="19" spans="1:15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  <c r="O19" s="326"/>
    </row>
    <row r="20" spans="1:15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  <c r="O20" s="326"/>
    </row>
    <row r="21" spans="1:15">
      <c r="A21" s="326" t="s">
        <v>203</v>
      </c>
      <c r="B21" s="326" t="s">
        <v>204</v>
      </c>
      <c r="C21" s="631">
        <v>30</v>
      </c>
      <c r="D21" s="326" t="s">
        <v>205</v>
      </c>
      <c r="E21" s="631">
        <v>90</v>
      </c>
      <c r="F21" s="326" t="s">
        <v>206</v>
      </c>
      <c r="G21" s="80">
        <f>I21-E21-C21</f>
        <v>223</v>
      </c>
      <c r="H21" s="326" t="s">
        <v>230</v>
      </c>
      <c r="I21" s="80">
        <v>343</v>
      </c>
      <c r="J21" s="326" t="s">
        <v>207</v>
      </c>
      <c r="K21" s="631">
        <v>95</v>
      </c>
      <c r="L21" s="326" t="s">
        <v>3187</v>
      </c>
      <c r="M21" s="326"/>
      <c r="N21" s="631"/>
      <c r="O21" s="326"/>
    </row>
    <row r="22" spans="1:15">
      <c r="A22" s="326" t="s">
        <v>209</v>
      </c>
      <c r="B22" s="326" t="s">
        <v>210</v>
      </c>
      <c r="C22" s="631">
        <v>63</v>
      </c>
      <c r="D22" s="326" t="s">
        <v>211</v>
      </c>
      <c r="E22" s="631">
        <v>217</v>
      </c>
      <c r="F22" s="326" t="s">
        <v>212</v>
      </c>
      <c r="G22" s="631">
        <v>408</v>
      </c>
      <c r="H22" s="326" t="s">
        <v>411</v>
      </c>
      <c r="I22" s="80">
        <f>C22+E22+G22</f>
        <v>688</v>
      </c>
      <c r="J22" s="326"/>
      <c r="K22" s="326"/>
      <c r="L22" s="326"/>
      <c r="M22" s="326"/>
      <c r="N22" s="326"/>
      <c r="O22" s="326"/>
    </row>
    <row r="23" spans="1:15">
      <c r="A23" s="326"/>
      <c r="B23" s="326" t="s">
        <v>213</v>
      </c>
      <c r="C23" s="631">
        <v>63</v>
      </c>
      <c r="D23" s="326" t="s">
        <v>214</v>
      </c>
      <c r="E23" s="631">
        <v>213</v>
      </c>
      <c r="F23" s="326" t="s">
        <v>215</v>
      </c>
      <c r="G23" s="631">
        <v>393</v>
      </c>
      <c r="H23" s="326" t="s">
        <v>410</v>
      </c>
      <c r="I23" s="80">
        <f>C23+E23+G23</f>
        <v>669</v>
      </c>
      <c r="J23" s="326"/>
      <c r="K23" s="326"/>
      <c r="L23" s="326"/>
      <c r="M23" s="326"/>
      <c r="N23" s="326"/>
      <c r="O23" s="326"/>
    </row>
    <row r="24" spans="1:15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  <c r="O24" s="326"/>
    </row>
    <row r="25" spans="1:15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7"/>
    </row>
    <row r="26" spans="1:15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</row>
    <row r="27" spans="1:15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5">
      <c r="A28" s="1615"/>
      <c r="B28" s="1616"/>
      <c r="C28" s="1616"/>
      <c r="D28" s="1616"/>
      <c r="E28" s="1616"/>
      <c r="F28" s="325">
        <v>1</v>
      </c>
      <c r="G28" s="623">
        <v>2</v>
      </c>
      <c r="H28" s="623">
        <v>3</v>
      </c>
      <c r="I28" s="623">
        <v>4</v>
      </c>
      <c r="J28" s="623">
        <v>5</v>
      </c>
      <c r="K28" s="623">
        <v>6</v>
      </c>
      <c r="L28" s="623">
        <v>7</v>
      </c>
      <c r="M28" s="623" t="s">
        <v>230</v>
      </c>
      <c r="N28" s="623" t="s">
        <v>231</v>
      </c>
    </row>
    <row r="29" spans="1:15">
      <c r="A29" s="322" t="s">
        <v>232</v>
      </c>
      <c r="B29" s="322">
        <v>8000</v>
      </c>
      <c r="C29" s="322" t="s">
        <v>233</v>
      </c>
      <c r="D29" s="323">
        <f>B29*$K$5/100000</f>
        <v>47.84</v>
      </c>
      <c r="E29" s="323">
        <v>7.6470000000000002</v>
      </c>
      <c r="F29" s="323"/>
      <c r="G29" s="323">
        <v>1.6467000000000001</v>
      </c>
      <c r="H29" s="323"/>
      <c r="I29" s="323"/>
      <c r="J29" s="323"/>
      <c r="K29" s="323"/>
      <c r="L29" s="323"/>
      <c r="M29" s="323">
        <f>SUM(F29:L29)</f>
        <v>1.6467000000000001</v>
      </c>
      <c r="N29" s="323">
        <f>+M29/E29*100</f>
        <v>21.533934876422126</v>
      </c>
    </row>
    <row r="30" spans="1:15">
      <c r="A30" s="322" t="s">
        <v>234</v>
      </c>
      <c r="B30" s="322">
        <v>7000</v>
      </c>
      <c r="C30" s="322" t="s">
        <v>233</v>
      </c>
      <c r="D30" s="323"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0">SUM(F30:L30)</f>
        <v>0</v>
      </c>
      <c r="N30" s="323">
        <v>0</v>
      </c>
    </row>
    <row r="31" spans="1:15">
      <c r="A31" s="322" t="s">
        <v>235</v>
      </c>
      <c r="B31" s="322">
        <v>43000</v>
      </c>
      <c r="C31" s="322" t="s">
        <v>236</v>
      </c>
      <c r="D31" s="323"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0"/>
        <v>0.18</v>
      </c>
      <c r="N31" s="323">
        <f t="shared" ref="N31:N38" si="1">+M31/E31*100</f>
        <v>100</v>
      </c>
    </row>
    <row r="32" spans="1:15">
      <c r="A32" s="322" t="s">
        <v>237</v>
      </c>
      <c r="B32" s="322">
        <v>37000</v>
      </c>
      <c r="C32" s="322" t="s">
        <v>236</v>
      </c>
      <c r="D32" s="323"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0"/>
        <v>0.125</v>
      </c>
      <c r="N32" s="323">
        <f t="shared" si="1"/>
        <v>78.125</v>
      </c>
    </row>
    <row r="33" spans="1:14">
      <c r="A33" s="322" t="s">
        <v>238</v>
      </c>
      <c r="B33" s="322">
        <v>1200</v>
      </c>
      <c r="C33" s="322" t="s">
        <v>233</v>
      </c>
      <c r="D33" s="323">
        <f>B33*$K$5/100000</f>
        <v>7.1760000000000002</v>
      </c>
      <c r="E33" s="323">
        <v>2</v>
      </c>
      <c r="F33" s="323"/>
      <c r="G33" s="323">
        <v>1.2638</v>
      </c>
      <c r="H33" s="323"/>
      <c r="I33" s="323"/>
      <c r="J33" s="323"/>
      <c r="K33" s="323"/>
      <c r="L33" s="323"/>
      <c r="M33" s="323">
        <f t="shared" si="0"/>
        <v>1.2638</v>
      </c>
      <c r="N33" s="323">
        <f t="shared" si="1"/>
        <v>63.190000000000005</v>
      </c>
    </row>
    <row r="34" spans="1:14">
      <c r="A34" s="322" t="s">
        <v>667</v>
      </c>
      <c r="B34" s="322">
        <v>565</v>
      </c>
      <c r="C34" s="322" t="s">
        <v>233</v>
      </c>
      <c r="D34" s="323">
        <f>B34*$K$5/100000</f>
        <v>3.3786999999999998</v>
      </c>
      <c r="E34" s="323">
        <v>1.5980000000000001</v>
      </c>
      <c r="F34" s="323"/>
      <c r="G34" s="323">
        <v>0.5</v>
      </c>
      <c r="H34" s="323"/>
      <c r="I34" s="323"/>
      <c r="J34" s="323"/>
      <c r="K34" s="323"/>
      <c r="L34" s="323"/>
      <c r="M34" s="323">
        <f t="shared" si="0"/>
        <v>0.5</v>
      </c>
      <c r="N34" s="323">
        <f t="shared" si="1"/>
        <v>31.289111389236545</v>
      </c>
    </row>
    <row r="35" spans="1:14">
      <c r="A35" s="322" t="s">
        <v>240</v>
      </c>
      <c r="B35" s="322">
        <v>1000</v>
      </c>
      <c r="C35" s="322" t="s">
        <v>233</v>
      </c>
      <c r="D35" s="323">
        <f>B35*$K$5/100000</f>
        <v>5.98</v>
      </c>
      <c r="E35" s="323">
        <v>0</v>
      </c>
      <c r="F35" s="323"/>
      <c r="G35" s="323"/>
      <c r="H35" s="323"/>
      <c r="I35" s="323"/>
      <c r="J35" s="323"/>
      <c r="K35" s="323"/>
      <c r="L35" s="323"/>
      <c r="M35" s="323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2.31</v>
      </c>
      <c r="E36" s="323">
        <v>0.30249999999999999</v>
      </c>
      <c r="F36" s="323"/>
      <c r="G36" s="323">
        <v>0.24249999999999999</v>
      </c>
      <c r="H36" s="323"/>
      <c r="I36" s="323"/>
      <c r="J36" s="323"/>
      <c r="K36" s="323"/>
      <c r="L36" s="323"/>
      <c r="M36" s="323">
        <f t="shared" si="0"/>
        <v>0.24249999999999999</v>
      </c>
      <c r="N36" s="323">
        <f t="shared" si="1"/>
        <v>80.165289256198349</v>
      </c>
    </row>
    <row r="37" spans="1:14">
      <c r="A37" s="324" t="s">
        <v>670</v>
      </c>
      <c r="B37" s="322">
        <v>10000</v>
      </c>
      <c r="C37" s="324" t="s">
        <v>244</v>
      </c>
      <c r="D37" s="323">
        <v>0.1</v>
      </c>
      <c r="E37" s="323">
        <v>0</v>
      </c>
      <c r="F37" s="323"/>
      <c r="G37" s="323">
        <v>0</v>
      </c>
      <c r="H37" s="323"/>
      <c r="I37" s="323"/>
      <c r="J37" s="323"/>
      <c r="K37" s="323"/>
      <c r="L37" s="323"/>
      <c r="M37" s="323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321">
        <f>SUM(D29:D37)</f>
        <v>73.184700000000007</v>
      </c>
      <c r="E38" s="321">
        <f>SUM(E29:E37)</f>
        <v>11.887500000000001</v>
      </c>
      <c r="F38" s="321"/>
      <c r="G38" s="321">
        <f>SUM(G29:G37)</f>
        <v>3.9580000000000002</v>
      </c>
      <c r="H38" s="321">
        <v>0</v>
      </c>
      <c r="I38" s="321">
        <v>0</v>
      </c>
      <c r="J38" s="321">
        <v>0</v>
      </c>
      <c r="K38" s="321">
        <v>0</v>
      </c>
      <c r="L38" s="321">
        <v>0</v>
      </c>
      <c r="M38" s="321">
        <f t="shared" si="0"/>
        <v>3.9580000000000002</v>
      </c>
      <c r="N38" s="323">
        <f t="shared" si="1"/>
        <v>33.295478443743427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" right="0.2" top="0.31" bottom="0.45" header="0.2" footer="0.28999999999999998"/>
  <pageSetup paperSize="9" scale="67" orientation="landscape" r:id="rId1"/>
  <headerFooter>
    <oddFooter>&amp;L&amp;9&amp;F&amp;R&amp;9&amp;A</oddFooter>
  </headerFooter>
</worksheet>
</file>

<file path=xl/worksheets/sheet33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</row>
    <row r="4" spans="1:14" ht="15.7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3636</v>
      </c>
      <c r="C5" s="1594"/>
      <c r="D5" s="1594"/>
      <c r="E5" s="1595"/>
      <c r="F5" s="326" t="s">
        <v>171</v>
      </c>
      <c r="G5" s="326"/>
      <c r="H5" s="1646">
        <v>406020109140101</v>
      </c>
      <c r="I5" s="1647"/>
      <c r="J5" s="326" t="s">
        <v>172</v>
      </c>
      <c r="K5" s="631">
        <v>329</v>
      </c>
      <c r="L5" s="326" t="s">
        <v>436</v>
      </c>
      <c r="M5" s="326"/>
      <c r="N5" s="631">
        <v>80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3637</v>
      </c>
      <c r="C7" s="1594"/>
      <c r="D7" s="1594"/>
      <c r="E7" s="1595"/>
      <c r="F7" s="1596" t="s">
        <v>3208</v>
      </c>
      <c r="G7" s="1596"/>
      <c r="H7" s="1593" t="s">
        <v>3638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3639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3640</v>
      </c>
      <c r="C13" s="1612"/>
      <c r="D13" s="1612" t="s">
        <v>3641</v>
      </c>
      <c r="E13" s="1612"/>
      <c r="F13" s="1612" t="s">
        <v>3642</v>
      </c>
      <c r="G13" s="1612"/>
      <c r="H13" s="1612"/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2" t="s">
        <v>3643</v>
      </c>
      <c r="C14" s="1612"/>
      <c r="D14" s="1612" t="s">
        <v>3644</v>
      </c>
      <c r="E14" s="1612"/>
      <c r="F14" s="1612" t="s">
        <v>3645</v>
      </c>
      <c r="G14" s="1612"/>
      <c r="H14" s="1612"/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1613" t="s">
        <v>3646</v>
      </c>
      <c r="C15" s="1614"/>
      <c r="D15" s="1612" t="s">
        <v>3647</v>
      </c>
      <c r="E15" s="1612"/>
      <c r="F15" s="1612" t="s">
        <v>3648</v>
      </c>
      <c r="G15" s="1612"/>
      <c r="H15" s="1612" t="s">
        <v>3649</v>
      </c>
      <c r="I15" s="1612"/>
      <c r="J15" s="1612" t="s">
        <v>3650</v>
      </c>
      <c r="K15" s="1612"/>
      <c r="L15" s="1612"/>
      <c r="M15" s="1612"/>
      <c r="N15" s="326"/>
    </row>
    <row r="16" spans="1:14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4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19</v>
      </c>
      <c r="I18" s="326" t="s">
        <v>201</v>
      </c>
      <c r="J18" s="632">
        <v>0</v>
      </c>
      <c r="K18" s="326" t="s">
        <v>202</v>
      </c>
      <c r="L18" s="631">
        <v>4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114</v>
      </c>
      <c r="D21" s="326" t="s">
        <v>205</v>
      </c>
      <c r="E21" s="631">
        <v>88</v>
      </c>
      <c r="F21" s="326" t="s">
        <v>206</v>
      </c>
      <c r="G21" s="80">
        <f>I21-C21-E21</f>
        <v>29</v>
      </c>
      <c r="H21" s="326" t="s">
        <v>230</v>
      </c>
      <c r="I21" s="80">
        <v>231</v>
      </c>
      <c r="J21" s="326" t="s">
        <v>207</v>
      </c>
      <c r="K21" s="631">
        <v>152</v>
      </c>
      <c r="L21" s="326" t="s">
        <v>3187</v>
      </c>
      <c r="M21" s="326"/>
      <c r="N21" s="631"/>
    </row>
    <row r="22" spans="1:14">
      <c r="A22" s="326" t="s">
        <v>209</v>
      </c>
      <c r="B22" s="326" t="s">
        <v>210</v>
      </c>
      <c r="C22" s="631">
        <v>212</v>
      </c>
      <c r="D22" s="326" t="s">
        <v>211</v>
      </c>
      <c r="E22" s="631">
        <v>205</v>
      </c>
      <c r="F22" s="326" t="s">
        <v>212</v>
      </c>
      <c r="G22" s="631">
        <v>69</v>
      </c>
      <c r="H22" s="326" t="s">
        <v>411</v>
      </c>
      <c r="I22" s="80">
        <f>C22+E22+G22</f>
        <v>486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239</v>
      </c>
      <c r="D23" s="326" t="s">
        <v>214</v>
      </c>
      <c r="E23" s="631">
        <v>202</v>
      </c>
      <c r="F23" s="326" t="s">
        <v>215</v>
      </c>
      <c r="G23" s="631">
        <v>81</v>
      </c>
      <c r="H23" s="326" t="s">
        <v>410</v>
      </c>
      <c r="I23" s="80">
        <f>C23+E23+G23</f>
        <v>522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>
        <v>1</v>
      </c>
      <c r="G28" s="623">
        <v>2</v>
      </c>
      <c r="H28" s="623">
        <v>3</v>
      </c>
      <c r="I28" s="623">
        <v>4</v>
      </c>
      <c r="J28" s="623">
        <v>5</v>
      </c>
      <c r="K28" s="623">
        <v>6</v>
      </c>
      <c r="L28" s="623"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23">
        <f>B29*$K$5/100000</f>
        <v>26.32</v>
      </c>
      <c r="E29" s="323">
        <v>7.6470000000000002</v>
      </c>
      <c r="F29" s="323"/>
      <c r="G29" s="323">
        <v>1.6466799999999999</v>
      </c>
      <c r="H29" s="323"/>
      <c r="I29" s="323"/>
      <c r="J29" s="323"/>
      <c r="K29" s="323"/>
      <c r="L29" s="323"/>
      <c r="M29" s="323">
        <f>SUM(F29:L29)</f>
        <v>1.6466799999999999</v>
      </c>
      <c r="N29" s="323">
        <f>+M29/E29*100</f>
        <v>21.533673335948738</v>
      </c>
    </row>
    <row r="30" spans="1:14">
      <c r="A30" s="322" t="s">
        <v>234</v>
      </c>
      <c r="B30" s="322">
        <v>7000</v>
      </c>
      <c r="C30" s="322" t="s">
        <v>233</v>
      </c>
      <c r="D30" s="323"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23"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0"/>
        <v>0.18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23"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0"/>
        <v>0.125</v>
      </c>
      <c r="N32" s="323">
        <f t="shared" si="1"/>
        <v>78.125</v>
      </c>
    </row>
    <row r="33" spans="1:14">
      <c r="A33" s="322" t="s">
        <v>238</v>
      </c>
      <c r="B33" s="322">
        <v>1200</v>
      </c>
      <c r="C33" s="322" t="s">
        <v>233</v>
      </c>
      <c r="D33" s="323">
        <f>B33*$K$5/100000</f>
        <v>3.948</v>
      </c>
      <c r="E33" s="323">
        <v>2</v>
      </c>
      <c r="F33" s="323"/>
      <c r="G33" s="323">
        <v>0.85668</v>
      </c>
      <c r="H33" s="323"/>
      <c r="I33" s="323"/>
      <c r="J33" s="323"/>
      <c r="K33" s="323"/>
      <c r="L33" s="323"/>
      <c r="M33" s="323">
        <f t="shared" si="0"/>
        <v>0.85668</v>
      </c>
      <c r="N33" s="323">
        <f t="shared" si="1"/>
        <v>42.834000000000003</v>
      </c>
    </row>
    <row r="34" spans="1:14">
      <c r="A34" s="322" t="s">
        <v>667</v>
      </c>
      <c r="B34" s="322">
        <v>565</v>
      </c>
      <c r="C34" s="322" t="s">
        <v>233</v>
      </c>
      <c r="D34" s="323">
        <f>B34*$K$5/100000</f>
        <v>1.8588499999999999</v>
      </c>
      <c r="E34" s="323">
        <v>1.329</v>
      </c>
      <c r="F34" s="323"/>
      <c r="G34" s="323">
        <v>0.3</v>
      </c>
      <c r="H34" s="323"/>
      <c r="I34" s="323"/>
      <c r="J34" s="323"/>
      <c r="K34" s="323"/>
      <c r="L34" s="323"/>
      <c r="M34" s="323">
        <f t="shared" si="0"/>
        <v>0.3</v>
      </c>
      <c r="N34" s="323">
        <f t="shared" si="1"/>
        <v>22.573363431151243</v>
      </c>
    </row>
    <row r="35" spans="1:14">
      <c r="A35" s="322" t="s">
        <v>240</v>
      </c>
      <c r="B35" s="322">
        <v>1000</v>
      </c>
      <c r="C35" s="322" t="s">
        <v>233</v>
      </c>
      <c r="D35" s="323">
        <f>B35*$K$5/100000</f>
        <v>3.29</v>
      </c>
      <c r="E35" s="323">
        <v>0</v>
      </c>
      <c r="F35" s="323"/>
      <c r="G35" s="323">
        <v>0</v>
      </c>
      <c r="H35" s="323"/>
      <c r="I35" s="323"/>
      <c r="J35" s="323"/>
      <c r="K35" s="323"/>
      <c r="L35" s="323"/>
      <c r="M35" s="323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2.31</v>
      </c>
      <c r="E36" s="323">
        <v>0.30249999999999999</v>
      </c>
      <c r="F36" s="323"/>
      <c r="G36" s="323">
        <v>0.1825</v>
      </c>
      <c r="H36" s="323"/>
      <c r="I36" s="323"/>
      <c r="J36" s="323"/>
      <c r="K36" s="323"/>
      <c r="L36" s="323"/>
      <c r="M36" s="323">
        <f t="shared" si="0"/>
        <v>0.1825</v>
      </c>
      <c r="N36" s="323">
        <f t="shared" si="1"/>
        <v>60.330578512396691</v>
      </c>
    </row>
    <row r="37" spans="1:14">
      <c r="A37" s="324" t="s">
        <v>670</v>
      </c>
      <c r="B37" s="322">
        <v>10000</v>
      </c>
      <c r="C37" s="324" t="s">
        <v>244</v>
      </c>
      <c r="D37" s="323">
        <v>0.1</v>
      </c>
      <c r="E37" s="323">
        <v>0</v>
      </c>
      <c r="F37" s="323"/>
      <c r="G37" s="323">
        <v>0</v>
      </c>
      <c r="H37" s="323"/>
      <c r="I37" s="323"/>
      <c r="J37" s="323"/>
      <c r="K37" s="323"/>
      <c r="L37" s="323"/>
      <c r="M37" s="323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321">
        <f>SUM(D29:D37)</f>
        <v>44.226849999999999</v>
      </c>
      <c r="E38" s="321">
        <f>SUM(E29:E37)</f>
        <v>11.618500000000001</v>
      </c>
      <c r="F38" s="321"/>
      <c r="G38" s="321">
        <f>SUM(G29:G37)</f>
        <v>3.2908599999999999</v>
      </c>
      <c r="H38" s="321">
        <v>0</v>
      </c>
      <c r="I38" s="321">
        <v>0</v>
      </c>
      <c r="J38" s="321">
        <v>0</v>
      </c>
      <c r="K38" s="321">
        <v>0</v>
      </c>
      <c r="L38" s="321">
        <v>0</v>
      </c>
      <c r="M38" s="321">
        <f t="shared" si="0"/>
        <v>3.2908599999999999</v>
      </c>
      <c r="N38" s="323">
        <f t="shared" si="1"/>
        <v>28.324310367086969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" right="0.2" top="0.31" bottom="0.42" header="0.2" footer="0.28999999999999998"/>
  <pageSetup paperSize="9" scale="70" orientation="landscape" r:id="rId1"/>
  <headerFooter>
    <oddFooter>&amp;L&amp;9&amp;F&amp;R&amp;9&amp;A</oddFooter>
  </headerFooter>
</worksheet>
</file>

<file path=xl/worksheets/sheet33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3651</v>
      </c>
      <c r="C5" s="1594"/>
      <c r="D5" s="1594"/>
      <c r="E5" s="1595"/>
      <c r="F5" s="326" t="s">
        <v>171</v>
      </c>
      <c r="G5" s="326"/>
      <c r="H5" s="1646">
        <v>406020109290201</v>
      </c>
      <c r="I5" s="1647"/>
      <c r="J5" s="326" t="s">
        <v>172</v>
      </c>
      <c r="K5" s="631">
        <v>459</v>
      </c>
      <c r="L5" s="326" t="s">
        <v>436</v>
      </c>
      <c r="M5" s="326"/>
      <c r="N5" s="631">
        <v>80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3652</v>
      </c>
      <c r="C7" s="1594"/>
      <c r="D7" s="1594"/>
      <c r="E7" s="1595"/>
      <c r="F7" s="1596" t="s">
        <v>3208</v>
      </c>
      <c r="G7" s="1596"/>
      <c r="H7" s="1593" t="s">
        <v>3653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3654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3655</v>
      </c>
      <c r="C13" s="1612"/>
      <c r="D13" s="1612" t="s">
        <v>3656</v>
      </c>
      <c r="E13" s="1612"/>
      <c r="F13" s="1612" t="s">
        <v>3657</v>
      </c>
      <c r="G13" s="1612"/>
      <c r="H13" s="1612" t="s">
        <v>3658</v>
      </c>
      <c r="I13" s="1612"/>
      <c r="J13" s="1612" t="s">
        <v>3659</v>
      </c>
      <c r="K13" s="1612"/>
      <c r="L13" s="1612"/>
      <c r="M13" s="1612"/>
      <c r="N13" s="326"/>
    </row>
    <row r="14" spans="1:14">
      <c r="A14" s="631" t="s">
        <v>187</v>
      </c>
      <c r="B14" s="1612" t="s">
        <v>3660</v>
      </c>
      <c r="C14" s="1612"/>
      <c r="D14" s="1612" t="s">
        <v>3661</v>
      </c>
      <c r="E14" s="1612"/>
      <c r="F14" s="1612" t="s">
        <v>3662</v>
      </c>
      <c r="G14" s="1612"/>
      <c r="H14" s="1612" t="s">
        <v>3663</v>
      </c>
      <c r="I14" s="1612"/>
      <c r="J14" s="1612" t="s">
        <v>3664</v>
      </c>
      <c r="K14" s="1612"/>
      <c r="L14" s="1612"/>
      <c r="M14" s="1612"/>
      <c r="N14" s="326"/>
    </row>
    <row r="15" spans="1:14" ht="15" customHeight="1">
      <c r="A15" s="631" t="s">
        <v>192</v>
      </c>
      <c r="B15" s="1613" t="s">
        <v>3660</v>
      </c>
      <c r="C15" s="1614"/>
      <c r="D15" s="1612" t="s">
        <v>3665</v>
      </c>
      <c r="E15" s="1612"/>
      <c r="F15" s="1612" t="s">
        <v>3666</v>
      </c>
      <c r="G15" s="1612"/>
      <c r="H15" s="1612" t="s">
        <v>3667</v>
      </c>
      <c r="I15" s="1612"/>
      <c r="J15" s="1612"/>
      <c r="K15" s="1612"/>
      <c r="L15" s="1612"/>
      <c r="M15" s="1612"/>
      <c r="N15" s="326"/>
    </row>
    <row r="16" spans="1:14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5</v>
      </c>
      <c r="C18" s="326" t="s">
        <v>199</v>
      </c>
      <c r="D18" s="326"/>
      <c r="E18" s="326"/>
      <c r="F18" s="631">
        <v>4</v>
      </c>
      <c r="G18" s="326" t="s">
        <v>200</v>
      </c>
      <c r="H18" s="632">
        <v>4</v>
      </c>
      <c r="I18" s="326" t="s">
        <v>201</v>
      </c>
      <c r="J18" s="632">
        <v>0</v>
      </c>
      <c r="K18" s="326" t="s">
        <v>202</v>
      </c>
      <c r="L18" s="631">
        <v>3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37</v>
      </c>
      <c r="D21" s="326" t="s">
        <v>205</v>
      </c>
      <c r="E21" s="631">
        <v>0</v>
      </c>
      <c r="F21" s="326" t="s">
        <v>206</v>
      </c>
      <c r="G21" s="80">
        <f>I21-C21</f>
        <v>19</v>
      </c>
      <c r="H21" s="326" t="s">
        <v>230</v>
      </c>
      <c r="I21" s="80">
        <v>56</v>
      </c>
      <c r="J21" s="326" t="s">
        <v>207</v>
      </c>
      <c r="K21" s="631">
        <v>21</v>
      </c>
      <c r="L21" s="326" t="s">
        <v>3187</v>
      </c>
      <c r="M21" s="326"/>
      <c r="N21" s="631"/>
    </row>
    <row r="22" spans="1:14">
      <c r="A22" s="326" t="s">
        <v>209</v>
      </c>
      <c r="B22" s="326" t="s">
        <v>210</v>
      </c>
      <c r="C22" s="631">
        <v>76</v>
      </c>
      <c r="D22" s="326" t="s">
        <v>211</v>
      </c>
      <c r="E22" s="631">
        <v>0</v>
      </c>
      <c r="F22" s="326" t="s">
        <v>212</v>
      </c>
      <c r="G22" s="631">
        <v>39</v>
      </c>
      <c r="H22" s="326" t="s">
        <v>411</v>
      </c>
      <c r="I22" s="80">
        <f>C22+E22+G22</f>
        <v>115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78</v>
      </c>
      <c r="D23" s="326" t="s">
        <v>214</v>
      </c>
      <c r="E23" s="631">
        <v>0</v>
      </c>
      <c r="F23" s="326" t="s">
        <v>215</v>
      </c>
      <c r="G23" s="631">
        <v>39</v>
      </c>
      <c r="H23" s="326" t="s">
        <v>410</v>
      </c>
      <c r="I23" s="80">
        <f>C23+E23+G23</f>
        <v>117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>
        <v>1</v>
      </c>
      <c r="G28" s="623">
        <v>2</v>
      </c>
      <c r="H28" s="623">
        <v>3</v>
      </c>
      <c r="I28" s="623">
        <v>4</v>
      </c>
      <c r="J28" s="623">
        <v>5</v>
      </c>
      <c r="K28" s="623">
        <v>6</v>
      </c>
      <c r="L28" s="623"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23">
        <f>B29*$K$5/100000</f>
        <v>36.72</v>
      </c>
      <c r="E29" s="323">
        <v>7.6470000000000002</v>
      </c>
      <c r="F29" s="323"/>
      <c r="G29" s="323">
        <v>1.6456599999999999</v>
      </c>
      <c r="H29" s="323"/>
      <c r="I29" s="323"/>
      <c r="J29" s="323"/>
      <c r="K29" s="323"/>
      <c r="L29" s="323"/>
      <c r="M29" s="323">
        <f>SUM(F29:L29)</f>
        <v>1.6456599999999999</v>
      </c>
      <c r="N29" s="323">
        <f>+M29/E29*100</f>
        <v>21.520334771805935</v>
      </c>
    </row>
    <row r="30" spans="1:14">
      <c r="A30" s="322" t="s">
        <v>234</v>
      </c>
      <c r="B30" s="322">
        <v>7000</v>
      </c>
      <c r="C30" s="322" t="s">
        <v>233</v>
      </c>
      <c r="D30" s="323"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23"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0"/>
        <v>0.18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23"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0"/>
        <v>0.125</v>
      </c>
      <c r="N32" s="323">
        <f t="shared" si="1"/>
        <v>78.125</v>
      </c>
    </row>
    <row r="33" spans="1:14">
      <c r="A33" s="322" t="s">
        <v>238</v>
      </c>
      <c r="B33" s="322">
        <v>1200</v>
      </c>
      <c r="C33" s="322" t="s">
        <v>233</v>
      </c>
      <c r="D33" s="323">
        <f>B33*$K$5/100000</f>
        <v>5.508</v>
      </c>
      <c r="E33" s="323">
        <v>2</v>
      </c>
      <c r="F33" s="323"/>
      <c r="G33" s="323">
        <v>1.77597</v>
      </c>
      <c r="H33" s="323"/>
      <c r="I33" s="323"/>
      <c r="J33" s="323"/>
      <c r="K33" s="323"/>
      <c r="L33" s="323"/>
      <c r="M33" s="323">
        <f t="shared" si="0"/>
        <v>1.77597</v>
      </c>
      <c r="N33" s="323">
        <f t="shared" si="1"/>
        <v>88.798500000000004</v>
      </c>
    </row>
    <row r="34" spans="1:14">
      <c r="A34" s="322" t="s">
        <v>667</v>
      </c>
      <c r="B34" s="322">
        <v>565</v>
      </c>
      <c r="C34" s="322" t="s">
        <v>233</v>
      </c>
      <c r="D34" s="323">
        <f>B34*$K$5/100000</f>
        <v>2.59335</v>
      </c>
      <c r="E34" s="323">
        <v>1.4590000000000001</v>
      </c>
      <c r="F34" s="323"/>
      <c r="G34" s="323">
        <v>0.2</v>
      </c>
      <c r="H34" s="323"/>
      <c r="I34" s="323"/>
      <c r="J34" s="323"/>
      <c r="K34" s="323"/>
      <c r="L34" s="323"/>
      <c r="M34" s="323">
        <f t="shared" si="0"/>
        <v>0.2</v>
      </c>
      <c r="N34" s="323">
        <f t="shared" si="1"/>
        <v>13.708019191226867</v>
      </c>
    </row>
    <row r="35" spans="1:14">
      <c r="A35" s="322" t="s">
        <v>240</v>
      </c>
      <c r="B35" s="322">
        <v>1000</v>
      </c>
      <c r="C35" s="322" t="s">
        <v>233</v>
      </c>
      <c r="D35" s="323">
        <f>B35*$K$5/100000</f>
        <v>4.59</v>
      </c>
      <c r="E35" s="323">
        <v>0</v>
      </c>
      <c r="F35" s="323"/>
      <c r="G35" s="323"/>
      <c r="H35" s="323"/>
      <c r="I35" s="323"/>
      <c r="J35" s="323"/>
      <c r="K35" s="323"/>
      <c r="L35" s="323"/>
      <c r="M35" s="323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2.31</v>
      </c>
      <c r="E36" s="323">
        <v>0.30249999999999999</v>
      </c>
      <c r="F36" s="323"/>
      <c r="G36" s="323">
        <v>0.224</v>
      </c>
      <c r="H36" s="323"/>
      <c r="I36" s="323"/>
      <c r="J36" s="323"/>
      <c r="K36" s="323"/>
      <c r="L36" s="323"/>
      <c r="M36" s="323">
        <f t="shared" si="0"/>
        <v>0.224</v>
      </c>
      <c r="N36" s="323">
        <f t="shared" si="1"/>
        <v>74.049586776859513</v>
      </c>
    </row>
    <row r="37" spans="1:14">
      <c r="A37" s="324" t="s">
        <v>670</v>
      </c>
      <c r="B37" s="322">
        <v>10000</v>
      </c>
      <c r="C37" s="324" t="s">
        <v>244</v>
      </c>
      <c r="D37" s="323">
        <v>0.1</v>
      </c>
      <c r="E37" s="323">
        <v>0</v>
      </c>
      <c r="F37" s="323"/>
      <c r="G37" s="323"/>
      <c r="H37" s="323"/>
      <c r="I37" s="323"/>
      <c r="J37" s="323"/>
      <c r="K37" s="323"/>
      <c r="L37" s="323"/>
      <c r="M37" s="323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321">
        <f>SUM(D29:D37)</f>
        <v>58.221350000000008</v>
      </c>
      <c r="E38" s="321">
        <f>SUM(E29:E37)</f>
        <v>11.7485</v>
      </c>
      <c r="F38" s="321"/>
      <c r="G38" s="321">
        <f>SUM(G29:G37)</f>
        <v>4.1506300000000005</v>
      </c>
      <c r="H38" s="321">
        <v>0</v>
      </c>
      <c r="I38" s="321">
        <v>0</v>
      </c>
      <c r="J38" s="321">
        <v>0</v>
      </c>
      <c r="K38" s="321">
        <v>0</v>
      </c>
      <c r="L38" s="321">
        <v>0</v>
      </c>
      <c r="M38" s="321">
        <f t="shared" si="0"/>
        <v>4.1506300000000005</v>
      </c>
      <c r="N38" s="323">
        <f t="shared" si="1"/>
        <v>35.329020726050139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" right="0.2" top="0.31" bottom="0.46" header="0.2" footer="0.28999999999999998"/>
  <pageSetup paperSize="9" scale="70" orientation="landscape" r:id="rId1"/>
  <headerFooter>
    <oddFooter>&amp;L&amp;9&amp;F&amp;R&amp;9&amp;A</oddFooter>
  </headerFooter>
</worksheet>
</file>

<file path=xl/worksheets/sheet339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>
      <c r="A5" s="326" t="s">
        <v>3214</v>
      </c>
      <c r="B5" s="1593" t="s">
        <v>3668</v>
      </c>
      <c r="C5" s="1594"/>
      <c r="D5" s="1594"/>
      <c r="E5" s="1595"/>
      <c r="F5" s="326" t="s">
        <v>171</v>
      </c>
      <c r="G5" s="326"/>
      <c r="H5" s="1646">
        <v>407010507110203</v>
      </c>
      <c r="I5" s="1647"/>
      <c r="J5" s="326" t="s">
        <v>172</v>
      </c>
      <c r="K5" s="631">
        <v>545</v>
      </c>
      <c r="L5" s="326" t="s">
        <v>436</v>
      </c>
      <c r="M5" s="326"/>
      <c r="N5" s="631">
        <v>80</v>
      </c>
    </row>
    <row r="6" spans="1:14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>
      <c r="A7" s="326" t="s">
        <v>174</v>
      </c>
      <c r="B7" s="1593" t="s">
        <v>3669</v>
      </c>
      <c r="C7" s="1594"/>
      <c r="D7" s="1594"/>
      <c r="E7" s="1595"/>
      <c r="F7" s="1596" t="s">
        <v>3208</v>
      </c>
      <c r="G7" s="1596"/>
      <c r="H7" s="1593" t="s">
        <v>3670</v>
      </c>
      <c r="I7" s="1594"/>
      <c r="J7" s="1595"/>
      <c r="K7" s="326"/>
      <c r="L7" s="326"/>
      <c r="M7" s="326"/>
      <c r="N7" s="326"/>
    </row>
    <row r="8" spans="1:14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1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3671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>
      <c r="A13" s="631" t="s">
        <v>838</v>
      </c>
      <c r="B13" s="1612" t="s">
        <v>3672</v>
      </c>
      <c r="C13" s="1612"/>
      <c r="D13" s="1612" t="s">
        <v>3673</v>
      </c>
      <c r="E13" s="1612"/>
      <c r="F13" s="1612" t="s">
        <v>3674</v>
      </c>
      <c r="G13" s="1612"/>
      <c r="H13" s="1612" t="s">
        <v>3675</v>
      </c>
      <c r="I13" s="1612"/>
      <c r="J13" s="1612"/>
      <c r="K13" s="1612"/>
      <c r="L13" s="1612"/>
      <c r="M13" s="1612"/>
      <c r="N13" s="326"/>
    </row>
    <row r="14" spans="1:14">
      <c r="A14" s="631" t="s">
        <v>187</v>
      </c>
      <c r="B14" s="1612" t="s">
        <v>3676</v>
      </c>
      <c r="C14" s="1612"/>
      <c r="D14" s="1612" t="s">
        <v>3677</v>
      </c>
      <c r="E14" s="1612"/>
      <c r="F14" s="1612" t="s">
        <v>3678</v>
      </c>
      <c r="G14" s="1612"/>
      <c r="H14" s="1612" t="s">
        <v>3679</v>
      </c>
      <c r="I14" s="1612"/>
      <c r="J14" s="1612"/>
      <c r="K14" s="1612"/>
      <c r="L14" s="1612"/>
      <c r="M14" s="1612"/>
      <c r="N14" s="326"/>
    </row>
    <row r="15" spans="1:14">
      <c r="A15" s="631" t="s">
        <v>192</v>
      </c>
      <c r="B15" s="1613" t="s">
        <v>3680</v>
      </c>
      <c r="C15" s="1614"/>
      <c r="D15" s="1612" t="s">
        <v>3681</v>
      </c>
      <c r="E15" s="1612"/>
      <c r="F15" s="1612" t="s">
        <v>3682</v>
      </c>
      <c r="G15" s="1612"/>
      <c r="H15" s="1612" t="s">
        <v>2811</v>
      </c>
      <c r="I15" s="1612"/>
      <c r="J15" s="1612" t="s">
        <v>3683</v>
      </c>
      <c r="K15" s="1612"/>
      <c r="L15" s="1612"/>
      <c r="M15" s="1612"/>
      <c r="N15" s="326"/>
    </row>
    <row r="16" spans="1:14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7</v>
      </c>
      <c r="C18" s="326" t="s">
        <v>199</v>
      </c>
      <c r="D18" s="326"/>
      <c r="E18" s="326"/>
      <c r="F18" s="631">
        <v>4</v>
      </c>
      <c r="G18" s="326" t="s">
        <v>200</v>
      </c>
      <c r="H18" s="632">
        <v>9</v>
      </c>
      <c r="I18" s="326" t="s">
        <v>201</v>
      </c>
      <c r="J18" s="632">
        <v>0</v>
      </c>
      <c r="K18" s="326" t="s">
        <v>202</v>
      </c>
      <c r="L18" s="631">
        <v>5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59</v>
      </c>
      <c r="D21" s="326" t="s">
        <v>205</v>
      </c>
      <c r="E21" s="631">
        <v>21</v>
      </c>
      <c r="F21" s="326" t="s">
        <v>206</v>
      </c>
      <c r="G21" s="80">
        <f>I21-C21-E21</f>
        <v>67</v>
      </c>
      <c r="H21" s="326" t="s">
        <v>230</v>
      </c>
      <c r="I21" s="80">
        <v>147</v>
      </c>
      <c r="J21" s="326" t="s">
        <v>207</v>
      </c>
      <c r="K21" s="631">
        <v>54</v>
      </c>
      <c r="L21" s="326" t="s">
        <v>3187</v>
      </c>
      <c r="M21" s="326"/>
      <c r="N21" s="631"/>
    </row>
    <row r="22" spans="1:14">
      <c r="A22" s="326" t="s">
        <v>209</v>
      </c>
      <c r="B22" s="326" t="s">
        <v>210</v>
      </c>
      <c r="C22" s="631">
        <v>142</v>
      </c>
      <c r="D22" s="326" t="s">
        <v>211</v>
      </c>
      <c r="E22" s="631">
        <v>32</v>
      </c>
      <c r="F22" s="326" t="s">
        <v>212</v>
      </c>
      <c r="G22" s="631">
        <v>105</v>
      </c>
      <c r="H22" s="326" t="s">
        <v>411</v>
      </c>
      <c r="I22" s="80">
        <f>C22+E22+G22</f>
        <v>279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124</v>
      </c>
      <c r="D23" s="326" t="s">
        <v>214</v>
      </c>
      <c r="E23" s="631">
        <v>34</v>
      </c>
      <c r="F23" s="326" t="s">
        <v>215</v>
      </c>
      <c r="G23" s="631">
        <v>123</v>
      </c>
      <c r="H23" s="326" t="s">
        <v>410</v>
      </c>
      <c r="I23" s="80">
        <f>C23+E23+G23</f>
        <v>281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>
        <v>1</v>
      </c>
      <c r="G28" s="623">
        <v>2</v>
      </c>
      <c r="H28" s="623">
        <v>3</v>
      </c>
      <c r="I28" s="623">
        <v>4</v>
      </c>
      <c r="J28" s="623">
        <v>5</v>
      </c>
      <c r="K28" s="623">
        <v>6</v>
      </c>
      <c r="L28" s="623"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23">
        <f>B29*$K$5/100000</f>
        <v>43.6</v>
      </c>
      <c r="E29" s="323">
        <v>7.6470000000000002</v>
      </c>
      <c r="F29" s="323"/>
      <c r="G29" s="323">
        <v>1.6464000000000001</v>
      </c>
      <c r="H29" s="323"/>
      <c r="I29" s="323"/>
      <c r="J29" s="323"/>
      <c r="K29" s="323"/>
      <c r="L29" s="323"/>
      <c r="M29" s="323">
        <f>SUM(F29:L29)</f>
        <v>1.6464000000000001</v>
      </c>
      <c r="N29" s="323">
        <f>+M29/E29*100</f>
        <v>21.530011769321302</v>
      </c>
    </row>
    <row r="30" spans="1:14">
      <c r="A30" s="322" t="s">
        <v>234</v>
      </c>
      <c r="B30" s="322">
        <v>7000</v>
      </c>
      <c r="C30" s="322" t="s">
        <v>233</v>
      </c>
      <c r="D30" s="323"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23"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0"/>
        <v>0.18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23"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0"/>
        <v>0.125</v>
      </c>
      <c r="N32" s="323">
        <f t="shared" si="1"/>
        <v>78.125</v>
      </c>
    </row>
    <row r="33" spans="1:14">
      <c r="A33" s="322" t="s">
        <v>238</v>
      </c>
      <c r="B33" s="322">
        <v>1200</v>
      </c>
      <c r="C33" s="322" t="s">
        <v>233</v>
      </c>
      <c r="D33" s="323">
        <f>B33*$K$5/100000</f>
        <v>6.54</v>
      </c>
      <c r="E33" s="323">
        <v>2</v>
      </c>
      <c r="F33" s="323"/>
      <c r="G33" s="323">
        <v>1.63398</v>
      </c>
      <c r="H33" s="323"/>
      <c r="I33" s="323"/>
      <c r="J33" s="323"/>
      <c r="K33" s="323"/>
      <c r="L33" s="323"/>
      <c r="M33" s="323">
        <f t="shared" si="0"/>
        <v>1.63398</v>
      </c>
      <c r="N33" s="323">
        <f t="shared" si="1"/>
        <v>81.698999999999998</v>
      </c>
    </row>
    <row r="34" spans="1:14">
      <c r="A34" s="322" t="s">
        <v>667</v>
      </c>
      <c r="B34" s="322">
        <v>565</v>
      </c>
      <c r="C34" s="322" t="s">
        <v>233</v>
      </c>
      <c r="D34" s="323">
        <f>B34*$K$5/100000</f>
        <v>3.07925</v>
      </c>
      <c r="E34" s="323">
        <v>1.5449999999999999</v>
      </c>
      <c r="F34" s="323"/>
      <c r="G34" s="323">
        <v>0.35</v>
      </c>
      <c r="H34" s="323"/>
      <c r="I34" s="323"/>
      <c r="J34" s="323"/>
      <c r="K34" s="323"/>
      <c r="L34" s="323"/>
      <c r="M34" s="323">
        <f t="shared" si="0"/>
        <v>0.35</v>
      </c>
      <c r="N34" s="323">
        <f t="shared" si="1"/>
        <v>22.653721682847898</v>
      </c>
    </row>
    <row r="35" spans="1:14">
      <c r="A35" s="322" t="s">
        <v>240</v>
      </c>
      <c r="B35" s="322">
        <v>1000</v>
      </c>
      <c r="C35" s="322" t="s">
        <v>233</v>
      </c>
      <c r="D35" s="323">
        <f>B35*$K$5/100000</f>
        <v>5.45</v>
      </c>
      <c r="E35" s="323">
        <v>0</v>
      </c>
      <c r="F35" s="323"/>
      <c r="G35" s="323"/>
      <c r="H35" s="323"/>
      <c r="I35" s="323"/>
      <c r="J35" s="323"/>
      <c r="K35" s="323"/>
      <c r="L35" s="323"/>
      <c r="M35" s="323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2.31</v>
      </c>
      <c r="E36" s="323">
        <v>0.30249999999999999</v>
      </c>
      <c r="F36" s="323"/>
      <c r="G36" s="323">
        <v>0.22750000000000001</v>
      </c>
      <c r="H36" s="323"/>
      <c r="I36" s="323"/>
      <c r="J36" s="323"/>
      <c r="K36" s="323"/>
      <c r="L36" s="323"/>
      <c r="M36" s="323">
        <f t="shared" si="0"/>
        <v>0.22750000000000001</v>
      </c>
      <c r="N36" s="323">
        <f t="shared" si="1"/>
        <v>75.206611570247944</v>
      </c>
    </row>
    <row r="37" spans="1:14">
      <c r="A37" s="324" t="s">
        <v>670</v>
      </c>
      <c r="B37" s="322">
        <v>10000</v>
      </c>
      <c r="C37" s="324" t="s">
        <v>244</v>
      </c>
      <c r="D37" s="323">
        <v>0.1</v>
      </c>
      <c r="E37" s="323">
        <v>0</v>
      </c>
      <c r="F37" s="323"/>
      <c r="G37" s="323"/>
      <c r="H37" s="323"/>
      <c r="I37" s="323"/>
      <c r="J37" s="323"/>
      <c r="K37" s="323"/>
      <c r="L37" s="323"/>
      <c r="M37" s="323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321">
        <f>SUM(D29:D37)</f>
        <v>67.479249999999993</v>
      </c>
      <c r="E38" s="321">
        <f>SUM(E29:E37)</f>
        <v>11.8345</v>
      </c>
      <c r="F38" s="321"/>
      <c r="G38" s="321">
        <f>SUM(G29:G37)</f>
        <v>4.1628799999999995</v>
      </c>
      <c r="H38" s="321">
        <v>0</v>
      </c>
      <c r="I38" s="321">
        <v>0</v>
      </c>
      <c r="J38" s="321">
        <v>0</v>
      </c>
      <c r="K38" s="321">
        <v>0</v>
      </c>
      <c r="L38" s="321">
        <v>0</v>
      </c>
      <c r="M38" s="321">
        <f t="shared" si="0"/>
        <v>4.1628799999999995</v>
      </c>
      <c r="N38" s="323">
        <f t="shared" si="1"/>
        <v>35.175799569056565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" right="0.2" top="0.31" bottom="0.41" header="0.2" footer="0.28000000000000003"/>
  <pageSetup paperSize="9" scale="70" orientation="landscape" r:id="rId1"/>
  <headerFooter>
    <oddFooter>&amp;L&amp;9&amp;F&amp;R&amp;9&amp;A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cols>
    <col min="2" max="2" width="15.28515625" customWidth="1"/>
  </cols>
  <sheetData>
    <row r="1" spans="1:15">
      <c r="A1" t="s">
        <v>608</v>
      </c>
    </row>
    <row r="2" spans="1:15">
      <c r="A2" t="s">
        <v>609</v>
      </c>
      <c r="B2" t="s">
        <v>776</v>
      </c>
      <c r="C2" t="s">
        <v>611</v>
      </c>
      <c r="D2" t="s">
        <v>5731</v>
      </c>
      <c r="F2" t="s">
        <v>612</v>
      </c>
      <c r="G2">
        <v>387</v>
      </c>
      <c r="H2" t="s">
        <v>613</v>
      </c>
      <c r="I2">
        <v>80</v>
      </c>
      <c r="K2" s="808" t="s">
        <v>4176</v>
      </c>
      <c r="L2" s="808"/>
      <c r="M2" s="808"/>
    </row>
    <row r="3" spans="1:15">
      <c r="A3" t="s">
        <v>614</v>
      </c>
      <c r="B3" t="s">
        <v>777</v>
      </c>
      <c r="E3" t="s">
        <v>616</v>
      </c>
      <c r="G3" t="s">
        <v>778</v>
      </c>
    </row>
    <row r="4" spans="1:15">
      <c r="A4" t="s">
        <v>618</v>
      </c>
      <c r="B4" t="s">
        <v>779</v>
      </c>
      <c r="G4" t="s">
        <v>620</v>
      </c>
      <c r="I4" t="s">
        <v>780</v>
      </c>
    </row>
    <row r="5" spans="1:15">
      <c r="A5" t="s">
        <v>622</v>
      </c>
      <c r="B5" t="s">
        <v>781</v>
      </c>
      <c r="E5" t="s">
        <v>782</v>
      </c>
    </row>
    <row r="6" spans="1:15">
      <c r="A6" t="s">
        <v>628</v>
      </c>
      <c r="B6" t="s">
        <v>783</v>
      </c>
      <c r="E6" t="s">
        <v>784</v>
      </c>
    </row>
    <row r="7" spans="1:15">
      <c r="A7" t="s">
        <v>634</v>
      </c>
      <c r="B7" t="s">
        <v>785</v>
      </c>
      <c r="E7" t="s">
        <v>786</v>
      </c>
    </row>
    <row r="8" spans="1:15">
      <c r="A8" t="s">
        <v>639</v>
      </c>
      <c r="B8" t="s">
        <v>787</v>
      </c>
    </row>
    <row r="9" spans="1:15">
      <c r="A9" t="s">
        <v>641</v>
      </c>
      <c r="B9">
        <v>2</v>
      </c>
      <c r="C9" t="s">
        <v>642</v>
      </c>
      <c r="D9">
        <v>2</v>
      </c>
      <c r="E9" t="s">
        <v>643</v>
      </c>
      <c r="G9" t="s">
        <v>644</v>
      </c>
      <c r="H9">
        <v>2</v>
      </c>
      <c r="I9" t="s">
        <v>645</v>
      </c>
      <c r="J9">
        <v>5</v>
      </c>
    </row>
    <row r="10" spans="1:15">
      <c r="A10" t="s">
        <v>646</v>
      </c>
      <c r="B10" t="s">
        <v>204</v>
      </c>
      <c r="C10">
        <v>79</v>
      </c>
      <c r="D10" t="s">
        <v>205</v>
      </c>
      <c r="E10">
        <v>9</v>
      </c>
      <c r="F10" t="s">
        <v>206</v>
      </c>
      <c r="G10">
        <v>0</v>
      </c>
      <c r="H10" t="s">
        <v>230</v>
      </c>
      <c r="I10">
        <v>80</v>
      </c>
      <c r="J10" t="s">
        <v>647</v>
      </c>
      <c r="K10">
        <v>33</v>
      </c>
      <c r="L10" t="s">
        <v>648</v>
      </c>
      <c r="M10">
        <v>21</v>
      </c>
    </row>
    <row r="11" spans="1:15">
      <c r="A11" t="s">
        <v>209</v>
      </c>
      <c r="B11" t="s">
        <v>210</v>
      </c>
      <c r="C11">
        <v>161</v>
      </c>
      <c r="D11" t="s">
        <v>649</v>
      </c>
      <c r="E11">
        <v>29</v>
      </c>
      <c r="F11" t="s">
        <v>212</v>
      </c>
      <c r="G11">
        <v>0</v>
      </c>
      <c r="H11" t="s">
        <v>411</v>
      </c>
      <c r="I11">
        <v>190</v>
      </c>
    </row>
    <row r="12" spans="1:15">
      <c r="B12" t="s">
        <v>213</v>
      </c>
      <c r="C12">
        <v>136</v>
      </c>
      <c r="D12" t="s">
        <v>650</v>
      </c>
      <c r="E12">
        <v>22</v>
      </c>
      <c r="F12" t="s">
        <v>215</v>
      </c>
      <c r="G12">
        <v>0</v>
      </c>
      <c r="H12" t="s">
        <v>410</v>
      </c>
      <c r="I12">
        <v>158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30.96</v>
      </c>
      <c r="F16">
        <v>3096000</v>
      </c>
      <c r="G16">
        <v>0</v>
      </c>
      <c r="H16">
        <v>146149</v>
      </c>
      <c r="I16">
        <v>1159535</v>
      </c>
      <c r="J16">
        <v>839048</v>
      </c>
      <c r="K16">
        <v>21650</v>
      </c>
      <c r="L16">
        <v>881499</v>
      </c>
      <c r="N16">
        <f>G16+H16+I16+J16+K16+L16+M16</f>
        <v>3047881</v>
      </c>
    </row>
    <row r="17" spans="1:15">
      <c r="A17" t="s">
        <v>665</v>
      </c>
      <c r="C17">
        <v>7000</v>
      </c>
      <c r="D17" t="s">
        <v>664</v>
      </c>
      <c r="E17">
        <v>5.6</v>
      </c>
      <c r="F17">
        <v>500000</v>
      </c>
      <c r="G17">
        <v>0</v>
      </c>
      <c r="H17">
        <v>0</v>
      </c>
      <c r="I17">
        <v>0</v>
      </c>
      <c r="J17">
        <v>399958</v>
      </c>
      <c r="K17">
        <v>1600</v>
      </c>
      <c r="L17">
        <v>153120</v>
      </c>
      <c r="N17">
        <f t="shared" ref="N17:N23" si="0">G17+H17+I17+J17+K17+L17+M17</f>
        <v>554678</v>
      </c>
    </row>
    <row r="18" spans="1:15">
      <c r="A18" t="s">
        <v>235</v>
      </c>
      <c r="C18">
        <v>86</v>
      </c>
      <c r="D18" t="s">
        <v>664</v>
      </c>
      <c r="E18">
        <v>0.33</v>
      </c>
      <c r="F18">
        <v>43000</v>
      </c>
      <c r="G18">
        <v>0</v>
      </c>
      <c r="H18">
        <v>0</v>
      </c>
      <c r="I18">
        <v>0</v>
      </c>
      <c r="J18">
        <v>14674</v>
      </c>
      <c r="K18">
        <v>6250</v>
      </c>
      <c r="L18">
        <v>89036</v>
      </c>
      <c r="N18">
        <f t="shared" si="0"/>
        <v>109960</v>
      </c>
    </row>
    <row r="19" spans="1:15">
      <c r="A19" t="s">
        <v>666</v>
      </c>
      <c r="C19">
        <v>68</v>
      </c>
      <c r="D19" t="s">
        <v>664</v>
      </c>
      <c r="E19">
        <v>0.26</v>
      </c>
      <c r="F19">
        <v>34000</v>
      </c>
      <c r="G19">
        <v>0</v>
      </c>
      <c r="H19">
        <v>0</v>
      </c>
      <c r="I19">
        <v>0</v>
      </c>
      <c r="J19">
        <v>16165</v>
      </c>
      <c r="K19">
        <v>14437</v>
      </c>
      <c r="L19">
        <v>0</v>
      </c>
      <c r="N19">
        <f t="shared" si="0"/>
        <v>30602</v>
      </c>
    </row>
    <row r="20" spans="1:15">
      <c r="A20" t="s">
        <v>238</v>
      </c>
      <c r="C20">
        <v>1200</v>
      </c>
      <c r="D20" t="s">
        <v>664</v>
      </c>
      <c r="E20">
        <v>4.6399999999999997</v>
      </c>
      <c r="F20">
        <v>140000</v>
      </c>
      <c r="G20">
        <v>0</v>
      </c>
      <c r="H20">
        <v>0</v>
      </c>
      <c r="I20">
        <v>0</v>
      </c>
      <c r="J20">
        <v>0</v>
      </c>
      <c r="K20">
        <v>108000</v>
      </c>
      <c r="L20">
        <v>65648</v>
      </c>
      <c r="N20">
        <f t="shared" si="0"/>
        <v>173648</v>
      </c>
    </row>
    <row r="21" spans="1:15">
      <c r="A21" t="s">
        <v>667</v>
      </c>
      <c r="C21">
        <v>565</v>
      </c>
      <c r="D21" t="s">
        <v>664</v>
      </c>
      <c r="E21">
        <v>1.98</v>
      </c>
      <c r="F21">
        <v>187500</v>
      </c>
      <c r="J21">
        <v>187500</v>
      </c>
      <c r="N21">
        <f t="shared" si="0"/>
        <v>187500</v>
      </c>
    </row>
    <row r="22" spans="1:15">
      <c r="A22" t="s">
        <v>668</v>
      </c>
      <c r="C22">
        <v>1000</v>
      </c>
      <c r="D22" t="s">
        <v>664</v>
      </c>
      <c r="E22">
        <v>3.87</v>
      </c>
      <c r="F22">
        <v>387000</v>
      </c>
      <c r="N22">
        <f t="shared" si="0"/>
        <v>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H23">
        <v>37728</v>
      </c>
      <c r="I23">
        <v>28304</v>
      </c>
      <c r="J23">
        <v>28589</v>
      </c>
      <c r="K23">
        <v>27423</v>
      </c>
      <c r="L23">
        <v>10110</v>
      </c>
      <c r="N23">
        <f t="shared" si="0"/>
        <v>132154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50.05</v>
      </c>
      <c r="F25">
        <f t="shared" ref="F25:O25" si="1">SUM(F16:F24)</f>
        <v>4519500</v>
      </c>
      <c r="G25">
        <f t="shared" si="1"/>
        <v>0</v>
      </c>
      <c r="H25">
        <f t="shared" si="1"/>
        <v>183877</v>
      </c>
      <c r="I25">
        <f t="shared" si="1"/>
        <v>1187839</v>
      </c>
      <c r="J25">
        <f t="shared" si="1"/>
        <v>1485934</v>
      </c>
      <c r="K25">
        <f t="shared" si="1"/>
        <v>179360</v>
      </c>
      <c r="L25">
        <f t="shared" si="1"/>
        <v>1199413</v>
      </c>
      <c r="M25">
        <f t="shared" si="1"/>
        <v>0</v>
      </c>
      <c r="N25">
        <f t="shared" si="1"/>
        <v>4236423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0" orientation="landscape" r:id="rId1"/>
</worksheet>
</file>

<file path=xl/worksheets/sheet340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P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5703125" customWidth="1"/>
    <col min="4" max="4" width="11.85546875" customWidth="1"/>
    <col min="5" max="5" width="11.5703125" customWidth="1"/>
    <col min="6" max="6" width="17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3.42578125" customWidth="1"/>
    <col min="257" max="257" width="36.5703125" bestFit="1" customWidth="1"/>
    <col min="258" max="258" width="13.28515625" customWidth="1"/>
    <col min="259" max="259" width="10.5703125" customWidth="1"/>
    <col min="260" max="260" width="11.85546875" customWidth="1"/>
    <col min="261" max="261" width="11.5703125" customWidth="1"/>
    <col min="262" max="262" width="17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3.42578125" customWidth="1"/>
    <col min="513" max="513" width="36.5703125" bestFit="1" customWidth="1"/>
    <col min="514" max="514" width="13.28515625" customWidth="1"/>
    <col min="515" max="515" width="10.5703125" customWidth="1"/>
    <col min="516" max="516" width="11.85546875" customWidth="1"/>
    <col min="517" max="517" width="11.5703125" customWidth="1"/>
    <col min="518" max="518" width="17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3.42578125" customWidth="1"/>
    <col min="769" max="769" width="36.5703125" bestFit="1" customWidth="1"/>
    <col min="770" max="770" width="13.28515625" customWidth="1"/>
    <col min="771" max="771" width="10.5703125" customWidth="1"/>
    <col min="772" max="772" width="11.85546875" customWidth="1"/>
    <col min="773" max="773" width="11.5703125" customWidth="1"/>
    <col min="774" max="774" width="17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3.42578125" customWidth="1"/>
    <col min="1025" max="1025" width="36.5703125" bestFit="1" customWidth="1"/>
    <col min="1026" max="1026" width="13.28515625" customWidth="1"/>
    <col min="1027" max="1027" width="10.5703125" customWidth="1"/>
    <col min="1028" max="1028" width="11.85546875" customWidth="1"/>
    <col min="1029" max="1029" width="11.5703125" customWidth="1"/>
    <col min="1030" max="1030" width="17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3.42578125" customWidth="1"/>
    <col min="1281" max="1281" width="36.5703125" bestFit="1" customWidth="1"/>
    <col min="1282" max="1282" width="13.28515625" customWidth="1"/>
    <col min="1283" max="1283" width="10.5703125" customWidth="1"/>
    <col min="1284" max="1284" width="11.85546875" customWidth="1"/>
    <col min="1285" max="1285" width="11.5703125" customWidth="1"/>
    <col min="1286" max="1286" width="17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3.42578125" customWidth="1"/>
    <col min="1537" max="1537" width="36.5703125" bestFit="1" customWidth="1"/>
    <col min="1538" max="1538" width="13.28515625" customWidth="1"/>
    <col min="1539" max="1539" width="10.5703125" customWidth="1"/>
    <col min="1540" max="1540" width="11.85546875" customWidth="1"/>
    <col min="1541" max="1541" width="11.5703125" customWidth="1"/>
    <col min="1542" max="1542" width="17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3.42578125" customWidth="1"/>
    <col min="1793" max="1793" width="36.5703125" bestFit="1" customWidth="1"/>
    <col min="1794" max="1794" width="13.28515625" customWidth="1"/>
    <col min="1795" max="1795" width="10.5703125" customWidth="1"/>
    <col min="1796" max="1796" width="11.85546875" customWidth="1"/>
    <col min="1797" max="1797" width="11.5703125" customWidth="1"/>
    <col min="1798" max="1798" width="17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3.42578125" customWidth="1"/>
    <col min="2049" max="2049" width="36.5703125" bestFit="1" customWidth="1"/>
    <col min="2050" max="2050" width="13.28515625" customWidth="1"/>
    <col min="2051" max="2051" width="10.5703125" customWidth="1"/>
    <col min="2052" max="2052" width="11.85546875" customWidth="1"/>
    <col min="2053" max="2053" width="11.5703125" customWidth="1"/>
    <col min="2054" max="2054" width="17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3.42578125" customWidth="1"/>
    <col min="2305" max="2305" width="36.5703125" bestFit="1" customWidth="1"/>
    <col min="2306" max="2306" width="13.28515625" customWidth="1"/>
    <col min="2307" max="2307" width="10.5703125" customWidth="1"/>
    <col min="2308" max="2308" width="11.85546875" customWidth="1"/>
    <col min="2309" max="2309" width="11.5703125" customWidth="1"/>
    <col min="2310" max="2310" width="17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3.42578125" customWidth="1"/>
    <col min="2561" max="2561" width="36.5703125" bestFit="1" customWidth="1"/>
    <col min="2562" max="2562" width="13.28515625" customWidth="1"/>
    <col min="2563" max="2563" width="10.5703125" customWidth="1"/>
    <col min="2564" max="2564" width="11.85546875" customWidth="1"/>
    <col min="2565" max="2565" width="11.5703125" customWidth="1"/>
    <col min="2566" max="2566" width="17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3.42578125" customWidth="1"/>
    <col min="2817" max="2817" width="36.5703125" bestFit="1" customWidth="1"/>
    <col min="2818" max="2818" width="13.28515625" customWidth="1"/>
    <col min="2819" max="2819" width="10.5703125" customWidth="1"/>
    <col min="2820" max="2820" width="11.85546875" customWidth="1"/>
    <col min="2821" max="2821" width="11.5703125" customWidth="1"/>
    <col min="2822" max="2822" width="17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3.42578125" customWidth="1"/>
    <col min="3073" max="3073" width="36.5703125" bestFit="1" customWidth="1"/>
    <col min="3074" max="3074" width="13.28515625" customWidth="1"/>
    <col min="3075" max="3075" width="10.5703125" customWidth="1"/>
    <col min="3076" max="3076" width="11.85546875" customWidth="1"/>
    <col min="3077" max="3077" width="11.5703125" customWidth="1"/>
    <col min="3078" max="3078" width="17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3.42578125" customWidth="1"/>
    <col min="3329" max="3329" width="36.5703125" bestFit="1" customWidth="1"/>
    <col min="3330" max="3330" width="13.28515625" customWidth="1"/>
    <col min="3331" max="3331" width="10.5703125" customWidth="1"/>
    <col min="3332" max="3332" width="11.85546875" customWidth="1"/>
    <col min="3333" max="3333" width="11.5703125" customWidth="1"/>
    <col min="3334" max="3334" width="17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3.42578125" customWidth="1"/>
    <col min="3585" max="3585" width="36.5703125" bestFit="1" customWidth="1"/>
    <col min="3586" max="3586" width="13.28515625" customWidth="1"/>
    <col min="3587" max="3587" width="10.5703125" customWidth="1"/>
    <col min="3588" max="3588" width="11.85546875" customWidth="1"/>
    <col min="3589" max="3589" width="11.5703125" customWidth="1"/>
    <col min="3590" max="3590" width="17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3.42578125" customWidth="1"/>
    <col min="3841" max="3841" width="36.5703125" bestFit="1" customWidth="1"/>
    <col min="3842" max="3842" width="13.28515625" customWidth="1"/>
    <col min="3843" max="3843" width="10.5703125" customWidth="1"/>
    <col min="3844" max="3844" width="11.85546875" customWidth="1"/>
    <col min="3845" max="3845" width="11.5703125" customWidth="1"/>
    <col min="3846" max="3846" width="17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3.42578125" customWidth="1"/>
    <col min="4097" max="4097" width="36.5703125" bestFit="1" customWidth="1"/>
    <col min="4098" max="4098" width="13.28515625" customWidth="1"/>
    <col min="4099" max="4099" width="10.5703125" customWidth="1"/>
    <col min="4100" max="4100" width="11.85546875" customWidth="1"/>
    <col min="4101" max="4101" width="11.5703125" customWidth="1"/>
    <col min="4102" max="4102" width="17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3.42578125" customWidth="1"/>
    <col min="4353" max="4353" width="36.5703125" bestFit="1" customWidth="1"/>
    <col min="4354" max="4354" width="13.28515625" customWidth="1"/>
    <col min="4355" max="4355" width="10.5703125" customWidth="1"/>
    <col min="4356" max="4356" width="11.85546875" customWidth="1"/>
    <col min="4357" max="4357" width="11.5703125" customWidth="1"/>
    <col min="4358" max="4358" width="17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3.42578125" customWidth="1"/>
    <col min="4609" max="4609" width="36.5703125" bestFit="1" customWidth="1"/>
    <col min="4610" max="4610" width="13.28515625" customWidth="1"/>
    <col min="4611" max="4611" width="10.5703125" customWidth="1"/>
    <col min="4612" max="4612" width="11.85546875" customWidth="1"/>
    <col min="4613" max="4613" width="11.5703125" customWidth="1"/>
    <col min="4614" max="4614" width="17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3.42578125" customWidth="1"/>
    <col min="4865" max="4865" width="36.5703125" bestFit="1" customWidth="1"/>
    <col min="4866" max="4866" width="13.28515625" customWidth="1"/>
    <col min="4867" max="4867" width="10.5703125" customWidth="1"/>
    <col min="4868" max="4868" width="11.85546875" customWidth="1"/>
    <col min="4869" max="4869" width="11.5703125" customWidth="1"/>
    <col min="4870" max="4870" width="17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3.42578125" customWidth="1"/>
    <col min="5121" max="5121" width="36.5703125" bestFit="1" customWidth="1"/>
    <col min="5122" max="5122" width="13.28515625" customWidth="1"/>
    <col min="5123" max="5123" width="10.5703125" customWidth="1"/>
    <col min="5124" max="5124" width="11.85546875" customWidth="1"/>
    <col min="5125" max="5125" width="11.5703125" customWidth="1"/>
    <col min="5126" max="5126" width="17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3.42578125" customWidth="1"/>
    <col min="5377" max="5377" width="36.5703125" bestFit="1" customWidth="1"/>
    <col min="5378" max="5378" width="13.28515625" customWidth="1"/>
    <col min="5379" max="5379" width="10.5703125" customWidth="1"/>
    <col min="5380" max="5380" width="11.85546875" customWidth="1"/>
    <col min="5381" max="5381" width="11.5703125" customWidth="1"/>
    <col min="5382" max="5382" width="17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3.42578125" customWidth="1"/>
    <col min="5633" max="5633" width="36.5703125" bestFit="1" customWidth="1"/>
    <col min="5634" max="5634" width="13.28515625" customWidth="1"/>
    <col min="5635" max="5635" width="10.5703125" customWidth="1"/>
    <col min="5636" max="5636" width="11.85546875" customWidth="1"/>
    <col min="5637" max="5637" width="11.5703125" customWidth="1"/>
    <col min="5638" max="5638" width="17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3.42578125" customWidth="1"/>
    <col min="5889" max="5889" width="36.5703125" bestFit="1" customWidth="1"/>
    <col min="5890" max="5890" width="13.28515625" customWidth="1"/>
    <col min="5891" max="5891" width="10.5703125" customWidth="1"/>
    <col min="5892" max="5892" width="11.85546875" customWidth="1"/>
    <col min="5893" max="5893" width="11.5703125" customWidth="1"/>
    <col min="5894" max="5894" width="17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3.42578125" customWidth="1"/>
    <col min="6145" max="6145" width="36.5703125" bestFit="1" customWidth="1"/>
    <col min="6146" max="6146" width="13.28515625" customWidth="1"/>
    <col min="6147" max="6147" width="10.5703125" customWidth="1"/>
    <col min="6148" max="6148" width="11.85546875" customWidth="1"/>
    <col min="6149" max="6149" width="11.5703125" customWidth="1"/>
    <col min="6150" max="6150" width="17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3.42578125" customWidth="1"/>
    <col min="6401" max="6401" width="36.5703125" bestFit="1" customWidth="1"/>
    <col min="6402" max="6402" width="13.28515625" customWidth="1"/>
    <col min="6403" max="6403" width="10.5703125" customWidth="1"/>
    <col min="6404" max="6404" width="11.85546875" customWidth="1"/>
    <col min="6405" max="6405" width="11.5703125" customWidth="1"/>
    <col min="6406" max="6406" width="17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3.42578125" customWidth="1"/>
    <col min="6657" max="6657" width="36.5703125" bestFit="1" customWidth="1"/>
    <col min="6658" max="6658" width="13.28515625" customWidth="1"/>
    <col min="6659" max="6659" width="10.5703125" customWidth="1"/>
    <col min="6660" max="6660" width="11.85546875" customWidth="1"/>
    <col min="6661" max="6661" width="11.5703125" customWidth="1"/>
    <col min="6662" max="6662" width="17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3.42578125" customWidth="1"/>
    <col min="6913" max="6913" width="36.5703125" bestFit="1" customWidth="1"/>
    <col min="6914" max="6914" width="13.28515625" customWidth="1"/>
    <col min="6915" max="6915" width="10.5703125" customWidth="1"/>
    <col min="6916" max="6916" width="11.85546875" customWidth="1"/>
    <col min="6917" max="6917" width="11.5703125" customWidth="1"/>
    <col min="6918" max="6918" width="17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3.42578125" customWidth="1"/>
    <col min="7169" max="7169" width="36.5703125" bestFit="1" customWidth="1"/>
    <col min="7170" max="7170" width="13.28515625" customWidth="1"/>
    <col min="7171" max="7171" width="10.5703125" customWidth="1"/>
    <col min="7172" max="7172" width="11.85546875" customWidth="1"/>
    <col min="7173" max="7173" width="11.5703125" customWidth="1"/>
    <col min="7174" max="7174" width="17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3.42578125" customWidth="1"/>
    <col min="7425" max="7425" width="36.5703125" bestFit="1" customWidth="1"/>
    <col min="7426" max="7426" width="13.28515625" customWidth="1"/>
    <col min="7427" max="7427" width="10.5703125" customWidth="1"/>
    <col min="7428" max="7428" width="11.85546875" customWidth="1"/>
    <col min="7429" max="7429" width="11.5703125" customWidth="1"/>
    <col min="7430" max="7430" width="17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3.42578125" customWidth="1"/>
    <col min="7681" max="7681" width="36.5703125" bestFit="1" customWidth="1"/>
    <col min="7682" max="7682" width="13.28515625" customWidth="1"/>
    <col min="7683" max="7683" width="10.5703125" customWidth="1"/>
    <col min="7684" max="7684" width="11.85546875" customWidth="1"/>
    <col min="7685" max="7685" width="11.5703125" customWidth="1"/>
    <col min="7686" max="7686" width="17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3.42578125" customWidth="1"/>
    <col min="7937" max="7937" width="36.5703125" bestFit="1" customWidth="1"/>
    <col min="7938" max="7938" width="13.28515625" customWidth="1"/>
    <col min="7939" max="7939" width="10.5703125" customWidth="1"/>
    <col min="7940" max="7940" width="11.85546875" customWidth="1"/>
    <col min="7941" max="7941" width="11.5703125" customWidth="1"/>
    <col min="7942" max="7942" width="17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3.42578125" customWidth="1"/>
    <col min="8193" max="8193" width="36.5703125" bestFit="1" customWidth="1"/>
    <col min="8194" max="8194" width="13.28515625" customWidth="1"/>
    <col min="8195" max="8195" width="10.5703125" customWidth="1"/>
    <col min="8196" max="8196" width="11.85546875" customWidth="1"/>
    <col min="8197" max="8197" width="11.5703125" customWidth="1"/>
    <col min="8198" max="8198" width="17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3.42578125" customWidth="1"/>
    <col min="8449" max="8449" width="36.5703125" bestFit="1" customWidth="1"/>
    <col min="8450" max="8450" width="13.28515625" customWidth="1"/>
    <col min="8451" max="8451" width="10.5703125" customWidth="1"/>
    <col min="8452" max="8452" width="11.85546875" customWidth="1"/>
    <col min="8453" max="8453" width="11.5703125" customWidth="1"/>
    <col min="8454" max="8454" width="17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3.42578125" customWidth="1"/>
    <col min="8705" max="8705" width="36.5703125" bestFit="1" customWidth="1"/>
    <col min="8706" max="8706" width="13.28515625" customWidth="1"/>
    <col min="8707" max="8707" width="10.5703125" customWidth="1"/>
    <col min="8708" max="8708" width="11.85546875" customWidth="1"/>
    <col min="8709" max="8709" width="11.5703125" customWidth="1"/>
    <col min="8710" max="8710" width="17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3.42578125" customWidth="1"/>
    <col min="8961" max="8961" width="36.5703125" bestFit="1" customWidth="1"/>
    <col min="8962" max="8962" width="13.28515625" customWidth="1"/>
    <col min="8963" max="8963" width="10.5703125" customWidth="1"/>
    <col min="8964" max="8964" width="11.85546875" customWidth="1"/>
    <col min="8965" max="8965" width="11.5703125" customWidth="1"/>
    <col min="8966" max="8966" width="17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3.42578125" customWidth="1"/>
    <col min="9217" max="9217" width="36.5703125" bestFit="1" customWidth="1"/>
    <col min="9218" max="9218" width="13.28515625" customWidth="1"/>
    <col min="9219" max="9219" width="10.5703125" customWidth="1"/>
    <col min="9220" max="9220" width="11.85546875" customWidth="1"/>
    <col min="9221" max="9221" width="11.5703125" customWidth="1"/>
    <col min="9222" max="9222" width="17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3.42578125" customWidth="1"/>
    <col min="9473" max="9473" width="36.5703125" bestFit="1" customWidth="1"/>
    <col min="9474" max="9474" width="13.28515625" customWidth="1"/>
    <col min="9475" max="9475" width="10.5703125" customWidth="1"/>
    <col min="9476" max="9476" width="11.85546875" customWidth="1"/>
    <col min="9477" max="9477" width="11.5703125" customWidth="1"/>
    <col min="9478" max="9478" width="17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3.42578125" customWidth="1"/>
    <col min="9729" max="9729" width="36.5703125" bestFit="1" customWidth="1"/>
    <col min="9730" max="9730" width="13.28515625" customWidth="1"/>
    <col min="9731" max="9731" width="10.5703125" customWidth="1"/>
    <col min="9732" max="9732" width="11.85546875" customWidth="1"/>
    <col min="9733" max="9733" width="11.5703125" customWidth="1"/>
    <col min="9734" max="9734" width="17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3.42578125" customWidth="1"/>
    <col min="9985" max="9985" width="36.5703125" bestFit="1" customWidth="1"/>
    <col min="9986" max="9986" width="13.28515625" customWidth="1"/>
    <col min="9987" max="9987" width="10.5703125" customWidth="1"/>
    <col min="9988" max="9988" width="11.85546875" customWidth="1"/>
    <col min="9989" max="9989" width="11.5703125" customWidth="1"/>
    <col min="9990" max="9990" width="17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3.42578125" customWidth="1"/>
    <col min="10241" max="10241" width="36.5703125" bestFit="1" customWidth="1"/>
    <col min="10242" max="10242" width="13.28515625" customWidth="1"/>
    <col min="10243" max="10243" width="10.5703125" customWidth="1"/>
    <col min="10244" max="10244" width="11.85546875" customWidth="1"/>
    <col min="10245" max="10245" width="11.5703125" customWidth="1"/>
    <col min="10246" max="10246" width="17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3.42578125" customWidth="1"/>
    <col min="10497" max="10497" width="36.5703125" bestFit="1" customWidth="1"/>
    <col min="10498" max="10498" width="13.28515625" customWidth="1"/>
    <col min="10499" max="10499" width="10.5703125" customWidth="1"/>
    <col min="10500" max="10500" width="11.85546875" customWidth="1"/>
    <col min="10501" max="10501" width="11.5703125" customWidth="1"/>
    <col min="10502" max="10502" width="17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3.42578125" customWidth="1"/>
    <col min="10753" max="10753" width="36.5703125" bestFit="1" customWidth="1"/>
    <col min="10754" max="10754" width="13.28515625" customWidth="1"/>
    <col min="10755" max="10755" width="10.5703125" customWidth="1"/>
    <col min="10756" max="10756" width="11.85546875" customWidth="1"/>
    <col min="10757" max="10757" width="11.5703125" customWidth="1"/>
    <col min="10758" max="10758" width="17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3.42578125" customWidth="1"/>
    <col min="11009" max="11009" width="36.5703125" bestFit="1" customWidth="1"/>
    <col min="11010" max="11010" width="13.28515625" customWidth="1"/>
    <col min="11011" max="11011" width="10.5703125" customWidth="1"/>
    <col min="11012" max="11012" width="11.85546875" customWidth="1"/>
    <col min="11013" max="11013" width="11.5703125" customWidth="1"/>
    <col min="11014" max="11014" width="17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3.42578125" customWidth="1"/>
    <col min="11265" max="11265" width="36.5703125" bestFit="1" customWidth="1"/>
    <col min="11266" max="11266" width="13.28515625" customWidth="1"/>
    <col min="11267" max="11267" width="10.5703125" customWidth="1"/>
    <col min="11268" max="11268" width="11.85546875" customWidth="1"/>
    <col min="11269" max="11269" width="11.5703125" customWidth="1"/>
    <col min="11270" max="11270" width="17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3.42578125" customWidth="1"/>
    <col min="11521" max="11521" width="36.5703125" bestFit="1" customWidth="1"/>
    <col min="11522" max="11522" width="13.28515625" customWidth="1"/>
    <col min="11523" max="11523" width="10.5703125" customWidth="1"/>
    <col min="11524" max="11524" width="11.85546875" customWidth="1"/>
    <col min="11525" max="11525" width="11.5703125" customWidth="1"/>
    <col min="11526" max="11526" width="17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3.42578125" customWidth="1"/>
    <col min="11777" max="11777" width="36.5703125" bestFit="1" customWidth="1"/>
    <col min="11778" max="11778" width="13.28515625" customWidth="1"/>
    <col min="11779" max="11779" width="10.5703125" customWidth="1"/>
    <col min="11780" max="11780" width="11.85546875" customWidth="1"/>
    <col min="11781" max="11781" width="11.5703125" customWidth="1"/>
    <col min="11782" max="11782" width="17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3.42578125" customWidth="1"/>
    <col min="12033" max="12033" width="36.5703125" bestFit="1" customWidth="1"/>
    <col min="12034" max="12034" width="13.28515625" customWidth="1"/>
    <col min="12035" max="12035" width="10.5703125" customWidth="1"/>
    <col min="12036" max="12036" width="11.85546875" customWidth="1"/>
    <col min="12037" max="12037" width="11.5703125" customWidth="1"/>
    <col min="12038" max="12038" width="17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3.42578125" customWidth="1"/>
    <col min="12289" max="12289" width="36.5703125" bestFit="1" customWidth="1"/>
    <col min="12290" max="12290" width="13.28515625" customWidth="1"/>
    <col min="12291" max="12291" width="10.5703125" customWidth="1"/>
    <col min="12292" max="12292" width="11.85546875" customWidth="1"/>
    <col min="12293" max="12293" width="11.5703125" customWidth="1"/>
    <col min="12294" max="12294" width="17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3.42578125" customWidth="1"/>
    <col min="12545" max="12545" width="36.5703125" bestFit="1" customWidth="1"/>
    <col min="12546" max="12546" width="13.28515625" customWidth="1"/>
    <col min="12547" max="12547" width="10.5703125" customWidth="1"/>
    <col min="12548" max="12548" width="11.85546875" customWidth="1"/>
    <col min="12549" max="12549" width="11.5703125" customWidth="1"/>
    <col min="12550" max="12550" width="17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3.42578125" customWidth="1"/>
    <col min="12801" max="12801" width="36.5703125" bestFit="1" customWidth="1"/>
    <col min="12802" max="12802" width="13.28515625" customWidth="1"/>
    <col min="12803" max="12803" width="10.5703125" customWidth="1"/>
    <col min="12804" max="12804" width="11.85546875" customWidth="1"/>
    <col min="12805" max="12805" width="11.5703125" customWidth="1"/>
    <col min="12806" max="12806" width="17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3.42578125" customWidth="1"/>
    <col min="13057" max="13057" width="36.5703125" bestFit="1" customWidth="1"/>
    <col min="13058" max="13058" width="13.28515625" customWidth="1"/>
    <col min="13059" max="13059" width="10.5703125" customWidth="1"/>
    <col min="13060" max="13060" width="11.85546875" customWidth="1"/>
    <col min="13061" max="13061" width="11.5703125" customWidth="1"/>
    <col min="13062" max="13062" width="17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3.42578125" customWidth="1"/>
    <col min="13313" max="13313" width="36.5703125" bestFit="1" customWidth="1"/>
    <col min="13314" max="13314" width="13.28515625" customWidth="1"/>
    <col min="13315" max="13315" width="10.5703125" customWidth="1"/>
    <col min="13316" max="13316" width="11.85546875" customWidth="1"/>
    <col min="13317" max="13317" width="11.5703125" customWidth="1"/>
    <col min="13318" max="13318" width="17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3.42578125" customWidth="1"/>
    <col min="13569" max="13569" width="36.5703125" bestFit="1" customWidth="1"/>
    <col min="13570" max="13570" width="13.28515625" customWidth="1"/>
    <col min="13571" max="13571" width="10.5703125" customWidth="1"/>
    <col min="13572" max="13572" width="11.85546875" customWidth="1"/>
    <col min="13573" max="13573" width="11.5703125" customWidth="1"/>
    <col min="13574" max="13574" width="17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3.42578125" customWidth="1"/>
    <col min="13825" max="13825" width="36.5703125" bestFit="1" customWidth="1"/>
    <col min="13826" max="13826" width="13.28515625" customWidth="1"/>
    <col min="13827" max="13827" width="10.5703125" customWidth="1"/>
    <col min="13828" max="13828" width="11.85546875" customWidth="1"/>
    <col min="13829" max="13829" width="11.5703125" customWidth="1"/>
    <col min="13830" max="13830" width="17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3.42578125" customWidth="1"/>
    <col min="14081" max="14081" width="36.5703125" bestFit="1" customWidth="1"/>
    <col min="14082" max="14082" width="13.28515625" customWidth="1"/>
    <col min="14083" max="14083" width="10.5703125" customWidth="1"/>
    <col min="14084" max="14084" width="11.85546875" customWidth="1"/>
    <col min="14085" max="14085" width="11.5703125" customWidth="1"/>
    <col min="14086" max="14086" width="17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3.42578125" customWidth="1"/>
    <col min="14337" max="14337" width="36.5703125" bestFit="1" customWidth="1"/>
    <col min="14338" max="14338" width="13.28515625" customWidth="1"/>
    <col min="14339" max="14339" width="10.5703125" customWidth="1"/>
    <col min="14340" max="14340" width="11.85546875" customWidth="1"/>
    <col min="14341" max="14341" width="11.5703125" customWidth="1"/>
    <col min="14342" max="14342" width="17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3.42578125" customWidth="1"/>
    <col min="14593" max="14593" width="36.5703125" bestFit="1" customWidth="1"/>
    <col min="14594" max="14594" width="13.28515625" customWidth="1"/>
    <col min="14595" max="14595" width="10.5703125" customWidth="1"/>
    <col min="14596" max="14596" width="11.85546875" customWidth="1"/>
    <col min="14597" max="14597" width="11.5703125" customWidth="1"/>
    <col min="14598" max="14598" width="17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3.42578125" customWidth="1"/>
    <col min="14849" max="14849" width="36.5703125" bestFit="1" customWidth="1"/>
    <col min="14850" max="14850" width="13.28515625" customWidth="1"/>
    <col min="14851" max="14851" width="10.5703125" customWidth="1"/>
    <col min="14852" max="14852" width="11.85546875" customWidth="1"/>
    <col min="14853" max="14853" width="11.5703125" customWidth="1"/>
    <col min="14854" max="14854" width="17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3.42578125" customWidth="1"/>
    <col min="15105" max="15105" width="36.5703125" bestFit="1" customWidth="1"/>
    <col min="15106" max="15106" width="13.28515625" customWidth="1"/>
    <col min="15107" max="15107" width="10.5703125" customWidth="1"/>
    <col min="15108" max="15108" width="11.85546875" customWidth="1"/>
    <col min="15109" max="15109" width="11.5703125" customWidth="1"/>
    <col min="15110" max="15110" width="17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3.42578125" customWidth="1"/>
    <col min="15361" max="15361" width="36.5703125" bestFit="1" customWidth="1"/>
    <col min="15362" max="15362" width="13.28515625" customWidth="1"/>
    <col min="15363" max="15363" width="10.5703125" customWidth="1"/>
    <col min="15364" max="15364" width="11.85546875" customWidth="1"/>
    <col min="15365" max="15365" width="11.5703125" customWidth="1"/>
    <col min="15366" max="15366" width="17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3.42578125" customWidth="1"/>
    <col min="15617" max="15617" width="36.5703125" bestFit="1" customWidth="1"/>
    <col min="15618" max="15618" width="13.28515625" customWidth="1"/>
    <col min="15619" max="15619" width="10.5703125" customWidth="1"/>
    <col min="15620" max="15620" width="11.85546875" customWidth="1"/>
    <col min="15621" max="15621" width="11.5703125" customWidth="1"/>
    <col min="15622" max="15622" width="17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3.42578125" customWidth="1"/>
    <col min="15873" max="15873" width="36.5703125" bestFit="1" customWidth="1"/>
    <col min="15874" max="15874" width="13.28515625" customWidth="1"/>
    <col min="15875" max="15875" width="10.5703125" customWidth="1"/>
    <col min="15876" max="15876" width="11.85546875" customWidth="1"/>
    <col min="15877" max="15877" width="11.5703125" customWidth="1"/>
    <col min="15878" max="15878" width="17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3.42578125" customWidth="1"/>
    <col min="16129" max="16129" width="36.5703125" bestFit="1" customWidth="1"/>
    <col min="16130" max="16130" width="13.28515625" customWidth="1"/>
    <col min="16131" max="16131" width="10.5703125" customWidth="1"/>
    <col min="16132" max="16132" width="11.85546875" customWidth="1"/>
    <col min="16133" max="16133" width="11.5703125" customWidth="1"/>
    <col min="16134" max="16134" width="17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3.42578125" customWidth="1"/>
  </cols>
  <sheetData>
    <row r="1" spans="1:16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6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6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6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6">
      <c r="A5" s="326" t="s">
        <v>3214</v>
      </c>
      <c r="B5" s="1593" t="s">
        <v>3684</v>
      </c>
      <c r="C5" s="1594"/>
      <c r="D5" s="1594"/>
      <c r="E5" s="1595"/>
      <c r="F5" s="326" t="s">
        <v>171</v>
      </c>
      <c r="G5" s="326"/>
      <c r="H5" s="1646">
        <v>407010507110204</v>
      </c>
      <c r="I5" s="1647"/>
      <c r="J5" s="326" t="s">
        <v>172</v>
      </c>
      <c r="K5" s="631">
        <v>523</v>
      </c>
      <c r="L5" s="326" t="s">
        <v>436</v>
      </c>
      <c r="M5" s="326"/>
      <c r="N5" s="631">
        <v>80</v>
      </c>
    </row>
    <row r="6" spans="1:16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6">
      <c r="A7" s="326" t="s">
        <v>174</v>
      </c>
      <c r="B7" s="1593" t="s">
        <v>3685</v>
      </c>
      <c r="C7" s="1594"/>
      <c r="D7" s="1594"/>
      <c r="E7" s="1595"/>
      <c r="F7" s="1596" t="s">
        <v>3208</v>
      </c>
      <c r="G7" s="1596"/>
      <c r="H7" s="1593" t="s">
        <v>3686</v>
      </c>
      <c r="I7" s="1594"/>
      <c r="J7" s="1595"/>
      <c r="K7" s="326"/>
      <c r="L7" s="326"/>
      <c r="M7" s="326"/>
      <c r="N7" s="326"/>
    </row>
    <row r="8" spans="1:16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6" ht="15" customHeight="1">
      <c r="A9" s="326" t="s">
        <v>178</v>
      </c>
      <c r="B9" s="1593"/>
      <c r="C9" s="1594"/>
      <c r="D9" s="1594"/>
      <c r="E9" s="1595"/>
      <c r="F9" s="1601" t="s">
        <v>3205</v>
      </c>
      <c r="G9" s="1602"/>
      <c r="H9" s="1620" t="s">
        <v>3687</v>
      </c>
      <c r="I9" s="1621"/>
      <c r="J9" s="1621"/>
      <c r="K9" s="1622"/>
      <c r="L9" s="326"/>
      <c r="M9" s="326"/>
      <c r="N9" s="326"/>
    </row>
    <row r="10" spans="1:16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6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6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6">
      <c r="A13" s="631" t="s">
        <v>838</v>
      </c>
      <c r="B13" s="1612" t="s">
        <v>3688</v>
      </c>
      <c r="C13" s="1612"/>
      <c r="D13" s="1612" t="s">
        <v>3689</v>
      </c>
      <c r="E13" s="1612"/>
      <c r="F13" s="1612" t="s">
        <v>3690</v>
      </c>
      <c r="G13" s="1612"/>
      <c r="H13" s="1612" t="s">
        <v>3691</v>
      </c>
      <c r="I13" s="1612"/>
      <c r="J13" s="1612" t="s">
        <v>3692</v>
      </c>
      <c r="K13" s="1612"/>
      <c r="L13" s="1612" t="s">
        <v>3693</v>
      </c>
      <c r="M13" s="1612"/>
      <c r="N13" s="326"/>
      <c r="O13" t="s">
        <v>3694</v>
      </c>
      <c r="P13" t="s">
        <v>3695</v>
      </c>
    </row>
    <row r="14" spans="1:16">
      <c r="A14" s="631" t="s">
        <v>187</v>
      </c>
      <c r="B14" s="1612" t="s">
        <v>3696</v>
      </c>
      <c r="C14" s="1612"/>
      <c r="D14" s="1612" t="s">
        <v>3697</v>
      </c>
      <c r="E14" s="1612"/>
      <c r="F14" s="1612" t="s">
        <v>3698</v>
      </c>
      <c r="G14" s="1612"/>
      <c r="H14" s="1612" t="s">
        <v>3699</v>
      </c>
      <c r="I14" s="1612"/>
      <c r="J14" s="1612" t="s">
        <v>3700</v>
      </c>
      <c r="K14" s="1612"/>
      <c r="L14" s="1612" t="s">
        <v>3701</v>
      </c>
      <c r="M14" s="1612"/>
      <c r="N14" s="326"/>
    </row>
    <row r="15" spans="1:16">
      <c r="A15" s="631" t="s">
        <v>192</v>
      </c>
      <c r="B15" s="1613" t="s">
        <v>3702</v>
      </c>
      <c r="C15" s="1614"/>
      <c r="D15" s="1612" t="s">
        <v>3703</v>
      </c>
      <c r="E15" s="1612"/>
      <c r="F15" s="1612" t="s">
        <v>3704</v>
      </c>
      <c r="G15" s="1612"/>
      <c r="H15" s="1612" t="s">
        <v>3705</v>
      </c>
      <c r="I15" s="1612"/>
      <c r="J15" s="1612" t="s">
        <v>3697</v>
      </c>
      <c r="K15" s="1612"/>
      <c r="L15" s="1612"/>
      <c r="M15" s="1612"/>
      <c r="N15" s="326"/>
    </row>
    <row r="16" spans="1:16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>
      <c r="A18" s="326" t="s">
        <v>198</v>
      </c>
      <c r="B18" s="631">
        <v>10</v>
      </c>
      <c r="C18" s="326" t="s">
        <v>199</v>
      </c>
      <c r="D18" s="326"/>
      <c r="E18" s="326"/>
      <c r="F18" s="631">
        <v>6</v>
      </c>
      <c r="G18" s="326" t="s">
        <v>200</v>
      </c>
      <c r="H18" s="632">
        <v>8</v>
      </c>
      <c r="I18" s="326" t="s">
        <v>201</v>
      </c>
      <c r="J18" s="632">
        <v>0</v>
      </c>
      <c r="K18" s="326" t="s">
        <v>202</v>
      </c>
      <c r="L18" s="631">
        <v>4</v>
      </c>
      <c r="M18" s="326"/>
      <c r="N18" s="326"/>
    </row>
    <row r="19" spans="1:14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>
      <c r="A21" s="326" t="s">
        <v>203</v>
      </c>
      <c r="B21" s="326" t="s">
        <v>204</v>
      </c>
      <c r="C21" s="631">
        <v>45</v>
      </c>
      <c r="D21" s="326" t="s">
        <v>205</v>
      </c>
      <c r="E21" s="631">
        <v>54</v>
      </c>
      <c r="F21" s="326" t="s">
        <v>206</v>
      </c>
      <c r="G21" s="80">
        <f>I21-E21-C21</f>
        <v>96</v>
      </c>
      <c r="H21" s="326" t="s">
        <v>230</v>
      </c>
      <c r="I21" s="80">
        <v>195</v>
      </c>
      <c r="J21" s="326" t="s">
        <v>207</v>
      </c>
      <c r="K21" s="631">
        <v>109</v>
      </c>
      <c r="L21" s="326" t="s">
        <v>3187</v>
      </c>
      <c r="M21" s="326"/>
      <c r="N21" s="631"/>
    </row>
    <row r="22" spans="1:14">
      <c r="A22" s="326" t="s">
        <v>209</v>
      </c>
      <c r="B22" s="326" t="s">
        <v>210</v>
      </c>
      <c r="C22" s="631">
        <v>104</v>
      </c>
      <c r="D22" s="326" t="s">
        <v>211</v>
      </c>
      <c r="E22" s="631">
        <v>103</v>
      </c>
      <c r="F22" s="326" t="s">
        <v>212</v>
      </c>
      <c r="G22" s="631">
        <v>169</v>
      </c>
      <c r="H22" s="326" t="s">
        <v>411</v>
      </c>
      <c r="I22" s="80">
        <f>C22+E22+G22</f>
        <v>376</v>
      </c>
      <c r="J22" s="326"/>
      <c r="K22" s="326"/>
      <c r="L22" s="326"/>
      <c r="M22" s="326"/>
      <c r="N22" s="326"/>
    </row>
    <row r="23" spans="1:14">
      <c r="A23" s="326"/>
      <c r="B23" s="326" t="s">
        <v>213</v>
      </c>
      <c r="C23" s="631">
        <v>89</v>
      </c>
      <c r="D23" s="326" t="s">
        <v>214</v>
      </c>
      <c r="E23" s="631">
        <v>90</v>
      </c>
      <c r="F23" s="326" t="s">
        <v>215</v>
      </c>
      <c r="G23" s="631">
        <v>191</v>
      </c>
      <c r="H23" s="326" t="s">
        <v>410</v>
      </c>
      <c r="I23" s="80">
        <f>C23+E23+G23</f>
        <v>370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>
      <c r="A28" s="1615"/>
      <c r="B28" s="1616"/>
      <c r="C28" s="1616"/>
      <c r="D28" s="1616"/>
      <c r="E28" s="1616"/>
      <c r="F28" s="325">
        <v>1</v>
      </c>
      <c r="G28" s="623">
        <v>2</v>
      </c>
      <c r="H28" s="623">
        <v>3</v>
      </c>
      <c r="I28" s="623">
        <v>4</v>
      </c>
      <c r="J28" s="623">
        <v>5</v>
      </c>
      <c r="K28" s="623">
        <v>6</v>
      </c>
      <c r="L28" s="623">
        <v>7</v>
      </c>
      <c r="M28" s="623" t="s">
        <v>230</v>
      </c>
      <c r="N28" s="623" t="s">
        <v>231</v>
      </c>
    </row>
    <row r="29" spans="1:14">
      <c r="A29" s="322" t="s">
        <v>232</v>
      </c>
      <c r="B29" s="322">
        <v>8000</v>
      </c>
      <c r="C29" s="322" t="s">
        <v>233</v>
      </c>
      <c r="D29" s="323">
        <f>B29*$K$5/100000</f>
        <v>41.84</v>
      </c>
      <c r="E29" s="323">
        <v>7.6470000000000002</v>
      </c>
      <c r="F29" s="323"/>
      <c r="G29" s="323">
        <v>1.6465700000000001</v>
      </c>
      <c r="H29" s="323"/>
      <c r="I29" s="323"/>
      <c r="J29" s="323"/>
      <c r="K29" s="323"/>
      <c r="L29" s="323"/>
      <c r="M29" s="323">
        <f>SUM(F29:L29)</f>
        <v>1.6465700000000001</v>
      </c>
      <c r="N29" s="323">
        <f>+M29/E29*100</f>
        <v>21.532234863345103</v>
      </c>
    </row>
    <row r="30" spans="1:14">
      <c r="A30" s="322" t="s">
        <v>234</v>
      </c>
      <c r="B30" s="322">
        <v>7000</v>
      </c>
      <c r="C30" s="322" t="s">
        <v>233</v>
      </c>
      <c r="D30" s="323">
        <v>5.6</v>
      </c>
      <c r="E30" s="323">
        <v>0</v>
      </c>
      <c r="F30" s="323"/>
      <c r="G30" s="323">
        <v>0</v>
      </c>
      <c r="H30" s="323"/>
      <c r="I30" s="323"/>
      <c r="J30" s="323"/>
      <c r="K30" s="323"/>
      <c r="L30" s="323"/>
      <c r="M30" s="323">
        <f t="shared" ref="M30:M38" si="0">SUM(F30:L30)</f>
        <v>0</v>
      </c>
      <c r="N30" s="323">
        <v>0</v>
      </c>
    </row>
    <row r="31" spans="1:14">
      <c r="A31" s="322" t="s">
        <v>235</v>
      </c>
      <c r="B31" s="322">
        <v>43000</v>
      </c>
      <c r="C31" s="322" t="s">
        <v>236</v>
      </c>
      <c r="D31" s="323"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0"/>
        <v>0.18</v>
      </c>
      <c r="N31" s="323">
        <f t="shared" ref="N31:N38" si="1">+M31/E31*100</f>
        <v>100</v>
      </c>
    </row>
    <row r="32" spans="1:14">
      <c r="A32" s="322" t="s">
        <v>237</v>
      </c>
      <c r="B32" s="322">
        <v>37000</v>
      </c>
      <c r="C32" s="322" t="s">
        <v>236</v>
      </c>
      <c r="D32" s="323">
        <v>0.37</v>
      </c>
      <c r="E32" s="323">
        <v>0.16</v>
      </c>
      <c r="F32" s="323"/>
      <c r="G32" s="323">
        <v>0.125</v>
      </c>
      <c r="H32" s="323"/>
      <c r="I32" s="323"/>
      <c r="J32" s="323"/>
      <c r="K32" s="323"/>
      <c r="L32" s="323"/>
      <c r="M32" s="323">
        <f t="shared" si="0"/>
        <v>0.125</v>
      </c>
      <c r="N32" s="323">
        <f t="shared" si="1"/>
        <v>78.125</v>
      </c>
    </row>
    <row r="33" spans="1:14">
      <c r="A33" s="322" t="s">
        <v>238</v>
      </c>
      <c r="B33" s="322">
        <v>1200</v>
      </c>
      <c r="C33" s="322" t="s">
        <v>233</v>
      </c>
      <c r="D33" s="323">
        <f>B33*$K$5/100000</f>
        <v>6.2759999999999998</v>
      </c>
      <c r="E33" s="323">
        <v>2</v>
      </c>
      <c r="F33" s="323"/>
      <c r="G33" s="323">
        <v>1.6254900000000001</v>
      </c>
      <c r="H33" s="323"/>
      <c r="I33" s="323"/>
      <c r="J33" s="323"/>
      <c r="K33" s="323"/>
      <c r="L33" s="323"/>
      <c r="M33" s="323">
        <f t="shared" si="0"/>
        <v>1.6254900000000001</v>
      </c>
      <c r="N33" s="323">
        <f t="shared" si="1"/>
        <v>81.274500000000003</v>
      </c>
    </row>
    <row r="34" spans="1:14">
      <c r="A34" s="322" t="s">
        <v>667</v>
      </c>
      <c r="B34" s="322">
        <v>565</v>
      </c>
      <c r="C34" s="322" t="s">
        <v>233</v>
      </c>
      <c r="D34" s="323">
        <f>B34*$K$5/100000</f>
        <v>2.9549500000000002</v>
      </c>
      <c r="E34" s="323">
        <v>1.5229999999999999</v>
      </c>
      <c r="F34" s="323"/>
      <c r="G34" s="323">
        <v>0.35</v>
      </c>
      <c r="H34" s="323"/>
      <c r="I34" s="323"/>
      <c r="J34" s="323"/>
      <c r="K34" s="323"/>
      <c r="L34" s="323"/>
      <c r="M34" s="323">
        <f t="shared" si="0"/>
        <v>0.35</v>
      </c>
      <c r="N34" s="323">
        <f t="shared" si="1"/>
        <v>22.980958634274458</v>
      </c>
    </row>
    <row r="35" spans="1:14">
      <c r="A35" s="322" t="s">
        <v>240</v>
      </c>
      <c r="B35" s="322">
        <v>1000</v>
      </c>
      <c r="C35" s="322" t="s">
        <v>233</v>
      </c>
      <c r="D35" s="323">
        <f>B35*$K$5/100000</f>
        <v>5.23</v>
      </c>
      <c r="E35" s="323">
        <v>0</v>
      </c>
      <c r="F35" s="323"/>
      <c r="G35" s="323"/>
      <c r="H35" s="323"/>
      <c r="I35" s="323"/>
      <c r="J35" s="323"/>
      <c r="K35" s="323"/>
      <c r="L35" s="323"/>
      <c r="M35" s="323">
        <f t="shared" si="0"/>
        <v>0</v>
      </c>
      <c r="N35" s="323">
        <v>0</v>
      </c>
    </row>
    <row r="36" spans="1:14">
      <c r="A36" s="322" t="s">
        <v>394</v>
      </c>
      <c r="B36" s="322">
        <v>2750</v>
      </c>
      <c r="C36" s="322" t="s">
        <v>242</v>
      </c>
      <c r="D36" s="323">
        <v>2.31</v>
      </c>
      <c r="E36" s="323">
        <v>0.30249999999999999</v>
      </c>
      <c r="F36" s="323"/>
      <c r="G36" s="323">
        <v>0.22750000000000001</v>
      </c>
      <c r="H36" s="323"/>
      <c r="I36" s="323"/>
      <c r="J36" s="323"/>
      <c r="K36" s="323"/>
      <c r="L36" s="323"/>
      <c r="M36" s="323">
        <f t="shared" si="0"/>
        <v>0.22750000000000001</v>
      </c>
      <c r="N36" s="323">
        <f t="shared" si="1"/>
        <v>75.206611570247944</v>
      </c>
    </row>
    <row r="37" spans="1:14">
      <c r="A37" s="324" t="s">
        <v>670</v>
      </c>
      <c r="B37" s="322">
        <v>10000</v>
      </c>
      <c r="C37" s="324" t="s">
        <v>244</v>
      </c>
      <c r="D37" s="323">
        <v>0.1</v>
      </c>
      <c r="E37" s="323">
        <v>0</v>
      </c>
      <c r="F37" s="323"/>
      <c r="G37" s="323"/>
      <c r="H37" s="323"/>
      <c r="I37" s="323"/>
      <c r="J37" s="323"/>
      <c r="K37" s="323"/>
      <c r="L37" s="323"/>
      <c r="M37" s="323">
        <f t="shared" si="0"/>
        <v>0</v>
      </c>
      <c r="N37" s="323">
        <v>0</v>
      </c>
    </row>
    <row r="38" spans="1:14">
      <c r="A38" s="631" t="s">
        <v>245</v>
      </c>
      <c r="B38" s="322"/>
      <c r="C38" s="322"/>
      <c r="D38" s="321">
        <f>SUM(D29:D37)</f>
        <v>65.110950000000003</v>
      </c>
      <c r="E38" s="321">
        <f>SUM(E29:E37)</f>
        <v>11.8125</v>
      </c>
      <c r="F38" s="321"/>
      <c r="G38" s="321">
        <f>SUM(G29:G37)</f>
        <v>4.15456</v>
      </c>
      <c r="H38" s="321">
        <v>0</v>
      </c>
      <c r="I38" s="321">
        <v>0</v>
      </c>
      <c r="J38" s="321">
        <v>0</v>
      </c>
      <c r="K38" s="321">
        <v>0</v>
      </c>
      <c r="L38" s="321">
        <v>0</v>
      </c>
      <c r="M38" s="321">
        <f t="shared" si="0"/>
        <v>4.15456</v>
      </c>
      <c r="N38" s="323">
        <f t="shared" si="1"/>
        <v>35.170878306878308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" right="0.2" top="0.31" bottom="0.41" header="0.2" footer="0.27"/>
  <pageSetup paperSize="9" scale="70" orientation="landscape" r:id="rId1"/>
  <headerFooter>
    <oddFooter>&amp;L&amp;9&amp;F&amp;R&amp;9&amp;A</oddFooter>
  </headerFooter>
</worksheet>
</file>

<file path=xl/worksheets/sheet34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3712</v>
      </c>
      <c r="C5" s="1649"/>
      <c r="D5" s="1649"/>
      <c r="E5" s="1650"/>
      <c r="F5" s="326" t="s">
        <v>171</v>
      </c>
      <c r="G5" s="326"/>
      <c r="H5" s="1651" t="s">
        <v>3711</v>
      </c>
      <c r="I5" s="1600"/>
      <c r="J5" s="326" t="s">
        <v>172</v>
      </c>
      <c r="K5" s="631">
        <v>505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3710</v>
      </c>
      <c r="C7" s="1649"/>
      <c r="D7" s="1649"/>
      <c r="E7" s="1650"/>
      <c r="F7" s="1596" t="s">
        <v>3208</v>
      </c>
      <c r="G7" s="1596"/>
      <c r="H7" s="1648" t="s">
        <v>3709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28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 t="s">
        <v>3708</v>
      </c>
      <c r="C9" s="1649"/>
      <c r="D9" s="1649"/>
      <c r="E9" s="1650"/>
      <c r="F9" s="1601" t="s">
        <v>3205</v>
      </c>
      <c r="G9" s="1602"/>
      <c r="H9" s="1631" t="s">
        <v>3707</v>
      </c>
      <c r="I9" s="1652"/>
      <c r="J9" s="1652"/>
      <c r="K9" s="1653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54"/>
      <c r="I10" s="1655"/>
      <c r="J10" s="1655"/>
      <c r="K10" s="1656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57"/>
      <c r="I11" s="1658"/>
      <c r="J11" s="1658"/>
      <c r="K11" s="1659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4" customHeight="1">
      <c r="A13" s="631" t="s">
        <v>838</v>
      </c>
      <c r="B13" s="1612" t="s">
        <v>3706</v>
      </c>
      <c r="C13" s="1612"/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24" customHeight="1">
      <c r="A14" s="631" t="s">
        <v>187</v>
      </c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24" customHeight="1">
      <c r="A15" s="631" t="s">
        <v>192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24" customHeight="1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1</v>
      </c>
      <c r="C18" s="326" t="s">
        <v>199</v>
      </c>
      <c r="D18" s="326"/>
      <c r="E18" s="326"/>
      <c r="F18" s="631"/>
      <c r="G18" s="326" t="s">
        <v>200</v>
      </c>
      <c r="H18" s="325">
        <v>11</v>
      </c>
      <c r="I18" s="326" t="s">
        <v>201</v>
      </c>
      <c r="J18" s="325">
        <v>1</v>
      </c>
      <c r="K18" s="326" t="s">
        <v>202</v>
      </c>
      <c r="L18" s="631"/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101</v>
      </c>
      <c r="D21" s="326" t="s">
        <v>205</v>
      </c>
      <c r="E21" s="631">
        <v>20</v>
      </c>
      <c r="F21" s="326" t="s">
        <v>206</v>
      </c>
      <c r="G21" s="631">
        <v>0</v>
      </c>
      <c r="H21" s="326" t="s">
        <v>230</v>
      </c>
      <c r="I21" s="80">
        <f>G21+E21+C21</f>
        <v>121</v>
      </c>
      <c r="J21" s="326" t="s">
        <v>207</v>
      </c>
      <c r="K21" s="631">
        <v>16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v>197</v>
      </c>
      <c r="D22" s="326" t="s">
        <v>211</v>
      </c>
      <c r="E22" s="631">
        <v>45</v>
      </c>
      <c r="F22" s="326" t="s">
        <v>212</v>
      </c>
      <c r="G22" s="80">
        <v>0</v>
      </c>
      <c r="H22" s="326" t="s">
        <v>411</v>
      </c>
      <c r="I22" s="80">
        <f>G22+E22+C22</f>
        <v>242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228</v>
      </c>
      <c r="D23" s="326" t="s">
        <v>214</v>
      </c>
      <c r="E23" s="631">
        <v>36</v>
      </c>
      <c r="F23" s="326" t="s">
        <v>215</v>
      </c>
      <c r="G23" s="80">
        <v>0</v>
      </c>
      <c r="H23" s="326" t="s">
        <v>410</v>
      </c>
      <c r="I23" s="80">
        <f>G23+E23+C23</f>
        <v>264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40.4</v>
      </c>
      <c r="E29" s="323">
        <v>5.016</v>
      </c>
      <c r="F29" s="300"/>
      <c r="G29" s="300">
        <v>1.97895</v>
      </c>
      <c r="H29" s="323"/>
      <c r="I29" s="323"/>
      <c r="J29" s="323"/>
      <c r="K29" s="323"/>
      <c r="L29" s="323"/>
      <c r="M29" s="323">
        <f t="shared" ref="M29:M38" si="1">SUM(F29:L29)</f>
        <v>1.97895</v>
      </c>
      <c r="N29" s="323">
        <f>+M29/E29*100</f>
        <v>39.452751196172251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0.16</v>
      </c>
      <c r="H32" s="323"/>
      <c r="I32" s="323"/>
      <c r="J32" s="323"/>
      <c r="K32" s="323"/>
      <c r="L32" s="323"/>
      <c r="M32" s="323">
        <f t="shared" si="1"/>
        <v>0.16</v>
      </c>
      <c r="N32" s="323">
        <f t="shared" si="2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6.06</v>
      </c>
      <c r="E33" s="323">
        <v>2</v>
      </c>
      <c r="F33" s="323"/>
      <c r="G33" s="323">
        <v>1.99051</v>
      </c>
      <c r="H33" s="323"/>
      <c r="I33" s="323"/>
      <c r="J33" s="323"/>
      <c r="K33" s="323"/>
      <c r="L33" s="323"/>
      <c r="M33" s="323">
        <f t="shared" si="1"/>
        <v>1.99051</v>
      </c>
      <c r="N33" s="323">
        <f t="shared" si="2"/>
        <v>99.525499999999994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2.8532500000000001</v>
      </c>
      <c r="E34" s="323">
        <v>1.405</v>
      </c>
      <c r="F34" s="323"/>
      <c r="G34" s="323">
        <v>0.1</v>
      </c>
      <c r="H34" s="323"/>
      <c r="I34" s="323"/>
      <c r="J34" s="323"/>
      <c r="K34" s="323"/>
      <c r="L34" s="323"/>
      <c r="M34" s="323">
        <f t="shared" si="1"/>
        <v>0.1</v>
      </c>
      <c r="N34" s="323">
        <f t="shared" si="2"/>
        <v>7.1174377224199299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5.05</v>
      </c>
      <c r="E35" s="323"/>
      <c r="F35" s="323"/>
      <c r="G35" s="323"/>
      <c r="H35" s="323"/>
      <c r="I35" s="323"/>
      <c r="J35" s="323"/>
      <c r="K35" s="323"/>
      <c r="L35" s="323"/>
      <c r="M35" s="323">
        <f t="shared" si="1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0.16</v>
      </c>
      <c r="H36" s="323"/>
      <c r="I36" s="323"/>
      <c r="J36" s="323"/>
      <c r="K36" s="323"/>
      <c r="L36" s="323"/>
      <c r="M36" s="323">
        <f t="shared" si="1"/>
        <v>0.16</v>
      </c>
      <c r="N36" s="323">
        <f t="shared" si="2"/>
        <v>52.892561983471076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63.173250000000003</v>
      </c>
      <c r="E38" s="321">
        <f t="shared" si="3"/>
        <v>9.0634999999999994</v>
      </c>
      <c r="F38" s="321"/>
      <c r="G38" s="321">
        <f>SUM(G29:G37)</f>
        <v>4.5694599999999994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4.5694599999999994</v>
      </c>
      <c r="N38" s="323">
        <f t="shared" si="2"/>
        <v>50.416064434269316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4000000000000001" right="0.15748031496063" top="0.24" bottom="0.39" header="0.15" footer="0.23"/>
  <pageSetup paperSize="9" scale="74" orientation="landscape" r:id="rId1"/>
  <headerFooter>
    <oddFooter>&amp;L&amp;F&amp;R&amp;A</oddFooter>
  </headerFooter>
</worksheet>
</file>

<file path=xl/worksheets/sheet342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N42"/>
  <sheetViews>
    <sheetView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3719</v>
      </c>
      <c r="C5" s="1649"/>
      <c r="D5" s="1649"/>
      <c r="E5" s="1650"/>
      <c r="F5" s="326" t="s">
        <v>171</v>
      </c>
      <c r="G5" s="326"/>
      <c r="H5" s="1651" t="s">
        <v>3718</v>
      </c>
      <c r="I5" s="1600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3717</v>
      </c>
      <c r="C7" s="1649"/>
      <c r="D7" s="1649"/>
      <c r="E7" s="1650"/>
      <c r="F7" s="1596" t="s">
        <v>3208</v>
      </c>
      <c r="G7" s="1596"/>
      <c r="H7" s="1648" t="s">
        <v>3716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 t="s">
        <v>3715</v>
      </c>
      <c r="C9" s="1649"/>
      <c r="D9" s="1649"/>
      <c r="E9" s="1650"/>
      <c r="F9" s="1601" t="s">
        <v>3205</v>
      </c>
      <c r="G9" s="1602"/>
      <c r="H9" s="1631" t="s">
        <v>3714</v>
      </c>
      <c r="I9" s="1652"/>
      <c r="J9" s="1652"/>
      <c r="K9" s="1653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54"/>
      <c r="I10" s="1655"/>
      <c r="J10" s="1655"/>
      <c r="K10" s="1656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57"/>
      <c r="I11" s="1658"/>
      <c r="J11" s="1658"/>
      <c r="K11" s="1659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4" customHeight="1">
      <c r="A13" s="631" t="s">
        <v>838</v>
      </c>
      <c r="B13" s="1648" t="s">
        <v>3713</v>
      </c>
      <c r="C13" s="1650"/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24" customHeight="1">
      <c r="A14" s="631" t="s">
        <v>187</v>
      </c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24" customHeight="1">
      <c r="A15" s="631" t="s">
        <v>192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24" customHeight="1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1</v>
      </c>
      <c r="C18" s="326" t="s">
        <v>199</v>
      </c>
      <c r="D18" s="326"/>
      <c r="E18" s="326"/>
      <c r="F18" s="631"/>
      <c r="G18" s="326" t="s">
        <v>200</v>
      </c>
      <c r="H18" s="325">
        <v>15</v>
      </c>
      <c r="I18" s="326" t="s">
        <v>201</v>
      </c>
      <c r="J18" s="325">
        <v>1</v>
      </c>
      <c r="K18" s="326" t="s">
        <v>202</v>
      </c>
      <c r="L18" s="631"/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132</v>
      </c>
      <c r="D21" s="326" t="s">
        <v>205</v>
      </c>
      <c r="E21" s="631">
        <v>34</v>
      </c>
      <c r="F21" s="326" t="s">
        <v>206</v>
      </c>
      <c r="G21" s="631">
        <v>16</v>
      </c>
      <c r="H21" s="326" t="s">
        <v>230</v>
      </c>
      <c r="I21" s="80">
        <f>G21+E21+C21</f>
        <v>182</v>
      </c>
      <c r="J21" s="326" t="s">
        <v>207</v>
      </c>
      <c r="K21" s="631">
        <v>52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v>265</v>
      </c>
      <c r="D22" s="326" t="s">
        <v>211</v>
      </c>
      <c r="E22" s="631">
        <v>74</v>
      </c>
      <c r="F22" s="326" t="s">
        <v>212</v>
      </c>
      <c r="G22" s="80">
        <v>36</v>
      </c>
      <c r="H22" s="326" t="s">
        <v>411</v>
      </c>
      <c r="I22" s="80">
        <f>G22+E22+C22</f>
        <v>375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252</v>
      </c>
      <c r="D23" s="326" t="s">
        <v>214</v>
      </c>
      <c r="E23" s="631">
        <v>82</v>
      </c>
      <c r="F23" s="326" t="s">
        <v>215</v>
      </c>
      <c r="G23" s="80">
        <v>37</v>
      </c>
      <c r="H23" s="326" t="s">
        <v>410</v>
      </c>
      <c r="I23" s="80">
        <f>G23+E23+C23</f>
        <v>371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3">
        <v>5.016</v>
      </c>
      <c r="F29" s="3"/>
      <c r="G29" s="3">
        <v>1.97895</v>
      </c>
      <c r="H29" s="323"/>
      <c r="I29" s="323"/>
      <c r="J29" s="323"/>
      <c r="K29" s="323"/>
      <c r="L29" s="323"/>
      <c r="M29" s="323">
        <f t="shared" ref="M29:M38" si="1">SUM(F29:L29)</f>
        <v>1.97895</v>
      </c>
      <c r="N29" s="323">
        <f>+M29/E29*100</f>
        <v>39.452751196172251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0.16</v>
      </c>
      <c r="H32" s="323"/>
      <c r="I32" s="323"/>
      <c r="J32" s="323"/>
      <c r="K32" s="323"/>
      <c r="L32" s="323"/>
      <c r="M32" s="323">
        <f t="shared" si="1"/>
        <v>0.16</v>
      </c>
      <c r="N32" s="323">
        <f t="shared" si="2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3">
        <v>2</v>
      </c>
      <c r="F33" s="323"/>
      <c r="G33" s="323">
        <v>1.48373</v>
      </c>
      <c r="H33" s="323"/>
      <c r="I33" s="323"/>
      <c r="J33" s="323"/>
      <c r="K33" s="323"/>
      <c r="L33" s="323"/>
      <c r="M33" s="323">
        <f t="shared" si="1"/>
        <v>1.48373</v>
      </c>
      <c r="N33" s="323">
        <f t="shared" si="2"/>
        <v>74.186499999999995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3">
        <v>1.5189999999999999</v>
      </c>
      <c r="F34" s="323"/>
      <c r="G34" s="323">
        <v>0.35</v>
      </c>
      <c r="H34" s="323"/>
      <c r="I34" s="323"/>
      <c r="J34" s="323"/>
      <c r="K34" s="323"/>
      <c r="L34" s="323"/>
      <c r="M34" s="323">
        <f t="shared" si="1"/>
        <v>0.35</v>
      </c>
      <c r="N34" s="323">
        <f t="shared" si="2"/>
        <v>23.041474654377879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3"/>
      <c r="F35" s="323"/>
      <c r="G35" s="323"/>
      <c r="H35" s="323"/>
      <c r="I35" s="323"/>
      <c r="J35" s="323"/>
      <c r="K35" s="323"/>
      <c r="L35" s="323"/>
      <c r="M35" s="323">
        <f t="shared" si="1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0.26500000000000001</v>
      </c>
      <c r="H36" s="323"/>
      <c r="I36" s="323"/>
      <c r="J36" s="323"/>
      <c r="K36" s="323"/>
      <c r="L36" s="323"/>
      <c r="M36" s="323">
        <f t="shared" si="1"/>
        <v>0.26500000000000001</v>
      </c>
      <c r="N36" s="323">
        <f t="shared" si="2"/>
        <v>87.603305785123979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62.635000000000005</v>
      </c>
      <c r="E38" s="321">
        <f t="shared" si="3"/>
        <v>9.1775000000000002</v>
      </c>
      <c r="F38" s="321"/>
      <c r="G38" s="321">
        <f>SUM(G29:G37)</f>
        <v>4.4176799999999998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4.4176799999999998</v>
      </c>
      <c r="N38" s="323">
        <f t="shared" si="2"/>
        <v>48.135984745301002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4000000000000001" right="0.15748031496063" top="0.31" bottom="0.42" header="0.15" footer="0.26"/>
  <pageSetup paperSize="9" scale="74" orientation="landscape" r:id="rId1"/>
  <headerFooter>
    <oddFooter>&amp;L&amp;F&amp;R&amp;A</oddFooter>
  </headerFooter>
</worksheet>
</file>

<file path=xl/worksheets/sheet343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2490</v>
      </c>
      <c r="C5" s="1649"/>
      <c r="D5" s="1649"/>
      <c r="E5" s="1650"/>
      <c r="F5" s="326" t="s">
        <v>171</v>
      </c>
      <c r="G5" s="326"/>
      <c r="H5" s="1651" t="s">
        <v>3724</v>
      </c>
      <c r="I5" s="1600"/>
      <c r="J5" s="326" t="s">
        <v>172</v>
      </c>
      <c r="K5" s="631">
        <v>405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3723</v>
      </c>
      <c r="C7" s="1649"/>
      <c r="D7" s="1649"/>
      <c r="E7" s="1650"/>
      <c r="F7" s="1596" t="s">
        <v>3208</v>
      </c>
      <c r="G7" s="1596"/>
      <c r="H7" s="1648" t="s">
        <v>2776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 t="s">
        <v>3722</v>
      </c>
      <c r="C9" s="1649"/>
      <c r="D9" s="1649"/>
      <c r="E9" s="1650"/>
      <c r="F9" s="1601" t="s">
        <v>3205</v>
      </c>
      <c r="G9" s="1602"/>
      <c r="H9" s="1631" t="s">
        <v>3721</v>
      </c>
      <c r="I9" s="1652"/>
      <c r="J9" s="1652"/>
      <c r="K9" s="1653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54"/>
      <c r="I10" s="1655"/>
      <c r="J10" s="1655"/>
      <c r="K10" s="1656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57"/>
      <c r="I11" s="1658"/>
      <c r="J11" s="1658"/>
      <c r="K11" s="1659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4" customHeight="1">
      <c r="A13" s="631" t="s">
        <v>838</v>
      </c>
      <c r="B13" s="1648" t="s">
        <v>3720</v>
      </c>
      <c r="C13" s="1650"/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24" customHeight="1">
      <c r="A14" s="631" t="s">
        <v>187</v>
      </c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24" customHeight="1">
      <c r="A15" s="631" t="s">
        <v>192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24" customHeight="1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1</v>
      </c>
      <c r="C18" s="326" t="s">
        <v>199</v>
      </c>
      <c r="D18" s="326"/>
      <c r="E18" s="326"/>
      <c r="F18" s="631"/>
      <c r="G18" s="326" t="s">
        <v>200</v>
      </c>
      <c r="H18" s="325">
        <v>5</v>
      </c>
      <c r="I18" s="326" t="s">
        <v>201</v>
      </c>
      <c r="J18" s="325">
        <v>1</v>
      </c>
      <c r="K18" s="326" t="s">
        <v>202</v>
      </c>
      <c r="L18" s="631"/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48</v>
      </c>
      <c r="D21" s="326" t="s">
        <v>205</v>
      </c>
      <c r="E21" s="631">
        <v>4</v>
      </c>
      <c r="F21" s="326" t="s">
        <v>206</v>
      </c>
      <c r="G21" s="631">
        <v>14</v>
      </c>
      <c r="H21" s="326" t="s">
        <v>230</v>
      </c>
      <c r="I21" s="80">
        <f>G21+E21+C21</f>
        <v>66</v>
      </c>
      <c r="J21" s="326" t="s">
        <v>207</v>
      </c>
      <c r="K21" s="631">
        <v>30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v>100</v>
      </c>
      <c r="D22" s="326" t="s">
        <v>211</v>
      </c>
      <c r="E22" s="631">
        <v>10</v>
      </c>
      <c r="F22" s="326" t="s">
        <v>212</v>
      </c>
      <c r="G22" s="80">
        <v>30</v>
      </c>
      <c r="H22" s="326" t="s">
        <v>411</v>
      </c>
      <c r="I22" s="80">
        <f>G22+E22+C22</f>
        <v>140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96</v>
      </c>
      <c r="D23" s="326" t="s">
        <v>214</v>
      </c>
      <c r="E23" s="631">
        <v>13</v>
      </c>
      <c r="F23" s="326" t="s">
        <v>215</v>
      </c>
      <c r="G23" s="80">
        <v>28</v>
      </c>
      <c r="H23" s="326" t="s">
        <v>410</v>
      </c>
      <c r="I23" s="80">
        <f>G23+E23+C23</f>
        <v>137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32.4</v>
      </c>
      <c r="E29" s="323">
        <v>5.016</v>
      </c>
      <c r="F29" s="3"/>
      <c r="G29" s="3">
        <v>1.97895</v>
      </c>
      <c r="H29" s="323"/>
      <c r="I29" s="323"/>
      <c r="J29" s="323"/>
      <c r="K29" s="323"/>
      <c r="L29" s="323"/>
      <c r="M29" s="323">
        <f t="shared" ref="M29:M38" si="1">SUM(F29:L29)</f>
        <v>1.97895</v>
      </c>
      <c r="N29" s="323">
        <f>+M29/E29*100</f>
        <v>39.452751196172251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0.16</v>
      </c>
      <c r="H32" s="323"/>
      <c r="I32" s="323"/>
      <c r="J32" s="323"/>
      <c r="K32" s="323"/>
      <c r="L32" s="323"/>
      <c r="M32" s="323">
        <f t="shared" si="1"/>
        <v>0.16</v>
      </c>
      <c r="N32" s="323">
        <f t="shared" si="2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4.8600000000000003</v>
      </c>
      <c r="E33" s="323">
        <v>2</v>
      </c>
      <c r="F33" s="323"/>
      <c r="G33" s="323">
        <v>1.1404099999999999</v>
      </c>
      <c r="H33" s="323"/>
      <c r="I33" s="323"/>
      <c r="J33" s="323"/>
      <c r="K33" s="323"/>
      <c r="L33" s="323"/>
      <c r="M33" s="323">
        <f t="shared" si="1"/>
        <v>1.1404099999999999</v>
      </c>
      <c r="N33" s="323">
        <f t="shared" si="2"/>
        <v>57.020499999999998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2.2882500000000001</v>
      </c>
      <c r="E34" s="323">
        <v>1.504</v>
      </c>
      <c r="F34" s="323"/>
      <c r="G34" s="323">
        <v>0.25</v>
      </c>
      <c r="H34" s="323"/>
      <c r="I34" s="323"/>
      <c r="J34" s="323"/>
      <c r="K34" s="323"/>
      <c r="L34" s="323"/>
      <c r="M34" s="323">
        <f t="shared" si="1"/>
        <v>0.25</v>
      </c>
      <c r="N34" s="323">
        <f t="shared" si="2"/>
        <v>16.622340425531913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4.05</v>
      </c>
      <c r="E35" s="323">
        <v>0.52800000000000002</v>
      </c>
      <c r="F35" s="323"/>
      <c r="G35" s="323">
        <v>0.15</v>
      </c>
      <c r="H35" s="323"/>
      <c r="I35" s="323"/>
      <c r="J35" s="323"/>
      <c r="K35" s="323"/>
      <c r="L35" s="323"/>
      <c r="M35" s="323">
        <f t="shared" si="1"/>
        <v>0.15</v>
      </c>
      <c r="N35" s="323">
        <f t="shared" si="2"/>
        <v>28.409090909090907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0.26500000000000001</v>
      </c>
      <c r="H36" s="323"/>
      <c r="I36" s="323"/>
      <c r="J36" s="323"/>
      <c r="K36" s="323"/>
      <c r="L36" s="323"/>
      <c r="M36" s="323">
        <f t="shared" si="1"/>
        <v>0.26500000000000001</v>
      </c>
      <c r="N36" s="323">
        <f t="shared" si="2"/>
        <v>87.603305785123979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52.408249999999995</v>
      </c>
      <c r="E38" s="321">
        <f t="shared" si="3"/>
        <v>9.6905000000000001</v>
      </c>
      <c r="F38" s="321"/>
      <c r="G38" s="321">
        <f>SUM(G29:G37)</f>
        <v>4.1243600000000002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4.1243600000000002</v>
      </c>
      <c r="N38" s="323">
        <f t="shared" si="2"/>
        <v>42.560858572829062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4000000000000001" right="0.15748031496063" top="0.27" bottom="0.42" header="0.15" footer="0.26"/>
  <pageSetup paperSize="9" scale="74" orientation="landscape" r:id="rId1"/>
  <headerFooter>
    <oddFooter>&amp;L&amp;F&amp;R&amp;A</oddFooter>
  </headerFooter>
</worksheet>
</file>

<file path=xl/worksheets/sheet34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N42"/>
  <sheetViews>
    <sheetView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2415</v>
      </c>
      <c r="C5" s="1649"/>
      <c r="D5" s="1649"/>
      <c r="E5" s="1650"/>
      <c r="F5" s="326" t="s">
        <v>171</v>
      </c>
      <c r="G5" s="326"/>
      <c r="H5" s="1660" t="s">
        <v>3734</v>
      </c>
      <c r="I5" s="1660"/>
      <c r="J5" s="333"/>
      <c r="K5" s="333"/>
      <c r="L5" s="333"/>
      <c r="M5" s="333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3733</v>
      </c>
      <c r="C7" s="1649"/>
      <c r="D7" s="1649"/>
      <c r="E7" s="1650"/>
      <c r="F7" s="1596" t="s">
        <v>3208</v>
      </c>
      <c r="G7" s="1596"/>
      <c r="H7" s="1648" t="s">
        <v>489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/>
      <c r="C9" s="1649"/>
      <c r="D9" s="1649"/>
      <c r="E9" s="1650"/>
      <c r="F9" s="1601" t="s">
        <v>3205</v>
      </c>
      <c r="G9" s="1602"/>
      <c r="H9" s="1603" t="s">
        <v>3732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4" customHeight="1">
      <c r="A13" s="631" t="s">
        <v>838</v>
      </c>
      <c r="B13" s="1661" t="s">
        <v>3731</v>
      </c>
      <c r="C13" s="1661"/>
      <c r="D13" s="1661" t="s">
        <v>3730</v>
      </c>
      <c r="E13" s="1661"/>
      <c r="F13" s="1661"/>
      <c r="G13" s="1612"/>
      <c r="H13" s="1612"/>
      <c r="I13" s="1612"/>
      <c r="J13" s="1612"/>
      <c r="K13" s="1612"/>
      <c r="L13" s="1612"/>
      <c r="M13" s="1612"/>
      <c r="N13" s="326"/>
    </row>
    <row r="14" spans="1:14" ht="24" customHeight="1">
      <c r="A14" s="631" t="s">
        <v>187</v>
      </c>
      <c r="B14" s="1661" t="s">
        <v>3729</v>
      </c>
      <c r="C14" s="1661"/>
      <c r="D14" s="1661" t="s">
        <v>3728</v>
      </c>
      <c r="E14" s="1661"/>
      <c r="F14" s="1661"/>
      <c r="G14" s="1612"/>
      <c r="H14" s="1612"/>
      <c r="I14" s="1612"/>
      <c r="J14" s="1612"/>
      <c r="K14" s="1612"/>
      <c r="L14" s="1612"/>
      <c r="M14" s="1612"/>
      <c r="N14" s="326"/>
    </row>
    <row r="15" spans="1:14" ht="24" customHeight="1">
      <c r="A15" s="631" t="s">
        <v>192</v>
      </c>
      <c r="B15" s="1661" t="s">
        <v>3727</v>
      </c>
      <c r="C15" s="1661"/>
      <c r="D15" s="1661" t="s">
        <v>3726</v>
      </c>
      <c r="E15" s="1661"/>
      <c r="F15" s="1661"/>
      <c r="G15" s="1612"/>
      <c r="H15" s="1612"/>
      <c r="I15" s="1612"/>
      <c r="J15" s="1612"/>
      <c r="K15" s="1612"/>
      <c r="L15" s="1612"/>
      <c r="M15" s="1612"/>
      <c r="N15" s="326"/>
    </row>
    <row r="16" spans="1:14" ht="24" customHeight="1">
      <c r="A16" s="631" t="s">
        <v>197</v>
      </c>
      <c r="B16" s="1661"/>
      <c r="C16" s="1661"/>
      <c r="D16" s="1661" t="s">
        <v>3725</v>
      </c>
      <c r="E16" s="1661"/>
      <c r="F16" s="1661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2</v>
      </c>
      <c r="C18" s="326" t="s">
        <v>199</v>
      </c>
      <c r="D18" s="326"/>
      <c r="E18" s="326"/>
      <c r="F18" s="623">
        <v>2</v>
      </c>
      <c r="G18" s="326" t="s">
        <v>200</v>
      </c>
      <c r="H18" s="325">
        <v>6</v>
      </c>
      <c r="I18" s="326" t="s">
        <v>201</v>
      </c>
      <c r="J18" s="325">
        <v>2</v>
      </c>
      <c r="K18" s="326" t="s">
        <v>202</v>
      </c>
      <c r="L18" s="631"/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52</v>
      </c>
      <c r="D21" s="326" t="s">
        <v>205</v>
      </c>
      <c r="E21" s="631">
        <v>16</v>
      </c>
      <c r="F21" s="326" t="s">
        <v>206</v>
      </c>
      <c r="G21" s="631">
        <v>16</v>
      </c>
      <c r="H21" s="326" t="s">
        <v>230</v>
      </c>
      <c r="I21" s="80">
        <f>G21+E21+C21</f>
        <v>84</v>
      </c>
      <c r="J21" s="326" t="s">
        <v>207</v>
      </c>
      <c r="K21" s="631">
        <v>19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f>49+54</f>
        <v>103</v>
      </c>
      <c r="D22" s="326" t="s">
        <v>211</v>
      </c>
      <c r="E22" s="631">
        <f>34+7</f>
        <v>41</v>
      </c>
      <c r="F22" s="326" t="s">
        <v>212</v>
      </c>
      <c r="G22" s="80">
        <v>32</v>
      </c>
      <c r="H22" s="326" t="s">
        <v>411</v>
      </c>
      <c r="I22" s="80">
        <f>G22+E22+C22</f>
        <v>176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f>52+60</f>
        <v>112</v>
      </c>
      <c r="D23" s="326" t="s">
        <v>214</v>
      </c>
      <c r="E23" s="631">
        <f>35+7</f>
        <v>42</v>
      </c>
      <c r="F23" s="326" t="s">
        <v>215</v>
      </c>
      <c r="G23" s="80">
        <v>28</v>
      </c>
      <c r="H23" s="326" t="s">
        <v>410</v>
      </c>
      <c r="I23" s="80">
        <f>G23+E23+C23</f>
        <v>182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v>40</v>
      </c>
      <c r="E29" s="323">
        <v>5.016</v>
      </c>
      <c r="F29" s="300"/>
      <c r="G29" s="300">
        <v>1.97925</v>
      </c>
      <c r="H29" s="323"/>
      <c r="I29" s="323"/>
      <c r="J29" s="323"/>
      <c r="K29" s="323"/>
      <c r="L29" s="323"/>
      <c r="M29" s="323">
        <f t="shared" ref="M29:M38" si="1">SUM(F29:L29)</f>
        <v>1.97925</v>
      </c>
      <c r="N29" s="323">
        <f>+M29/E29*100</f>
        <v>39.45873205741627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0.16</v>
      </c>
      <c r="H32" s="323"/>
      <c r="I32" s="323"/>
      <c r="J32" s="323"/>
      <c r="K32" s="323"/>
      <c r="L32" s="323"/>
      <c r="M32" s="323">
        <f t="shared" si="1"/>
        <v>0.16</v>
      </c>
      <c r="N32" s="323">
        <f t="shared" si="2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v>6</v>
      </c>
      <c r="E33" s="323">
        <v>2</v>
      </c>
      <c r="F33" s="323"/>
      <c r="G33" s="323">
        <v>1.99051</v>
      </c>
      <c r="H33" s="323"/>
      <c r="I33" s="323"/>
      <c r="J33" s="323"/>
      <c r="K33" s="323"/>
      <c r="L33" s="323"/>
      <c r="M33" s="323">
        <f t="shared" si="1"/>
        <v>1.99051</v>
      </c>
      <c r="N33" s="323">
        <f t="shared" si="2"/>
        <v>99.525499999999994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v>2.83</v>
      </c>
      <c r="E34" s="323">
        <v>1.546</v>
      </c>
      <c r="F34" s="323"/>
      <c r="G34" s="323">
        <v>0.1</v>
      </c>
      <c r="H34" s="323"/>
      <c r="I34" s="323"/>
      <c r="J34" s="323"/>
      <c r="K34" s="323"/>
      <c r="L34" s="323"/>
      <c r="M34" s="323">
        <f t="shared" si="1"/>
        <v>0.1</v>
      </c>
      <c r="N34" s="323">
        <f t="shared" si="2"/>
        <v>6.4683053040103493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v>5</v>
      </c>
      <c r="E35" s="323">
        <v>0.67200000000000004</v>
      </c>
      <c r="F35" s="323"/>
      <c r="G35" s="323">
        <v>0.27</v>
      </c>
      <c r="H35" s="323"/>
      <c r="I35" s="323"/>
      <c r="J35" s="323"/>
      <c r="K35" s="323"/>
      <c r="L35" s="323"/>
      <c r="M35" s="323">
        <f t="shared" si="1"/>
        <v>0.27</v>
      </c>
      <c r="N35" s="323">
        <f t="shared" si="2"/>
        <v>40.178571428571431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0.26500000000000001</v>
      </c>
      <c r="H36" s="323"/>
      <c r="I36" s="323"/>
      <c r="J36" s="323"/>
      <c r="K36" s="323"/>
      <c r="L36" s="323"/>
      <c r="M36" s="323">
        <f t="shared" si="1"/>
        <v>0.26500000000000001</v>
      </c>
      <c r="N36" s="323">
        <f t="shared" si="2"/>
        <v>87.603305785123979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62.64</v>
      </c>
      <c r="E38" s="321">
        <f t="shared" si="3"/>
        <v>9.8765000000000001</v>
      </c>
      <c r="F38" s="321"/>
      <c r="G38" s="321">
        <f>SUM(G29:G37)</f>
        <v>4.9447599999999996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4.9447599999999996</v>
      </c>
      <c r="N38" s="323">
        <f t="shared" si="2"/>
        <v>50.065914038373919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4000000000000001" right="0.15748031496063" top="0.28000000000000003" bottom="0.41" header="0.15" footer="0.26"/>
  <pageSetup paperSize="9" scale="74" orientation="landscape" r:id="rId1"/>
  <headerFooter>
    <oddFooter>&amp;L&amp;F&amp;R&amp;A</oddFooter>
  </headerFooter>
</worksheet>
</file>

<file path=xl/worksheets/sheet34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3741</v>
      </c>
      <c r="C5" s="1649"/>
      <c r="D5" s="1649"/>
      <c r="E5" s="1650"/>
      <c r="F5" s="326" t="s">
        <v>171</v>
      </c>
      <c r="G5" s="326"/>
      <c r="H5" s="1651" t="s">
        <v>3740</v>
      </c>
      <c r="I5" s="1600"/>
      <c r="J5" s="326" t="s">
        <v>172</v>
      </c>
      <c r="K5" s="631">
        <v>546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3739</v>
      </c>
      <c r="C7" s="1649"/>
      <c r="D7" s="1649"/>
      <c r="E7" s="1650"/>
      <c r="F7" s="1596" t="s">
        <v>3208</v>
      </c>
      <c r="G7" s="1596"/>
      <c r="H7" s="1648" t="s">
        <v>3738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 t="s">
        <v>3737</v>
      </c>
      <c r="C9" s="1649"/>
      <c r="D9" s="1649"/>
      <c r="E9" s="1650"/>
      <c r="F9" s="1601" t="s">
        <v>3205</v>
      </c>
      <c r="G9" s="1602"/>
      <c r="H9" s="1631" t="s">
        <v>3736</v>
      </c>
      <c r="I9" s="1652"/>
      <c r="J9" s="1652"/>
      <c r="K9" s="1653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54"/>
      <c r="I10" s="1655"/>
      <c r="J10" s="1655"/>
      <c r="K10" s="1656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57"/>
      <c r="I11" s="1658"/>
      <c r="J11" s="1658"/>
      <c r="K11" s="1659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4" customHeight="1">
      <c r="A13" s="631" t="s">
        <v>838</v>
      </c>
      <c r="B13" s="1648" t="s">
        <v>3735</v>
      </c>
      <c r="C13" s="1650"/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24" customHeight="1">
      <c r="A14" s="631" t="s">
        <v>187</v>
      </c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24" customHeight="1">
      <c r="A15" s="631" t="s">
        <v>192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24" customHeight="1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1</v>
      </c>
      <c r="C18" s="326" t="s">
        <v>199</v>
      </c>
      <c r="D18" s="326"/>
      <c r="E18" s="326"/>
      <c r="F18" s="631"/>
      <c r="G18" s="326" t="s">
        <v>200</v>
      </c>
      <c r="H18" s="325">
        <v>18</v>
      </c>
      <c r="I18" s="326" t="s">
        <v>201</v>
      </c>
      <c r="J18" s="325">
        <v>1</v>
      </c>
      <c r="K18" s="326" t="s">
        <v>202</v>
      </c>
      <c r="L18" s="631"/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165</v>
      </c>
      <c r="D21" s="326" t="s">
        <v>205</v>
      </c>
      <c r="E21" s="631">
        <v>21</v>
      </c>
      <c r="F21" s="326" t="s">
        <v>206</v>
      </c>
      <c r="G21" s="631">
        <v>0</v>
      </c>
      <c r="H21" s="326" t="s">
        <v>230</v>
      </c>
      <c r="I21" s="80">
        <f>G21+E21+C21</f>
        <v>186</v>
      </c>
      <c r="J21" s="326" t="s">
        <v>207</v>
      </c>
      <c r="K21" s="631">
        <v>58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v>271</v>
      </c>
      <c r="D22" s="326" t="s">
        <v>211</v>
      </c>
      <c r="E22" s="631">
        <v>42</v>
      </c>
      <c r="F22" s="326" t="s">
        <v>212</v>
      </c>
      <c r="G22" s="80">
        <v>0</v>
      </c>
      <c r="H22" s="326" t="s">
        <v>411</v>
      </c>
      <c r="I22" s="80">
        <f>G22+E22+C22</f>
        <v>313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325</v>
      </c>
      <c r="D23" s="326" t="s">
        <v>214</v>
      </c>
      <c r="E23" s="631">
        <v>39</v>
      </c>
      <c r="F23" s="326" t="s">
        <v>215</v>
      </c>
      <c r="G23" s="80">
        <v>0</v>
      </c>
      <c r="H23" s="326" t="s">
        <v>410</v>
      </c>
      <c r="I23" s="80">
        <f>G23+E23+C23</f>
        <v>364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43.68</v>
      </c>
      <c r="E29" s="323">
        <v>5.266</v>
      </c>
      <c r="F29" s="300"/>
      <c r="G29" s="300">
        <v>2.2241</v>
      </c>
      <c r="H29" s="323"/>
      <c r="I29" s="323"/>
      <c r="J29" s="323"/>
      <c r="K29" s="323"/>
      <c r="L29" s="323"/>
      <c r="M29" s="323">
        <f t="shared" ref="M29:M38" si="1">SUM(F29:L29)</f>
        <v>2.2241</v>
      </c>
      <c r="N29" s="323">
        <f>+M29/E29*100</f>
        <v>42.235093049753132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0.16</v>
      </c>
      <c r="H32" s="323"/>
      <c r="I32" s="323"/>
      <c r="J32" s="323"/>
      <c r="K32" s="323"/>
      <c r="L32" s="323"/>
      <c r="M32" s="323">
        <f t="shared" si="1"/>
        <v>0.16</v>
      </c>
      <c r="N32" s="323">
        <f t="shared" si="2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6.5519999999999996</v>
      </c>
      <c r="E33" s="323">
        <v>2</v>
      </c>
      <c r="F33" s="323"/>
      <c r="G33" s="323">
        <v>1.59873</v>
      </c>
      <c r="H33" s="323"/>
      <c r="I33" s="323"/>
      <c r="J33" s="323"/>
      <c r="K33" s="323"/>
      <c r="L33" s="323"/>
      <c r="M33" s="323">
        <f t="shared" si="1"/>
        <v>1.59873</v>
      </c>
      <c r="N33" s="323">
        <f t="shared" si="2"/>
        <v>79.936499999999995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3.0849000000000002</v>
      </c>
      <c r="E34" s="323">
        <v>1.5389999999999999</v>
      </c>
      <c r="F34" s="323"/>
      <c r="G34" s="323">
        <v>0.3</v>
      </c>
      <c r="H34" s="323"/>
      <c r="I34" s="323"/>
      <c r="J34" s="323"/>
      <c r="K34" s="323"/>
      <c r="L34" s="323"/>
      <c r="M34" s="323">
        <f t="shared" si="1"/>
        <v>0.3</v>
      </c>
      <c r="N34" s="323">
        <f t="shared" si="2"/>
        <v>19.49317738791423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5.46</v>
      </c>
      <c r="E35" s="323"/>
      <c r="F35" s="323"/>
      <c r="G35" s="323"/>
      <c r="H35" s="323"/>
      <c r="I35" s="323"/>
      <c r="J35" s="323"/>
      <c r="K35" s="323"/>
      <c r="L35" s="323"/>
      <c r="M35" s="323">
        <f t="shared" si="1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0.155</v>
      </c>
      <c r="H36" s="323"/>
      <c r="I36" s="323"/>
      <c r="J36" s="323"/>
      <c r="K36" s="323"/>
      <c r="L36" s="323"/>
      <c r="M36" s="323">
        <f t="shared" si="1"/>
        <v>0.155</v>
      </c>
      <c r="N36" s="323">
        <f t="shared" si="2"/>
        <v>51.239669421487598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67.586899999999986</v>
      </c>
      <c r="E38" s="321">
        <f t="shared" si="3"/>
        <v>9.4474999999999998</v>
      </c>
      <c r="F38" s="321"/>
      <c r="G38" s="321">
        <f>SUM(G29:G37)</f>
        <v>4.6178300000000005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4.6178300000000005</v>
      </c>
      <c r="N38" s="323">
        <f t="shared" si="2"/>
        <v>48.878856840433983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4000000000000001" right="0.15748031496063" top="0.31" bottom="0.41" header="0.18" footer="0.24"/>
  <pageSetup paperSize="9" scale="74" orientation="landscape" r:id="rId1"/>
  <headerFooter>
    <oddFooter>&amp;L&amp;F&amp;R&amp;A</oddFooter>
  </headerFooter>
</worksheet>
</file>

<file path=xl/worksheets/sheet346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3747</v>
      </c>
      <c r="C5" s="1649"/>
      <c r="D5" s="1649"/>
      <c r="E5" s="1650"/>
      <c r="F5" s="326" t="s">
        <v>171</v>
      </c>
      <c r="G5" s="326"/>
      <c r="H5" s="1651" t="s">
        <v>3711</v>
      </c>
      <c r="I5" s="1600"/>
      <c r="J5" s="326" t="s">
        <v>172</v>
      </c>
      <c r="K5" s="631">
        <v>532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3746</v>
      </c>
      <c r="C7" s="1649"/>
      <c r="D7" s="1649"/>
      <c r="E7" s="1650"/>
      <c r="F7" s="1596" t="s">
        <v>3208</v>
      </c>
      <c r="G7" s="1596"/>
      <c r="H7" s="1648" t="s">
        <v>3745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28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 t="s">
        <v>3744</v>
      </c>
      <c r="C9" s="1649"/>
      <c r="D9" s="1649"/>
      <c r="E9" s="1650"/>
      <c r="F9" s="1601" t="s">
        <v>3205</v>
      </c>
      <c r="G9" s="1602"/>
      <c r="H9" s="1631" t="s">
        <v>3743</v>
      </c>
      <c r="I9" s="1652"/>
      <c r="J9" s="1652"/>
      <c r="K9" s="1653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54"/>
      <c r="I10" s="1655"/>
      <c r="J10" s="1655"/>
      <c r="K10" s="1656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57"/>
      <c r="I11" s="1658"/>
      <c r="J11" s="1658"/>
      <c r="K11" s="1659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4" customHeight="1">
      <c r="A13" s="631" t="s">
        <v>838</v>
      </c>
      <c r="B13" s="1612" t="s">
        <v>3742</v>
      </c>
      <c r="C13" s="1612"/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24" customHeight="1">
      <c r="A14" s="631" t="s">
        <v>187</v>
      </c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24" customHeight="1">
      <c r="A15" s="631" t="s">
        <v>192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24" customHeight="1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1</v>
      </c>
      <c r="C18" s="326" t="s">
        <v>199</v>
      </c>
      <c r="D18" s="326"/>
      <c r="E18" s="326"/>
      <c r="F18" s="631"/>
      <c r="G18" s="326" t="s">
        <v>200</v>
      </c>
      <c r="H18" s="325">
        <v>6</v>
      </c>
      <c r="I18" s="326" t="s">
        <v>201</v>
      </c>
      <c r="J18" s="325">
        <v>1</v>
      </c>
      <c r="K18" s="326" t="s">
        <v>202</v>
      </c>
      <c r="L18" s="631"/>
      <c r="M18" s="326"/>
      <c r="N18" s="326"/>
    </row>
    <row r="19" spans="1:14" ht="14.2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61</v>
      </c>
      <c r="D21" s="326" t="s">
        <v>205</v>
      </c>
      <c r="E21" s="631">
        <v>12</v>
      </c>
      <c r="F21" s="326" t="s">
        <v>206</v>
      </c>
      <c r="G21" s="631">
        <v>7</v>
      </c>
      <c r="H21" s="326" t="s">
        <v>230</v>
      </c>
      <c r="I21" s="80">
        <f>G21+E21+C21</f>
        <v>80</v>
      </c>
      <c r="J21" s="326" t="s">
        <v>207</v>
      </c>
      <c r="K21" s="631">
        <v>16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v>123</v>
      </c>
      <c r="D22" s="326" t="s">
        <v>211</v>
      </c>
      <c r="E22" s="631">
        <v>16</v>
      </c>
      <c r="F22" s="326" t="s">
        <v>212</v>
      </c>
      <c r="G22" s="80">
        <v>20</v>
      </c>
      <c r="H22" s="326" t="s">
        <v>411</v>
      </c>
      <c r="I22" s="80">
        <f>G22+E22+C22</f>
        <v>159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135</v>
      </c>
      <c r="D23" s="326" t="s">
        <v>214</v>
      </c>
      <c r="E23" s="631">
        <v>19</v>
      </c>
      <c r="F23" s="326" t="s">
        <v>215</v>
      </c>
      <c r="G23" s="80">
        <v>22</v>
      </c>
      <c r="H23" s="326" t="s">
        <v>410</v>
      </c>
      <c r="I23" s="80">
        <f>G23+E23+C23</f>
        <v>176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42.56</v>
      </c>
      <c r="E29" s="323">
        <v>5.016</v>
      </c>
      <c r="F29" s="300"/>
      <c r="G29" s="300">
        <v>1.97895</v>
      </c>
      <c r="H29" s="323"/>
      <c r="I29" s="323"/>
      <c r="J29" s="323"/>
      <c r="K29" s="323"/>
      <c r="L29" s="323"/>
      <c r="M29" s="323">
        <f t="shared" ref="M29:M38" si="1">SUM(F29:L29)</f>
        <v>1.97895</v>
      </c>
      <c r="N29" s="323">
        <f>+M29/E29*100</f>
        <v>39.452751196172251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0.16</v>
      </c>
      <c r="H32" s="323"/>
      <c r="I32" s="323"/>
      <c r="J32" s="323"/>
      <c r="K32" s="323"/>
      <c r="L32" s="323"/>
      <c r="M32" s="323">
        <f t="shared" si="1"/>
        <v>0.16</v>
      </c>
      <c r="N32" s="323">
        <f t="shared" si="2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6.3840000000000003</v>
      </c>
      <c r="E33" s="323">
        <v>2</v>
      </c>
      <c r="F33" s="323"/>
      <c r="G33" s="323">
        <v>1.45841</v>
      </c>
      <c r="H33" s="323"/>
      <c r="I33" s="323"/>
      <c r="J33" s="323"/>
      <c r="K33" s="323"/>
      <c r="L33" s="323"/>
      <c r="M33" s="323">
        <f t="shared" si="1"/>
        <v>1.45841</v>
      </c>
      <c r="N33" s="323">
        <f t="shared" si="2"/>
        <v>72.920500000000004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3.0057999999999998</v>
      </c>
      <c r="E34" s="323">
        <v>1.4730000000000001</v>
      </c>
      <c r="F34" s="323"/>
      <c r="G34" s="323">
        <v>0.3</v>
      </c>
      <c r="H34" s="323"/>
      <c r="I34" s="323"/>
      <c r="J34" s="323"/>
      <c r="K34" s="323"/>
      <c r="L34" s="323"/>
      <c r="M34" s="323">
        <f t="shared" si="1"/>
        <v>0.3</v>
      </c>
      <c r="N34" s="323">
        <f t="shared" si="2"/>
        <v>20.366598778004072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5.32</v>
      </c>
      <c r="E35" s="323"/>
      <c r="F35" s="323"/>
      <c r="G35" s="323"/>
      <c r="H35" s="323"/>
      <c r="I35" s="323"/>
      <c r="J35" s="323"/>
      <c r="K35" s="323"/>
      <c r="L35" s="323"/>
      <c r="M35" s="323">
        <f t="shared" si="1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0.26500000000000001</v>
      </c>
      <c r="H36" s="323"/>
      <c r="I36" s="323"/>
      <c r="J36" s="323"/>
      <c r="K36" s="323"/>
      <c r="L36" s="323"/>
      <c r="M36" s="323">
        <f t="shared" si="1"/>
        <v>0.26500000000000001</v>
      </c>
      <c r="N36" s="323">
        <f t="shared" si="2"/>
        <v>87.603305785123979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66.079799999999992</v>
      </c>
      <c r="E38" s="321">
        <f t="shared" si="3"/>
        <v>9.1315000000000008</v>
      </c>
      <c r="F38" s="321"/>
      <c r="G38" s="321">
        <f>SUM(G29:G37)</f>
        <v>4.3423599999999993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4.3423599999999993</v>
      </c>
      <c r="N38" s="323">
        <f t="shared" si="2"/>
        <v>47.553633028527614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6" right="0.14000000000000001" top="0.3" bottom="0.37" header="0.15" footer="0.23"/>
  <pageSetup paperSize="9" scale="74" orientation="landscape" r:id="rId1"/>
  <headerFooter>
    <oddFooter>&amp;L&amp;9&amp;F&amp;R&amp;9&amp;A</oddFooter>
  </headerFooter>
</worksheet>
</file>

<file path=xl/worksheets/sheet347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3754</v>
      </c>
      <c r="C5" s="1649"/>
      <c r="D5" s="1649"/>
      <c r="E5" s="1650"/>
      <c r="F5" s="326" t="s">
        <v>171</v>
      </c>
      <c r="G5" s="326"/>
      <c r="H5" s="1651" t="s">
        <v>3753</v>
      </c>
      <c r="I5" s="1600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3752</v>
      </c>
      <c r="C7" s="1649"/>
      <c r="D7" s="1649"/>
      <c r="E7" s="1650"/>
      <c r="F7" s="1596" t="s">
        <v>3208</v>
      </c>
      <c r="G7" s="1596"/>
      <c r="H7" s="1648" t="s">
        <v>3751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 t="s">
        <v>3750</v>
      </c>
      <c r="C9" s="1649"/>
      <c r="D9" s="1649"/>
      <c r="E9" s="1650"/>
      <c r="F9" s="1601" t="s">
        <v>3205</v>
      </c>
      <c r="G9" s="1602"/>
      <c r="H9" s="1603" t="s">
        <v>3749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3.25" customHeight="1">
      <c r="A13" s="631" t="s">
        <v>838</v>
      </c>
      <c r="B13" s="1648" t="s">
        <v>3748</v>
      </c>
      <c r="C13" s="1650"/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23.25" customHeight="1">
      <c r="A14" s="631" t="s">
        <v>187</v>
      </c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23.25" customHeight="1">
      <c r="A15" s="631" t="s">
        <v>192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23.25" customHeight="1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1</v>
      </c>
      <c r="C18" s="326" t="s">
        <v>199</v>
      </c>
      <c r="D18" s="326"/>
      <c r="E18" s="326"/>
      <c r="F18" s="631"/>
      <c r="G18" s="326" t="s">
        <v>200</v>
      </c>
      <c r="H18" s="325">
        <v>6</v>
      </c>
      <c r="I18" s="326" t="s">
        <v>201</v>
      </c>
      <c r="J18" s="325">
        <v>1</v>
      </c>
      <c r="K18" s="326" t="s">
        <v>202</v>
      </c>
      <c r="L18" s="631"/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44</v>
      </c>
      <c r="D21" s="326" t="s">
        <v>205</v>
      </c>
      <c r="E21" s="631">
        <v>3</v>
      </c>
      <c r="F21" s="326" t="s">
        <v>206</v>
      </c>
      <c r="G21" s="631">
        <v>16</v>
      </c>
      <c r="H21" s="326" t="s">
        <v>230</v>
      </c>
      <c r="I21" s="80">
        <f>G21+E21+C21</f>
        <v>63</v>
      </c>
      <c r="J21" s="326" t="s">
        <v>207</v>
      </c>
      <c r="K21" s="631">
        <v>3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v>75</v>
      </c>
      <c r="D22" s="326" t="s">
        <v>211</v>
      </c>
      <c r="E22" s="631">
        <v>6</v>
      </c>
      <c r="F22" s="326" t="s">
        <v>212</v>
      </c>
      <c r="G22" s="80">
        <v>36</v>
      </c>
      <c r="H22" s="326" t="s">
        <v>411</v>
      </c>
      <c r="I22" s="80">
        <f>G22+E22+C22</f>
        <v>117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80</v>
      </c>
      <c r="D23" s="326" t="s">
        <v>214</v>
      </c>
      <c r="E23" s="631">
        <v>7</v>
      </c>
      <c r="F23" s="326" t="s">
        <v>215</v>
      </c>
      <c r="G23" s="80">
        <v>30</v>
      </c>
      <c r="H23" s="326" t="s">
        <v>410</v>
      </c>
      <c r="I23" s="80">
        <f>G23+E23+C23</f>
        <v>117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3">
        <v>5.016</v>
      </c>
      <c r="F29" s="300"/>
      <c r="G29" s="3">
        <v>1.9377500000000001</v>
      </c>
      <c r="H29" s="323"/>
      <c r="I29" s="323"/>
      <c r="J29" s="323"/>
      <c r="K29" s="323"/>
      <c r="L29" s="323"/>
      <c r="M29" s="323">
        <f t="shared" ref="M29:M38" si="1">SUM(F29:L29)</f>
        <v>1.9377500000000001</v>
      </c>
      <c r="N29" s="323">
        <f>+M29/E29*100</f>
        <v>38.631379585326954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6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0.16</v>
      </c>
      <c r="H32" s="323"/>
      <c r="I32" s="323"/>
      <c r="J32" s="323"/>
      <c r="K32" s="323"/>
      <c r="L32" s="323"/>
      <c r="M32" s="323">
        <f t="shared" si="1"/>
        <v>0.16</v>
      </c>
      <c r="N32" s="323">
        <f t="shared" si="2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3">
        <v>2</v>
      </c>
      <c r="F33" s="323"/>
      <c r="G33" s="323">
        <v>1.59873</v>
      </c>
      <c r="H33" s="323"/>
      <c r="I33" s="323"/>
      <c r="J33" s="323"/>
      <c r="K33" s="323"/>
      <c r="L33" s="323"/>
      <c r="M33" s="323">
        <f t="shared" si="1"/>
        <v>1.59873</v>
      </c>
      <c r="N33" s="323">
        <f t="shared" si="2"/>
        <v>79.936499999999995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3">
        <v>1.534</v>
      </c>
      <c r="F34" s="323"/>
      <c r="G34" s="323"/>
      <c r="H34" s="323"/>
      <c r="I34" s="323"/>
      <c r="J34" s="323"/>
      <c r="K34" s="323"/>
      <c r="L34" s="323"/>
      <c r="M34" s="323">
        <f t="shared" si="1"/>
        <v>0</v>
      </c>
      <c r="N34" s="323">
        <f t="shared" si="2"/>
        <v>0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3"/>
      <c r="F35" s="323"/>
      <c r="G35" s="323"/>
      <c r="H35" s="323"/>
      <c r="I35" s="323"/>
      <c r="J35" s="323"/>
      <c r="K35" s="323"/>
      <c r="L35" s="323"/>
      <c r="M35" s="323">
        <f t="shared" si="1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0.155</v>
      </c>
      <c r="H36" s="323"/>
      <c r="I36" s="323"/>
      <c r="J36" s="323"/>
      <c r="K36" s="323"/>
      <c r="L36" s="323"/>
      <c r="M36" s="323">
        <f t="shared" si="1"/>
        <v>0.155</v>
      </c>
      <c r="N36" s="323">
        <f t="shared" si="2"/>
        <v>51.239669421487598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62.635000000000005</v>
      </c>
      <c r="E38" s="321">
        <f t="shared" si="3"/>
        <v>9.1925000000000008</v>
      </c>
      <c r="F38" s="321"/>
      <c r="G38" s="321">
        <f>SUM(G29:G37)</f>
        <v>4.0314800000000002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4.0314800000000002</v>
      </c>
      <c r="N38" s="323">
        <f>+M38/E38*100</f>
        <v>43.856187109056293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5748031496062992" right="0.15748031496062992" top="0.27559055118110237" bottom="0.43307086614173229" header="0.15748031496062992" footer="0.27559055118110237"/>
  <pageSetup paperSize="9" scale="72" orientation="landscape" r:id="rId1"/>
  <headerFooter>
    <oddFooter>&amp;L&amp;F&amp;R&amp;A</oddFooter>
  </headerFooter>
</worksheet>
</file>

<file path=xl/worksheets/sheet348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N42"/>
  <sheetViews>
    <sheetView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2419</v>
      </c>
      <c r="C5" s="1649"/>
      <c r="D5" s="1649"/>
      <c r="E5" s="1650"/>
      <c r="F5" s="326" t="s">
        <v>171</v>
      </c>
      <c r="G5" s="326"/>
      <c r="H5" s="1651" t="s">
        <v>3764</v>
      </c>
      <c r="I5" s="1600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3763</v>
      </c>
      <c r="C7" s="1649"/>
      <c r="D7" s="1649"/>
      <c r="E7" s="1650"/>
      <c r="F7" s="1596" t="s">
        <v>3208</v>
      </c>
      <c r="G7" s="1596"/>
      <c r="H7" s="1648" t="s">
        <v>3762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 t="s">
        <v>3756</v>
      </c>
      <c r="C9" s="1649"/>
      <c r="D9" s="1649"/>
      <c r="E9" s="1650"/>
      <c r="F9" s="1601" t="s">
        <v>3205</v>
      </c>
      <c r="G9" s="1602"/>
      <c r="H9" s="1603" t="s">
        <v>3761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4" customHeight="1">
      <c r="A13" s="631" t="s">
        <v>838</v>
      </c>
      <c r="B13" s="1661" t="s">
        <v>3760</v>
      </c>
      <c r="C13" s="1661"/>
      <c r="D13" s="1661" t="s">
        <v>3759</v>
      </c>
      <c r="E13" s="1661"/>
      <c r="F13" s="1661"/>
      <c r="G13" s="1612"/>
      <c r="H13" s="1612"/>
      <c r="I13" s="1612"/>
      <c r="J13" s="1612"/>
      <c r="K13" s="1612"/>
      <c r="L13" s="1612"/>
      <c r="M13" s="1612"/>
      <c r="N13" s="326"/>
    </row>
    <row r="14" spans="1:14" ht="24" customHeight="1">
      <c r="A14" s="631" t="s">
        <v>187</v>
      </c>
      <c r="B14" s="1661"/>
      <c r="C14" s="1661"/>
      <c r="D14" s="1648" t="s">
        <v>3758</v>
      </c>
      <c r="E14" s="1649"/>
      <c r="F14" s="1650"/>
      <c r="G14" s="1612"/>
      <c r="H14" s="1612"/>
      <c r="I14" s="1612"/>
      <c r="J14" s="1612"/>
      <c r="K14" s="1612"/>
      <c r="L14" s="1612"/>
      <c r="M14" s="1612"/>
      <c r="N14" s="326"/>
    </row>
    <row r="15" spans="1:14" ht="24" customHeight="1">
      <c r="A15" s="631" t="s">
        <v>192</v>
      </c>
      <c r="B15" s="1661" t="s">
        <v>3757</v>
      </c>
      <c r="C15" s="1661"/>
      <c r="D15" s="1661" t="s">
        <v>3750</v>
      </c>
      <c r="E15" s="1661"/>
      <c r="F15" s="1661"/>
      <c r="G15" s="1612"/>
      <c r="H15" s="1612"/>
      <c r="I15" s="1612"/>
      <c r="J15" s="1612"/>
      <c r="K15" s="1612"/>
      <c r="L15" s="1612"/>
      <c r="M15" s="1612"/>
      <c r="N15" s="326"/>
    </row>
    <row r="16" spans="1:14" ht="24" customHeight="1">
      <c r="A16" s="631" t="s">
        <v>197</v>
      </c>
      <c r="B16" s="1661" t="s">
        <v>3756</v>
      </c>
      <c r="C16" s="1661"/>
      <c r="D16" s="1661" t="s">
        <v>3755</v>
      </c>
      <c r="E16" s="1661"/>
      <c r="F16" s="1661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3</v>
      </c>
      <c r="C18" s="326" t="s">
        <v>199</v>
      </c>
      <c r="D18" s="326"/>
      <c r="E18" s="326"/>
      <c r="F18" s="623">
        <v>2</v>
      </c>
      <c r="G18" s="326" t="s">
        <v>200</v>
      </c>
      <c r="H18" s="325">
        <v>10</v>
      </c>
      <c r="I18" s="326" t="s">
        <v>201</v>
      </c>
      <c r="J18" s="325">
        <v>2</v>
      </c>
      <c r="K18" s="326" t="s">
        <v>202</v>
      </c>
      <c r="L18" s="631"/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101</v>
      </c>
      <c r="D21" s="326" t="s">
        <v>205</v>
      </c>
      <c r="E21" s="631">
        <f>3+7</f>
        <v>10</v>
      </c>
      <c r="F21" s="326" t="s">
        <v>206</v>
      </c>
      <c r="G21" s="631">
        <v>16</v>
      </c>
      <c r="H21" s="326" t="s">
        <v>230</v>
      </c>
      <c r="I21" s="80">
        <f>G21+E21+C21</f>
        <v>127</v>
      </c>
      <c r="J21" s="326" t="s">
        <v>207</v>
      </c>
      <c r="K21" s="631">
        <v>29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f>76+71+18+22</f>
        <v>187</v>
      </c>
      <c r="D22" s="326" t="s">
        <v>211</v>
      </c>
      <c r="E22" s="631">
        <f>10+22</f>
        <v>32</v>
      </c>
      <c r="F22" s="326" t="s">
        <v>212</v>
      </c>
      <c r="G22" s="80">
        <f>28+3+1</f>
        <v>32</v>
      </c>
      <c r="H22" s="326" t="s">
        <v>411</v>
      </c>
      <c r="I22" s="80">
        <f>G22+E22+C22</f>
        <v>251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f>89+91+21+28</f>
        <v>229</v>
      </c>
      <c r="D23" s="326" t="s">
        <v>214</v>
      </c>
      <c r="E23" s="631">
        <f>10+15</f>
        <v>25</v>
      </c>
      <c r="F23" s="326" t="s">
        <v>215</v>
      </c>
      <c r="G23" s="80">
        <f>31+3+2</f>
        <v>36</v>
      </c>
      <c r="H23" s="326" t="s">
        <v>410</v>
      </c>
      <c r="I23" s="80">
        <f>G23+E23+C23</f>
        <v>290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3">
        <v>5.016</v>
      </c>
      <c r="F29" s="300"/>
      <c r="G29" s="300">
        <v>1.97895</v>
      </c>
      <c r="H29" s="323"/>
      <c r="I29" s="323"/>
      <c r="J29" s="323"/>
      <c r="K29" s="323"/>
      <c r="L29" s="323"/>
      <c r="M29" s="323">
        <f t="shared" ref="M29:M38" si="1">SUM(F29:L29)</f>
        <v>1.97895</v>
      </c>
      <c r="N29" s="323">
        <f>+M29/E29*100</f>
        <v>39.452751196172251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0.16</v>
      </c>
      <c r="H32" s="323"/>
      <c r="I32" s="323"/>
      <c r="J32" s="323"/>
      <c r="K32" s="323"/>
      <c r="L32" s="323"/>
      <c r="M32" s="323">
        <f t="shared" si="1"/>
        <v>0.16</v>
      </c>
      <c r="N32" s="323">
        <f t="shared" si="2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3">
        <v>2</v>
      </c>
      <c r="F33" s="323"/>
      <c r="G33" s="323">
        <v>1.59873</v>
      </c>
      <c r="H33" s="323"/>
      <c r="I33" s="323"/>
      <c r="J33" s="323"/>
      <c r="K33" s="323"/>
      <c r="L33" s="323"/>
      <c r="M33" s="323">
        <f t="shared" si="1"/>
        <v>1.59873</v>
      </c>
      <c r="N33" s="323">
        <f t="shared" si="2"/>
        <v>79.936499999999995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3">
        <v>1.536</v>
      </c>
      <c r="F34" s="323"/>
      <c r="G34" s="323">
        <v>0.35</v>
      </c>
      <c r="H34" s="323"/>
      <c r="I34" s="323"/>
      <c r="J34" s="323"/>
      <c r="K34" s="323"/>
      <c r="L34" s="323"/>
      <c r="M34" s="323">
        <f t="shared" si="1"/>
        <v>0.35</v>
      </c>
      <c r="N34" s="323">
        <f t="shared" si="2"/>
        <v>22.786458333333332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3">
        <v>1</v>
      </c>
      <c r="F35" s="323"/>
      <c r="G35" s="323">
        <v>0.35199999999999998</v>
      </c>
      <c r="H35" s="323"/>
      <c r="I35" s="323"/>
      <c r="J35" s="323"/>
      <c r="K35" s="323"/>
      <c r="L35" s="323"/>
      <c r="M35" s="323">
        <f t="shared" si="1"/>
        <v>0.35199999999999998</v>
      </c>
      <c r="N35" s="323">
        <f t="shared" si="2"/>
        <v>35.199999999999996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0.26500000000000001</v>
      </c>
      <c r="H36" s="323"/>
      <c r="I36" s="323"/>
      <c r="J36" s="323"/>
      <c r="K36" s="323"/>
      <c r="L36" s="323"/>
      <c r="M36" s="323">
        <f t="shared" si="1"/>
        <v>0.26500000000000001</v>
      </c>
      <c r="N36" s="323">
        <f t="shared" si="2"/>
        <v>87.603305785123979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62.635000000000005</v>
      </c>
      <c r="E38" s="321">
        <f t="shared" si="3"/>
        <v>10.1945</v>
      </c>
      <c r="F38" s="321"/>
      <c r="G38" s="321">
        <f>SUM(G29:G37)</f>
        <v>4.8846799999999995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4.8846799999999995</v>
      </c>
      <c r="N38" s="323">
        <f t="shared" si="2"/>
        <v>47.914856049830789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5748031496062992" right="0.15748031496062992" top="0.27559055118110237" bottom="0.43307086614173229" header="0.15748031496062992" footer="0.27559055118110237"/>
  <pageSetup paperSize="9" scale="72" orientation="landscape" r:id="rId1"/>
  <headerFooter>
    <oddFooter>&amp;L&amp;F&amp;R&amp;A</oddFooter>
  </headerFooter>
</worksheet>
</file>

<file path=xl/worksheets/sheet349.xml><?xml version="1.0" encoding="utf-8"?>
<worksheet xmlns="http://schemas.openxmlformats.org/spreadsheetml/2006/main" xmlns:r="http://schemas.openxmlformats.org/officeDocument/2006/relationships">
  <sheetPr>
    <tabColor theme="6" tint="-0.249977111117893"/>
    <pageSetUpPr fitToPage="1"/>
  </sheetPr>
  <dimension ref="A1:N42"/>
  <sheetViews>
    <sheetView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3772</v>
      </c>
      <c r="C5" s="1649"/>
      <c r="D5" s="1649"/>
      <c r="E5" s="1650"/>
      <c r="F5" s="326" t="s">
        <v>171</v>
      </c>
      <c r="G5" s="326"/>
      <c r="H5" s="1651" t="s">
        <v>3771</v>
      </c>
      <c r="I5" s="1600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3770</v>
      </c>
      <c r="C7" s="1649"/>
      <c r="D7" s="1649"/>
      <c r="E7" s="1650"/>
      <c r="F7" s="1596" t="s">
        <v>3208</v>
      </c>
      <c r="G7" s="1596"/>
      <c r="H7" s="1648" t="s">
        <v>3769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 t="s">
        <v>3768</v>
      </c>
      <c r="C9" s="1649"/>
      <c r="D9" s="1649"/>
      <c r="E9" s="1650"/>
      <c r="F9" s="1601" t="s">
        <v>3205</v>
      </c>
      <c r="G9" s="1602"/>
      <c r="H9" s="1603" t="s">
        <v>3767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4" customHeight="1">
      <c r="A13" s="631" t="s">
        <v>838</v>
      </c>
      <c r="B13" s="1612" t="s">
        <v>3766</v>
      </c>
      <c r="C13" s="1612"/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24" customHeight="1">
      <c r="A14" s="631" t="s">
        <v>187</v>
      </c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24" customHeight="1">
      <c r="A15" s="631" t="s">
        <v>192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24" customHeight="1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1</v>
      </c>
      <c r="C18" s="326" t="s">
        <v>199</v>
      </c>
      <c r="D18" s="326"/>
      <c r="E18" s="326"/>
      <c r="F18" s="631" t="s">
        <v>3765</v>
      </c>
      <c r="G18" s="326" t="s">
        <v>200</v>
      </c>
      <c r="H18" s="325">
        <v>20</v>
      </c>
      <c r="I18" s="326" t="s">
        <v>201</v>
      </c>
      <c r="J18" s="325">
        <v>1</v>
      </c>
      <c r="K18" s="326" t="s">
        <v>202</v>
      </c>
      <c r="L18" s="631"/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131</v>
      </c>
      <c r="D21" s="326" t="s">
        <v>205</v>
      </c>
      <c r="E21" s="631">
        <v>55</v>
      </c>
      <c r="F21" s="326" t="s">
        <v>206</v>
      </c>
      <c r="G21" s="631">
        <v>46</v>
      </c>
      <c r="H21" s="326" t="s">
        <v>230</v>
      </c>
      <c r="I21" s="80">
        <f>G21+E21+C21</f>
        <v>232</v>
      </c>
      <c r="J21" s="326" t="s">
        <v>207</v>
      </c>
      <c r="K21" s="631">
        <v>40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v>281</v>
      </c>
      <c r="D22" s="326" t="s">
        <v>211</v>
      </c>
      <c r="E22" s="631">
        <v>116</v>
      </c>
      <c r="F22" s="326" t="s">
        <v>212</v>
      </c>
      <c r="G22" s="80">
        <v>85</v>
      </c>
      <c r="H22" s="326" t="s">
        <v>411</v>
      </c>
      <c r="I22" s="80">
        <f>G22+E22+C22</f>
        <v>482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278</v>
      </c>
      <c r="D23" s="326" t="s">
        <v>214</v>
      </c>
      <c r="E23" s="631">
        <v>119</v>
      </c>
      <c r="F23" s="326" t="s">
        <v>215</v>
      </c>
      <c r="G23" s="80">
        <v>91</v>
      </c>
      <c r="H23" s="326" t="s">
        <v>410</v>
      </c>
      <c r="I23" s="80">
        <f>G23+E23+C23</f>
        <v>488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3">
        <v>5.266</v>
      </c>
      <c r="F29" s="300"/>
      <c r="G29" s="300">
        <v>2.2240000000000002</v>
      </c>
      <c r="H29" s="323"/>
      <c r="I29" s="323"/>
      <c r="J29" s="323"/>
      <c r="K29" s="323"/>
      <c r="L29" s="323"/>
      <c r="M29" s="323">
        <f t="shared" ref="M29:M38" si="1">SUM(F29:L29)</f>
        <v>2.2240000000000002</v>
      </c>
      <c r="N29" s="323">
        <f>+M29/E29*100</f>
        <v>42.2331940751994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0.12584000000000001</v>
      </c>
      <c r="H32" s="323"/>
      <c r="I32" s="323"/>
      <c r="J32" s="323"/>
      <c r="K32" s="323"/>
      <c r="L32" s="323"/>
      <c r="M32" s="323">
        <f t="shared" si="1"/>
        <v>0.12584000000000001</v>
      </c>
      <c r="N32" s="323">
        <f t="shared" si="2"/>
        <v>78.649999999999991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3">
        <v>2</v>
      </c>
      <c r="F33" s="323"/>
      <c r="G33" s="323">
        <v>1.99051</v>
      </c>
      <c r="H33" s="323"/>
      <c r="I33" s="323"/>
      <c r="J33" s="323"/>
      <c r="K33" s="323"/>
      <c r="L33" s="323"/>
      <c r="M33" s="323">
        <f t="shared" si="1"/>
        <v>1.99051</v>
      </c>
      <c r="N33" s="323">
        <f t="shared" si="2"/>
        <v>99.525499999999994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3">
        <v>1.4390000000000001</v>
      </c>
      <c r="F34" s="323"/>
      <c r="G34" s="323">
        <v>0.2</v>
      </c>
      <c r="H34" s="323"/>
      <c r="I34" s="323"/>
      <c r="J34" s="323"/>
      <c r="K34" s="323"/>
      <c r="L34" s="323"/>
      <c r="M34" s="323">
        <f t="shared" si="1"/>
        <v>0.2</v>
      </c>
      <c r="N34" s="323">
        <f t="shared" si="2"/>
        <v>13.898540653231411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3"/>
      <c r="F35" s="323"/>
      <c r="G35" s="323"/>
      <c r="H35" s="323"/>
      <c r="I35" s="323"/>
      <c r="J35" s="323"/>
      <c r="K35" s="323"/>
      <c r="L35" s="323"/>
      <c r="M35" s="323">
        <f t="shared" si="1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0.155</v>
      </c>
      <c r="H36" s="323"/>
      <c r="I36" s="323"/>
      <c r="J36" s="323"/>
      <c r="K36" s="323"/>
      <c r="L36" s="323"/>
      <c r="M36" s="323">
        <f t="shared" si="1"/>
        <v>0.155</v>
      </c>
      <c r="N36" s="323">
        <f t="shared" si="2"/>
        <v>51.239669421487598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62.635000000000005</v>
      </c>
      <c r="E38" s="321">
        <f t="shared" si="3"/>
        <v>9.3475000000000001</v>
      </c>
      <c r="F38" s="321"/>
      <c r="G38" s="321">
        <f>SUM(G29:G37)</f>
        <v>4.875350000000001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4.875350000000001</v>
      </c>
      <c r="N38" s="323">
        <f t="shared" si="2"/>
        <v>52.156726397432472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5748031496062992" right="0.15748031496062992" top="0.27559055118110237" bottom="0.47244094488188981" header="0.15748031496062992" footer="0.27559055118110237"/>
  <pageSetup paperSize="9" scale="71" orientation="landscape" r:id="rId1"/>
  <headerFooter>
    <oddFooter>&amp;L&amp;F&amp;R&amp;A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/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788</v>
      </c>
      <c r="C2" t="s">
        <v>611</v>
      </c>
      <c r="D2" t="s">
        <v>5732</v>
      </c>
      <c r="F2" t="s">
        <v>612</v>
      </c>
      <c r="G2">
        <v>506</v>
      </c>
      <c r="H2" t="s">
        <v>613</v>
      </c>
      <c r="I2">
        <v>120</v>
      </c>
    </row>
    <row r="3" spans="1:15">
      <c r="A3" t="s">
        <v>614</v>
      </c>
      <c r="B3" t="s">
        <v>789</v>
      </c>
      <c r="E3" t="s">
        <v>616</v>
      </c>
      <c r="G3" t="s">
        <v>790</v>
      </c>
    </row>
    <row r="4" spans="1:15">
      <c r="A4" t="s">
        <v>618</v>
      </c>
      <c r="B4" t="s">
        <v>764</v>
      </c>
      <c r="G4" t="s">
        <v>620</v>
      </c>
      <c r="I4" t="s">
        <v>791</v>
      </c>
    </row>
    <row r="5" spans="1:15">
      <c r="A5" t="s">
        <v>622</v>
      </c>
      <c r="B5" t="s">
        <v>792</v>
      </c>
      <c r="E5" t="s">
        <v>793</v>
      </c>
      <c r="I5" t="s">
        <v>794</v>
      </c>
      <c r="M5" t="s">
        <v>795</v>
      </c>
    </row>
    <row r="6" spans="1:15">
      <c r="A6" t="s">
        <v>628</v>
      </c>
      <c r="B6" t="s">
        <v>796</v>
      </c>
      <c r="E6" t="s">
        <v>672</v>
      </c>
      <c r="I6" t="s">
        <v>797</v>
      </c>
      <c r="M6" t="s">
        <v>798</v>
      </c>
    </row>
    <row r="7" spans="1:15">
      <c r="A7" t="s">
        <v>634</v>
      </c>
      <c r="B7" t="s">
        <v>799</v>
      </c>
      <c r="I7" t="s">
        <v>800</v>
      </c>
    </row>
    <row r="8" spans="1:15">
      <c r="A8" t="s">
        <v>639</v>
      </c>
      <c r="I8" t="s">
        <v>764</v>
      </c>
    </row>
    <row r="9" spans="1:15">
      <c r="A9" t="s">
        <v>641</v>
      </c>
      <c r="B9">
        <v>4</v>
      </c>
      <c r="C9" t="s">
        <v>642</v>
      </c>
      <c r="D9">
        <v>4</v>
      </c>
      <c r="E9" t="s">
        <v>643</v>
      </c>
      <c r="F9">
        <v>13</v>
      </c>
      <c r="G9" t="s">
        <v>644</v>
      </c>
      <c r="H9">
        <v>2</v>
      </c>
      <c r="I9" t="s">
        <v>645</v>
      </c>
      <c r="J9">
        <v>13</v>
      </c>
    </row>
    <row r="10" spans="1:15">
      <c r="A10" t="s">
        <v>646</v>
      </c>
      <c r="B10" t="s">
        <v>204</v>
      </c>
      <c r="C10">
        <v>76</v>
      </c>
      <c r="D10" t="s">
        <v>205</v>
      </c>
      <c r="E10">
        <v>44</v>
      </c>
      <c r="F10" t="s">
        <v>206</v>
      </c>
      <c r="G10">
        <v>22</v>
      </c>
      <c r="H10" t="s">
        <v>230</v>
      </c>
      <c r="I10">
        <v>142</v>
      </c>
      <c r="J10" t="s">
        <v>647</v>
      </c>
      <c r="K10">
        <v>56</v>
      </c>
      <c r="L10" t="s">
        <v>648</v>
      </c>
      <c r="M10">
        <v>6</v>
      </c>
    </row>
    <row r="11" spans="1:15">
      <c r="A11" t="s">
        <v>209</v>
      </c>
      <c r="B11" t="s">
        <v>210</v>
      </c>
      <c r="C11">
        <v>186</v>
      </c>
      <c r="D11" t="s">
        <v>649</v>
      </c>
      <c r="E11">
        <v>96</v>
      </c>
      <c r="F11" t="s">
        <v>212</v>
      </c>
      <c r="G11">
        <v>47</v>
      </c>
      <c r="H11" t="s">
        <v>411</v>
      </c>
      <c r="I11">
        <v>322</v>
      </c>
    </row>
    <row r="12" spans="1:15">
      <c r="B12" t="s">
        <v>213</v>
      </c>
      <c r="C12">
        <v>179</v>
      </c>
      <c r="D12" t="s">
        <v>650</v>
      </c>
      <c r="E12">
        <v>90</v>
      </c>
      <c r="F12" t="s">
        <v>215</v>
      </c>
      <c r="G12">
        <v>59</v>
      </c>
      <c r="H12" t="s">
        <v>410</v>
      </c>
      <c r="I12">
        <v>362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40.479999999999997</v>
      </c>
      <c r="F16">
        <v>4048000</v>
      </c>
      <c r="G16">
        <v>0</v>
      </c>
      <c r="H16">
        <v>142778</v>
      </c>
      <c r="I16">
        <v>1572959</v>
      </c>
      <c r="J16">
        <v>1757540</v>
      </c>
      <c r="K16">
        <v>307368</v>
      </c>
      <c r="L16">
        <v>47455</v>
      </c>
      <c r="N16">
        <f>G16+H16+I16+J16+K16+L16+M16</f>
        <v>3828100</v>
      </c>
    </row>
    <row r="17" spans="1:15">
      <c r="A17" t="s">
        <v>665</v>
      </c>
      <c r="C17">
        <v>7000</v>
      </c>
      <c r="D17" t="s">
        <v>664</v>
      </c>
      <c r="E17">
        <v>8.4</v>
      </c>
      <c r="F17">
        <v>700000</v>
      </c>
      <c r="G17">
        <v>0</v>
      </c>
      <c r="H17">
        <v>17093</v>
      </c>
      <c r="I17">
        <v>90186</v>
      </c>
      <c r="J17">
        <v>228171</v>
      </c>
      <c r="K17">
        <v>0</v>
      </c>
      <c r="L17">
        <v>294010</v>
      </c>
      <c r="N17">
        <f t="shared" ref="N17:N23" si="0">G17+H17+I17+J17+K17+L17+M17</f>
        <v>629460</v>
      </c>
    </row>
    <row r="18" spans="1:15">
      <c r="A18" t="s">
        <v>235</v>
      </c>
      <c r="C18">
        <v>86</v>
      </c>
      <c r="D18" t="s">
        <v>664</v>
      </c>
      <c r="E18">
        <v>0.44</v>
      </c>
      <c r="F18">
        <v>43000</v>
      </c>
      <c r="G18">
        <v>0</v>
      </c>
      <c r="H18">
        <v>0</v>
      </c>
      <c r="I18">
        <v>3361</v>
      </c>
      <c r="J18">
        <v>2250</v>
      </c>
      <c r="K18">
        <v>0</v>
      </c>
      <c r="L18">
        <v>18054</v>
      </c>
      <c r="N18">
        <f t="shared" si="0"/>
        <v>23665</v>
      </c>
    </row>
    <row r="19" spans="1:15">
      <c r="A19" t="s">
        <v>666</v>
      </c>
      <c r="C19">
        <v>68</v>
      </c>
      <c r="D19" t="s">
        <v>664</v>
      </c>
      <c r="E19">
        <v>0.34</v>
      </c>
      <c r="F19">
        <v>34000</v>
      </c>
      <c r="G19">
        <v>0</v>
      </c>
      <c r="H19">
        <v>0</v>
      </c>
      <c r="I19">
        <v>0</v>
      </c>
      <c r="J19">
        <v>12584</v>
      </c>
      <c r="K19">
        <v>14737</v>
      </c>
      <c r="N19">
        <f t="shared" si="0"/>
        <v>27321</v>
      </c>
    </row>
    <row r="20" spans="1:15">
      <c r="A20" t="s">
        <v>238</v>
      </c>
      <c r="C20">
        <v>1200</v>
      </c>
      <c r="D20" t="s">
        <v>664</v>
      </c>
      <c r="E20">
        <v>6.07</v>
      </c>
      <c r="F20">
        <v>200000</v>
      </c>
      <c r="G20">
        <v>0</v>
      </c>
      <c r="H20">
        <v>0</v>
      </c>
      <c r="I20">
        <v>0</v>
      </c>
      <c r="J20">
        <v>0</v>
      </c>
      <c r="K20">
        <v>0</v>
      </c>
      <c r="L20">
        <v>130250</v>
      </c>
      <c r="N20">
        <f t="shared" si="0"/>
        <v>130250</v>
      </c>
    </row>
    <row r="21" spans="1:15">
      <c r="A21" t="s">
        <v>667</v>
      </c>
      <c r="C21">
        <v>565</v>
      </c>
      <c r="D21" t="s">
        <v>664</v>
      </c>
      <c r="E21">
        <v>2.83</v>
      </c>
      <c r="F21">
        <v>235000</v>
      </c>
      <c r="G21">
        <v>0</v>
      </c>
      <c r="H21">
        <v>0</v>
      </c>
      <c r="I21">
        <v>0</v>
      </c>
      <c r="J21">
        <v>0</v>
      </c>
      <c r="K21">
        <v>234280</v>
      </c>
      <c r="L21">
        <v>720</v>
      </c>
      <c r="N21">
        <f t="shared" si="0"/>
        <v>235000</v>
      </c>
    </row>
    <row r="22" spans="1:15">
      <c r="A22" t="s">
        <v>668</v>
      </c>
      <c r="C22">
        <v>1000</v>
      </c>
      <c r="D22" t="s">
        <v>664</v>
      </c>
      <c r="E22">
        <v>5.0599999999999996</v>
      </c>
      <c r="F22">
        <v>506000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f t="shared" si="0"/>
        <v>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H23">
        <v>47725</v>
      </c>
      <c r="I23">
        <v>42497</v>
      </c>
      <c r="J23">
        <v>32390</v>
      </c>
      <c r="K23">
        <v>14044</v>
      </c>
      <c r="L23">
        <v>33010</v>
      </c>
      <c r="N23">
        <f t="shared" si="0"/>
        <v>169666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66.029999999999987</v>
      </c>
      <c r="F25">
        <f t="shared" ref="F25:O25" si="1">SUM(F16:F24)</f>
        <v>5898000</v>
      </c>
      <c r="G25">
        <f t="shared" si="1"/>
        <v>0</v>
      </c>
      <c r="H25">
        <f t="shared" si="1"/>
        <v>207596</v>
      </c>
      <c r="I25">
        <f t="shared" si="1"/>
        <v>1709003</v>
      </c>
      <c r="J25">
        <f t="shared" si="1"/>
        <v>2032935</v>
      </c>
      <c r="K25">
        <f t="shared" si="1"/>
        <v>570429</v>
      </c>
      <c r="L25">
        <f t="shared" si="1"/>
        <v>523499</v>
      </c>
      <c r="M25">
        <f t="shared" si="1"/>
        <v>0</v>
      </c>
      <c r="N25">
        <f t="shared" si="1"/>
        <v>5043462</v>
      </c>
      <c r="O25">
        <f t="shared" si="1"/>
        <v>0</v>
      </c>
    </row>
  </sheetData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350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N42"/>
  <sheetViews>
    <sheetView zoomScale="90" zoomScaleNormal="9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4" max="4" width="11.85546875" customWidth="1"/>
    <col min="5" max="5" width="11.5703125" customWidth="1"/>
    <col min="6" max="6" width="15" customWidth="1"/>
    <col min="7" max="7" width="16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9.28515625" bestFit="1" customWidth="1"/>
    <col min="257" max="257" width="36.5703125" bestFit="1" customWidth="1"/>
    <col min="258" max="258" width="13.28515625" customWidth="1"/>
    <col min="260" max="260" width="11.85546875" customWidth="1"/>
    <col min="261" max="261" width="11.5703125" customWidth="1"/>
    <col min="262" max="262" width="15" customWidth="1"/>
    <col min="263" max="263" width="16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9.28515625" bestFit="1" customWidth="1"/>
    <col min="513" max="513" width="36.5703125" bestFit="1" customWidth="1"/>
    <col min="514" max="514" width="13.28515625" customWidth="1"/>
    <col min="516" max="516" width="11.85546875" customWidth="1"/>
    <col min="517" max="517" width="11.5703125" customWidth="1"/>
    <col min="518" max="518" width="15" customWidth="1"/>
    <col min="519" max="519" width="16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9.28515625" bestFit="1" customWidth="1"/>
    <col min="769" max="769" width="36.5703125" bestFit="1" customWidth="1"/>
    <col min="770" max="770" width="13.28515625" customWidth="1"/>
    <col min="772" max="772" width="11.85546875" customWidth="1"/>
    <col min="773" max="773" width="11.5703125" customWidth="1"/>
    <col min="774" max="774" width="15" customWidth="1"/>
    <col min="775" max="775" width="16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9.28515625" bestFit="1" customWidth="1"/>
    <col min="1025" max="1025" width="36.5703125" bestFit="1" customWidth="1"/>
    <col min="1026" max="1026" width="13.28515625" customWidth="1"/>
    <col min="1028" max="1028" width="11.85546875" customWidth="1"/>
    <col min="1029" max="1029" width="11.5703125" customWidth="1"/>
    <col min="1030" max="1030" width="15" customWidth="1"/>
    <col min="1031" max="1031" width="16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9.28515625" bestFit="1" customWidth="1"/>
    <col min="1281" max="1281" width="36.5703125" bestFit="1" customWidth="1"/>
    <col min="1282" max="1282" width="13.28515625" customWidth="1"/>
    <col min="1284" max="1284" width="11.85546875" customWidth="1"/>
    <col min="1285" max="1285" width="11.5703125" customWidth="1"/>
    <col min="1286" max="1286" width="15" customWidth="1"/>
    <col min="1287" max="1287" width="16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9.28515625" bestFit="1" customWidth="1"/>
    <col min="1537" max="1537" width="36.5703125" bestFit="1" customWidth="1"/>
    <col min="1538" max="1538" width="13.28515625" customWidth="1"/>
    <col min="1540" max="1540" width="11.85546875" customWidth="1"/>
    <col min="1541" max="1541" width="11.5703125" customWidth="1"/>
    <col min="1542" max="1542" width="15" customWidth="1"/>
    <col min="1543" max="1543" width="16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9.28515625" bestFit="1" customWidth="1"/>
    <col min="1793" max="1793" width="36.5703125" bestFit="1" customWidth="1"/>
    <col min="1794" max="1794" width="13.28515625" customWidth="1"/>
    <col min="1796" max="1796" width="11.85546875" customWidth="1"/>
    <col min="1797" max="1797" width="11.5703125" customWidth="1"/>
    <col min="1798" max="1798" width="15" customWidth="1"/>
    <col min="1799" max="1799" width="16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9.28515625" bestFit="1" customWidth="1"/>
    <col min="2049" max="2049" width="36.5703125" bestFit="1" customWidth="1"/>
    <col min="2050" max="2050" width="13.28515625" customWidth="1"/>
    <col min="2052" max="2052" width="11.85546875" customWidth="1"/>
    <col min="2053" max="2053" width="11.5703125" customWidth="1"/>
    <col min="2054" max="2054" width="15" customWidth="1"/>
    <col min="2055" max="2055" width="16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9.28515625" bestFit="1" customWidth="1"/>
    <col min="2305" max="2305" width="36.5703125" bestFit="1" customWidth="1"/>
    <col min="2306" max="2306" width="13.28515625" customWidth="1"/>
    <col min="2308" max="2308" width="11.85546875" customWidth="1"/>
    <col min="2309" max="2309" width="11.5703125" customWidth="1"/>
    <col min="2310" max="2310" width="15" customWidth="1"/>
    <col min="2311" max="2311" width="16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9.28515625" bestFit="1" customWidth="1"/>
    <col min="2561" max="2561" width="36.5703125" bestFit="1" customWidth="1"/>
    <col min="2562" max="2562" width="13.28515625" customWidth="1"/>
    <col min="2564" max="2564" width="11.85546875" customWidth="1"/>
    <col min="2565" max="2565" width="11.5703125" customWidth="1"/>
    <col min="2566" max="2566" width="15" customWidth="1"/>
    <col min="2567" max="2567" width="16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9.28515625" bestFit="1" customWidth="1"/>
    <col min="2817" max="2817" width="36.5703125" bestFit="1" customWidth="1"/>
    <col min="2818" max="2818" width="13.28515625" customWidth="1"/>
    <col min="2820" max="2820" width="11.85546875" customWidth="1"/>
    <col min="2821" max="2821" width="11.5703125" customWidth="1"/>
    <col min="2822" max="2822" width="15" customWidth="1"/>
    <col min="2823" max="2823" width="16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9.28515625" bestFit="1" customWidth="1"/>
    <col min="3073" max="3073" width="36.5703125" bestFit="1" customWidth="1"/>
    <col min="3074" max="3074" width="13.28515625" customWidth="1"/>
    <col min="3076" max="3076" width="11.85546875" customWidth="1"/>
    <col min="3077" max="3077" width="11.5703125" customWidth="1"/>
    <col min="3078" max="3078" width="15" customWidth="1"/>
    <col min="3079" max="3079" width="16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9.28515625" bestFit="1" customWidth="1"/>
    <col min="3329" max="3329" width="36.5703125" bestFit="1" customWidth="1"/>
    <col min="3330" max="3330" width="13.28515625" customWidth="1"/>
    <col min="3332" max="3332" width="11.85546875" customWidth="1"/>
    <col min="3333" max="3333" width="11.5703125" customWidth="1"/>
    <col min="3334" max="3334" width="15" customWidth="1"/>
    <col min="3335" max="3335" width="16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9.28515625" bestFit="1" customWidth="1"/>
    <col min="3585" max="3585" width="36.5703125" bestFit="1" customWidth="1"/>
    <col min="3586" max="3586" width="13.28515625" customWidth="1"/>
    <col min="3588" max="3588" width="11.85546875" customWidth="1"/>
    <col min="3589" max="3589" width="11.5703125" customWidth="1"/>
    <col min="3590" max="3590" width="15" customWidth="1"/>
    <col min="3591" max="3591" width="16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9.28515625" bestFit="1" customWidth="1"/>
    <col min="3841" max="3841" width="36.5703125" bestFit="1" customWidth="1"/>
    <col min="3842" max="3842" width="13.28515625" customWidth="1"/>
    <col min="3844" max="3844" width="11.85546875" customWidth="1"/>
    <col min="3845" max="3845" width="11.5703125" customWidth="1"/>
    <col min="3846" max="3846" width="15" customWidth="1"/>
    <col min="3847" max="3847" width="16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9.28515625" bestFit="1" customWidth="1"/>
    <col min="4097" max="4097" width="36.5703125" bestFit="1" customWidth="1"/>
    <col min="4098" max="4098" width="13.28515625" customWidth="1"/>
    <col min="4100" max="4100" width="11.85546875" customWidth="1"/>
    <col min="4101" max="4101" width="11.5703125" customWidth="1"/>
    <col min="4102" max="4102" width="15" customWidth="1"/>
    <col min="4103" max="4103" width="16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9.28515625" bestFit="1" customWidth="1"/>
    <col min="4353" max="4353" width="36.5703125" bestFit="1" customWidth="1"/>
    <col min="4354" max="4354" width="13.28515625" customWidth="1"/>
    <col min="4356" max="4356" width="11.85546875" customWidth="1"/>
    <col min="4357" max="4357" width="11.5703125" customWidth="1"/>
    <col min="4358" max="4358" width="15" customWidth="1"/>
    <col min="4359" max="4359" width="16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9.28515625" bestFit="1" customWidth="1"/>
    <col min="4609" max="4609" width="36.5703125" bestFit="1" customWidth="1"/>
    <col min="4610" max="4610" width="13.28515625" customWidth="1"/>
    <col min="4612" max="4612" width="11.85546875" customWidth="1"/>
    <col min="4613" max="4613" width="11.5703125" customWidth="1"/>
    <col min="4614" max="4614" width="15" customWidth="1"/>
    <col min="4615" max="4615" width="16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9.28515625" bestFit="1" customWidth="1"/>
    <col min="4865" max="4865" width="36.5703125" bestFit="1" customWidth="1"/>
    <col min="4866" max="4866" width="13.28515625" customWidth="1"/>
    <col min="4868" max="4868" width="11.85546875" customWidth="1"/>
    <col min="4869" max="4869" width="11.5703125" customWidth="1"/>
    <col min="4870" max="4870" width="15" customWidth="1"/>
    <col min="4871" max="4871" width="16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9.28515625" bestFit="1" customWidth="1"/>
    <col min="5121" max="5121" width="36.5703125" bestFit="1" customWidth="1"/>
    <col min="5122" max="5122" width="13.28515625" customWidth="1"/>
    <col min="5124" max="5124" width="11.85546875" customWidth="1"/>
    <col min="5125" max="5125" width="11.5703125" customWidth="1"/>
    <col min="5126" max="5126" width="15" customWidth="1"/>
    <col min="5127" max="5127" width="16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9.28515625" bestFit="1" customWidth="1"/>
    <col min="5377" max="5377" width="36.5703125" bestFit="1" customWidth="1"/>
    <col min="5378" max="5378" width="13.28515625" customWidth="1"/>
    <col min="5380" max="5380" width="11.85546875" customWidth="1"/>
    <col min="5381" max="5381" width="11.5703125" customWidth="1"/>
    <col min="5382" max="5382" width="15" customWidth="1"/>
    <col min="5383" max="5383" width="16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9.28515625" bestFit="1" customWidth="1"/>
    <col min="5633" max="5633" width="36.5703125" bestFit="1" customWidth="1"/>
    <col min="5634" max="5634" width="13.28515625" customWidth="1"/>
    <col min="5636" max="5636" width="11.85546875" customWidth="1"/>
    <col min="5637" max="5637" width="11.5703125" customWidth="1"/>
    <col min="5638" max="5638" width="15" customWidth="1"/>
    <col min="5639" max="5639" width="16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9.28515625" bestFit="1" customWidth="1"/>
    <col min="5889" max="5889" width="36.5703125" bestFit="1" customWidth="1"/>
    <col min="5890" max="5890" width="13.28515625" customWidth="1"/>
    <col min="5892" max="5892" width="11.85546875" customWidth="1"/>
    <col min="5893" max="5893" width="11.5703125" customWidth="1"/>
    <col min="5894" max="5894" width="15" customWidth="1"/>
    <col min="5895" max="5895" width="16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9.28515625" bestFit="1" customWidth="1"/>
    <col min="6145" max="6145" width="36.5703125" bestFit="1" customWidth="1"/>
    <col min="6146" max="6146" width="13.28515625" customWidth="1"/>
    <col min="6148" max="6148" width="11.85546875" customWidth="1"/>
    <col min="6149" max="6149" width="11.5703125" customWidth="1"/>
    <col min="6150" max="6150" width="15" customWidth="1"/>
    <col min="6151" max="6151" width="16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9.28515625" bestFit="1" customWidth="1"/>
    <col min="6401" max="6401" width="36.5703125" bestFit="1" customWidth="1"/>
    <col min="6402" max="6402" width="13.28515625" customWidth="1"/>
    <col min="6404" max="6404" width="11.85546875" customWidth="1"/>
    <col min="6405" max="6405" width="11.5703125" customWidth="1"/>
    <col min="6406" max="6406" width="15" customWidth="1"/>
    <col min="6407" max="6407" width="16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9.28515625" bestFit="1" customWidth="1"/>
    <col min="6657" max="6657" width="36.5703125" bestFit="1" customWidth="1"/>
    <col min="6658" max="6658" width="13.28515625" customWidth="1"/>
    <col min="6660" max="6660" width="11.85546875" customWidth="1"/>
    <col min="6661" max="6661" width="11.5703125" customWidth="1"/>
    <col min="6662" max="6662" width="15" customWidth="1"/>
    <col min="6663" max="6663" width="16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9.28515625" bestFit="1" customWidth="1"/>
    <col min="6913" max="6913" width="36.5703125" bestFit="1" customWidth="1"/>
    <col min="6914" max="6914" width="13.28515625" customWidth="1"/>
    <col min="6916" max="6916" width="11.85546875" customWidth="1"/>
    <col min="6917" max="6917" width="11.5703125" customWidth="1"/>
    <col min="6918" max="6918" width="15" customWidth="1"/>
    <col min="6919" max="6919" width="16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9.28515625" bestFit="1" customWidth="1"/>
    <col min="7169" max="7169" width="36.5703125" bestFit="1" customWidth="1"/>
    <col min="7170" max="7170" width="13.28515625" customWidth="1"/>
    <col min="7172" max="7172" width="11.85546875" customWidth="1"/>
    <col min="7173" max="7173" width="11.5703125" customWidth="1"/>
    <col min="7174" max="7174" width="15" customWidth="1"/>
    <col min="7175" max="7175" width="16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9.28515625" bestFit="1" customWidth="1"/>
    <col min="7425" max="7425" width="36.5703125" bestFit="1" customWidth="1"/>
    <col min="7426" max="7426" width="13.28515625" customWidth="1"/>
    <col min="7428" max="7428" width="11.85546875" customWidth="1"/>
    <col min="7429" max="7429" width="11.5703125" customWidth="1"/>
    <col min="7430" max="7430" width="15" customWidth="1"/>
    <col min="7431" max="7431" width="16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9.28515625" bestFit="1" customWidth="1"/>
    <col min="7681" max="7681" width="36.5703125" bestFit="1" customWidth="1"/>
    <col min="7682" max="7682" width="13.28515625" customWidth="1"/>
    <col min="7684" max="7684" width="11.85546875" customWidth="1"/>
    <col min="7685" max="7685" width="11.5703125" customWidth="1"/>
    <col min="7686" max="7686" width="15" customWidth="1"/>
    <col min="7687" max="7687" width="16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9.28515625" bestFit="1" customWidth="1"/>
    <col min="7937" max="7937" width="36.5703125" bestFit="1" customWidth="1"/>
    <col min="7938" max="7938" width="13.28515625" customWidth="1"/>
    <col min="7940" max="7940" width="11.85546875" customWidth="1"/>
    <col min="7941" max="7941" width="11.5703125" customWidth="1"/>
    <col min="7942" max="7942" width="15" customWidth="1"/>
    <col min="7943" max="7943" width="16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9.28515625" bestFit="1" customWidth="1"/>
    <col min="8193" max="8193" width="36.5703125" bestFit="1" customWidth="1"/>
    <col min="8194" max="8194" width="13.28515625" customWidth="1"/>
    <col min="8196" max="8196" width="11.85546875" customWidth="1"/>
    <col min="8197" max="8197" width="11.5703125" customWidth="1"/>
    <col min="8198" max="8198" width="15" customWidth="1"/>
    <col min="8199" max="8199" width="16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9.28515625" bestFit="1" customWidth="1"/>
    <col min="8449" max="8449" width="36.5703125" bestFit="1" customWidth="1"/>
    <col min="8450" max="8450" width="13.28515625" customWidth="1"/>
    <col min="8452" max="8452" width="11.85546875" customWidth="1"/>
    <col min="8453" max="8453" width="11.5703125" customWidth="1"/>
    <col min="8454" max="8454" width="15" customWidth="1"/>
    <col min="8455" max="8455" width="16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9.28515625" bestFit="1" customWidth="1"/>
    <col min="8705" max="8705" width="36.5703125" bestFit="1" customWidth="1"/>
    <col min="8706" max="8706" width="13.28515625" customWidth="1"/>
    <col min="8708" max="8708" width="11.85546875" customWidth="1"/>
    <col min="8709" max="8709" width="11.5703125" customWidth="1"/>
    <col min="8710" max="8710" width="15" customWidth="1"/>
    <col min="8711" max="8711" width="16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9.28515625" bestFit="1" customWidth="1"/>
    <col min="8961" max="8961" width="36.5703125" bestFit="1" customWidth="1"/>
    <col min="8962" max="8962" width="13.28515625" customWidth="1"/>
    <col min="8964" max="8964" width="11.85546875" customWidth="1"/>
    <col min="8965" max="8965" width="11.5703125" customWidth="1"/>
    <col min="8966" max="8966" width="15" customWidth="1"/>
    <col min="8967" max="8967" width="16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9.28515625" bestFit="1" customWidth="1"/>
    <col min="9217" max="9217" width="36.5703125" bestFit="1" customWidth="1"/>
    <col min="9218" max="9218" width="13.28515625" customWidth="1"/>
    <col min="9220" max="9220" width="11.85546875" customWidth="1"/>
    <col min="9221" max="9221" width="11.5703125" customWidth="1"/>
    <col min="9222" max="9222" width="15" customWidth="1"/>
    <col min="9223" max="9223" width="16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9.28515625" bestFit="1" customWidth="1"/>
    <col min="9473" max="9473" width="36.5703125" bestFit="1" customWidth="1"/>
    <col min="9474" max="9474" width="13.28515625" customWidth="1"/>
    <col min="9476" max="9476" width="11.85546875" customWidth="1"/>
    <col min="9477" max="9477" width="11.5703125" customWidth="1"/>
    <col min="9478" max="9478" width="15" customWidth="1"/>
    <col min="9479" max="9479" width="16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9.28515625" bestFit="1" customWidth="1"/>
    <col min="9729" max="9729" width="36.5703125" bestFit="1" customWidth="1"/>
    <col min="9730" max="9730" width="13.28515625" customWidth="1"/>
    <col min="9732" max="9732" width="11.85546875" customWidth="1"/>
    <col min="9733" max="9733" width="11.5703125" customWidth="1"/>
    <col min="9734" max="9734" width="15" customWidth="1"/>
    <col min="9735" max="9735" width="16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9.28515625" bestFit="1" customWidth="1"/>
    <col min="9985" max="9985" width="36.5703125" bestFit="1" customWidth="1"/>
    <col min="9986" max="9986" width="13.28515625" customWidth="1"/>
    <col min="9988" max="9988" width="11.85546875" customWidth="1"/>
    <col min="9989" max="9989" width="11.5703125" customWidth="1"/>
    <col min="9990" max="9990" width="15" customWidth="1"/>
    <col min="9991" max="9991" width="16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9.28515625" bestFit="1" customWidth="1"/>
    <col min="10241" max="10241" width="36.5703125" bestFit="1" customWidth="1"/>
    <col min="10242" max="10242" width="13.28515625" customWidth="1"/>
    <col min="10244" max="10244" width="11.85546875" customWidth="1"/>
    <col min="10245" max="10245" width="11.5703125" customWidth="1"/>
    <col min="10246" max="10246" width="15" customWidth="1"/>
    <col min="10247" max="10247" width="16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9.28515625" bestFit="1" customWidth="1"/>
    <col min="10497" max="10497" width="36.5703125" bestFit="1" customWidth="1"/>
    <col min="10498" max="10498" width="13.28515625" customWidth="1"/>
    <col min="10500" max="10500" width="11.85546875" customWidth="1"/>
    <col min="10501" max="10501" width="11.5703125" customWidth="1"/>
    <col min="10502" max="10502" width="15" customWidth="1"/>
    <col min="10503" max="10503" width="16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9.28515625" bestFit="1" customWidth="1"/>
    <col min="10753" max="10753" width="36.5703125" bestFit="1" customWidth="1"/>
    <col min="10754" max="10754" width="13.28515625" customWidth="1"/>
    <col min="10756" max="10756" width="11.85546875" customWidth="1"/>
    <col min="10757" max="10757" width="11.5703125" customWidth="1"/>
    <col min="10758" max="10758" width="15" customWidth="1"/>
    <col min="10759" max="10759" width="16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9.28515625" bestFit="1" customWidth="1"/>
    <col min="11009" max="11009" width="36.5703125" bestFit="1" customWidth="1"/>
    <col min="11010" max="11010" width="13.28515625" customWidth="1"/>
    <col min="11012" max="11012" width="11.85546875" customWidth="1"/>
    <col min="11013" max="11013" width="11.5703125" customWidth="1"/>
    <col min="11014" max="11014" width="15" customWidth="1"/>
    <col min="11015" max="11015" width="16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9.28515625" bestFit="1" customWidth="1"/>
    <col min="11265" max="11265" width="36.5703125" bestFit="1" customWidth="1"/>
    <col min="11266" max="11266" width="13.28515625" customWidth="1"/>
    <col min="11268" max="11268" width="11.85546875" customWidth="1"/>
    <col min="11269" max="11269" width="11.5703125" customWidth="1"/>
    <col min="11270" max="11270" width="15" customWidth="1"/>
    <col min="11271" max="11271" width="16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9.28515625" bestFit="1" customWidth="1"/>
    <col min="11521" max="11521" width="36.5703125" bestFit="1" customWidth="1"/>
    <col min="11522" max="11522" width="13.28515625" customWidth="1"/>
    <col min="11524" max="11524" width="11.85546875" customWidth="1"/>
    <col min="11525" max="11525" width="11.5703125" customWidth="1"/>
    <col min="11526" max="11526" width="15" customWidth="1"/>
    <col min="11527" max="11527" width="16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9.28515625" bestFit="1" customWidth="1"/>
    <col min="11777" max="11777" width="36.5703125" bestFit="1" customWidth="1"/>
    <col min="11778" max="11778" width="13.28515625" customWidth="1"/>
    <col min="11780" max="11780" width="11.85546875" customWidth="1"/>
    <col min="11781" max="11781" width="11.5703125" customWidth="1"/>
    <col min="11782" max="11782" width="15" customWidth="1"/>
    <col min="11783" max="11783" width="16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9.28515625" bestFit="1" customWidth="1"/>
    <col min="12033" max="12033" width="36.5703125" bestFit="1" customWidth="1"/>
    <col min="12034" max="12034" width="13.28515625" customWidth="1"/>
    <col min="12036" max="12036" width="11.85546875" customWidth="1"/>
    <col min="12037" max="12037" width="11.5703125" customWidth="1"/>
    <col min="12038" max="12038" width="15" customWidth="1"/>
    <col min="12039" max="12039" width="16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9.28515625" bestFit="1" customWidth="1"/>
    <col min="12289" max="12289" width="36.5703125" bestFit="1" customWidth="1"/>
    <col min="12290" max="12290" width="13.28515625" customWidth="1"/>
    <col min="12292" max="12292" width="11.85546875" customWidth="1"/>
    <col min="12293" max="12293" width="11.5703125" customWidth="1"/>
    <col min="12294" max="12294" width="15" customWidth="1"/>
    <col min="12295" max="12295" width="16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9.28515625" bestFit="1" customWidth="1"/>
    <col min="12545" max="12545" width="36.5703125" bestFit="1" customWidth="1"/>
    <col min="12546" max="12546" width="13.28515625" customWidth="1"/>
    <col min="12548" max="12548" width="11.85546875" customWidth="1"/>
    <col min="12549" max="12549" width="11.5703125" customWidth="1"/>
    <col min="12550" max="12550" width="15" customWidth="1"/>
    <col min="12551" max="12551" width="16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9.28515625" bestFit="1" customWidth="1"/>
    <col min="12801" max="12801" width="36.5703125" bestFit="1" customWidth="1"/>
    <col min="12802" max="12802" width="13.28515625" customWidth="1"/>
    <col min="12804" max="12804" width="11.85546875" customWidth="1"/>
    <col min="12805" max="12805" width="11.5703125" customWidth="1"/>
    <col min="12806" max="12806" width="15" customWidth="1"/>
    <col min="12807" max="12807" width="16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9.28515625" bestFit="1" customWidth="1"/>
    <col min="13057" max="13057" width="36.5703125" bestFit="1" customWidth="1"/>
    <col min="13058" max="13058" width="13.28515625" customWidth="1"/>
    <col min="13060" max="13060" width="11.85546875" customWidth="1"/>
    <col min="13061" max="13061" width="11.5703125" customWidth="1"/>
    <col min="13062" max="13062" width="15" customWidth="1"/>
    <col min="13063" max="13063" width="16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9.28515625" bestFit="1" customWidth="1"/>
    <col min="13313" max="13313" width="36.5703125" bestFit="1" customWidth="1"/>
    <col min="13314" max="13314" width="13.28515625" customWidth="1"/>
    <col min="13316" max="13316" width="11.85546875" customWidth="1"/>
    <col min="13317" max="13317" width="11.5703125" customWidth="1"/>
    <col min="13318" max="13318" width="15" customWidth="1"/>
    <col min="13319" max="13319" width="16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9.28515625" bestFit="1" customWidth="1"/>
    <col min="13569" max="13569" width="36.5703125" bestFit="1" customWidth="1"/>
    <col min="13570" max="13570" width="13.28515625" customWidth="1"/>
    <col min="13572" max="13572" width="11.85546875" customWidth="1"/>
    <col min="13573" max="13573" width="11.5703125" customWidth="1"/>
    <col min="13574" max="13574" width="15" customWidth="1"/>
    <col min="13575" max="13575" width="16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9.28515625" bestFit="1" customWidth="1"/>
    <col min="13825" max="13825" width="36.5703125" bestFit="1" customWidth="1"/>
    <col min="13826" max="13826" width="13.28515625" customWidth="1"/>
    <col min="13828" max="13828" width="11.85546875" customWidth="1"/>
    <col min="13829" max="13829" width="11.5703125" customWidth="1"/>
    <col min="13830" max="13830" width="15" customWidth="1"/>
    <col min="13831" max="13831" width="16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9.28515625" bestFit="1" customWidth="1"/>
    <col min="14081" max="14081" width="36.5703125" bestFit="1" customWidth="1"/>
    <col min="14082" max="14082" width="13.28515625" customWidth="1"/>
    <col min="14084" max="14084" width="11.85546875" customWidth="1"/>
    <col min="14085" max="14085" width="11.5703125" customWidth="1"/>
    <col min="14086" max="14086" width="15" customWidth="1"/>
    <col min="14087" max="14087" width="16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9.28515625" bestFit="1" customWidth="1"/>
    <col min="14337" max="14337" width="36.5703125" bestFit="1" customWidth="1"/>
    <col min="14338" max="14338" width="13.28515625" customWidth="1"/>
    <col min="14340" max="14340" width="11.85546875" customWidth="1"/>
    <col min="14341" max="14341" width="11.5703125" customWidth="1"/>
    <col min="14342" max="14342" width="15" customWidth="1"/>
    <col min="14343" max="14343" width="16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9.28515625" bestFit="1" customWidth="1"/>
    <col min="14593" max="14593" width="36.5703125" bestFit="1" customWidth="1"/>
    <col min="14594" max="14594" width="13.28515625" customWidth="1"/>
    <col min="14596" max="14596" width="11.85546875" customWidth="1"/>
    <col min="14597" max="14597" width="11.5703125" customWidth="1"/>
    <col min="14598" max="14598" width="15" customWidth="1"/>
    <col min="14599" max="14599" width="16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9.28515625" bestFit="1" customWidth="1"/>
    <col min="14849" max="14849" width="36.5703125" bestFit="1" customWidth="1"/>
    <col min="14850" max="14850" width="13.28515625" customWidth="1"/>
    <col min="14852" max="14852" width="11.85546875" customWidth="1"/>
    <col min="14853" max="14853" width="11.5703125" customWidth="1"/>
    <col min="14854" max="14854" width="15" customWidth="1"/>
    <col min="14855" max="14855" width="16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9.28515625" bestFit="1" customWidth="1"/>
    <col min="15105" max="15105" width="36.5703125" bestFit="1" customWidth="1"/>
    <col min="15106" max="15106" width="13.28515625" customWidth="1"/>
    <col min="15108" max="15108" width="11.85546875" customWidth="1"/>
    <col min="15109" max="15109" width="11.5703125" customWidth="1"/>
    <col min="15110" max="15110" width="15" customWidth="1"/>
    <col min="15111" max="15111" width="16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9.28515625" bestFit="1" customWidth="1"/>
    <col min="15361" max="15361" width="36.5703125" bestFit="1" customWidth="1"/>
    <col min="15362" max="15362" width="13.28515625" customWidth="1"/>
    <col min="15364" max="15364" width="11.85546875" customWidth="1"/>
    <col min="15365" max="15365" width="11.5703125" customWidth="1"/>
    <col min="15366" max="15366" width="15" customWidth="1"/>
    <col min="15367" max="15367" width="16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9.28515625" bestFit="1" customWidth="1"/>
    <col min="15617" max="15617" width="36.5703125" bestFit="1" customWidth="1"/>
    <col min="15618" max="15618" width="13.28515625" customWidth="1"/>
    <col min="15620" max="15620" width="11.85546875" customWidth="1"/>
    <col min="15621" max="15621" width="11.5703125" customWidth="1"/>
    <col min="15622" max="15622" width="15" customWidth="1"/>
    <col min="15623" max="15623" width="16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9.28515625" bestFit="1" customWidth="1"/>
    <col min="15873" max="15873" width="36.5703125" bestFit="1" customWidth="1"/>
    <col min="15874" max="15874" width="13.28515625" customWidth="1"/>
    <col min="15876" max="15876" width="11.85546875" customWidth="1"/>
    <col min="15877" max="15877" width="11.5703125" customWidth="1"/>
    <col min="15878" max="15878" width="15" customWidth="1"/>
    <col min="15879" max="15879" width="16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9.28515625" bestFit="1" customWidth="1"/>
    <col min="16129" max="16129" width="36.5703125" bestFit="1" customWidth="1"/>
    <col min="16130" max="16130" width="13.28515625" customWidth="1"/>
    <col min="16132" max="16132" width="11.85546875" customWidth="1"/>
    <col min="16133" max="16133" width="11.5703125" customWidth="1"/>
    <col min="16134" max="16134" width="15" customWidth="1"/>
    <col min="16135" max="16135" width="16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9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1889</v>
      </c>
      <c r="C5" s="1649"/>
      <c r="D5" s="1649"/>
      <c r="E5" s="1650"/>
      <c r="F5" s="326" t="s">
        <v>171</v>
      </c>
      <c r="G5" s="326"/>
      <c r="H5" s="1651" t="s">
        <v>3777</v>
      </c>
      <c r="I5" s="1600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3776</v>
      </c>
      <c r="C7" s="1649"/>
      <c r="D7" s="1649"/>
      <c r="E7" s="1650"/>
      <c r="F7" s="1596" t="s">
        <v>3208</v>
      </c>
      <c r="G7" s="1596"/>
      <c r="H7" s="1648" t="s">
        <v>3775</v>
      </c>
      <c r="I7" s="1649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/>
      <c r="C9" s="1649"/>
      <c r="D9" s="1649"/>
      <c r="E9" s="1650"/>
      <c r="F9" s="1601" t="s">
        <v>3205</v>
      </c>
      <c r="G9" s="1602"/>
      <c r="H9" s="1631" t="s">
        <v>3774</v>
      </c>
      <c r="I9" s="1652"/>
      <c r="J9" s="1652"/>
      <c r="K9" s="1653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54"/>
      <c r="I10" s="1655"/>
      <c r="J10" s="1655"/>
      <c r="K10" s="1656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57"/>
      <c r="I11" s="1658"/>
      <c r="J11" s="1658"/>
      <c r="K11" s="1659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24" customHeight="1">
      <c r="A13" s="631" t="s">
        <v>838</v>
      </c>
      <c r="B13" s="1612" t="s">
        <v>3773</v>
      </c>
      <c r="C13" s="1612"/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24" customHeight="1">
      <c r="A14" s="631" t="s">
        <v>187</v>
      </c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24" customHeight="1">
      <c r="A15" s="631" t="s">
        <v>192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24" customHeight="1">
      <c r="A16" s="631" t="s">
        <v>197</v>
      </c>
      <c r="B16" s="1612"/>
      <c r="C16" s="1612"/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23">
        <v>1</v>
      </c>
      <c r="C18" s="326" t="s">
        <v>199</v>
      </c>
      <c r="D18" s="326"/>
      <c r="E18" s="326"/>
      <c r="F18" s="631"/>
      <c r="G18" s="326" t="s">
        <v>200</v>
      </c>
      <c r="H18" s="325">
        <v>12</v>
      </c>
      <c r="I18" s="326" t="s">
        <v>201</v>
      </c>
      <c r="J18" s="325">
        <v>1</v>
      </c>
      <c r="K18" s="326" t="s">
        <v>202</v>
      </c>
      <c r="L18" s="631"/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105</v>
      </c>
      <c r="D21" s="326" t="s">
        <v>205</v>
      </c>
      <c r="E21" s="631">
        <v>29</v>
      </c>
      <c r="F21" s="326" t="s">
        <v>206</v>
      </c>
      <c r="G21" s="631">
        <v>0</v>
      </c>
      <c r="H21" s="326" t="s">
        <v>230</v>
      </c>
      <c r="I21" s="80">
        <f>G21+E21+C21</f>
        <v>134</v>
      </c>
      <c r="J21" s="326" t="s">
        <v>207</v>
      </c>
      <c r="K21" s="631">
        <v>23</v>
      </c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v>233</v>
      </c>
      <c r="D22" s="326" t="s">
        <v>211</v>
      </c>
      <c r="E22" s="631">
        <v>83</v>
      </c>
      <c r="F22" s="326" t="s">
        <v>212</v>
      </c>
      <c r="G22" s="80">
        <v>0</v>
      </c>
      <c r="H22" s="326" t="s">
        <v>411</v>
      </c>
      <c r="I22" s="80">
        <f>G22+E22+C22</f>
        <v>316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225</v>
      </c>
      <c r="D23" s="326" t="s">
        <v>214</v>
      </c>
      <c r="E23" s="631">
        <v>119</v>
      </c>
      <c r="F23" s="326" t="s">
        <v>215</v>
      </c>
      <c r="G23" s="80">
        <v>0</v>
      </c>
      <c r="H23" s="326" t="s">
        <v>410</v>
      </c>
      <c r="I23" s="80">
        <f>G23+E23+C23</f>
        <v>344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1713</v>
      </c>
      <c r="F27" s="1593" t="s">
        <v>222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>
        <v>1</v>
      </c>
      <c r="G28" s="623">
        <f t="shared" ref="G28:L28" si="0">F28+1</f>
        <v>2</v>
      </c>
      <c r="H28" s="623">
        <f t="shared" si="0"/>
        <v>3</v>
      </c>
      <c r="I28" s="623">
        <f t="shared" si="0"/>
        <v>4</v>
      </c>
      <c r="J28" s="623">
        <f t="shared" si="0"/>
        <v>5</v>
      </c>
      <c r="K28" s="623">
        <f t="shared" si="0"/>
        <v>6</v>
      </c>
      <c r="L28" s="623">
        <f t="shared" si="0"/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3">
        <v>5.016</v>
      </c>
      <c r="F29" s="300"/>
      <c r="G29" s="3">
        <v>1.97895</v>
      </c>
      <c r="H29" s="323"/>
      <c r="I29" s="323"/>
      <c r="J29" s="323"/>
      <c r="K29" s="323"/>
      <c r="L29" s="323"/>
      <c r="M29" s="323">
        <f t="shared" ref="M29:M38" si="1">SUM(F29:L29)</f>
        <v>1.97895</v>
      </c>
      <c r="N29" s="323">
        <f>+M29/E29*100</f>
        <v>39.452751196172251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3"/>
      <c r="F30" s="323"/>
      <c r="G30" s="323"/>
      <c r="H30" s="323"/>
      <c r="I30" s="323"/>
      <c r="J30" s="323"/>
      <c r="K30" s="323"/>
      <c r="L30" s="323"/>
      <c r="M30" s="323">
        <f t="shared" si="1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3">
        <v>0.18</v>
      </c>
      <c r="F31" s="323"/>
      <c r="G31" s="323">
        <v>0.18</v>
      </c>
      <c r="H31" s="323"/>
      <c r="I31" s="323"/>
      <c r="J31" s="323"/>
      <c r="K31" s="323"/>
      <c r="L31" s="323"/>
      <c r="M31" s="323">
        <f t="shared" si="1"/>
        <v>0.18</v>
      </c>
      <c r="N31" s="323">
        <f t="shared" ref="N31:N38" si="2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3">
        <v>0.16</v>
      </c>
      <c r="F32" s="323"/>
      <c r="G32" s="323">
        <v>0.16</v>
      </c>
      <c r="H32" s="323"/>
      <c r="I32" s="323"/>
      <c r="J32" s="323"/>
      <c r="K32" s="323"/>
      <c r="L32" s="323"/>
      <c r="M32" s="323">
        <f t="shared" si="1"/>
        <v>0.16</v>
      </c>
      <c r="N32" s="323">
        <f t="shared" si="2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3">
        <v>2</v>
      </c>
      <c r="F33" s="323"/>
      <c r="G33" s="323">
        <v>1.59873</v>
      </c>
      <c r="H33" s="323"/>
      <c r="I33" s="323"/>
      <c r="J33" s="323"/>
      <c r="K33" s="323"/>
      <c r="L33" s="323"/>
      <c r="M33" s="323">
        <f t="shared" si="1"/>
        <v>1.59873</v>
      </c>
      <c r="N33" s="323">
        <f t="shared" si="2"/>
        <v>79.936499999999995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3">
        <v>1.5049999999999999</v>
      </c>
      <c r="F34" s="323"/>
      <c r="G34" s="323">
        <v>0.45</v>
      </c>
      <c r="H34" s="323"/>
      <c r="I34" s="323"/>
      <c r="J34" s="323"/>
      <c r="K34" s="323"/>
      <c r="L34" s="323"/>
      <c r="M34" s="323">
        <f t="shared" si="1"/>
        <v>0.45</v>
      </c>
      <c r="N34" s="323">
        <f t="shared" si="2"/>
        <v>29.900332225913623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3"/>
      <c r="F35" s="323"/>
      <c r="G35" s="323"/>
      <c r="H35" s="323"/>
      <c r="I35" s="323"/>
      <c r="J35" s="323"/>
      <c r="K35" s="323"/>
      <c r="L35" s="323"/>
      <c r="M35" s="323">
        <f t="shared" si="1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3">
        <v>0.30249999999999999</v>
      </c>
      <c r="F36" s="323"/>
      <c r="G36" s="323">
        <v>0.26500000000000001</v>
      </c>
      <c r="H36" s="323"/>
      <c r="I36" s="323"/>
      <c r="J36" s="323"/>
      <c r="K36" s="323"/>
      <c r="L36" s="323"/>
      <c r="M36" s="323">
        <f t="shared" si="1"/>
        <v>0.26500000000000001</v>
      </c>
      <c r="N36" s="323">
        <f t="shared" si="2"/>
        <v>87.603305785123979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/>
      <c r="F37" s="323"/>
      <c r="G37" s="323"/>
      <c r="H37" s="323"/>
      <c r="I37" s="323"/>
      <c r="J37" s="323"/>
      <c r="K37" s="323"/>
      <c r="L37" s="323"/>
      <c r="M37" s="323">
        <f t="shared" si="1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3">SUM(D29:D37)</f>
        <v>62.635000000000005</v>
      </c>
      <c r="E38" s="321">
        <f t="shared" si="3"/>
        <v>9.1635000000000009</v>
      </c>
      <c r="F38" s="321"/>
      <c r="G38" s="321">
        <f>SUM(G29:G37)</f>
        <v>4.6326799999999997</v>
      </c>
      <c r="H38" s="321">
        <f t="shared" si="3"/>
        <v>0</v>
      </c>
      <c r="I38" s="321">
        <f t="shared" si="3"/>
        <v>0</v>
      </c>
      <c r="J38" s="321">
        <f t="shared" si="3"/>
        <v>0</v>
      </c>
      <c r="K38" s="321">
        <f t="shared" si="3"/>
        <v>0</v>
      </c>
      <c r="L38" s="321">
        <f t="shared" si="3"/>
        <v>0</v>
      </c>
      <c r="M38" s="321">
        <f t="shared" si="1"/>
        <v>4.6326799999999997</v>
      </c>
      <c r="N38" s="323">
        <f t="shared" si="2"/>
        <v>50.555792000873026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I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15748031496062992" right="0.15748031496062992" top="0.23622047244094491" bottom="0.43307086614173229" header="0.15748031496062992" footer="0.23622047244094491"/>
  <pageSetup paperSize="9" scale="72" orientation="landscape" r:id="rId1"/>
  <headerFooter>
    <oddFooter>&amp;L&amp;F&amp;R&amp;A</oddFooter>
  </headerFooter>
</worksheet>
</file>

<file path=xl/worksheets/sheet35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S42"/>
  <sheetViews>
    <sheetView zoomScale="70" zoomScaleNormal="7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140625" customWidth="1"/>
    <col min="4" max="4" width="11.85546875" customWidth="1"/>
    <col min="5" max="5" width="13.85546875" customWidth="1"/>
    <col min="6" max="6" width="15" customWidth="1"/>
    <col min="7" max="7" width="12.85546875" customWidth="1"/>
    <col min="8" max="8" width="12.7109375" customWidth="1"/>
    <col min="9" max="9" width="17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5" customWidth="1"/>
    <col min="19" max="19" width="12.5703125" customWidth="1"/>
    <col min="257" max="257" width="36.5703125" bestFit="1" customWidth="1"/>
    <col min="258" max="258" width="13.28515625" customWidth="1"/>
    <col min="259" max="259" width="10.140625" customWidth="1"/>
    <col min="260" max="260" width="11.85546875" customWidth="1"/>
    <col min="261" max="261" width="13.85546875" customWidth="1"/>
    <col min="262" max="262" width="15" customWidth="1"/>
    <col min="263" max="263" width="12.85546875" customWidth="1"/>
    <col min="264" max="264" width="12.7109375" customWidth="1"/>
    <col min="265" max="265" width="17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5" customWidth="1"/>
    <col min="275" max="275" width="12.5703125" customWidth="1"/>
    <col min="513" max="513" width="36.5703125" bestFit="1" customWidth="1"/>
    <col min="514" max="514" width="13.28515625" customWidth="1"/>
    <col min="515" max="515" width="10.140625" customWidth="1"/>
    <col min="516" max="516" width="11.85546875" customWidth="1"/>
    <col min="517" max="517" width="13.85546875" customWidth="1"/>
    <col min="518" max="518" width="15" customWidth="1"/>
    <col min="519" max="519" width="12.85546875" customWidth="1"/>
    <col min="520" max="520" width="12.7109375" customWidth="1"/>
    <col min="521" max="521" width="17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5" customWidth="1"/>
    <col min="531" max="531" width="12.5703125" customWidth="1"/>
    <col min="769" max="769" width="36.5703125" bestFit="1" customWidth="1"/>
    <col min="770" max="770" width="13.28515625" customWidth="1"/>
    <col min="771" max="771" width="10.140625" customWidth="1"/>
    <col min="772" max="772" width="11.85546875" customWidth="1"/>
    <col min="773" max="773" width="13.85546875" customWidth="1"/>
    <col min="774" max="774" width="15" customWidth="1"/>
    <col min="775" max="775" width="12.85546875" customWidth="1"/>
    <col min="776" max="776" width="12.7109375" customWidth="1"/>
    <col min="777" max="777" width="17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5" customWidth="1"/>
    <col min="787" max="787" width="12.5703125" customWidth="1"/>
    <col min="1025" max="1025" width="36.5703125" bestFit="1" customWidth="1"/>
    <col min="1026" max="1026" width="13.28515625" customWidth="1"/>
    <col min="1027" max="1027" width="10.140625" customWidth="1"/>
    <col min="1028" max="1028" width="11.85546875" customWidth="1"/>
    <col min="1029" max="1029" width="13.85546875" customWidth="1"/>
    <col min="1030" max="1030" width="15" customWidth="1"/>
    <col min="1031" max="1031" width="12.85546875" customWidth="1"/>
    <col min="1032" max="1032" width="12.7109375" customWidth="1"/>
    <col min="1033" max="1033" width="17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5" customWidth="1"/>
    <col min="1043" max="1043" width="12.5703125" customWidth="1"/>
    <col min="1281" max="1281" width="36.5703125" bestFit="1" customWidth="1"/>
    <col min="1282" max="1282" width="13.28515625" customWidth="1"/>
    <col min="1283" max="1283" width="10.140625" customWidth="1"/>
    <col min="1284" max="1284" width="11.85546875" customWidth="1"/>
    <col min="1285" max="1285" width="13.85546875" customWidth="1"/>
    <col min="1286" max="1286" width="15" customWidth="1"/>
    <col min="1287" max="1287" width="12.85546875" customWidth="1"/>
    <col min="1288" max="1288" width="12.7109375" customWidth="1"/>
    <col min="1289" max="1289" width="17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5" customWidth="1"/>
    <col min="1299" max="1299" width="12.5703125" customWidth="1"/>
    <col min="1537" max="1537" width="36.5703125" bestFit="1" customWidth="1"/>
    <col min="1538" max="1538" width="13.28515625" customWidth="1"/>
    <col min="1539" max="1539" width="10.140625" customWidth="1"/>
    <col min="1540" max="1540" width="11.85546875" customWidth="1"/>
    <col min="1541" max="1541" width="13.85546875" customWidth="1"/>
    <col min="1542" max="1542" width="15" customWidth="1"/>
    <col min="1543" max="1543" width="12.85546875" customWidth="1"/>
    <col min="1544" max="1544" width="12.7109375" customWidth="1"/>
    <col min="1545" max="1545" width="17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5" customWidth="1"/>
    <col min="1555" max="1555" width="12.5703125" customWidth="1"/>
    <col min="1793" max="1793" width="36.5703125" bestFit="1" customWidth="1"/>
    <col min="1794" max="1794" width="13.28515625" customWidth="1"/>
    <col min="1795" max="1795" width="10.140625" customWidth="1"/>
    <col min="1796" max="1796" width="11.85546875" customWidth="1"/>
    <col min="1797" max="1797" width="13.85546875" customWidth="1"/>
    <col min="1798" max="1798" width="15" customWidth="1"/>
    <col min="1799" max="1799" width="12.85546875" customWidth="1"/>
    <col min="1800" max="1800" width="12.7109375" customWidth="1"/>
    <col min="1801" max="1801" width="17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5" customWidth="1"/>
    <col min="1811" max="1811" width="12.5703125" customWidth="1"/>
    <col min="2049" max="2049" width="36.5703125" bestFit="1" customWidth="1"/>
    <col min="2050" max="2050" width="13.28515625" customWidth="1"/>
    <col min="2051" max="2051" width="10.140625" customWidth="1"/>
    <col min="2052" max="2052" width="11.85546875" customWidth="1"/>
    <col min="2053" max="2053" width="13.85546875" customWidth="1"/>
    <col min="2054" max="2054" width="15" customWidth="1"/>
    <col min="2055" max="2055" width="12.85546875" customWidth="1"/>
    <col min="2056" max="2056" width="12.7109375" customWidth="1"/>
    <col min="2057" max="2057" width="17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5" customWidth="1"/>
    <col min="2067" max="2067" width="12.5703125" customWidth="1"/>
    <col min="2305" max="2305" width="36.5703125" bestFit="1" customWidth="1"/>
    <col min="2306" max="2306" width="13.28515625" customWidth="1"/>
    <col min="2307" max="2307" width="10.140625" customWidth="1"/>
    <col min="2308" max="2308" width="11.85546875" customWidth="1"/>
    <col min="2309" max="2309" width="13.85546875" customWidth="1"/>
    <col min="2310" max="2310" width="15" customWidth="1"/>
    <col min="2311" max="2311" width="12.85546875" customWidth="1"/>
    <col min="2312" max="2312" width="12.7109375" customWidth="1"/>
    <col min="2313" max="2313" width="17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5" customWidth="1"/>
    <col min="2323" max="2323" width="12.5703125" customWidth="1"/>
    <col min="2561" max="2561" width="36.5703125" bestFit="1" customWidth="1"/>
    <col min="2562" max="2562" width="13.28515625" customWidth="1"/>
    <col min="2563" max="2563" width="10.140625" customWidth="1"/>
    <col min="2564" max="2564" width="11.85546875" customWidth="1"/>
    <col min="2565" max="2565" width="13.85546875" customWidth="1"/>
    <col min="2566" max="2566" width="15" customWidth="1"/>
    <col min="2567" max="2567" width="12.85546875" customWidth="1"/>
    <col min="2568" max="2568" width="12.7109375" customWidth="1"/>
    <col min="2569" max="2569" width="17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5" customWidth="1"/>
    <col min="2579" max="2579" width="12.5703125" customWidth="1"/>
    <col min="2817" max="2817" width="36.5703125" bestFit="1" customWidth="1"/>
    <col min="2818" max="2818" width="13.28515625" customWidth="1"/>
    <col min="2819" max="2819" width="10.140625" customWidth="1"/>
    <col min="2820" max="2820" width="11.85546875" customWidth="1"/>
    <col min="2821" max="2821" width="13.85546875" customWidth="1"/>
    <col min="2822" max="2822" width="15" customWidth="1"/>
    <col min="2823" max="2823" width="12.85546875" customWidth="1"/>
    <col min="2824" max="2824" width="12.7109375" customWidth="1"/>
    <col min="2825" max="2825" width="17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5" customWidth="1"/>
    <col min="2835" max="2835" width="12.5703125" customWidth="1"/>
    <col min="3073" max="3073" width="36.5703125" bestFit="1" customWidth="1"/>
    <col min="3074" max="3074" width="13.28515625" customWidth="1"/>
    <col min="3075" max="3075" width="10.140625" customWidth="1"/>
    <col min="3076" max="3076" width="11.85546875" customWidth="1"/>
    <col min="3077" max="3077" width="13.85546875" customWidth="1"/>
    <col min="3078" max="3078" width="15" customWidth="1"/>
    <col min="3079" max="3079" width="12.85546875" customWidth="1"/>
    <col min="3080" max="3080" width="12.7109375" customWidth="1"/>
    <col min="3081" max="3081" width="17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5" customWidth="1"/>
    <col min="3091" max="3091" width="12.5703125" customWidth="1"/>
    <col min="3329" max="3329" width="36.5703125" bestFit="1" customWidth="1"/>
    <col min="3330" max="3330" width="13.28515625" customWidth="1"/>
    <col min="3331" max="3331" width="10.140625" customWidth="1"/>
    <col min="3332" max="3332" width="11.85546875" customWidth="1"/>
    <col min="3333" max="3333" width="13.85546875" customWidth="1"/>
    <col min="3334" max="3334" width="15" customWidth="1"/>
    <col min="3335" max="3335" width="12.85546875" customWidth="1"/>
    <col min="3336" max="3336" width="12.7109375" customWidth="1"/>
    <col min="3337" max="3337" width="17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5" customWidth="1"/>
    <col min="3347" max="3347" width="12.5703125" customWidth="1"/>
    <col min="3585" max="3585" width="36.5703125" bestFit="1" customWidth="1"/>
    <col min="3586" max="3586" width="13.28515625" customWidth="1"/>
    <col min="3587" max="3587" width="10.140625" customWidth="1"/>
    <col min="3588" max="3588" width="11.85546875" customWidth="1"/>
    <col min="3589" max="3589" width="13.85546875" customWidth="1"/>
    <col min="3590" max="3590" width="15" customWidth="1"/>
    <col min="3591" max="3591" width="12.85546875" customWidth="1"/>
    <col min="3592" max="3592" width="12.7109375" customWidth="1"/>
    <col min="3593" max="3593" width="17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5" customWidth="1"/>
    <col min="3603" max="3603" width="12.5703125" customWidth="1"/>
    <col min="3841" max="3841" width="36.5703125" bestFit="1" customWidth="1"/>
    <col min="3842" max="3842" width="13.28515625" customWidth="1"/>
    <col min="3843" max="3843" width="10.140625" customWidth="1"/>
    <col min="3844" max="3844" width="11.85546875" customWidth="1"/>
    <col min="3845" max="3845" width="13.85546875" customWidth="1"/>
    <col min="3846" max="3846" width="15" customWidth="1"/>
    <col min="3847" max="3847" width="12.85546875" customWidth="1"/>
    <col min="3848" max="3848" width="12.7109375" customWidth="1"/>
    <col min="3849" max="3849" width="17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5" customWidth="1"/>
    <col min="3859" max="3859" width="12.5703125" customWidth="1"/>
    <col min="4097" max="4097" width="36.5703125" bestFit="1" customWidth="1"/>
    <col min="4098" max="4098" width="13.28515625" customWidth="1"/>
    <col min="4099" max="4099" width="10.140625" customWidth="1"/>
    <col min="4100" max="4100" width="11.85546875" customWidth="1"/>
    <col min="4101" max="4101" width="13.85546875" customWidth="1"/>
    <col min="4102" max="4102" width="15" customWidth="1"/>
    <col min="4103" max="4103" width="12.85546875" customWidth="1"/>
    <col min="4104" max="4104" width="12.7109375" customWidth="1"/>
    <col min="4105" max="4105" width="17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5" customWidth="1"/>
    <col min="4115" max="4115" width="12.5703125" customWidth="1"/>
    <col min="4353" max="4353" width="36.5703125" bestFit="1" customWidth="1"/>
    <col min="4354" max="4354" width="13.28515625" customWidth="1"/>
    <col min="4355" max="4355" width="10.140625" customWidth="1"/>
    <col min="4356" max="4356" width="11.85546875" customWidth="1"/>
    <col min="4357" max="4357" width="13.85546875" customWidth="1"/>
    <col min="4358" max="4358" width="15" customWidth="1"/>
    <col min="4359" max="4359" width="12.85546875" customWidth="1"/>
    <col min="4360" max="4360" width="12.7109375" customWidth="1"/>
    <col min="4361" max="4361" width="17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5" customWidth="1"/>
    <col min="4371" max="4371" width="12.5703125" customWidth="1"/>
    <col min="4609" max="4609" width="36.5703125" bestFit="1" customWidth="1"/>
    <col min="4610" max="4610" width="13.28515625" customWidth="1"/>
    <col min="4611" max="4611" width="10.140625" customWidth="1"/>
    <col min="4612" max="4612" width="11.85546875" customWidth="1"/>
    <col min="4613" max="4613" width="13.85546875" customWidth="1"/>
    <col min="4614" max="4614" width="15" customWidth="1"/>
    <col min="4615" max="4615" width="12.85546875" customWidth="1"/>
    <col min="4616" max="4616" width="12.7109375" customWidth="1"/>
    <col min="4617" max="4617" width="17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5" customWidth="1"/>
    <col min="4627" max="4627" width="12.5703125" customWidth="1"/>
    <col min="4865" max="4865" width="36.5703125" bestFit="1" customWidth="1"/>
    <col min="4866" max="4866" width="13.28515625" customWidth="1"/>
    <col min="4867" max="4867" width="10.140625" customWidth="1"/>
    <col min="4868" max="4868" width="11.85546875" customWidth="1"/>
    <col min="4869" max="4869" width="13.85546875" customWidth="1"/>
    <col min="4870" max="4870" width="15" customWidth="1"/>
    <col min="4871" max="4871" width="12.85546875" customWidth="1"/>
    <col min="4872" max="4872" width="12.7109375" customWidth="1"/>
    <col min="4873" max="4873" width="17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5" customWidth="1"/>
    <col min="4883" max="4883" width="12.5703125" customWidth="1"/>
    <col min="5121" max="5121" width="36.5703125" bestFit="1" customWidth="1"/>
    <col min="5122" max="5122" width="13.28515625" customWidth="1"/>
    <col min="5123" max="5123" width="10.140625" customWidth="1"/>
    <col min="5124" max="5124" width="11.85546875" customWidth="1"/>
    <col min="5125" max="5125" width="13.85546875" customWidth="1"/>
    <col min="5126" max="5126" width="15" customWidth="1"/>
    <col min="5127" max="5127" width="12.85546875" customWidth="1"/>
    <col min="5128" max="5128" width="12.7109375" customWidth="1"/>
    <col min="5129" max="5129" width="17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5" customWidth="1"/>
    <col min="5139" max="5139" width="12.5703125" customWidth="1"/>
    <col min="5377" max="5377" width="36.5703125" bestFit="1" customWidth="1"/>
    <col min="5378" max="5378" width="13.28515625" customWidth="1"/>
    <col min="5379" max="5379" width="10.140625" customWidth="1"/>
    <col min="5380" max="5380" width="11.85546875" customWidth="1"/>
    <col min="5381" max="5381" width="13.85546875" customWidth="1"/>
    <col min="5382" max="5382" width="15" customWidth="1"/>
    <col min="5383" max="5383" width="12.85546875" customWidth="1"/>
    <col min="5384" max="5384" width="12.7109375" customWidth="1"/>
    <col min="5385" max="5385" width="17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5" customWidth="1"/>
    <col min="5395" max="5395" width="12.5703125" customWidth="1"/>
    <col min="5633" max="5633" width="36.5703125" bestFit="1" customWidth="1"/>
    <col min="5634" max="5634" width="13.28515625" customWidth="1"/>
    <col min="5635" max="5635" width="10.140625" customWidth="1"/>
    <col min="5636" max="5636" width="11.85546875" customWidth="1"/>
    <col min="5637" max="5637" width="13.85546875" customWidth="1"/>
    <col min="5638" max="5638" width="15" customWidth="1"/>
    <col min="5639" max="5639" width="12.85546875" customWidth="1"/>
    <col min="5640" max="5640" width="12.7109375" customWidth="1"/>
    <col min="5641" max="5641" width="17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5" customWidth="1"/>
    <col min="5651" max="5651" width="12.5703125" customWidth="1"/>
    <col min="5889" max="5889" width="36.5703125" bestFit="1" customWidth="1"/>
    <col min="5890" max="5890" width="13.28515625" customWidth="1"/>
    <col min="5891" max="5891" width="10.140625" customWidth="1"/>
    <col min="5892" max="5892" width="11.85546875" customWidth="1"/>
    <col min="5893" max="5893" width="13.85546875" customWidth="1"/>
    <col min="5894" max="5894" width="15" customWidth="1"/>
    <col min="5895" max="5895" width="12.85546875" customWidth="1"/>
    <col min="5896" max="5896" width="12.7109375" customWidth="1"/>
    <col min="5897" max="5897" width="17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5" customWidth="1"/>
    <col min="5907" max="5907" width="12.5703125" customWidth="1"/>
    <col min="6145" max="6145" width="36.5703125" bestFit="1" customWidth="1"/>
    <col min="6146" max="6146" width="13.28515625" customWidth="1"/>
    <col min="6147" max="6147" width="10.140625" customWidth="1"/>
    <col min="6148" max="6148" width="11.85546875" customWidth="1"/>
    <col min="6149" max="6149" width="13.85546875" customWidth="1"/>
    <col min="6150" max="6150" width="15" customWidth="1"/>
    <col min="6151" max="6151" width="12.85546875" customWidth="1"/>
    <col min="6152" max="6152" width="12.7109375" customWidth="1"/>
    <col min="6153" max="6153" width="17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5" customWidth="1"/>
    <col min="6163" max="6163" width="12.5703125" customWidth="1"/>
    <col min="6401" max="6401" width="36.5703125" bestFit="1" customWidth="1"/>
    <col min="6402" max="6402" width="13.28515625" customWidth="1"/>
    <col min="6403" max="6403" width="10.140625" customWidth="1"/>
    <col min="6404" max="6404" width="11.85546875" customWidth="1"/>
    <col min="6405" max="6405" width="13.85546875" customWidth="1"/>
    <col min="6406" max="6406" width="15" customWidth="1"/>
    <col min="6407" max="6407" width="12.85546875" customWidth="1"/>
    <col min="6408" max="6408" width="12.7109375" customWidth="1"/>
    <col min="6409" max="6409" width="17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5" customWidth="1"/>
    <col min="6419" max="6419" width="12.5703125" customWidth="1"/>
    <col min="6657" max="6657" width="36.5703125" bestFit="1" customWidth="1"/>
    <col min="6658" max="6658" width="13.28515625" customWidth="1"/>
    <col min="6659" max="6659" width="10.140625" customWidth="1"/>
    <col min="6660" max="6660" width="11.85546875" customWidth="1"/>
    <col min="6661" max="6661" width="13.85546875" customWidth="1"/>
    <col min="6662" max="6662" width="15" customWidth="1"/>
    <col min="6663" max="6663" width="12.85546875" customWidth="1"/>
    <col min="6664" max="6664" width="12.7109375" customWidth="1"/>
    <col min="6665" max="6665" width="17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5" customWidth="1"/>
    <col min="6675" max="6675" width="12.5703125" customWidth="1"/>
    <col min="6913" max="6913" width="36.5703125" bestFit="1" customWidth="1"/>
    <col min="6914" max="6914" width="13.28515625" customWidth="1"/>
    <col min="6915" max="6915" width="10.140625" customWidth="1"/>
    <col min="6916" max="6916" width="11.85546875" customWidth="1"/>
    <col min="6917" max="6917" width="13.85546875" customWidth="1"/>
    <col min="6918" max="6918" width="15" customWidth="1"/>
    <col min="6919" max="6919" width="12.85546875" customWidth="1"/>
    <col min="6920" max="6920" width="12.7109375" customWidth="1"/>
    <col min="6921" max="6921" width="17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5" customWidth="1"/>
    <col min="6931" max="6931" width="12.5703125" customWidth="1"/>
    <col min="7169" max="7169" width="36.5703125" bestFit="1" customWidth="1"/>
    <col min="7170" max="7170" width="13.28515625" customWidth="1"/>
    <col min="7171" max="7171" width="10.140625" customWidth="1"/>
    <col min="7172" max="7172" width="11.85546875" customWidth="1"/>
    <col min="7173" max="7173" width="13.85546875" customWidth="1"/>
    <col min="7174" max="7174" width="15" customWidth="1"/>
    <col min="7175" max="7175" width="12.85546875" customWidth="1"/>
    <col min="7176" max="7176" width="12.7109375" customWidth="1"/>
    <col min="7177" max="7177" width="17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5" customWidth="1"/>
    <col min="7187" max="7187" width="12.5703125" customWidth="1"/>
    <col min="7425" max="7425" width="36.5703125" bestFit="1" customWidth="1"/>
    <col min="7426" max="7426" width="13.28515625" customWidth="1"/>
    <col min="7427" max="7427" width="10.140625" customWidth="1"/>
    <col min="7428" max="7428" width="11.85546875" customWidth="1"/>
    <col min="7429" max="7429" width="13.85546875" customWidth="1"/>
    <col min="7430" max="7430" width="15" customWidth="1"/>
    <col min="7431" max="7431" width="12.85546875" customWidth="1"/>
    <col min="7432" max="7432" width="12.7109375" customWidth="1"/>
    <col min="7433" max="7433" width="17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5" customWidth="1"/>
    <col min="7443" max="7443" width="12.5703125" customWidth="1"/>
    <col min="7681" max="7681" width="36.5703125" bestFit="1" customWidth="1"/>
    <col min="7682" max="7682" width="13.28515625" customWidth="1"/>
    <col min="7683" max="7683" width="10.140625" customWidth="1"/>
    <col min="7684" max="7684" width="11.85546875" customWidth="1"/>
    <col min="7685" max="7685" width="13.85546875" customWidth="1"/>
    <col min="7686" max="7686" width="15" customWidth="1"/>
    <col min="7687" max="7687" width="12.85546875" customWidth="1"/>
    <col min="7688" max="7688" width="12.7109375" customWidth="1"/>
    <col min="7689" max="7689" width="17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5" customWidth="1"/>
    <col min="7699" max="7699" width="12.5703125" customWidth="1"/>
    <col min="7937" max="7937" width="36.5703125" bestFit="1" customWidth="1"/>
    <col min="7938" max="7938" width="13.28515625" customWidth="1"/>
    <col min="7939" max="7939" width="10.140625" customWidth="1"/>
    <col min="7940" max="7940" width="11.85546875" customWidth="1"/>
    <col min="7941" max="7941" width="13.85546875" customWidth="1"/>
    <col min="7942" max="7942" width="15" customWidth="1"/>
    <col min="7943" max="7943" width="12.85546875" customWidth="1"/>
    <col min="7944" max="7944" width="12.7109375" customWidth="1"/>
    <col min="7945" max="7945" width="17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5" customWidth="1"/>
    <col min="7955" max="7955" width="12.5703125" customWidth="1"/>
    <col min="8193" max="8193" width="36.5703125" bestFit="1" customWidth="1"/>
    <col min="8194" max="8194" width="13.28515625" customWidth="1"/>
    <col min="8195" max="8195" width="10.140625" customWidth="1"/>
    <col min="8196" max="8196" width="11.85546875" customWidth="1"/>
    <col min="8197" max="8197" width="13.85546875" customWidth="1"/>
    <col min="8198" max="8198" width="15" customWidth="1"/>
    <col min="8199" max="8199" width="12.85546875" customWidth="1"/>
    <col min="8200" max="8200" width="12.7109375" customWidth="1"/>
    <col min="8201" max="8201" width="17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5" customWidth="1"/>
    <col min="8211" max="8211" width="12.5703125" customWidth="1"/>
    <col min="8449" max="8449" width="36.5703125" bestFit="1" customWidth="1"/>
    <col min="8450" max="8450" width="13.28515625" customWidth="1"/>
    <col min="8451" max="8451" width="10.140625" customWidth="1"/>
    <col min="8452" max="8452" width="11.85546875" customWidth="1"/>
    <col min="8453" max="8453" width="13.85546875" customWidth="1"/>
    <col min="8454" max="8454" width="15" customWidth="1"/>
    <col min="8455" max="8455" width="12.85546875" customWidth="1"/>
    <col min="8456" max="8456" width="12.7109375" customWidth="1"/>
    <col min="8457" max="8457" width="17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5" customWidth="1"/>
    <col min="8467" max="8467" width="12.5703125" customWidth="1"/>
    <col min="8705" max="8705" width="36.5703125" bestFit="1" customWidth="1"/>
    <col min="8706" max="8706" width="13.28515625" customWidth="1"/>
    <col min="8707" max="8707" width="10.140625" customWidth="1"/>
    <col min="8708" max="8708" width="11.85546875" customWidth="1"/>
    <col min="8709" max="8709" width="13.85546875" customWidth="1"/>
    <col min="8710" max="8710" width="15" customWidth="1"/>
    <col min="8711" max="8711" width="12.85546875" customWidth="1"/>
    <col min="8712" max="8712" width="12.7109375" customWidth="1"/>
    <col min="8713" max="8713" width="17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5" customWidth="1"/>
    <col min="8723" max="8723" width="12.5703125" customWidth="1"/>
    <col min="8961" max="8961" width="36.5703125" bestFit="1" customWidth="1"/>
    <col min="8962" max="8962" width="13.28515625" customWidth="1"/>
    <col min="8963" max="8963" width="10.140625" customWidth="1"/>
    <col min="8964" max="8964" width="11.85546875" customWidth="1"/>
    <col min="8965" max="8965" width="13.85546875" customWidth="1"/>
    <col min="8966" max="8966" width="15" customWidth="1"/>
    <col min="8967" max="8967" width="12.85546875" customWidth="1"/>
    <col min="8968" max="8968" width="12.7109375" customWidth="1"/>
    <col min="8969" max="8969" width="17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5" customWidth="1"/>
    <col min="8979" max="8979" width="12.5703125" customWidth="1"/>
    <col min="9217" max="9217" width="36.5703125" bestFit="1" customWidth="1"/>
    <col min="9218" max="9218" width="13.28515625" customWidth="1"/>
    <col min="9219" max="9219" width="10.140625" customWidth="1"/>
    <col min="9220" max="9220" width="11.85546875" customWidth="1"/>
    <col min="9221" max="9221" width="13.85546875" customWidth="1"/>
    <col min="9222" max="9222" width="15" customWidth="1"/>
    <col min="9223" max="9223" width="12.85546875" customWidth="1"/>
    <col min="9224" max="9224" width="12.7109375" customWidth="1"/>
    <col min="9225" max="9225" width="17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5" customWidth="1"/>
    <col min="9235" max="9235" width="12.5703125" customWidth="1"/>
    <col min="9473" max="9473" width="36.5703125" bestFit="1" customWidth="1"/>
    <col min="9474" max="9474" width="13.28515625" customWidth="1"/>
    <col min="9475" max="9475" width="10.140625" customWidth="1"/>
    <col min="9476" max="9476" width="11.85546875" customWidth="1"/>
    <col min="9477" max="9477" width="13.85546875" customWidth="1"/>
    <col min="9478" max="9478" width="15" customWidth="1"/>
    <col min="9479" max="9479" width="12.85546875" customWidth="1"/>
    <col min="9480" max="9480" width="12.7109375" customWidth="1"/>
    <col min="9481" max="9481" width="17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5" customWidth="1"/>
    <col min="9491" max="9491" width="12.5703125" customWidth="1"/>
    <col min="9729" max="9729" width="36.5703125" bestFit="1" customWidth="1"/>
    <col min="9730" max="9730" width="13.28515625" customWidth="1"/>
    <col min="9731" max="9731" width="10.140625" customWidth="1"/>
    <col min="9732" max="9732" width="11.85546875" customWidth="1"/>
    <col min="9733" max="9733" width="13.85546875" customWidth="1"/>
    <col min="9734" max="9734" width="15" customWidth="1"/>
    <col min="9735" max="9735" width="12.85546875" customWidth="1"/>
    <col min="9736" max="9736" width="12.7109375" customWidth="1"/>
    <col min="9737" max="9737" width="17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5" customWidth="1"/>
    <col min="9747" max="9747" width="12.5703125" customWidth="1"/>
    <col min="9985" max="9985" width="36.5703125" bestFit="1" customWidth="1"/>
    <col min="9986" max="9986" width="13.28515625" customWidth="1"/>
    <col min="9987" max="9987" width="10.140625" customWidth="1"/>
    <col min="9988" max="9988" width="11.85546875" customWidth="1"/>
    <col min="9989" max="9989" width="13.85546875" customWidth="1"/>
    <col min="9990" max="9990" width="15" customWidth="1"/>
    <col min="9991" max="9991" width="12.85546875" customWidth="1"/>
    <col min="9992" max="9992" width="12.7109375" customWidth="1"/>
    <col min="9993" max="9993" width="17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5" customWidth="1"/>
    <col min="10003" max="10003" width="12.5703125" customWidth="1"/>
    <col min="10241" max="10241" width="36.5703125" bestFit="1" customWidth="1"/>
    <col min="10242" max="10242" width="13.28515625" customWidth="1"/>
    <col min="10243" max="10243" width="10.140625" customWidth="1"/>
    <col min="10244" max="10244" width="11.85546875" customWidth="1"/>
    <col min="10245" max="10245" width="13.85546875" customWidth="1"/>
    <col min="10246" max="10246" width="15" customWidth="1"/>
    <col min="10247" max="10247" width="12.85546875" customWidth="1"/>
    <col min="10248" max="10248" width="12.7109375" customWidth="1"/>
    <col min="10249" max="10249" width="17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5" customWidth="1"/>
    <col min="10259" max="10259" width="12.5703125" customWidth="1"/>
    <col min="10497" max="10497" width="36.5703125" bestFit="1" customWidth="1"/>
    <col min="10498" max="10498" width="13.28515625" customWidth="1"/>
    <col min="10499" max="10499" width="10.140625" customWidth="1"/>
    <col min="10500" max="10500" width="11.85546875" customWidth="1"/>
    <col min="10501" max="10501" width="13.85546875" customWidth="1"/>
    <col min="10502" max="10502" width="15" customWidth="1"/>
    <col min="10503" max="10503" width="12.85546875" customWidth="1"/>
    <col min="10504" max="10504" width="12.7109375" customWidth="1"/>
    <col min="10505" max="10505" width="17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5" customWidth="1"/>
    <col min="10515" max="10515" width="12.5703125" customWidth="1"/>
    <col min="10753" max="10753" width="36.5703125" bestFit="1" customWidth="1"/>
    <col min="10754" max="10754" width="13.28515625" customWidth="1"/>
    <col min="10755" max="10755" width="10.140625" customWidth="1"/>
    <col min="10756" max="10756" width="11.85546875" customWidth="1"/>
    <col min="10757" max="10757" width="13.85546875" customWidth="1"/>
    <col min="10758" max="10758" width="15" customWidth="1"/>
    <col min="10759" max="10759" width="12.85546875" customWidth="1"/>
    <col min="10760" max="10760" width="12.7109375" customWidth="1"/>
    <col min="10761" max="10761" width="17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5" customWidth="1"/>
    <col min="10771" max="10771" width="12.5703125" customWidth="1"/>
    <col min="11009" max="11009" width="36.5703125" bestFit="1" customWidth="1"/>
    <col min="11010" max="11010" width="13.28515625" customWidth="1"/>
    <col min="11011" max="11011" width="10.140625" customWidth="1"/>
    <col min="11012" max="11012" width="11.85546875" customWidth="1"/>
    <col min="11013" max="11013" width="13.85546875" customWidth="1"/>
    <col min="11014" max="11014" width="15" customWidth="1"/>
    <col min="11015" max="11015" width="12.85546875" customWidth="1"/>
    <col min="11016" max="11016" width="12.7109375" customWidth="1"/>
    <col min="11017" max="11017" width="17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5" customWidth="1"/>
    <col min="11027" max="11027" width="12.5703125" customWidth="1"/>
    <col min="11265" max="11265" width="36.5703125" bestFit="1" customWidth="1"/>
    <col min="11266" max="11266" width="13.28515625" customWidth="1"/>
    <col min="11267" max="11267" width="10.140625" customWidth="1"/>
    <col min="11268" max="11268" width="11.85546875" customWidth="1"/>
    <col min="11269" max="11269" width="13.85546875" customWidth="1"/>
    <col min="11270" max="11270" width="15" customWidth="1"/>
    <col min="11271" max="11271" width="12.85546875" customWidth="1"/>
    <col min="11272" max="11272" width="12.7109375" customWidth="1"/>
    <col min="11273" max="11273" width="17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5" customWidth="1"/>
    <col min="11283" max="11283" width="12.5703125" customWidth="1"/>
    <col min="11521" max="11521" width="36.5703125" bestFit="1" customWidth="1"/>
    <col min="11522" max="11522" width="13.28515625" customWidth="1"/>
    <col min="11523" max="11523" width="10.140625" customWidth="1"/>
    <col min="11524" max="11524" width="11.85546875" customWidth="1"/>
    <col min="11525" max="11525" width="13.85546875" customWidth="1"/>
    <col min="11526" max="11526" width="15" customWidth="1"/>
    <col min="11527" max="11527" width="12.85546875" customWidth="1"/>
    <col min="11528" max="11528" width="12.7109375" customWidth="1"/>
    <col min="11529" max="11529" width="17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5" customWidth="1"/>
    <col min="11539" max="11539" width="12.5703125" customWidth="1"/>
    <col min="11777" max="11777" width="36.5703125" bestFit="1" customWidth="1"/>
    <col min="11778" max="11778" width="13.28515625" customWidth="1"/>
    <col min="11779" max="11779" width="10.140625" customWidth="1"/>
    <col min="11780" max="11780" width="11.85546875" customWidth="1"/>
    <col min="11781" max="11781" width="13.85546875" customWidth="1"/>
    <col min="11782" max="11782" width="15" customWidth="1"/>
    <col min="11783" max="11783" width="12.85546875" customWidth="1"/>
    <col min="11784" max="11784" width="12.7109375" customWidth="1"/>
    <col min="11785" max="11785" width="17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5" customWidth="1"/>
    <col min="11795" max="11795" width="12.5703125" customWidth="1"/>
    <col min="12033" max="12033" width="36.5703125" bestFit="1" customWidth="1"/>
    <col min="12034" max="12034" width="13.28515625" customWidth="1"/>
    <col min="12035" max="12035" width="10.140625" customWidth="1"/>
    <col min="12036" max="12036" width="11.85546875" customWidth="1"/>
    <col min="12037" max="12037" width="13.85546875" customWidth="1"/>
    <col min="12038" max="12038" width="15" customWidth="1"/>
    <col min="12039" max="12039" width="12.85546875" customWidth="1"/>
    <col min="12040" max="12040" width="12.7109375" customWidth="1"/>
    <col min="12041" max="12041" width="17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5" customWidth="1"/>
    <col min="12051" max="12051" width="12.5703125" customWidth="1"/>
    <col min="12289" max="12289" width="36.5703125" bestFit="1" customWidth="1"/>
    <col min="12290" max="12290" width="13.28515625" customWidth="1"/>
    <col min="12291" max="12291" width="10.140625" customWidth="1"/>
    <col min="12292" max="12292" width="11.85546875" customWidth="1"/>
    <col min="12293" max="12293" width="13.85546875" customWidth="1"/>
    <col min="12294" max="12294" width="15" customWidth="1"/>
    <col min="12295" max="12295" width="12.85546875" customWidth="1"/>
    <col min="12296" max="12296" width="12.7109375" customWidth="1"/>
    <col min="12297" max="12297" width="17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5" customWidth="1"/>
    <col min="12307" max="12307" width="12.5703125" customWidth="1"/>
    <col min="12545" max="12545" width="36.5703125" bestFit="1" customWidth="1"/>
    <col min="12546" max="12546" width="13.28515625" customWidth="1"/>
    <col min="12547" max="12547" width="10.140625" customWidth="1"/>
    <col min="12548" max="12548" width="11.85546875" customWidth="1"/>
    <col min="12549" max="12549" width="13.85546875" customWidth="1"/>
    <col min="12550" max="12550" width="15" customWidth="1"/>
    <col min="12551" max="12551" width="12.85546875" customWidth="1"/>
    <col min="12552" max="12552" width="12.7109375" customWidth="1"/>
    <col min="12553" max="12553" width="17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5" customWidth="1"/>
    <col min="12563" max="12563" width="12.5703125" customWidth="1"/>
    <col min="12801" max="12801" width="36.5703125" bestFit="1" customWidth="1"/>
    <col min="12802" max="12802" width="13.28515625" customWidth="1"/>
    <col min="12803" max="12803" width="10.140625" customWidth="1"/>
    <col min="12804" max="12804" width="11.85546875" customWidth="1"/>
    <col min="12805" max="12805" width="13.85546875" customWidth="1"/>
    <col min="12806" max="12806" width="15" customWidth="1"/>
    <col min="12807" max="12807" width="12.85546875" customWidth="1"/>
    <col min="12808" max="12808" width="12.7109375" customWidth="1"/>
    <col min="12809" max="12809" width="17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5" customWidth="1"/>
    <col min="12819" max="12819" width="12.5703125" customWidth="1"/>
    <col min="13057" max="13057" width="36.5703125" bestFit="1" customWidth="1"/>
    <col min="13058" max="13058" width="13.28515625" customWidth="1"/>
    <col min="13059" max="13059" width="10.140625" customWidth="1"/>
    <col min="13060" max="13060" width="11.85546875" customWidth="1"/>
    <col min="13061" max="13061" width="13.85546875" customWidth="1"/>
    <col min="13062" max="13062" width="15" customWidth="1"/>
    <col min="13063" max="13063" width="12.85546875" customWidth="1"/>
    <col min="13064" max="13064" width="12.7109375" customWidth="1"/>
    <col min="13065" max="13065" width="17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5" customWidth="1"/>
    <col min="13075" max="13075" width="12.5703125" customWidth="1"/>
    <col min="13313" max="13313" width="36.5703125" bestFit="1" customWidth="1"/>
    <col min="13314" max="13314" width="13.28515625" customWidth="1"/>
    <col min="13315" max="13315" width="10.140625" customWidth="1"/>
    <col min="13316" max="13316" width="11.85546875" customWidth="1"/>
    <col min="13317" max="13317" width="13.85546875" customWidth="1"/>
    <col min="13318" max="13318" width="15" customWidth="1"/>
    <col min="13319" max="13319" width="12.85546875" customWidth="1"/>
    <col min="13320" max="13320" width="12.7109375" customWidth="1"/>
    <col min="13321" max="13321" width="17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5" customWidth="1"/>
    <col min="13331" max="13331" width="12.5703125" customWidth="1"/>
    <col min="13569" max="13569" width="36.5703125" bestFit="1" customWidth="1"/>
    <col min="13570" max="13570" width="13.28515625" customWidth="1"/>
    <col min="13571" max="13571" width="10.140625" customWidth="1"/>
    <col min="13572" max="13572" width="11.85546875" customWidth="1"/>
    <col min="13573" max="13573" width="13.85546875" customWidth="1"/>
    <col min="13574" max="13574" width="15" customWidth="1"/>
    <col min="13575" max="13575" width="12.85546875" customWidth="1"/>
    <col min="13576" max="13576" width="12.7109375" customWidth="1"/>
    <col min="13577" max="13577" width="17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5" customWidth="1"/>
    <col min="13587" max="13587" width="12.5703125" customWidth="1"/>
    <col min="13825" max="13825" width="36.5703125" bestFit="1" customWidth="1"/>
    <col min="13826" max="13826" width="13.28515625" customWidth="1"/>
    <col min="13827" max="13827" width="10.140625" customWidth="1"/>
    <col min="13828" max="13828" width="11.85546875" customWidth="1"/>
    <col min="13829" max="13829" width="13.85546875" customWidth="1"/>
    <col min="13830" max="13830" width="15" customWidth="1"/>
    <col min="13831" max="13831" width="12.85546875" customWidth="1"/>
    <col min="13832" max="13832" width="12.7109375" customWidth="1"/>
    <col min="13833" max="13833" width="17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5" customWidth="1"/>
    <col min="13843" max="13843" width="12.5703125" customWidth="1"/>
    <col min="14081" max="14081" width="36.5703125" bestFit="1" customWidth="1"/>
    <col min="14082" max="14082" width="13.28515625" customWidth="1"/>
    <col min="14083" max="14083" width="10.140625" customWidth="1"/>
    <col min="14084" max="14084" width="11.85546875" customWidth="1"/>
    <col min="14085" max="14085" width="13.85546875" customWidth="1"/>
    <col min="14086" max="14086" width="15" customWidth="1"/>
    <col min="14087" max="14087" width="12.85546875" customWidth="1"/>
    <col min="14088" max="14088" width="12.7109375" customWidth="1"/>
    <col min="14089" max="14089" width="17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5" customWidth="1"/>
    <col min="14099" max="14099" width="12.5703125" customWidth="1"/>
    <col min="14337" max="14337" width="36.5703125" bestFit="1" customWidth="1"/>
    <col min="14338" max="14338" width="13.28515625" customWidth="1"/>
    <col min="14339" max="14339" width="10.140625" customWidth="1"/>
    <col min="14340" max="14340" width="11.85546875" customWidth="1"/>
    <col min="14341" max="14341" width="13.85546875" customWidth="1"/>
    <col min="14342" max="14342" width="15" customWidth="1"/>
    <col min="14343" max="14343" width="12.85546875" customWidth="1"/>
    <col min="14344" max="14344" width="12.7109375" customWidth="1"/>
    <col min="14345" max="14345" width="17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5" customWidth="1"/>
    <col min="14355" max="14355" width="12.5703125" customWidth="1"/>
    <col min="14593" max="14593" width="36.5703125" bestFit="1" customWidth="1"/>
    <col min="14594" max="14594" width="13.28515625" customWidth="1"/>
    <col min="14595" max="14595" width="10.140625" customWidth="1"/>
    <col min="14596" max="14596" width="11.85546875" customWidth="1"/>
    <col min="14597" max="14597" width="13.85546875" customWidth="1"/>
    <col min="14598" max="14598" width="15" customWidth="1"/>
    <col min="14599" max="14599" width="12.85546875" customWidth="1"/>
    <col min="14600" max="14600" width="12.7109375" customWidth="1"/>
    <col min="14601" max="14601" width="17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5" customWidth="1"/>
    <col min="14611" max="14611" width="12.5703125" customWidth="1"/>
    <col min="14849" max="14849" width="36.5703125" bestFit="1" customWidth="1"/>
    <col min="14850" max="14850" width="13.28515625" customWidth="1"/>
    <col min="14851" max="14851" width="10.140625" customWidth="1"/>
    <col min="14852" max="14852" width="11.85546875" customWidth="1"/>
    <col min="14853" max="14853" width="13.85546875" customWidth="1"/>
    <col min="14854" max="14854" width="15" customWidth="1"/>
    <col min="14855" max="14855" width="12.85546875" customWidth="1"/>
    <col min="14856" max="14856" width="12.7109375" customWidth="1"/>
    <col min="14857" max="14857" width="17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5" customWidth="1"/>
    <col min="14867" max="14867" width="12.5703125" customWidth="1"/>
    <col min="15105" max="15105" width="36.5703125" bestFit="1" customWidth="1"/>
    <col min="15106" max="15106" width="13.28515625" customWidth="1"/>
    <col min="15107" max="15107" width="10.140625" customWidth="1"/>
    <col min="15108" max="15108" width="11.85546875" customWidth="1"/>
    <col min="15109" max="15109" width="13.85546875" customWidth="1"/>
    <col min="15110" max="15110" width="15" customWidth="1"/>
    <col min="15111" max="15111" width="12.85546875" customWidth="1"/>
    <col min="15112" max="15112" width="12.7109375" customWidth="1"/>
    <col min="15113" max="15113" width="17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5" customWidth="1"/>
    <col min="15123" max="15123" width="12.5703125" customWidth="1"/>
    <col min="15361" max="15361" width="36.5703125" bestFit="1" customWidth="1"/>
    <col min="15362" max="15362" width="13.28515625" customWidth="1"/>
    <col min="15363" max="15363" width="10.140625" customWidth="1"/>
    <col min="15364" max="15364" width="11.85546875" customWidth="1"/>
    <col min="15365" max="15365" width="13.85546875" customWidth="1"/>
    <col min="15366" max="15366" width="15" customWidth="1"/>
    <col min="15367" max="15367" width="12.85546875" customWidth="1"/>
    <col min="15368" max="15368" width="12.7109375" customWidth="1"/>
    <col min="15369" max="15369" width="17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5" customWidth="1"/>
    <col min="15379" max="15379" width="12.5703125" customWidth="1"/>
    <col min="15617" max="15617" width="36.5703125" bestFit="1" customWidth="1"/>
    <col min="15618" max="15618" width="13.28515625" customWidth="1"/>
    <col min="15619" max="15619" width="10.140625" customWidth="1"/>
    <col min="15620" max="15620" width="11.85546875" customWidth="1"/>
    <col min="15621" max="15621" width="13.85546875" customWidth="1"/>
    <col min="15622" max="15622" width="15" customWidth="1"/>
    <col min="15623" max="15623" width="12.85546875" customWidth="1"/>
    <col min="15624" max="15624" width="12.7109375" customWidth="1"/>
    <col min="15625" max="15625" width="17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5" customWidth="1"/>
    <col min="15635" max="15635" width="12.5703125" customWidth="1"/>
    <col min="15873" max="15873" width="36.5703125" bestFit="1" customWidth="1"/>
    <col min="15874" max="15874" width="13.28515625" customWidth="1"/>
    <col min="15875" max="15875" width="10.140625" customWidth="1"/>
    <col min="15876" max="15876" width="11.85546875" customWidth="1"/>
    <col min="15877" max="15877" width="13.85546875" customWidth="1"/>
    <col min="15878" max="15878" width="15" customWidth="1"/>
    <col min="15879" max="15879" width="12.85546875" customWidth="1"/>
    <col min="15880" max="15880" width="12.7109375" customWidth="1"/>
    <col min="15881" max="15881" width="17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5" customWidth="1"/>
    <col min="15891" max="15891" width="12.5703125" customWidth="1"/>
    <col min="16129" max="16129" width="36.5703125" bestFit="1" customWidth="1"/>
    <col min="16130" max="16130" width="13.28515625" customWidth="1"/>
    <col min="16131" max="16131" width="10.140625" customWidth="1"/>
    <col min="16132" max="16132" width="11.85546875" customWidth="1"/>
    <col min="16133" max="16133" width="13.85546875" customWidth="1"/>
    <col min="16134" max="16134" width="15" customWidth="1"/>
    <col min="16135" max="16135" width="12.85546875" customWidth="1"/>
    <col min="16136" max="16136" width="12.7109375" customWidth="1"/>
    <col min="16137" max="16137" width="17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5" customWidth="1"/>
    <col min="16147" max="16147" width="12.5703125" customWidth="1"/>
  </cols>
  <sheetData>
    <row r="1" spans="1:19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9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9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9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9" ht="21.75" customHeight="1">
      <c r="A5" s="326" t="s">
        <v>3214</v>
      </c>
      <c r="B5" s="1593" t="s">
        <v>2310</v>
      </c>
      <c r="C5" s="1594"/>
      <c r="D5" s="1594"/>
      <c r="E5" s="1595"/>
      <c r="F5" s="326" t="s">
        <v>171</v>
      </c>
      <c r="G5" s="326"/>
      <c r="H5" s="1618">
        <v>406020108050201</v>
      </c>
      <c r="I5" s="1619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9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9" ht="21.75" customHeight="1">
      <c r="A7" s="326" t="s">
        <v>174</v>
      </c>
      <c r="B7" s="1593" t="s">
        <v>3797</v>
      </c>
      <c r="C7" s="1594"/>
      <c r="D7" s="1594"/>
      <c r="E7" s="1595"/>
      <c r="F7" s="1596" t="s">
        <v>3208</v>
      </c>
      <c r="G7" s="1596"/>
      <c r="H7" s="1593" t="s">
        <v>3796</v>
      </c>
      <c r="I7" s="1594"/>
      <c r="J7" s="1595"/>
      <c r="K7" s="326"/>
      <c r="L7" s="326"/>
      <c r="M7" s="326"/>
      <c r="N7" s="326"/>
    </row>
    <row r="8" spans="1:19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9" ht="21.75" customHeight="1">
      <c r="A9" s="326" t="s">
        <v>178</v>
      </c>
      <c r="B9" s="1593" t="s">
        <v>3779</v>
      </c>
      <c r="C9" s="1594"/>
      <c r="D9" s="1594"/>
      <c r="E9" s="1595"/>
      <c r="F9" s="1601" t="s">
        <v>3205</v>
      </c>
      <c r="G9" s="1602"/>
      <c r="H9" s="1620" t="s">
        <v>3795</v>
      </c>
      <c r="I9" s="1621"/>
      <c r="J9" s="1621"/>
      <c r="K9" s="1622"/>
      <c r="L9" s="326"/>
      <c r="M9" s="326"/>
      <c r="N9" s="326"/>
    </row>
    <row r="10" spans="1:19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9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9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9" ht="31.5" customHeight="1">
      <c r="A13" s="631" t="s">
        <v>838</v>
      </c>
      <c r="B13" s="1612" t="s">
        <v>3794</v>
      </c>
      <c r="C13" s="1612"/>
      <c r="D13" s="1612" t="s">
        <v>3793</v>
      </c>
      <c r="E13" s="1612"/>
      <c r="F13" s="1612"/>
      <c r="G13" s="1612" t="s">
        <v>3792</v>
      </c>
      <c r="H13" s="1612"/>
      <c r="I13" s="1612"/>
      <c r="J13" s="1612" t="s">
        <v>3791</v>
      </c>
      <c r="K13" s="1612"/>
      <c r="L13" s="1612"/>
      <c r="M13" s="1612"/>
      <c r="N13" s="1612" t="s">
        <v>3790</v>
      </c>
      <c r="O13" s="1612"/>
      <c r="P13" s="1612"/>
      <c r="Q13" s="1662" t="s">
        <v>3789</v>
      </c>
      <c r="R13" s="1662"/>
      <c r="S13" s="1662"/>
    </row>
    <row r="14" spans="1:19" ht="31.5" customHeight="1">
      <c r="A14" s="631" t="s">
        <v>187</v>
      </c>
      <c r="B14" s="1612" t="s">
        <v>3779</v>
      </c>
      <c r="C14" s="1612"/>
      <c r="D14" s="1612" t="s">
        <v>3778</v>
      </c>
      <c r="E14" s="1612"/>
      <c r="F14" s="1612"/>
      <c r="G14" s="1612" t="s">
        <v>3788</v>
      </c>
      <c r="H14" s="1612"/>
      <c r="I14" s="1612"/>
      <c r="J14" s="1612" t="s">
        <v>3787</v>
      </c>
      <c r="K14" s="1612"/>
      <c r="L14" s="1612"/>
      <c r="M14" s="1612"/>
      <c r="N14" s="1593" t="s">
        <v>3786</v>
      </c>
      <c r="O14" s="1594"/>
      <c r="P14" s="1595"/>
      <c r="Q14" s="1593" t="s">
        <v>3785</v>
      </c>
      <c r="R14" s="1594"/>
      <c r="S14" s="1595"/>
    </row>
    <row r="15" spans="1:19" ht="44.25" customHeight="1">
      <c r="A15" s="631" t="s">
        <v>192</v>
      </c>
      <c r="B15" s="1613" t="s">
        <v>3784</v>
      </c>
      <c r="C15" s="1614"/>
      <c r="D15" s="1612" t="s">
        <v>3783</v>
      </c>
      <c r="E15" s="1612"/>
      <c r="F15" s="1612"/>
      <c r="G15" s="1612" t="s">
        <v>3782</v>
      </c>
      <c r="H15" s="1612"/>
      <c r="I15" s="1612"/>
      <c r="J15" s="1612"/>
      <c r="K15" s="1612"/>
      <c r="L15" s="1612"/>
      <c r="M15" s="1612"/>
      <c r="N15" s="1613" t="s">
        <v>3781</v>
      </c>
      <c r="O15" s="1617"/>
      <c r="P15" s="1614"/>
      <c r="Q15" s="1613" t="s">
        <v>3780</v>
      </c>
      <c r="R15" s="1617"/>
      <c r="S15" s="1614"/>
    </row>
    <row r="16" spans="1:19" ht="31.5" customHeight="1">
      <c r="A16" s="631" t="s">
        <v>197</v>
      </c>
      <c r="B16" s="1612" t="s">
        <v>3779</v>
      </c>
      <c r="C16" s="1612"/>
      <c r="D16" s="1612" t="s">
        <v>3778</v>
      </c>
      <c r="E16" s="1612"/>
      <c r="F16" s="1612"/>
      <c r="G16" s="1612" t="s">
        <v>2438</v>
      </c>
      <c r="H16" s="1612"/>
      <c r="I16" s="1612"/>
      <c r="J16" s="1612" t="s">
        <v>2438</v>
      </c>
      <c r="K16" s="1612"/>
      <c r="L16" s="1612"/>
      <c r="M16" s="1612"/>
      <c r="N16" s="1593" t="s">
        <v>2438</v>
      </c>
      <c r="O16" s="1594"/>
      <c r="P16" s="1595"/>
      <c r="Q16" s="1593" t="s">
        <v>2438</v>
      </c>
      <c r="R16" s="1594"/>
      <c r="S16" s="1595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6</v>
      </c>
      <c r="C18" s="326" t="s">
        <v>199</v>
      </c>
      <c r="D18" s="326"/>
      <c r="E18" s="326"/>
      <c r="F18" s="631">
        <v>5</v>
      </c>
      <c r="G18" s="326" t="s">
        <v>200</v>
      </c>
      <c r="H18" s="632">
        <v>20</v>
      </c>
      <c r="I18" s="326" t="s">
        <v>201</v>
      </c>
      <c r="J18" s="632">
        <v>4</v>
      </c>
      <c r="K18" s="326" t="s">
        <v>202</v>
      </c>
      <c r="L18" s="631">
        <v>5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181</v>
      </c>
      <c r="D21" s="326" t="s">
        <v>205</v>
      </c>
      <c r="E21" s="631">
        <v>62</v>
      </c>
      <c r="F21" s="326" t="s">
        <v>206</v>
      </c>
      <c r="G21" s="631">
        <v>28</v>
      </c>
      <c r="H21" s="326" t="s">
        <v>230</v>
      </c>
      <c r="I21" s="631">
        <v>271</v>
      </c>
      <c r="J21" s="326" t="s">
        <v>207</v>
      </c>
      <c r="K21" s="631">
        <v>86</v>
      </c>
      <c r="L21" s="326" t="s">
        <v>3187</v>
      </c>
      <c r="M21" s="326"/>
      <c r="N21" s="631">
        <v>27</v>
      </c>
    </row>
    <row r="22" spans="1:14" ht="21.75" customHeight="1">
      <c r="A22" s="326" t="s">
        <v>209</v>
      </c>
      <c r="B22" s="326" t="s">
        <v>210</v>
      </c>
      <c r="C22" s="631">
        <v>493</v>
      </c>
      <c r="D22" s="326" t="s">
        <v>211</v>
      </c>
      <c r="E22" s="631">
        <v>143</v>
      </c>
      <c r="F22" s="326" t="s">
        <v>212</v>
      </c>
      <c r="G22">
        <v>62</v>
      </c>
      <c r="H22" s="326" t="s">
        <v>411</v>
      </c>
      <c r="I22">
        <v>698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440</v>
      </c>
      <c r="D23" s="326" t="s">
        <v>214</v>
      </c>
      <c r="E23" s="631">
        <v>150</v>
      </c>
      <c r="F23" s="326" t="s">
        <v>215</v>
      </c>
      <c r="G23">
        <v>46</v>
      </c>
      <c r="H23" s="326" t="s">
        <v>410</v>
      </c>
      <c r="I23">
        <v>636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2">
        <v>663700</v>
      </c>
      <c r="F29" s="322">
        <v>0</v>
      </c>
      <c r="G29" s="322">
        <v>163700</v>
      </c>
      <c r="H29" s="322"/>
      <c r="I29" s="322"/>
      <c r="J29" s="322"/>
      <c r="K29" s="322"/>
      <c r="L29" s="322"/>
      <c r="M29" s="322">
        <f t="shared" ref="M29:M38" si="0">SUM(F29:L29)</f>
        <v>163700</v>
      </c>
      <c r="N29" s="323">
        <f>+M29/E29*100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>
        <v>0</v>
      </c>
      <c r="F30" s="322">
        <v>0</v>
      </c>
      <c r="G30" s="322">
        <v>0</v>
      </c>
      <c r="H30" s="322"/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2">
        <v>0</v>
      </c>
      <c r="G31" s="322">
        <v>18000</v>
      </c>
      <c r="H31" s="322"/>
      <c r="I31" s="322"/>
      <c r="J31" s="322"/>
      <c r="K31" s="322"/>
      <c r="L31" s="322"/>
      <c r="M31" s="322">
        <f t="shared" si="0"/>
        <v>18000</v>
      </c>
      <c r="N31" s="323">
        <f t="shared" ref="N31:N38" si="1">+M31/E31*100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2">
        <v>0</v>
      </c>
      <c r="G32" s="322">
        <v>16000</v>
      </c>
      <c r="H32" s="322"/>
      <c r="I32" s="322"/>
      <c r="J32" s="322"/>
      <c r="K32" s="322"/>
      <c r="L32" s="322"/>
      <c r="M32" s="322">
        <f t="shared" si="0"/>
        <v>16000</v>
      </c>
      <c r="N32" s="323">
        <f t="shared" si="1"/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2">
        <v>200000</v>
      </c>
      <c r="F33" s="322">
        <v>0</v>
      </c>
      <c r="G33" s="322">
        <v>109865</v>
      </c>
      <c r="H33" s="322"/>
      <c r="I33" s="322"/>
      <c r="J33" s="322"/>
      <c r="K33" s="322"/>
      <c r="L33" s="322"/>
      <c r="M33" s="322">
        <f t="shared" si="0"/>
        <v>109865</v>
      </c>
      <c r="N33" s="323">
        <f t="shared" si="1"/>
        <v>54.932499999999997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2">
        <v>150000</v>
      </c>
      <c r="F34" s="322">
        <v>0</v>
      </c>
      <c r="G34" s="322">
        <v>20000</v>
      </c>
      <c r="H34" s="322"/>
      <c r="I34" s="322"/>
      <c r="J34" s="322"/>
      <c r="K34" s="322"/>
      <c r="L34" s="322"/>
      <c r="M34" s="322">
        <f t="shared" si="0"/>
        <v>20000</v>
      </c>
      <c r="N34" s="323">
        <f t="shared" si="1"/>
        <v>13.333333333333334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2">
        <v>0</v>
      </c>
      <c r="F35" s="322">
        <v>0</v>
      </c>
      <c r="G35" s="322">
        <v>0</v>
      </c>
      <c r="H35" s="322"/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2">
        <v>0</v>
      </c>
      <c r="G36" s="322">
        <v>22000</v>
      </c>
      <c r="H36" s="322"/>
      <c r="I36" s="322"/>
      <c r="J36" s="322"/>
      <c r="K36" s="322"/>
      <c r="L36" s="322"/>
      <c r="M36" s="322">
        <f t="shared" si="0"/>
        <v>22000</v>
      </c>
      <c r="N36" s="323">
        <f t="shared" si="1"/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2">
        <v>0</v>
      </c>
      <c r="F37" s="322">
        <v>0</v>
      </c>
      <c r="G37" s="322">
        <v>0</v>
      </c>
      <c r="H37" s="322"/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2">SUM(D29:D37)</f>
        <v>62.635000000000005</v>
      </c>
      <c r="E38" s="321">
        <f t="shared" si="2"/>
        <v>1077950</v>
      </c>
      <c r="F38" s="321">
        <f t="shared" si="2"/>
        <v>0</v>
      </c>
      <c r="G38" s="321">
        <f t="shared" si="2"/>
        <v>349565</v>
      </c>
      <c r="H38" s="321">
        <f t="shared" si="2"/>
        <v>0</v>
      </c>
      <c r="I38" s="321">
        <f t="shared" si="2"/>
        <v>0</v>
      </c>
      <c r="J38" s="321">
        <f t="shared" si="2"/>
        <v>0</v>
      </c>
      <c r="K38" s="321">
        <f t="shared" si="2"/>
        <v>0</v>
      </c>
      <c r="L38" s="321">
        <f t="shared" si="2"/>
        <v>0</v>
      </c>
      <c r="M38" s="631">
        <f t="shared" si="0"/>
        <v>349565</v>
      </c>
      <c r="N38" s="323">
        <f t="shared" si="1"/>
        <v>32.428684076255855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41">
    <mergeCell ref="A27:A28"/>
    <mergeCell ref="B27:B28"/>
    <mergeCell ref="C27:C28"/>
    <mergeCell ref="D27:D28"/>
    <mergeCell ref="E27:E28"/>
    <mergeCell ref="F27:N27"/>
    <mergeCell ref="B16:C16"/>
    <mergeCell ref="D16:F16"/>
    <mergeCell ref="G16:I16"/>
    <mergeCell ref="J16:M16"/>
    <mergeCell ref="N16:P16"/>
    <mergeCell ref="Q16:S16"/>
    <mergeCell ref="B15:C15"/>
    <mergeCell ref="D15:F15"/>
    <mergeCell ref="G15:I15"/>
    <mergeCell ref="J15:M15"/>
    <mergeCell ref="N15:P15"/>
    <mergeCell ref="Q15:S15"/>
    <mergeCell ref="N13:P13"/>
    <mergeCell ref="Q13:S13"/>
    <mergeCell ref="B14:C14"/>
    <mergeCell ref="D14:F14"/>
    <mergeCell ref="G14:I14"/>
    <mergeCell ref="J14:M14"/>
    <mergeCell ref="N14:P14"/>
    <mergeCell ref="Q14:S14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496062992125984" bottom="0.27559055118110237" header="0.39370078740157483" footer="0.31496062992125984"/>
  <pageSetup paperSize="9" scale="56" orientation="landscape" r:id="rId1"/>
</worksheet>
</file>

<file path=xl/worksheets/sheet352.xml><?xml version="1.0" encoding="utf-8"?>
<worksheet xmlns="http://schemas.openxmlformats.org/spreadsheetml/2006/main" xmlns:r="http://schemas.openxmlformats.org/officeDocument/2006/relationships">
  <sheetPr>
    <tabColor theme="6" tint="-0.499984740745262"/>
    <pageSetUpPr fitToPage="1"/>
  </sheetPr>
  <dimension ref="A1:N42"/>
  <sheetViews>
    <sheetView zoomScale="70" zoomScaleNormal="7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0.28515625" customWidth="1"/>
    <col min="4" max="4" width="11.85546875" customWidth="1"/>
    <col min="5" max="5" width="13.140625" customWidth="1"/>
    <col min="6" max="6" width="15" customWidth="1"/>
    <col min="7" max="7" width="12.85546875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0.140625" customWidth="1"/>
    <col min="257" max="257" width="36.5703125" bestFit="1" customWidth="1"/>
    <col min="258" max="258" width="13.28515625" customWidth="1"/>
    <col min="259" max="259" width="10.28515625" customWidth="1"/>
    <col min="260" max="260" width="11.85546875" customWidth="1"/>
    <col min="261" max="261" width="13.140625" customWidth="1"/>
    <col min="262" max="262" width="15" customWidth="1"/>
    <col min="263" max="263" width="12.85546875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0.140625" customWidth="1"/>
    <col min="513" max="513" width="36.5703125" bestFit="1" customWidth="1"/>
    <col min="514" max="514" width="13.28515625" customWidth="1"/>
    <col min="515" max="515" width="10.28515625" customWidth="1"/>
    <col min="516" max="516" width="11.85546875" customWidth="1"/>
    <col min="517" max="517" width="13.140625" customWidth="1"/>
    <col min="518" max="518" width="15" customWidth="1"/>
    <col min="519" max="519" width="12.85546875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0.140625" customWidth="1"/>
    <col min="769" max="769" width="36.5703125" bestFit="1" customWidth="1"/>
    <col min="770" max="770" width="13.28515625" customWidth="1"/>
    <col min="771" max="771" width="10.28515625" customWidth="1"/>
    <col min="772" max="772" width="11.85546875" customWidth="1"/>
    <col min="773" max="773" width="13.140625" customWidth="1"/>
    <col min="774" max="774" width="15" customWidth="1"/>
    <col min="775" max="775" width="12.85546875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0.140625" customWidth="1"/>
    <col min="1025" max="1025" width="36.5703125" bestFit="1" customWidth="1"/>
    <col min="1026" max="1026" width="13.28515625" customWidth="1"/>
    <col min="1027" max="1027" width="10.28515625" customWidth="1"/>
    <col min="1028" max="1028" width="11.85546875" customWidth="1"/>
    <col min="1029" max="1029" width="13.140625" customWidth="1"/>
    <col min="1030" max="1030" width="15" customWidth="1"/>
    <col min="1031" max="1031" width="12.85546875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0.140625" customWidth="1"/>
    <col min="1281" max="1281" width="36.5703125" bestFit="1" customWidth="1"/>
    <col min="1282" max="1282" width="13.28515625" customWidth="1"/>
    <col min="1283" max="1283" width="10.28515625" customWidth="1"/>
    <col min="1284" max="1284" width="11.85546875" customWidth="1"/>
    <col min="1285" max="1285" width="13.140625" customWidth="1"/>
    <col min="1286" max="1286" width="15" customWidth="1"/>
    <col min="1287" max="1287" width="12.85546875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0.140625" customWidth="1"/>
    <col min="1537" max="1537" width="36.5703125" bestFit="1" customWidth="1"/>
    <col min="1538" max="1538" width="13.28515625" customWidth="1"/>
    <col min="1539" max="1539" width="10.28515625" customWidth="1"/>
    <col min="1540" max="1540" width="11.85546875" customWidth="1"/>
    <col min="1541" max="1541" width="13.140625" customWidth="1"/>
    <col min="1542" max="1542" width="15" customWidth="1"/>
    <col min="1543" max="1543" width="12.85546875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0.140625" customWidth="1"/>
    <col min="1793" max="1793" width="36.5703125" bestFit="1" customWidth="1"/>
    <col min="1794" max="1794" width="13.28515625" customWidth="1"/>
    <col min="1795" max="1795" width="10.28515625" customWidth="1"/>
    <col min="1796" max="1796" width="11.85546875" customWidth="1"/>
    <col min="1797" max="1797" width="13.140625" customWidth="1"/>
    <col min="1798" max="1798" width="15" customWidth="1"/>
    <col min="1799" max="1799" width="12.85546875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0.140625" customWidth="1"/>
    <col min="2049" max="2049" width="36.5703125" bestFit="1" customWidth="1"/>
    <col min="2050" max="2050" width="13.28515625" customWidth="1"/>
    <col min="2051" max="2051" width="10.28515625" customWidth="1"/>
    <col min="2052" max="2052" width="11.85546875" customWidth="1"/>
    <col min="2053" max="2053" width="13.140625" customWidth="1"/>
    <col min="2054" max="2054" width="15" customWidth="1"/>
    <col min="2055" max="2055" width="12.85546875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0.140625" customWidth="1"/>
    <col min="2305" max="2305" width="36.5703125" bestFit="1" customWidth="1"/>
    <col min="2306" max="2306" width="13.28515625" customWidth="1"/>
    <col min="2307" max="2307" width="10.28515625" customWidth="1"/>
    <col min="2308" max="2308" width="11.85546875" customWidth="1"/>
    <col min="2309" max="2309" width="13.140625" customWidth="1"/>
    <col min="2310" max="2310" width="15" customWidth="1"/>
    <col min="2311" max="2311" width="12.85546875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0.140625" customWidth="1"/>
    <col min="2561" max="2561" width="36.5703125" bestFit="1" customWidth="1"/>
    <col min="2562" max="2562" width="13.28515625" customWidth="1"/>
    <col min="2563" max="2563" width="10.28515625" customWidth="1"/>
    <col min="2564" max="2564" width="11.85546875" customWidth="1"/>
    <col min="2565" max="2565" width="13.140625" customWidth="1"/>
    <col min="2566" max="2566" width="15" customWidth="1"/>
    <col min="2567" max="2567" width="12.85546875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0.140625" customWidth="1"/>
    <col min="2817" max="2817" width="36.5703125" bestFit="1" customWidth="1"/>
    <col min="2818" max="2818" width="13.28515625" customWidth="1"/>
    <col min="2819" max="2819" width="10.28515625" customWidth="1"/>
    <col min="2820" max="2820" width="11.85546875" customWidth="1"/>
    <col min="2821" max="2821" width="13.140625" customWidth="1"/>
    <col min="2822" max="2822" width="15" customWidth="1"/>
    <col min="2823" max="2823" width="12.85546875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0.140625" customWidth="1"/>
    <col min="3073" max="3073" width="36.5703125" bestFit="1" customWidth="1"/>
    <col min="3074" max="3074" width="13.28515625" customWidth="1"/>
    <col min="3075" max="3075" width="10.28515625" customWidth="1"/>
    <col min="3076" max="3076" width="11.85546875" customWidth="1"/>
    <col min="3077" max="3077" width="13.140625" customWidth="1"/>
    <col min="3078" max="3078" width="15" customWidth="1"/>
    <col min="3079" max="3079" width="12.85546875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0.140625" customWidth="1"/>
    <col min="3329" max="3329" width="36.5703125" bestFit="1" customWidth="1"/>
    <col min="3330" max="3330" width="13.28515625" customWidth="1"/>
    <col min="3331" max="3331" width="10.28515625" customWidth="1"/>
    <col min="3332" max="3332" width="11.85546875" customWidth="1"/>
    <col min="3333" max="3333" width="13.140625" customWidth="1"/>
    <col min="3334" max="3334" width="15" customWidth="1"/>
    <col min="3335" max="3335" width="12.85546875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0.140625" customWidth="1"/>
    <col min="3585" max="3585" width="36.5703125" bestFit="1" customWidth="1"/>
    <col min="3586" max="3586" width="13.28515625" customWidth="1"/>
    <col min="3587" max="3587" width="10.28515625" customWidth="1"/>
    <col min="3588" max="3588" width="11.85546875" customWidth="1"/>
    <col min="3589" max="3589" width="13.140625" customWidth="1"/>
    <col min="3590" max="3590" width="15" customWidth="1"/>
    <col min="3591" max="3591" width="12.85546875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0.140625" customWidth="1"/>
    <col min="3841" max="3841" width="36.5703125" bestFit="1" customWidth="1"/>
    <col min="3842" max="3842" width="13.28515625" customWidth="1"/>
    <col min="3843" max="3843" width="10.28515625" customWidth="1"/>
    <col min="3844" max="3844" width="11.85546875" customWidth="1"/>
    <col min="3845" max="3845" width="13.140625" customWidth="1"/>
    <col min="3846" max="3846" width="15" customWidth="1"/>
    <col min="3847" max="3847" width="12.85546875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0.140625" customWidth="1"/>
    <col min="4097" max="4097" width="36.5703125" bestFit="1" customWidth="1"/>
    <col min="4098" max="4098" width="13.28515625" customWidth="1"/>
    <col min="4099" max="4099" width="10.28515625" customWidth="1"/>
    <col min="4100" max="4100" width="11.85546875" customWidth="1"/>
    <col min="4101" max="4101" width="13.140625" customWidth="1"/>
    <col min="4102" max="4102" width="15" customWidth="1"/>
    <col min="4103" max="4103" width="12.85546875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0.140625" customWidth="1"/>
    <col min="4353" max="4353" width="36.5703125" bestFit="1" customWidth="1"/>
    <col min="4354" max="4354" width="13.28515625" customWidth="1"/>
    <col min="4355" max="4355" width="10.28515625" customWidth="1"/>
    <col min="4356" max="4356" width="11.85546875" customWidth="1"/>
    <col min="4357" max="4357" width="13.140625" customWidth="1"/>
    <col min="4358" max="4358" width="15" customWidth="1"/>
    <col min="4359" max="4359" width="12.85546875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0.140625" customWidth="1"/>
    <col min="4609" max="4609" width="36.5703125" bestFit="1" customWidth="1"/>
    <col min="4610" max="4610" width="13.28515625" customWidth="1"/>
    <col min="4611" max="4611" width="10.28515625" customWidth="1"/>
    <col min="4612" max="4612" width="11.85546875" customWidth="1"/>
    <col min="4613" max="4613" width="13.140625" customWidth="1"/>
    <col min="4614" max="4614" width="15" customWidth="1"/>
    <col min="4615" max="4615" width="12.85546875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0.140625" customWidth="1"/>
    <col min="4865" max="4865" width="36.5703125" bestFit="1" customWidth="1"/>
    <col min="4866" max="4866" width="13.28515625" customWidth="1"/>
    <col min="4867" max="4867" width="10.28515625" customWidth="1"/>
    <col min="4868" max="4868" width="11.85546875" customWidth="1"/>
    <col min="4869" max="4869" width="13.140625" customWidth="1"/>
    <col min="4870" max="4870" width="15" customWidth="1"/>
    <col min="4871" max="4871" width="12.85546875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0.140625" customWidth="1"/>
    <col min="5121" max="5121" width="36.5703125" bestFit="1" customWidth="1"/>
    <col min="5122" max="5122" width="13.28515625" customWidth="1"/>
    <col min="5123" max="5123" width="10.28515625" customWidth="1"/>
    <col min="5124" max="5124" width="11.85546875" customWidth="1"/>
    <col min="5125" max="5125" width="13.140625" customWidth="1"/>
    <col min="5126" max="5126" width="15" customWidth="1"/>
    <col min="5127" max="5127" width="12.85546875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0.140625" customWidth="1"/>
    <col min="5377" max="5377" width="36.5703125" bestFit="1" customWidth="1"/>
    <col min="5378" max="5378" width="13.28515625" customWidth="1"/>
    <col min="5379" max="5379" width="10.28515625" customWidth="1"/>
    <col min="5380" max="5380" width="11.85546875" customWidth="1"/>
    <col min="5381" max="5381" width="13.140625" customWidth="1"/>
    <col min="5382" max="5382" width="15" customWidth="1"/>
    <col min="5383" max="5383" width="12.85546875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0.140625" customWidth="1"/>
    <col min="5633" max="5633" width="36.5703125" bestFit="1" customWidth="1"/>
    <col min="5634" max="5634" width="13.28515625" customWidth="1"/>
    <col min="5635" max="5635" width="10.28515625" customWidth="1"/>
    <col min="5636" max="5636" width="11.85546875" customWidth="1"/>
    <col min="5637" max="5637" width="13.140625" customWidth="1"/>
    <col min="5638" max="5638" width="15" customWidth="1"/>
    <col min="5639" max="5639" width="12.85546875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0.140625" customWidth="1"/>
    <col min="5889" max="5889" width="36.5703125" bestFit="1" customWidth="1"/>
    <col min="5890" max="5890" width="13.28515625" customWidth="1"/>
    <col min="5891" max="5891" width="10.28515625" customWidth="1"/>
    <col min="5892" max="5892" width="11.85546875" customWidth="1"/>
    <col min="5893" max="5893" width="13.140625" customWidth="1"/>
    <col min="5894" max="5894" width="15" customWidth="1"/>
    <col min="5895" max="5895" width="12.85546875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0.140625" customWidth="1"/>
    <col min="6145" max="6145" width="36.5703125" bestFit="1" customWidth="1"/>
    <col min="6146" max="6146" width="13.28515625" customWidth="1"/>
    <col min="6147" max="6147" width="10.28515625" customWidth="1"/>
    <col min="6148" max="6148" width="11.85546875" customWidth="1"/>
    <col min="6149" max="6149" width="13.140625" customWidth="1"/>
    <col min="6150" max="6150" width="15" customWidth="1"/>
    <col min="6151" max="6151" width="12.85546875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0.140625" customWidth="1"/>
    <col min="6401" max="6401" width="36.5703125" bestFit="1" customWidth="1"/>
    <col min="6402" max="6402" width="13.28515625" customWidth="1"/>
    <col min="6403" max="6403" width="10.28515625" customWidth="1"/>
    <col min="6404" max="6404" width="11.85546875" customWidth="1"/>
    <col min="6405" max="6405" width="13.140625" customWidth="1"/>
    <col min="6406" max="6406" width="15" customWidth="1"/>
    <col min="6407" max="6407" width="12.85546875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0.140625" customWidth="1"/>
    <col min="6657" max="6657" width="36.5703125" bestFit="1" customWidth="1"/>
    <col min="6658" max="6658" width="13.28515625" customWidth="1"/>
    <col min="6659" max="6659" width="10.28515625" customWidth="1"/>
    <col min="6660" max="6660" width="11.85546875" customWidth="1"/>
    <col min="6661" max="6661" width="13.140625" customWidth="1"/>
    <col min="6662" max="6662" width="15" customWidth="1"/>
    <col min="6663" max="6663" width="12.85546875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0.140625" customWidth="1"/>
    <col min="6913" max="6913" width="36.5703125" bestFit="1" customWidth="1"/>
    <col min="6914" max="6914" width="13.28515625" customWidth="1"/>
    <col min="6915" max="6915" width="10.28515625" customWidth="1"/>
    <col min="6916" max="6916" width="11.85546875" customWidth="1"/>
    <col min="6917" max="6917" width="13.140625" customWidth="1"/>
    <col min="6918" max="6918" width="15" customWidth="1"/>
    <col min="6919" max="6919" width="12.85546875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0.140625" customWidth="1"/>
    <col min="7169" max="7169" width="36.5703125" bestFit="1" customWidth="1"/>
    <col min="7170" max="7170" width="13.28515625" customWidth="1"/>
    <col min="7171" max="7171" width="10.28515625" customWidth="1"/>
    <col min="7172" max="7172" width="11.85546875" customWidth="1"/>
    <col min="7173" max="7173" width="13.140625" customWidth="1"/>
    <col min="7174" max="7174" width="15" customWidth="1"/>
    <col min="7175" max="7175" width="12.85546875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0.140625" customWidth="1"/>
    <col min="7425" max="7425" width="36.5703125" bestFit="1" customWidth="1"/>
    <col min="7426" max="7426" width="13.28515625" customWidth="1"/>
    <col min="7427" max="7427" width="10.28515625" customWidth="1"/>
    <col min="7428" max="7428" width="11.85546875" customWidth="1"/>
    <col min="7429" max="7429" width="13.140625" customWidth="1"/>
    <col min="7430" max="7430" width="15" customWidth="1"/>
    <col min="7431" max="7431" width="12.85546875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0.140625" customWidth="1"/>
    <col min="7681" max="7681" width="36.5703125" bestFit="1" customWidth="1"/>
    <col min="7682" max="7682" width="13.28515625" customWidth="1"/>
    <col min="7683" max="7683" width="10.28515625" customWidth="1"/>
    <col min="7684" max="7684" width="11.85546875" customWidth="1"/>
    <col min="7685" max="7685" width="13.140625" customWidth="1"/>
    <col min="7686" max="7686" width="15" customWidth="1"/>
    <col min="7687" max="7687" width="12.85546875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0.140625" customWidth="1"/>
    <col min="7937" max="7937" width="36.5703125" bestFit="1" customWidth="1"/>
    <col min="7938" max="7938" width="13.28515625" customWidth="1"/>
    <col min="7939" max="7939" width="10.28515625" customWidth="1"/>
    <col min="7940" max="7940" width="11.85546875" customWidth="1"/>
    <col min="7941" max="7941" width="13.140625" customWidth="1"/>
    <col min="7942" max="7942" width="15" customWidth="1"/>
    <col min="7943" max="7943" width="12.85546875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0.140625" customWidth="1"/>
    <col min="8193" max="8193" width="36.5703125" bestFit="1" customWidth="1"/>
    <col min="8194" max="8194" width="13.28515625" customWidth="1"/>
    <col min="8195" max="8195" width="10.28515625" customWidth="1"/>
    <col min="8196" max="8196" width="11.85546875" customWidth="1"/>
    <col min="8197" max="8197" width="13.140625" customWidth="1"/>
    <col min="8198" max="8198" width="15" customWidth="1"/>
    <col min="8199" max="8199" width="12.85546875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0.140625" customWidth="1"/>
    <col min="8449" max="8449" width="36.5703125" bestFit="1" customWidth="1"/>
    <col min="8450" max="8450" width="13.28515625" customWidth="1"/>
    <col min="8451" max="8451" width="10.28515625" customWidth="1"/>
    <col min="8452" max="8452" width="11.85546875" customWidth="1"/>
    <col min="8453" max="8453" width="13.140625" customWidth="1"/>
    <col min="8454" max="8454" width="15" customWidth="1"/>
    <col min="8455" max="8455" width="12.85546875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0.140625" customWidth="1"/>
    <col min="8705" max="8705" width="36.5703125" bestFit="1" customWidth="1"/>
    <col min="8706" max="8706" width="13.28515625" customWidth="1"/>
    <col min="8707" max="8707" width="10.28515625" customWidth="1"/>
    <col min="8708" max="8708" width="11.85546875" customWidth="1"/>
    <col min="8709" max="8709" width="13.140625" customWidth="1"/>
    <col min="8710" max="8710" width="15" customWidth="1"/>
    <col min="8711" max="8711" width="12.85546875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0.140625" customWidth="1"/>
    <col min="8961" max="8961" width="36.5703125" bestFit="1" customWidth="1"/>
    <col min="8962" max="8962" width="13.28515625" customWidth="1"/>
    <col min="8963" max="8963" width="10.28515625" customWidth="1"/>
    <col min="8964" max="8964" width="11.85546875" customWidth="1"/>
    <col min="8965" max="8965" width="13.140625" customWidth="1"/>
    <col min="8966" max="8966" width="15" customWidth="1"/>
    <col min="8967" max="8967" width="12.85546875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0.140625" customWidth="1"/>
    <col min="9217" max="9217" width="36.5703125" bestFit="1" customWidth="1"/>
    <col min="9218" max="9218" width="13.28515625" customWidth="1"/>
    <col min="9219" max="9219" width="10.28515625" customWidth="1"/>
    <col min="9220" max="9220" width="11.85546875" customWidth="1"/>
    <col min="9221" max="9221" width="13.140625" customWidth="1"/>
    <col min="9222" max="9222" width="15" customWidth="1"/>
    <col min="9223" max="9223" width="12.85546875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0.140625" customWidth="1"/>
    <col min="9473" max="9473" width="36.5703125" bestFit="1" customWidth="1"/>
    <col min="9474" max="9474" width="13.28515625" customWidth="1"/>
    <col min="9475" max="9475" width="10.28515625" customWidth="1"/>
    <col min="9476" max="9476" width="11.85546875" customWidth="1"/>
    <col min="9477" max="9477" width="13.140625" customWidth="1"/>
    <col min="9478" max="9478" width="15" customWidth="1"/>
    <col min="9479" max="9479" width="12.85546875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0.140625" customWidth="1"/>
    <col min="9729" max="9729" width="36.5703125" bestFit="1" customWidth="1"/>
    <col min="9730" max="9730" width="13.28515625" customWidth="1"/>
    <col min="9731" max="9731" width="10.28515625" customWidth="1"/>
    <col min="9732" max="9732" width="11.85546875" customWidth="1"/>
    <col min="9733" max="9733" width="13.140625" customWidth="1"/>
    <col min="9734" max="9734" width="15" customWidth="1"/>
    <col min="9735" max="9735" width="12.85546875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0.140625" customWidth="1"/>
    <col min="9985" max="9985" width="36.5703125" bestFit="1" customWidth="1"/>
    <col min="9986" max="9986" width="13.28515625" customWidth="1"/>
    <col min="9987" max="9987" width="10.28515625" customWidth="1"/>
    <col min="9988" max="9988" width="11.85546875" customWidth="1"/>
    <col min="9989" max="9989" width="13.140625" customWidth="1"/>
    <col min="9990" max="9990" width="15" customWidth="1"/>
    <col min="9991" max="9991" width="12.85546875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0.140625" customWidth="1"/>
    <col min="10241" max="10241" width="36.5703125" bestFit="1" customWidth="1"/>
    <col min="10242" max="10242" width="13.28515625" customWidth="1"/>
    <col min="10243" max="10243" width="10.28515625" customWidth="1"/>
    <col min="10244" max="10244" width="11.85546875" customWidth="1"/>
    <col min="10245" max="10245" width="13.140625" customWidth="1"/>
    <col min="10246" max="10246" width="15" customWidth="1"/>
    <col min="10247" max="10247" width="12.85546875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0.140625" customWidth="1"/>
    <col min="10497" max="10497" width="36.5703125" bestFit="1" customWidth="1"/>
    <col min="10498" max="10498" width="13.28515625" customWidth="1"/>
    <col min="10499" max="10499" width="10.28515625" customWidth="1"/>
    <col min="10500" max="10500" width="11.85546875" customWidth="1"/>
    <col min="10501" max="10501" width="13.140625" customWidth="1"/>
    <col min="10502" max="10502" width="15" customWidth="1"/>
    <col min="10503" max="10503" width="12.85546875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0.140625" customWidth="1"/>
    <col min="10753" max="10753" width="36.5703125" bestFit="1" customWidth="1"/>
    <col min="10754" max="10754" width="13.28515625" customWidth="1"/>
    <col min="10755" max="10755" width="10.28515625" customWidth="1"/>
    <col min="10756" max="10756" width="11.85546875" customWidth="1"/>
    <col min="10757" max="10757" width="13.140625" customWidth="1"/>
    <col min="10758" max="10758" width="15" customWidth="1"/>
    <col min="10759" max="10759" width="12.85546875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0.140625" customWidth="1"/>
    <col min="11009" max="11009" width="36.5703125" bestFit="1" customWidth="1"/>
    <col min="11010" max="11010" width="13.28515625" customWidth="1"/>
    <col min="11011" max="11011" width="10.28515625" customWidth="1"/>
    <col min="11012" max="11012" width="11.85546875" customWidth="1"/>
    <col min="11013" max="11013" width="13.140625" customWidth="1"/>
    <col min="11014" max="11014" width="15" customWidth="1"/>
    <col min="11015" max="11015" width="12.85546875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0.140625" customWidth="1"/>
    <col min="11265" max="11265" width="36.5703125" bestFit="1" customWidth="1"/>
    <col min="11266" max="11266" width="13.28515625" customWidth="1"/>
    <col min="11267" max="11267" width="10.28515625" customWidth="1"/>
    <col min="11268" max="11268" width="11.85546875" customWidth="1"/>
    <col min="11269" max="11269" width="13.140625" customWidth="1"/>
    <col min="11270" max="11270" width="15" customWidth="1"/>
    <col min="11271" max="11271" width="12.85546875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0.140625" customWidth="1"/>
    <col min="11521" max="11521" width="36.5703125" bestFit="1" customWidth="1"/>
    <col min="11522" max="11522" width="13.28515625" customWidth="1"/>
    <col min="11523" max="11523" width="10.28515625" customWidth="1"/>
    <col min="11524" max="11524" width="11.85546875" customWidth="1"/>
    <col min="11525" max="11525" width="13.140625" customWidth="1"/>
    <col min="11526" max="11526" width="15" customWidth="1"/>
    <col min="11527" max="11527" width="12.85546875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0.140625" customWidth="1"/>
    <col min="11777" max="11777" width="36.5703125" bestFit="1" customWidth="1"/>
    <col min="11778" max="11778" width="13.28515625" customWidth="1"/>
    <col min="11779" max="11779" width="10.28515625" customWidth="1"/>
    <col min="11780" max="11780" width="11.85546875" customWidth="1"/>
    <col min="11781" max="11781" width="13.140625" customWidth="1"/>
    <col min="11782" max="11782" width="15" customWidth="1"/>
    <col min="11783" max="11783" width="12.85546875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0.140625" customWidth="1"/>
    <col min="12033" max="12033" width="36.5703125" bestFit="1" customWidth="1"/>
    <col min="12034" max="12034" width="13.28515625" customWidth="1"/>
    <col min="12035" max="12035" width="10.28515625" customWidth="1"/>
    <col min="12036" max="12036" width="11.85546875" customWidth="1"/>
    <col min="12037" max="12037" width="13.140625" customWidth="1"/>
    <col min="12038" max="12038" width="15" customWidth="1"/>
    <col min="12039" max="12039" width="12.85546875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0.140625" customWidth="1"/>
    <col min="12289" max="12289" width="36.5703125" bestFit="1" customWidth="1"/>
    <col min="12290" max="12290" width="13.28515625" customWidth="1"/>
    <col min="12291" max="12291" width="10.28515625" customWidth="1"/>
    <col min="12292" max="12292" width="11.85546875" customWidth="1"/>
    <col min="12293" max="12293" width="13.140625" customWidth="1"/>
    <col min="12294" max="12294" width="15" customWidth="1"/>
    <col min="12295" max="12295" width="12.85546875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0.140625" customWidth="1"/>
    <col min="12545" max="12545" width="36.5703125" bestFit="1" customWidth="1"/>
    <col min="12546" max="12546" width="13.28515625" customWidth="1"/>
    <col min="12547" max="12547" width="10.28515625" customWidth="1"/>
    <col min="12548" max="12548" width="11.85546875" customWidth="1"/>
    <col min="12549" max="12549" width="13.140625" customWidth="1"/>
    <col min="12550" max="12550" width="15" customWidth="1"/>
    <col min="12551" max="12551" width="12.85546875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0.140625" customWidth="1"/>
    <col min="12801" max="12801" width="36.5703125" bestFit="1" customWidth="1"/>
    <col min="12802" max="12802" width="13.28515625" customWidth="1"/>
    <col min="12803" max="12803" width="10.28515625" customWidth="1"/>
    <col min="12804" max="12804" width="11.85546875" customWidth="1"/>
    <col min="12805" max="12805" width="13.140625" customWidth="1"/>
    <col min="12806" max="12806" width="15" customWidth="1"/>
    <col min="12807" max="12807" width="12.85546875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0.140625" customWidth="1"/>
    <col min="13057" max="13057" width="36.5703125" bestFit="1" customWidth="1"/>
    <col min="13058" max="13058" width="13.28515625" customWidth="1"/>
    <col min="13059" max="13059" width="10.28515625" customWidth="1"/>
    <col min="13060" max="13060" width="11.85546875" customWidth="1"/>
    <col min="13061" max="13061" width="13.140625" customWidth="1"/>
    <col min="13062" max="13062" width="15" customWidth="1"/>
    <col min="13063" max="13063" width="12.85546875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0.140625" customWidth="1"/>
    <col min="13313" max="13313" width="36.5703125" bestFit="1" customWidth="1"/>
    <col min="13314" max="13314" width="13.28515625" customWidth="1"/>
    <col min="13315" max="13315" width="10.28515625" customWidth="1"/>
    <col min="13316" max="13316" width="11.85546875" customWidth="1"/>
    <col min="13317" max="13317" width="13.140625" customWidth="1"/>
    <col min="13318" max="13318" width="15" customWidth="1"/>
    <col min="13319" max="13319" width="12.85546875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0.140625" customWidth="1"/>
    <col min="13569" max="13569" width="36.5703125" bestFit="1" customWidth="1"/>
    <col min="13570" max="13570" width="13.28515625" customWidth="1"/>
    <col min="13571" max="13571" width="10.28515625" customWidth="1"/>
    <col min="13572" max="13572" width="11.85546875" customWidth="1"/>
    <col min="13573" max="13573" width="13.140625" customWidth="1"/>
    <col min="13574" max="13574" width="15" customWidth="1"/>
    <col min="13575" max="13575" width="12.85546875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0.140625" customWidth="1"/>
    <col min="13825" max="13825" width="36.5703125" bestFit="1" customWidth="1"/>
    <col min="13826" max="13826" width="13.28515625" customWidth="1"/>
    <col min="13827" max="13827" width="10.28515625" customWidth="1"/>
    <col min="13828" max="13828" width="11.85546875" customWidth="1"/>
    <col min="13829" max="13829" width="13.140625" customWidth="1"/>
    <col min="13830" max="13830" width="15" customWidth="1"/>
    <col min="13831" max="13831" width="12.85546875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0.140625" customWidth="1"/>
    <col min="14081" max="14081" width="36.5703125" bestFit="1" customWidth="1"/>
    <col min="14082" max="14082" width="13.28515625" customWidth="1"/>
    <col min="14083" max="14083" width="10.28515625" customWidth="1"/>
    <col min="14084" max="14084" width="11.85546875" customWidth="1"/>
    <col min="14085" max="14085" width="13.140625" customWidth="1"/>
    <col min="14086" max="14086" width="15" customWidth="1"/>
    <col min="14087" max="14087" width="12.85546875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0.140625" customWidth="1"/>
    <col min="14337" max="14337" width="36.5703125" bestFit="1" customWidth="1"/>
    <col min="14338" max="14338" width="13.28515625" customWidth="1"/>
    <col min="14339" max="14339" width="10.28515625" customWidth="1"/>
    <col min="14340" max="14340" width="11.85546875" customWidth="1"/>
    <col min="14341" max="14341" width="13.140625" customWidth="1"/>
    <col min="14342" max="14342" width="15" customWidth="1"/>
    <col min="14343" max="14343" width="12.85546875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0.140625" customWidth="1"/>
    <col min="14593" max="14593" width="36.5703125" bestFit="1" customWidth="1"/>
    <col min="14594" max="14594" width="13.28515625" customWidth="1"/>
    <col min="14595" max="14595" width="10.28515625" customWidth="1"/>
    <col min="14596" max="14596" width="11.85546875" customWidth="1"/>
    <col min="14597" max="14597" width="13.140625" customWidth="1"/>
    <col min="14598" max="14598" width="15" customWidth="1"/>
    <col min="14599" max="14599" width="12.85546875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0.140625" customWidth="1"/>
    <col min="14849" max="14849" width="36.5703125" bestFit="1" customWidth="1"/>
    <col min="14850" max="14850" width="13.28515625" customWidth="1"/>
    <col min="14851" max="14851" width="10.28515625" customWidth="1"/>
    <col min="14852" max="14852" width="11.85546875" customWidth="1"/>
    <col min="14853" max="14853" width="13.140625" customWidth="1"/>
    <col min="14854" max="14854" width="15" customWidth="1"/>
    <col min="14855" max="14855" width="12.85546875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0.140625" customWidth="1"/>
    <col min="15105" max="15105" width="36.5703125" bestFit="1" customWidth="1"/>
    <col min="15106" max="15106" width="13.28515625" customWidth="1"/>
    <col min="15107" max="15107" width="10.28515625" customWidth="1"/>
    <col min="15108" max="15108" width="11.85546875" customWidth="1"/>
    <col min="15109" max="15109" width="13.140625" customWidth="1"/>
    <col min="15110" max="15110" width="15" customWidth="1"/>
    <col min="15111" max="15111" width="12.85546875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0.140625" customWidth="1"/>
    <col min="15361" max="15361" width="36.5703125" bestFit="1" customWidth="1"/>
    <col min="15362" max="15362" width="13.28515625" customWidth="1"/>
    <col min="15363" max="15363" width="10.28515625" customWidth="1"/>
    <col min="15364" max="15364" width="11.85546875" customWidth="1"/>
    <col min="15365" max="15365" width="13.140625" customWidth="1"/>
    <col min="15366" max="15366" width="15" customWidth="1"/>
    <col min="15367" max="15367" width="12.85546875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0.140625" customWidth="1"/>
    <col min="15617" max="15617" width="36.5703125" bestFit="1" customWidth="1"/>
    <col min="15618" max="15618" width="13.28515625" customWidth="1"/>
    <col min="15619" max="15619" width="10.28515625" customWidth="1"/>
    <col min="15620" max="15620" width="11.85546875" customWidth="1"/>
    <col min="15621" max="15621" width="13.140625" customWidth="1"/>
    <col min="15622" max="15622" width="15" customWidth="1"/>
    <col min="15623" max="15623" width="12.85546875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0.140625" customWidth="1"/>
    <col min="15873" max="15873" width="36.5703125" bestFit="1" customWidth="1"/>
    <col min="15874" max="15874" width="13.28515625" customWidth="1"/>
    <col min="15875" max="15875" width="10.28515625" customWidth="1"/>
    <col min="15876" max="15876" width="11.85546875" customWidth="1"/>
    <col min="15877" max="15877" width="13.140625" customWidth="1"/>
    <col min="15878" max="15878" width="15" customWidth="1"/>
    <col min="15879" max="15879" width="12.85546875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0.140625" customWidth="1"/>
    <col min="16129" max="16129" width="36.5703125" bestFit="1" customWidth="1"/>
    <col min="16130" max="16130" width="13.28515625" customWidth="1"/>
    <col min="16131" max="16131" width="10.28515625" customWidth="1"/>
    <col min="16132" max="16132" width="11.85546875" customWidth="1"/>
    <col min="16133" max="16133" width="13.140625" customWidth="1"/>
    <col min="16134" max="16134" width="15" customWidth="1"/>
    <col min="16135" max="16135" width="12.85546875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0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593" t="s">
        <v>3808</v>
      </c>
      <c r="C5" s="1594"/>
      <c r="D5" s="1594"/>
      <c r="E5" s="1595"/>
      <c r="F5" s="326" t="s">
        <v>171</v>
      </c>
      <c r="G5" s="326"/>
      <c r="H5" s="1651" t="s">
        <v>3807</v>
      </c>
      <c r="I5" s="1600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3806</v>
      </c>
      <c r="C7" s="1594"/>
      <c r="D7" s="1594"/>
      <c r="E7" s="1595"/>
      <c r="F7" s="1596" t="s">
        <v>3208</v>
      </c>
      <c r="G7" s="1596"/>
      <c r="H7" s="1593" t="s">
        <v>3805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 t="s">
        <v>3798</v>
      </c>
      <c r="C9" s="1594"/>
      <c r="D9" s="1594"/>
      <c r="E9" s="1595"/>
      <c r="F9" s="1601" t="s">
        <v>3205</v>
      </c>
      <c r="G9" s="1602"/>
      <c r="H9" s="1620" t="s">
        <v>3804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3803</v>
      </c>
      <c r="C13" s="1612"/>
      <c r="D13" s="1612" t="s">
        <v>3802</v>
      </c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3798</v>
      </c>
      <c r="C14" s="1612"/>
      <c r="D14" s="1612" t="s">
        <v>3801</v>
      </c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31.5" customHeight="1">
      <c r="A15" s="631" t="s">
        <v>192</v>
      </c>
      <c r="B15" s="1612" t="s">
        <v>3800</v>
      </c>
      <c r="C15" s="1612"/>
      <c r="D15" s="1612" t="s">
        <v>3799</v>
      </c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31.5" customHeight="1">
      <c r="A16" s="631" t="s">
        <v>197</v>
      </c>
      <c r="B16" s="1612" t="s">
        <v>3798</v>
      </c>
      <c r="C16" s="1612"/>
      <c r="D16" s="1612" t="s">
        <v>2438</v>
      </c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2</v>
      </c>
      <c r="C18" s="326" t="s">
        <v>199</v>
      </c>
      <c r="D18" s="326"/>
      <c r="E18" s="326"/>
      <c r="F18" s="631">
        <v>2</v>
      </c>
      <c r="G18" s="326" t="s">
        <v>200</v>
      </c>
      <c r="H18" s="632">
        <v>9</v>
      </c>
      <c r="I18" s="326" t="s">
        <v>201</v>
      </c>
      <c r="J18" s="632">
        <v>2</v>
      </c>
      <c r="K18" s="326" t="s">
        <v>202</v>
      </c>
      <c r="L18" s="631">
        <v>5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119</v>
      </c>
      <c r="D21" s="326" t="s">
        <v>205</v>
      </c>
      <c r="E21" s="631">
        <v>5</v>
      </c>
      <c r="F21" s="326" t="s">
        <v>206</v>
      </c>
      <c r="G21" s="631">
        <v>48</v>
      </c>
      <c r="H21" s="326" t="s">
        <v>230</v>
      </c>
      <c r="I21" s="631">
        <v>172</v>
      </c>
      <c r="J21" s="326" t="s">
        <v>207</v>
      </c>
      <c r="K21" s="631">
        <v>73</v>
      </c>
      <c r="L21" s="326" t="s">
        <v>3187</v>
      </c>
      <c r="M21" s="326"/>
      <c r="N21" s="631">
        <v>16</v>
      </c>
    </row>
    <row r="22" spans="1:14" ht="21.75" customHeight="1">
      <c r="A22" s="326" t="s">
        <v>209</v>
      </c>
      <c r="B22" s="326" t="s">
        <v>210</v>
      </c>
      <c r="C22" s="631">
        <v>325</v>
      </c>
      <c r="D22" s="326" t="s">
        <v>211</v>
      </c>
      <c r="E22" s="631">
        <v>13</v>
      </c>
      <c r="F22" s="326" t="s">
        <v>212</v>
      </c>
      <c r="G22" s="80">
        <v>103</v>
      </c>
      <c r="H22" s="326" t="s">
        <v>411</v>
      </c>
      <c r="I22" s="80">
        <v>441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280</v>
      </c>
      <c r="D23" s="326" t="s">
        <v>214</v>
      </c>
      <c r="E23" s="631">
        <v>9</v>
      </c>
      <c r="F23" s="326" t="s">
        <v>215</v>
      </c>
      <c r="G23" s="80">
        <v>83</v>
      </c>
      <c r="H23" s="326" t="s">
        <v>410</v>
      </c>
      <c r="I23" s="80">
        <v>372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2">
        <v>663700</v>
      </c>
      <c r="F29" s="322">
        <v>0</v>
      </c>
      <c r="G29" s="322">
        <v>163700</v>
      </c>
      <c r="H29" s="322"/>
      <c r="I29" s="322"/>
      <c r="J29" s="322"/>
      <c r="K29" s="322"/>
      <c r="L29" s="322"/>
      <c r="M29" s="322">
        <f t="shared" ref="M29:M38" si="0">SUM(F29:L29)</f>
        <v>163700</v>
      </c>
      <c r="N29" s="323">
        <f>+M29/E29%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/>
      <c r="F30" s="322">
        <v>0</v>
      </c>
      <c r="G30" s="322">
        <v>0</v>
      </c>
      <c r="H30" s="322"/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2">
        <v>0</v>
      </c>
      <c r="G31" s="322">
        <v>18000</v>
      </c>
      <c r="H31" s="322"/>
      <c r="I31" s="322"/>
      <c r="J31" s="322"/>
      <c r="K31" s="322"/>
      <c r="L31" s="322"/>
      <c r="M31" s="322">
        <f t="shared" si="0"/>
        <v>18000</v>
      </c>
      <c r="N31" s="323">
        <f>+M31/E31%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2">
        <v>0</v>
      </c>
      <c r="G32" s="322">
        <v>16000</v>
      </c>
      <c r="H32" s="322"/>
      <c r="I32" s="322"/>
      <c r="J32" s="322"/>
      <c r="K32" s="322"/>
      <c r="L32" s="322"/>
      <c r="M32" s="322">
        <f t="shared" si="0"/>
        <v>16000</v>
      </c>
      <c r="N32" s="323">
        <f>+M32/E32%</f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2">
        <v>200000</v>
      </c>
      <c r="F33" s="322">
        <v>0</v>
      </c>
      <c r="G33" s="322">
        <v>185194</v>
      </c>
      <c r="H33" s="322"/>
      <c r="I33" s="322"/>
      <c r="J33" s="322"/>
      <c r="K33" s="322"/>
      <c r="L33" s="322"/>
      <c r="M33" s="322">
        <f t="shared" si="0"/>
        <v>185194</v>
      </c>
      <c r="N33" s="323">
        <f>+M33/E33%</f>
        <v>92.596999999999994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2">
        <v>150000</v>
      </c>
      <c r="F34" s="322">
        <v>0</v>
      </c>
      <c r="G34" s="322">
        <v>47000</v>
      </c>
      <c r="H34" s="322"/>
      <c r="I34" s="322"/>
      <c r="J34" s="322"/>
      <c r="K34" s="322"/>
      <c r="L34" s="322"/>
      <c r="M34" s="322">
        <f t="shared" si="0"/>
        <v>47000</v>
      </c>
      <c r="N34" s="323">
        <f>+M34/E34%</f>
        <v>31.333333333333332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2"/>
      <c r="F35" s="322">
        <v>0</v>
      </c>
      <c r="G35" s="322">
        <v>0</v>
      </c>
      <c r="H35" s="322"/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2">
        <v>0</v>
      </c>
      <c r="G36" s="322">
        <v>22000</v>
      </c>
      <c r="H36" s="322"/>
      <c r="I36" s="322"/>
      <c r="J36" s="322"/>
      <c r="K36" s="322"/>
      <c r="L36" s="322"/>
      <c r="M36" s="322">
        <f t="shared" si="0"/>
        <v>22000</v>
      </c>
      <c r="N36" s="323">
        <f>+M36/E36%</f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>
        <v>0</v>
      </c>
      <c r="F37" s="322">
        <v>0</v>
      </c>
      <c r="G37" s="322">
        <v>0</v>
      </c>
      <c r="H37" s="322"/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1">SUM(D29:D37)</f>
        <v>62.635000000000005</v>
      </c>
      <c r="E38" s="321">
        <f t="shared" si="1"/>
        <v>1077950</v>
      </c>
      <c r="F38" s="321">
        <f t="shared" si="1"/>
        <v>0</v>
      </c>
      <c r="G38" s="321">
        <f t="shared" si="1"/>
        <v>451894</v>
      </c>
      <c r="H38" s="321">
        <f t="shared" si="1"/>
        <v>0</v>
      </c>
      <c r="I38" s="321">
        <f t="shared" si="1"/>
        <v>0</v>
      </c>
      <c r="J38" s="321">
        <f t="shared" si="1"/>
        <v>0</v>
      </c>
      <c r="K38" s="321">
        <f t="shared" si="1"/>
        <v>0</v>
      </c>
      <c r="L38" s="321">
        <f t="shared" si="1"/>
        <v>0</v>
      </c>
      <c r="M38" s="631">
        <f t="shared" si="0"/>
        <v>451894</v>
      </c>
      <c r="N38" s="334">
        <f>+M38/E38%</f>
        <v>41.92161046430725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496062992125984" bottom="0.27559055118110237" header="0.39370078740157483" footer="0.31496062992125984"/>
  <pageSetup paperSize="9" scale="70" orientation="landscape" r:id="rId1"/>
</worksheet>
</file>

<file path=xl/worksheets/sheet35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42"/>
  <sheetViews>
    <sheetView zoomScale="70" zoomScaleNormal="7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5.85546875" customWidth="1"/>
    <col min="4" max="4" width="11.85546875" customWidth="1"/>
    <col min="5" max="5" width="13" customWidth="1"/>
    <col min="6" max="6" width="15" customWidth="1"/>
    <col min="7" max="7" width="12.85546875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1.140625" customWidth="1"/>
    <col min="257" max="257" width="36.5703125" bestFit="1" customWidth="1"/>
    <col min="258" max="258" width="13.28515625" customWidth="1"/>
    <col min="259" max="259" width="5.85546875" customWidth="1"/>
    <col min="260" max="260" width="11.85546875" customWidth="1"/>
    <col min="261" max="261" width="13" customWidth="1"/>
    <col min="262" max="262" width="15" customWidth="1"/>
    <col min="263" max="263" width="12.85546875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1.140625" customWidth="1"/>
    <col min="513" max="513" width="36.5703125" bestFit="1" customWidth="1"/>
    <col min="514" max="514" width="13.28515625" customWidth="1"/>
    <col min="515" max="515" width="5.85546875" customWidth="1"/>
    <col min="516" max="516" width="11.85546875" customWidth="1"/>
    <col min="517" max="517" width="13" customWidth="1"/>
    <col min="518" max="518" width="15" customWidth="1"/>
    <col min="519" max="519" width="12.85546875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1.140625" customWidth="1"/>
    <col min="769" max="769" width="36.5703125" bestFit="1" customWidth="1"/>
    <col min="770" max="770" width="13.28515625" customWidth="1"/>
    <col min="771" max="771" width="5.85546875" customWidth="1"/>
    <col min="772" max="772" width="11.85546875" customWidth="1"/>
    <col min="773" max="773" width="13" customWidth="1"/>
    <col min="774" max="774" width="15" customWidth="1"/>
    <col min="775" max="775" width="12.85546875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1.140625" customWidth="1"/>
    <col min="1025" max="1025" width="36.5703125" bestFit="1" customWidth="1"/>
    <col min="1026" max="1026" width="13.28515625" customWidth="1"/>
    <col min="1027" max="1027" width="5.85546875" customWidth="1"/>
    <col min="1028" max="1028" width="11.85546875" customWidth="1"/>
    <col min="1029" max="1029" width="13" customWidth="1"/>
    <col min="1030" max="1030" width="15" customWidth="1"/>
    <col min="1031" max="1031" width="12.85546875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1.140625" customWidth="1"/>
    <col min="1281" max="1281" width="36.5703125" bestFit="1" customWidth="1"/>
    <col min="1282" max="1282" width="13.28515625" customWidth="1"/>
    <col min="1283" max="1283" width="5.85546875" customWidth="1"/>
    <col min="1284" max="1284" width="11.85546875" customWidth="1"/>
    <col min="1285" max="1285" width="13" customWidth="1"/>
    <col min="1286" max="1286" width="15" customWidth="1"/>
    <col min="1287" max="1287" width="12.85546875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1.140625" customWidth="1"/>
    <col min="1537" max="1537" width="36.5703125" bestFit="1" customWidth="1"/>
    <col min="1538" max="1538" width="13.28515625" customWidth="1"/>
    <col min="1539" max="1539" width="5.85546875" customWidth="1"/>
    <col min="1540" max="1540" width="11.85546875" customWidth="1"/>
    <col min="1541" max="1541" width="13" customWidth="1"/>
    <col min="1542" max="1542" width="15" customWidth="1"/>
    <col min="1543" max="1543" width="12.85546875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1.140625" customWidth="1"/>
    <col min="1793" max="1793" width="36.5703125" bestFit="1" customWidth="1"/>
    <col min="1794" max="1794" width="13.28515625" customWidth="1"/>
    <col min="1795" max="1795" width="5.85546875" customWidth="1"/>
    <col min="1796" max="1796" width="11.85546875" customWidth="1"/>
    <col min="1797" max="1797" width="13" customWidth="1"/>
    <col min="1798" max="1798" width="15" customWidth="1"/>
    <col min="1799" max="1799" width="12.85546875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1.140625" customWidth="1"/>
    <col min="2049" max="2049" width="36.5703125" bestFit="1" customWidth="1"/>
    <col min="2050" max="2050" width="13.28515625" customWidth="1"/>
    <col min="2051" max="2051" width="5.85546875" customWidth="1"/>
    <col min="2052" max="2052" width="11.85546875" customWidth="1"/>
    <col min="2053" max="2053" width="13" customWidth="1"/>
    <col min="2054" max="2054" width="15" customWidth="1"/>
    <col min="2055" max="2055" width="12.85546875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1.140625" customWidth="1"/>
    <col min="2305" max="2305" width="36.5703125" bestFit="1" customWidth="1"/>
    <col min="2306" max="2306" width="13.28515625" customWidth="1"/>
    <col min="2307" max="2307" width="5.85546875" customWidth="1"/>
    <col min="2308" max="2308" width="11.85546875" customWidth="1"/>
    <col min="2309" max="2309" width="13" customWidth="1"/>
    <col min="2310" max="2310" width="15" customWidth="1"/>
    <col min="2311" max="2311" width="12.85546875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1.140625" customWidth="1"/>
    <col min="2561" max="2561" width="36.5703125" bestFit="1" customWidth="1"/>
    <col min="2562" max="2562" width="13.28515625" customWidth="1"/>
    <col min="2563" max="2563" width="5.85546875" customWidth="1"/>
    <col min="2564" max="2564" width="11.85546875" customWidth="1"/>
    <col min="2565" max="2565" width="13" customWidth="1"/>
    <col min="2566" max="2566" width="15" customWidth="1"/>
    <col min="2567" max="2567" width="12.85546875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1.140625" customWidth="1"/>
    <col min="2817" max="2817" width="36.5703125" bestFit="1" customWidth="1"/>
    <col min="2818" max="2818" width="13.28515625" customWidth="1"/>
    <col min="2819" max="2819" width="5.85546875" customWidth="1"/>
    <col min="2820" max="2820" width="11.85546875" customWidth="1"/>
    <col min="2821" max="2821" width="13" customWidth="1"/>
    <col min="2822" max="2822" width="15" customWidth="1"/>
    <col min="2823" max="2823" width="12.85546875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1.140625" customWidth="1"/>
    <col min="3073" max="3073" width="36.5703125" bestFit="1" customWidth="1"/>
    <col min="3074" max="3074" width="13.28515625" customWidth="1"/>
    <col min="3075" max="3075" width="5.85546875" customWidth="1"/>
    <col min="3076" max="3076" width="11.85546875" customWidth="1"/>
    <col min="3077" max="3077" width="13" customWidth="1"/>
    <col min="3078" max="3078" width="15" customWidth="1"/>
    <col min="3079" max="3079" width="12.85546875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1.140625" customWidth="1"/>
    <col min="3329" max="3329" width="36.5703125" bestFit="1" customWidth="1"/>
    <col min="3330" max="3330" width="13.28515625" customWidth="1"/>
    <col min="3331" max="3331" width="5.85546875" customWidth="1"/>
    <col min="3332" max="3332" width="11.85546875" customWidth="1"/>
    <col min="3333" max="3333" width="13" customWidth="1"/>
    <col min="3334" max="3334" width="15" customWidth="1"/>
    <col min="3335" max="3335" width="12.85546875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1.140625" customWidth="1"/>
    <col min="3585" max="3585" width="36.5703125" bestFit="1" customWidth="1"/>
    <col min="3586" max="3586" width="13.28515625" customWidth="1"/>
    <col min="3587" max="3587" width="5.85546875" customWidth="1"/>
    <col min="3588" max="3588" width="11.85546875" customWidth="1"/>
    <col min="3589" max="3589" width="13" customWidth="1"/>
    <col min="3590" max="3590" width="15" customWidth="1"/>
    <col min="3591" max="3591" width="12.85546875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1.140625" customWidth="1"/>
    <col min="3841" max="3841" width="36.5703125" bestFit="1" customWidth="1"/>
    <col min="3842" max="3842" width="13.28515625" customWidth="1"/>
    <col min="3843" max="3843" width="5.85546875" customWidth="1"/>
    <col min="3844" max="3844" width="11.85546875" customWidth="1"/>
    <col min="3845" max="3845" width="13" customWidth="1"/>
    <col min="3846" max="3846" width="15" customWidth="1"/>
    <col min="3847" max="3847" width="12.85546875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1.140625" customWidth="1"/>
    <col min="4097" max="4097" width="36.5703125" bestFit="1" customWidth="1"/>
    <col min="4098" max="4098" width="13.28515625" customWidth="1"/>
    <col min="4099" max="4099" width="5.85546875" customWidth="1"/>
    <col min="4100" max="4100" width="11.85546875" customWidth="1"/>
    <col min="4101" max="4101" width="13" customWidth="1"/>
    <col min="4102" max="4102" width="15" customWidth="1"/>
    <col min="4103" max="4103" width="12.85546875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1.140625" customWidth="1"/>
    <col min="4353" max="4353" width="36.5703125" bestFit="1" customWidth="1"/>
    <col min="4354" max="4354" width="13.28515625" customWidth="1"/>
    <col min="4355" max="4355" width="5.85546875" customWidth="1"/>
    <col min="4356" max="4356" width="11.85546875" customWidth="1"/>
    <col min="4357" max="4357" width="13" customWidth="1"/>
    <col min="4358" max="4358" width="15" customWidth="1"/>
    <col min="4359" max="4359" width="12.85546875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1.140625" customWidth="1"/>
    <col min="4609" max="4609" width="36.5703125" bestFit="1" customWidth="1"/>
    <col min="4610" max="4610" width="13.28515625" customWidth="1"/>
    <col min="4611" max="4611" width="5.85546875" customWidth="1"/>
    <col min="4612" max="4612" width="11.85546875" customWidth="1"/>
    <col min="4613" max="4613" width="13" customWidth="1"/>
    <col min="4614" max="4614" width="15" customWidth="1"/>
    <col min="4615" max="4615" width="12.85546875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1.140625" customWidth="1"/>
    <col min="4865" max="4865" width="36.5703125" bestFit="1" customWidth="1"/>
    <col min="4866" max="4866" width="13.28515625" customWidth="1"/>
    <col min="4867" max="4867" width="5.85546875" customWidth="1"/>
    <col min="4868" max="4868" width="11.85546875" customWidth="1"/>
    <col min="4869" max="4869" width="13" customWidth="1"/>
    <col min="4870" max="4870" width="15" customWidth="1"/>
    <col min="4871" max="4871" width="12.85546875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1.140625" customWidth="1"/>
    <col min="5121" max="5121" width="36.5703125" bestFit="1" customWidth="1"/>
    <col min="5122" max="5122" width="13.28515625" customWidth="1"/>
    <col min="5123" max="5123" width="5.85546875" customWidth="1"/>
    <col min="5124" max="5124" width="11.85546875" customWidth="1"/>
    <col min="5125" max="5125" width="13" customWidth="1"/>
    <col min="5126" max="5126" width="15" customWidth="1"/>
    <col min="5127" max="5127" width="12.85546875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1.140625" customWidth="1"/>
    <col min="5377" max="5377" width="36.5703125" bestFit="1" customWidth="1"/>
    <col min="5378" max="5378" width="13.28515625" customWidth="1"/>
    <col min="5379" max="5379" width="5.85546875" customWidth="1"/>
    <col min="5380" max="5380" width="11.85546875" customWidth="1"/>
    <col min="5381" max="5381" width="13" customWidth="1"/>
    <col min="5382" max="5382" width="15" customWidth="1"/>
    <col min="5383" max="5383" width="12.85546875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1.140625" customWidth="1"/>
    <col min="5633" max="5633" width="36.5703125" bestFit="1" customWidth="1"/>
    <col min="5634" max="5634" width="13.28515625" customWidth="1"/>
    <col min="5635" max="5635" width="5.85546875" customWidth="1"/>
    <col min="5636" max="5636" width="11.85546875" customWidth="1"/>
    <col min="5637" max="5637" width="13" customWidth="1"/>
    <col min="5638" max="5638" width="15" customWidth="1"/>
    <col min="5639" max="5639" width="12.85546875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1.140625" customWidth="1"/>
    <col min="5889" max="5889" width="36.5703125" bestFit="1" customWidth="1"/>
    <col min="5890" max="5890" width="13.28515625" customWidth="1"/>
    <col min="5891" max="5891" width="5.85546875" customWidth="1"/>
    <col min="5892" max="5892" width="11.85546875" customWidth="1"/>
    <col min="5893" max="5893" width="13" customWidth="1"/>
    <col min="5894" max="5894" width="15" customWidth="1"/>
    <col min="5895" max="5895" width="12.85546875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1.140625" customWidth="1"/>
    <col min="6145" max="6145" width="36.5703125" bestFit="1" customWidth="1"/>
    <col min="6146" max="6146" width="13.28515625" customWidth="1"/>
    <col min="6147" max="6147" width="5.85546875" customWidth="1"/>
    <col min="6148" max="6148" width="11.85546875" customWidth="1"/>
    <col min="6149" max="6149" width="13" customWidth="1"/>
    <col min="6150" max="6150" width="15" customWidth="1"/>
    <col min="6151" max="6151" width="12.85546875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1.140625" customWidth="1"/>
    <col min="6401" max="6401" width="36.5703125" bestFit="1" customWidth="1"/>
    <col min="6402" max="6402" width="13.28515625" customWidth="1"/>
    <col min="6403" max="6403" width="5.85546875" customWidth="1"/>
    <col min="6404" max="6404" width="11.85546875" customWidth="1"/>
    <col min="6405" max="6405" width="13" customWidth="1"/>
    <col min="6406" max="6406" width="15" customWidth="1"/>
    <col min="6407" max="6407" width="12.85546875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1.140625" customWidth="1"/>
    <col min="6657" max="6657" width="36.5703125" bestFit="1" customWidth="1"/>
    <col min="6658" max="6658" width="13.28515625" customWidth="1"/>
    <col min="6659" max="6659" width="5.85546875" customWidth="1"/>
    <col min="6660" max="6660" width="11.85546875" customWidth="1"/>
    <col min="6661" max="6661" width="13" customWidth="1"/>
    <col min="6662" max="6662" width="15" customWidth="1"/>
    <col min="6663" max="6663" width="12.85546875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1.140625" customWidth="1"/>
    <col min="6913" max="6913" width="36.5703125" bestFit="1" customWidth="1"/>
    <col min="6914" max="6914" width="13.28515625" customWidth="1"/>
    <col min="6915" max="6915" width="5.85546875" customWidth="1"/>
    <col min="6916" max="6916" width="11.85546875" customWidth="1"/>
    <col min="6917" max="6917" width="13" customWidth="1"/>
    <col min="6918" max="6918" width="15" customWidth="1"/>
    <col min="6919" max="6919" width="12.85546875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1.140625" customWidth="1"/>
    <col min="7169" max="7169" width="36.5703125" bestFit="1" customWidth="1"/>
    <col min="7170" max="7170" width="13.28515625" customWidth="1"/>
    <col min="7171" max="7171" width="5.85546875" customWidth="1"/>
    <col min="7172" max="7172" width="11.85546875" customWidth="1"/>
    <col min="7173" max="7173" width="13" customWidth="1"/>
    <col min="7174" max="7174" width="15" customWidth="1"/>
    <col min="7175" max="7175" width="12.85546875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1.140625" customWidth="1"/>
    <col min="7425" max="7425" width="36.5703125" bestFit="1" customWidth="1"/>
    <col min="7426" max="7426" width="13.28515625" customWidth="1"/>
    <col min="7427" max="7427" width="5.85546875" customWidth="1"/>
    <col min="7428" max="7428" width="11.85546875" customWidth="1"/>
    <col min="7429" max="7429" width="13" customWidth="1"/>
    <col min="7430" max="7430" width="15" customWidth="1"/>
    <col min="7431" max="7431" width="12.85546875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1.140625" customWidth="1"/>
    <col min="7681" max="7681" width="36.5703125" bestFit="1" customWidth="1"/>
    <col min="7682" max="7682" width="13.28515625" customWidth="1"/>
    <col min="7683" max="7683" width="5.85546875" customWidth="1"/>
    <col min="7684" max="7684" width="11.85546875" customWidth="1"/>
    <col min="7685" max="7685" width="13" customWidth="1"/>
    <col min="7686" max="7686" width="15" customWidth="1"/>
    <col min="7687" max="7687" width="12.85546875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1.140625" customWidth="1"/>
    <col min="7937" max="7937" width="36.5703125" bestFit="1" customWidth="1"/>
    <col min="7938" max="7938" width="13.28515625" customWidth="1"/>
    <col min="7939" max="7939" width="5.85546875" customWidth="1"/>
    <col min="7940" max="7940" width="11.85546875" customWidth="1"/>
    <col min="7941" max="7941" width="13" customWidth="1"/>
    <col min="7942" max="7942" width="15" customWidth="1"/>
    <col min="7943" max="7943" width="12.85546875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1.140625" customWidth="1"/>
    <col min="8193" max="8193" width="36.5703125" bestFit="1" customWidth="1"/>
    <col min="8194" max="8194" width="13.28515625" customWidth="1"/>
    <col min="8195" max="8195" width="5.85546875" customWidth="1"/>
    <col min="8196" max="8196" width="11.85546875" customWidth="1"/>
    <col min="8197" max="8197" width="13" customWidth="1"/>
    <col min="8198" max="8198" width="15" customWidth="1"/>
    <col min="8199" max="8199" width="12.85546875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1.140625" customWidth="1"/>
    <col min="8449" max="8449" width="36.5703125" bestFit="1" customWidth="1"/>
    <col min="8450" max="8450" width="13.28515625" customWidth="1"/>
    <col min="8451" max="8451" width="5.85546875" customWidth="1"/>
    <col min="8452" max="8452" width="11.85546875" customWidth="1"/>
    <col min="8453" max="8453" width="13" customWidth="1"/>
    <col min="8454" max="8454" width="15" customWidth="1"/>
    <col min="8455" max="8455" width="12.85546875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1.140625" customWidth="1"/>
    <col min="8705" max="8705" width="36.5703125" bestFit="1" customWidth="1"/>
    <col min="8706" max="8706" width="13.28515625" customWidth="1"/>
    <col min="8707" max="8707" width="5.85546875" customWidth="1"/>
    <col min="8708" max="8708" width="11.85546875" customWidth="1"/>
    <col min="8709" max="8709" width="13" customWidth="1"/>
    <col min="8710" max="8710" width="15" customWidth="1"/>
    <col min="8711" max="8711" width="12.85546875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1.140625" customWidth="1"/>
    <col min="8961" max="8961" width="36.5703125" bestFit="1" customWidth="1"/>
    <col min="8962" max="8962" width="13.28515625" customWidth="1"/>
    <col min="8963" max="8963" width="5.85546875" customWidth="1"/>
    <col min="8964" max="8964" width="11.85546875" customWidth="1"/>
    <col min="8965" max="8965" width="13" customWidth="1"/>
    <col min="8966" max="8966" width="15" customWidth="1"/>
    <col min="8967" max="8967" width="12.85546875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1.140625" customWidth="1"/>
    <col min="9217" max="9217" width="36.5703125" bestFit="1" customWidth="1"/>
    <col min="9218" max="9218" width="13.28515625" customWidth="1"/>
    <col min="9219" max="9219" width="5.85546875" customWidth="1"/>
    <col min="9220" max="9220" width="11.85546875" customWidth="1"/>
    <col min="9221" max="9221" width="13" customWidth="1"/>
    <col min="9222" max="9222" width="15" customWidth="1"/>
    <col min="9223" max="9223" width="12.85546875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1.140625" customWidth="1"/>
    <col min="9473" max="9473" width="36.5703125" bestFit="1" customWidth="1"/>
    <col min="9474" max="9474" width="13.28515625" customWidth="1"/>
    <col min="9475" max="9475" width="5.85546875" customWidth="1"/>
    <col min="9476" max="9476" width="11.85546875" customWidth="1"/>
    <col min="9477" max="9477" width="13" customWidth="1"/>
    <col min="9478" max="9478" width="15" customWidth="1"/>
    <col min="9479" max="9479" width="12.85546875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1.140625" customWidth="1"/>
    <col min="9729" max="9729" width="36.5703125" bestFit="1" customWidth="1"/>
    <col min="9730" max="9730" width="13.28515625" customWidth="1"/>
    <col min="9731" max="9731" width="5.85546875" customWidth="1"/>
    <col min="9732" max="9732" width="11.85546875" customWidth="1"/>
    <col min="9733" max="9733" width="13" customWidth="1"/>
    <col min="9734" max="9734" width="15" customWidth="1"/>
    <col min="9735" max="9735" width="12.85546875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1.140625" customWidth="1"/>
    <col min="9985" max="9985" width="36.5703125" bestFit="1" customWidth="1"/>
    <col min="9986" max="9986" width="13.28515625" customWidth="1"/>
    <col min="9987" max="9987" width="5.85546875" customWidth="1"/>
    <col min="9988" max="9988" width="11.85546875" customWidth="1"/>
    <col min="9989" max="9989" width="13" customWidth="1"/>
    <col min="9990" max="9990" width="15" customWidth="1"/>
    <col min="9991" max="9991" width="12.85546875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1.140625" customWidth="1"/>
    <col min="10241" max="10241" width="36.5703125" bestFit="1" customWidth="1"/>
    <col min="10242" max="10242" width="13.28515625" customWidth="1"/>
    <col min="10243" max="10243" width="5.85546875" customWidth="1"/>
    <col min="10244" max="10244" width="11.85546875" customWidth="1"/>
    <col min="10245" max="10245" width="13" customWidth="1"/>
    <col min="10246" max="10246" width="15" customWidth="1"/>
    <col min="10247" max="10247" width="12.85546875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1.140625" customWidth="1"/>
    <col min="10497" max="10497" width="36.5703125" bestFit="1" customWidth="1"/>
    <col min="10498" max="10498" width="13.28515625" customWidth="1"/>
    <col min="10499" max="10499" width="5.85546875" customWidth="1"/>
    <col min="10500" max="10500" width="11.85546875" customWidth="1"/>
    <col min="10501" max="10501" width="13" customWidth="1"/>
    <col min="10502" max="10502" width="15" customWidth="1"/>
    <col min="10503" max="10503" width="12.85546875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1.140625" customWidth="1"/>
    <col min="10753" max="10753" width="36.5703125" bestFit="1" customWidth="1"/>
    <col min="10754" max="10754" width="13.28515625" customWidth="1"/>
    <col min="10755" max="10755" width="5.85546875" customWidth="1"/>
    <col min="10756" max="10756" width="11.85546875" customWidth="1"/>
    <col min="10757" max="10757" width="13" customWidth="1"/>
    <col min="10758" max="10758" width="15" customWidth="1"/>
    <col min="10759" max="10759" width="12.85546875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1.140625" customWidth="1"/>
    <col min="11009" max="11009" width="36.5703125" bestFit="1" customWidth="1"/>
    <col min="11010" max="11010" width="13.28515625" customWidth="1"/>
    <col min="11011" max="11011" width="5.85546875" customWidth="1"/>
    <col min="11012" max="11012" width="11.85546875" customWidth="1"/>
    <col min="11013" max="11013" width="13" customWidth="1"/>
    <col min="11014" max="11014" width="15" customWidth="1"/>
    <col min="11015" max="11015" width="12.85546875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1.140625" customWidth="1"/>
    <col min="11265" max="11265" width="36.5703125" bestFit="1" customWidth="1"/>
    <col min="11266" max="11266" width="13.28515625" customWidth="1"/>
    <col min="11267" max="11267" width="5.85546875" customWidth="1"/>
    <col min="11268" max="11268" width="11.85546875" customWidth="1"/>
    <col min="11269" max="11269" width="13" customWidth="1"/>
    <col min="11270" max="11270" width="15" customWidth="1"/>
    <col min="11271" max="11271" width="12.85546875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1.140625" customWidth="1"/>
    <col min="11521" max="11521" width="36.5703125" bestFit="1" customWidth="1"/>
    <col min="11522" max="11522" width="13.28515625" customWidth="1"/>
    <col min="11523" max="11523" width="5.85546875" customWidth="1"/>
    <col min="11524" max="11524" width="11.85546875" customWidth="1"/>
    <col min="11525" max="11525" width="13" customWidth="1"/>
    <col min="11526" max="11526" width="15" customWidth="1"/>
    <col min="11527" max="11527" width="12.85546875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1.140625" customWidth="1"/>
    <col min="11777" max="11777" width="36.5703125" bestFit="1" customWidth="1"/>
    <col min="11778" max="11778" width="13.28515625" customWidth="1"/>
    <col min="11779" max="11779" width="5.85546875" customWidth="1"/>
    <col min="11780" max="11780" width="11.85546875" customWidth="1"/>
    <col min="11781" max="11781" width="13" customWidth="1"/>
    <col min="11782" max="11782" width="15" customWidth="1"/>
    <col min="11783" max="11783" width="12.85546875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1.140625" customWidth="1"/>
    <col min="12033" max="12033" width="36.5703125" bestFit="1" customWidth="1"/>
    <col min="12034" max="12034" width="13.28515625" customWidth="1"/>
    <col min="12035" max="12035" width="5.85546875" customWidth="1"/>
    <col min="12036" max="12036" width="11.85546875" customWidth="1"/>
    <col min="12037" max="12037" width="13" customWidth="1"/>
    <col min="12038" max="12038" width="15" customWidth="1"/>
    <col min="12039" max="12039" width="12.85546875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1.140625" customWidth="1"/>
    <col min="12289" max="12289" width="36.5703125" bestFit="1" customWidth="1"/>
    <col min="12290" max="12290" width="13.28515625" customWidth="1"/>
    <col min="12291" max="12291" width="5.85546875" customWidth="1"/>
    <col min="12292" max="12292" width="11.85546875" customWidth="1"/>
    <col min="12293" max="12293" width="13" customWidth="1"/>
    <col min="12294" max="12294" width="15" customWidth="1"/>
    <col min="12295" max="12295" width="12.85546875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1.140625" customWidth="1"/>
    <col min="12545" max="12545" width="36.5703125" bestFit="1" customWidth="1"/>
    <col min="12546" max="12546" width="13.28515625" customWidth="1"/>
    <col min="12547" max="12547" width="5.85546875" customWidth="1"/>
    <col min="12548" max="12548" width="11.85546875" customWidth="1"/>
    <col min="12549" max="12549" width="13" customWidth="1"/>
    <col min="12550" max="12550" width="15" customWidth="1"/>
    <col min="12551" max="12551" width="12.85546875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1.140625" customWidth="1"/>
    <col min="12801" max="12801" width="36.5703125" bestFit="1" customWidth="1"/>
    <col min="12802" max="12802" width="13.28515625" customWidth="1"/>
    <col min="12803" max="12803" width="5.85546875" customWidth="1"/>
    <col min="12804" max="12804" width="11.85546875" customWidth="1"/>
    <col min="12805" max="12805" width="13" customWidth="1"/>
    <col min="12806" max="12806" width="15" customWidth="1"/>
    <col min="12807" max="12807" width="12.85546875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1.140625" customWidth="1"/>
    <col min="13057" max="13057" width="36.5703125" bestFit="1" customWidth="1"/>
    <col min="13058" max="13058" width="13.28515625" customWidth="1"/>
    <col min="13059" max="13059" width="5.85546875" customWidth="1"/>
    <col min="13060" max="13060" width="11.85546875" customWidth="1"/>
    <col min="13061" max="13061" width="13" customWidth="1"/>
    <col min="13062" max="13062" width="15" customWidth="1"/>
    <col min="13063" max="13063" width="12.85546875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1.140625" customWidth="1"/>
    <col min="13313" max="13313" width="36.5703125" bestFit="1" customWidth="1"/>
    <col min="13314" max="13314" width="13.28515625" customWidth="1"/>
    <col min="13315" max="13315" width="5.85546875" customWidth="1"/>
    <col min="13316" max="13316" width="11.85546875" customWidth="1"/>
    <col min="13317" max="13317" width="13" customWidth="1"/>
    <col min="13318" max="13318" width="15" customWidth="1"/>
    <col min="13319" max="13319" width="12.85546875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1.140625" customWidth="1"/>
    <col min="13569" max="13569" width="36.5703125" bestFit="1" customWidth="1"/>
    <col min="13570" max="13570" width="13.28515625" customWidth="1"/>
    <col min="13571" max="13571" width="5.85546875" customWidth="1"/>
    <col min="13572" max="13572" width="11.85546875" customWidth="1"/>
    <col min="13573" max="13573" width="13" customWidth="1"/>
    <col min="13574" max="13574" width="15" customWidth="1"/>
    <col min="13575" max="13575" width="12.85546875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1.140625" customWidth="1"/>
    <col min="13825" max="13825" width="36.5703125" bestFit="1" customWidth="1"/>
    <col min="13826" max="13826" width="13.28515625" customWidth="1"/>
    <col min="13827" max="13827" width="5.85546875" customWidth="1"/>
    <col min="13828" max="13828" width="11.85546875" customWidth="1"/>
    <col min="13829" max="13829" width="13" customWidth="1"/>
    <col min="13830" max="13830" width="15" customWidth="1"/>
    <col min="13831" max="13831" width="12.85546875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1.140625" customWidth="1"/>
    <col min="14081" max="14081" width="36.5703125" bestFit="1" customWidth="1"/>
    <col min="14082" max="14082" width="13.28515625" customWidth="1"/>
    <col min="14083" max="14083" width="5.85546875" customWidth="1"/>
    <col min="14084" max="14084" width="11.85546875" customWidth="1"/>
    <col min="14085" max="14085" width="13" customWidth="1"/>
    <col min="14086" max="14086" width="15" customWidth="1"/>
    <col min="14087" max="14087" width="12.85546875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1.140625" customWidth="1"/>
    <col min="14337" max="14337" width="36.5703125" bestFit="1" customWidth="1"/>
    <col min="14338" max="14338" width="13.28515625" customWidth="1"/>
    <col min="14339" max="14339" width="5.85546875" customWidth="1"/>
    <col min="14340" max="14340" width="11.85546875" customWidth="1"/>
    <col min="14341" max="14341" width="13" customWidth="1"/>
    <col min="14342" max="14342" width="15" customWidth="1"/>
    <col min="14343" max="14343" width="12.85546875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1.140625" customWidth="1"/>
    <col min="14593" max="14593" width="36.5703125" bestFit="1" customWidth="1"/>
    <col min="14594" max="14594" width="13.28515625" customWidth="1"/>
    <col min="14595" max="14595" width="5.85546875" customWidth="1"/>
    <col min="14596" max="14596" width="11.85546875" customWidth="1"/>
    <col min="14597" max="14597" width="13" customWidth="1"/>
    <col min="14598" max="14598" width="15" customWidth="1"/>
    <col min="14599" max="14599" width="12.85546875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1.140625" customWidth="1"/>
    <col min="14849" max="14849" width="36.5703125" bestFit="1" customWidth="1"/>
    <col min="14850" max="14850" width="13.28515625" customWidth="1"/>
    <col min="14851" max="14851" width="5.85546875" customWidth="1"/>
    <col min="14852" max="14852" width="11.85546875" customWidth="1"/>
    <col min="14853" max="14853" width="13" customWidth="1"/>
    <col min="14854" max="14854" width="15" customWidth="1"/>
    <col min="14855" max="14855" width="12.85546875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1.140625" customWidth="1"/>
    <col min="15105" max="15105" width="36.5703125" bestFit="1" customWidth="1"/>
    <col min="15106" max="15106" width="13.28515625" customWidth="1"/>
    <col min="15107" max="15107" width="5.85546875" customWidth="1"/>
    <col min="15108" max="15108" width="11.85546875" customWidth="1"/>
    <col min="15109" max="15109" width="13" customWidth="1"/>
    <col min="15110" max="15110" width="15" customWidth="1"/>
    <col min="15111" max="15111" width="12.85546875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1.140625" customWidth="1"/>
    <col min="15361" max="15361" width="36.5703125" bestFit="1" customWidth="1"/>
    <col min="15362" max="15362" width="13.28515625" customWidth="1"/>
    <col min="15363" max="15363" width="5.85546875" customWidth="1"/>
    <col min="15364" max="15364" width="11.85546875" customWidth="1"/>
    <col min="15365" max="15365" width="13" customWidth="1"/>
    <col min="15366" max="15366" width="15" customWidth="1"/>
    <col min="15367" max="15367" width="12.85546875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1.140625" customWidth="1"/>
    <col min="15617" max="15617" width="36.5703125" bestFit="1" customWidth="1"/>
    <col min="15618" max="15618" width="13.28515625" customWidth="1"/>
    <col min="15619" max="15619" width="5.85546875" customWidth="1"/>
    <col min="15620" max="15620" width="11.85546875" customWidth="1"/>
    <col min="15621" max="15621" width="13" customWidth="1"/>
    <col min="15622" max="15622" width="15" customWidth="1"/>
    <col min="15623" max="15623" width="12.85546875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1.140625" customWidth="1"/>
    <col min="15873" max="15873" width="36.5703125" bestFit="1" customWidth="1"/>
    <col min="15874" max="15874" width="13.28515625" customWidth="1"/>
    <col min="15875" max="15875" width="5.85546875" customWidth="1"/>
    <col min="15876" max="15876" width="11.85546875" customWidth="1"/>
    <col min="15877" max="15877" width="13" customWidth="1"/>
    <col min="15878" max="15878" width="15" customWidth="1"/>
    <col min="15879" max="15879" width="12.85546875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1.140625" customWidth="1"/>
    <col min="16129" max="16129" width="36.5703125" bestFit="1" customWidth="1"/>
    <col min="16130" max="16130" width="13.28515625" customWidth="1"/>
    <col min="16131" max="16131" width="5.85546875" customWidth="1"/>
    <col min="16132" max="16132" width="11.85546875" customWidth="1"/>
    <col min="16133" max="16133" width="13" customWidth="1"/>
    <col min="16134" max="16134" width="15" customWidth="1"/>
    <col min="16135" max="16135" width="12.85546875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1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593" t="s">
        <v>3818</v>
      </c>
      <c r="C5" s="1594"/>
      <c r="D5" s="1594"/>
      <c r="E5" s="1595"/>
      <c r="F5" s="326" t="s">
        <v>171</v>
      </c>
      <c r="G5" s="326"/>
      <c r="H5" s="1651" t="s">
        <v>3817</v>
      </c>
      <c r="I5" s="1600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3816</v>
      </c>
      <c r="C7" s="1594"/>
      <c r="D7" s="1594"/>
      <c r="E7" s="1595"/>
      <c r="F7" s="1596" t="s">
        <v>3208</v>
      </c>
      <c r="G7" s="1596"/>
      <c r="H7" s="1593" t="s">
        <v>3815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 t="s">
        <v>2438</v>
      </c>
      <c r="C9" s="1594"/>
      <c r="D9" s="1594"/>
      <c r="E9" s="1595"/>
      <c r="F9" s="1601" t="s">
        <v>3205</v>
      </c>
      <c r="G9" s="1602"/>
      <c r="H9" s="1620" t="s">
        <v>2438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3814</v>
      </c>
      <c r="C13" s="1612"/>
      <c r="D13" s="1612" t="s">
        <v>3813</v>
      </c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3812</v>
      </c>
      <c r="C14" s="1612"/>
      <c r="D14" s="1612" t="s">
        <v>3811</v>
      </c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31.5" customHeight="1">
      <c r="A15" s="631" t="s">
        <v>192</v>
      </c>
      <c r="B15" s="1613" t="s">
        <v>3810</v>
      </c>
      <c r="C15" s="1614"/>
      <c r="D15" s="1612" t="s">
        <v>3809</v>
      </c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31.5" customHeight="1">
      <c r="A16" s="631" t="s">
        <v>197</v>
      </c>
      <c r="B16" s="1612" t="s">
        <v>2438</v>
      </c>
      <c r="C16" s="1612"/>
      <c r="D16" s="1612" t="s">
        <v>2438</v>
      </c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2</v>
      </c>
      <c r="C18" s="326" t="s">
        <v>199</v>
      </c>
      <c r="D18" s="326"/>
      <c r="E18" s="326"/>
      <c r="F18" s="631">
        <v>2</v>
      </c>
      <c r="G18" s="326" t="s">
        <v>200</v>
      </c>
      <c r="H18" s="632">
        <v>5</v>
      </c>
      <c r="I18" s="326" t="s">
        <v>201</v>
      </c>
      <c r="J18" s="632">
        <v>1</v>
      </c>
      <c r="K18" s="326" t="s">
        <v>202</v>
      </c>
      <c r="L18" s="631">
        <v>5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81</v>
      </c>
      <c r="D21" s="326" t="s">
        <v>205</v>
      </c>
      <c r="E21" s="631">
        <v>0</v>
      </c>
      <c r="F21" s="326" t="s">
        <v>206</v>
      </c>
      <c r="G21" s="80">
        <v>0</v>
      </c>
      <c r="H21" s="326" t="s">
        <v>230</v>
      </c>
      <c r="I21" s="631">
        <v>81</v>
      </c>
      <c r="J21" s="326" t="s">
        <v>207</v>
      </c>
      <c r="K21" s="631">
        <v>12</v>
      </c>
      <c r="L21" s="326" t="s">
        <v>3187</v>
      </c>
      <c r="M21" s="326"/>
      <c r="N21" s="631">
        <v>8</v>
      </c>
    </row>
    <row r="22" spans="1:14" ht="21.75" customHeight="1">
      <c r="A22" s="326" t="s">
        <v>209</v>
      </c>
      <c r="B22" s="326" t="s">
        <v>210</v>
      </c>
      <c r="C22" s="631">
        <v>238</v>
      </c>
      <c r="D22" s="326" t="s">
        <v>211</v>
      </c>
      <c r="E22" s="631">
        <v>0</v>
      </c>
      <c r="F22" s="326" t="s">
        <v>212</v>
      </c>
      <c r="G22" s="80">
        <v>0</v>
      </c>
      <c r="H22" s="326" t="s">
        <v>411</v>
      </c>
      <c r="I22" s="80">
        <v>238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205</v>
      </c>
      <c r="D23" s="326" t="s">
        <v>214</v>
      </c>
      <c r="E23" s="631">
        <v>0</v>
      </c>
      <c r="F23" s="326" t="s">
        <v>215</v>
      </c>
      <c r="G23" s="80">
        <v>0</v>
      </c>
      <c r="H23" s="326" t="s">
        <v>410</v>
      </c>
      <c r="I23" s="80">
        <v>205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2">
        <v>663700</v>
      </c>
      <c r="F29" s="322">
        <v>0</v>
      </c>
      <c r="G29" s="322">
        <v>163700</v>
      </c>
      <c r="H29" s="322"/>
      <c r="I29" s="322"/>
      <c r="J29" s="322"/>
      <c r="K29" s="322"/>
      <c r="L29" s="322"/>
      <c r="M29" s="322">
        <f t="shared" ref="M29:M38" si="0">SUM(F29:L29)</f>
        <v>163700</v>
      </c>
      <c r="N29" s="323">
        <f>+M29/E29%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/>
      <c r="F30" s="322">
        <v>0</v>
      </c>
      <c r="G30" s="322">
        <v>0</v>
      </c>
      <c r="H30" s="322"/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2">
        <v>0</v>
      </c>
      <c r="G31" s="322">
        <v>18000</v>
      </c>
      <c r="H31" s="322"/>
      <c r="I31" s="322"/>
      <c r="J31" s="322"/>
      <c r="K31" s="322"/>
      <c r="L31" s="322"/>
      <c r="M31" s="322">
        <f t="shared" si="0"/>
        <v>18000</v>
      </c>
      <c r="N31" s="323">
        <f>+M31/E31%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2">
        <v>0</v>
      </c>
      <c r="G32" s="322">
        <v>16000</v>
      </c>
      <c r="H32" s="322"/>
      <c r="I32" s="322"/>
      <c r="J32" s="322"/>
      <c r="K32" s="322"/>
      <c r="L32" s="322"/>
      <c r="M32" s="322">
        <f t="shared" si="0"/>
        <v>16000</v>
      </c>
      <c r="N32" s="323">
        <f>+M32/E32%</f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2">
        <v>200000</v>
      </c>
      <c r="F33" s="322">
        <v>0</v>
      </c>
      <c r="G33" s="322">
        <v>163973</v>
      </c>
      <c r="H33" s="322"/>
      <c r="I33" s="322"/>
      <c r="J33" s="322"/>
      <c r="K33" s="322"/>
      <c r="L33" s="322"/>
      <c r="M33" s="322">
        <f t="shared" si="0"/>
        <v>163973</v>
      </c>
      <c r="N33" s="323">
        <f>+M33/E33%</f>
        <v>81.986500000000007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2">
        <v>150000</v>
      </c>
      <c r="F34" s="322">
        <v>0</v>
      </c>
      <c r="G34" s="322">
        <v>22200</v>
      </c>
      <c r="H34" s="322"/>
      <c r="I34" s="322"/>
      <c r="J34" s="322"/>
      <c r="K34" s="322"/>
      <c r="L34" s="322"/>
      <c r="M34" s="322">
        <f t="shared" si="0"/>
        <v>22200</v>
      </c>
      <c r="N34" s="323">
        <f>+M34/E34%</f>
        <v>14.8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2"/>
      <c r="F35" s="322">
        <v>0</v>
      </c>
      <c r="G35" s="322">
        <v>0</v>
      </c>
      <c r="H35" s="322"/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2">
        <v>0</v>
      </c>
      <c r="G36" s="322">
        <v>22000</v>
      </c>
      <c r="H36" s="322"/>
      <c r="I36" s="322"/>
      <c r="J36" s="322"/>
      <c r="K36" s="322"/>
      <c r="L36" s="322"/>
      <c r="M36" s="322">
        <f t="shared" si="0"/>
        <v>22000</v>
      </c>
      <c r="N36" s="323">
        <f>+M36/E36%</f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>
        <v>0</v>
      </c>
      <c r="F37" s="322">
        <v>0</v>
      </c>
      <c r="G37" s="322">
        <v>0</v>
      </c>
      <c r="H37" s="322"/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1">SUM(D29:D37)</f>
        <v>62.635000000000005</v>
      </c>
      <c r="E38" s="321">
        <f t="shared" si="1"/>
        <v>1077950</v>
      </c>
      <c r="F38" s="321">
        <f t="shared" si="1"/>
        <v>0</v>
      </c>
      <c r="G38" s="321">
        <f t="shared" si="1"/>
        <v>405873</v>
      </c>
      <c r="H38" s="321">
        <f t="shared" si="1"/>
        <v>0</v>
      </c>
      <c r="I38" s="321">
        <f t="shared" si="1"/>
        <v>0</v>
      </c>
      <c r="J38" s="321">
        <f t="shared" si="1"/>
        <v>0</v>
      </c>
      <c r="K38" s="321">
        <f t="shared" si="1"/>
        <v>0</v>
      </c>
      <c r="L38" s="321">
        <f t="shared" si="1"/>
        <v>0</v>
      </c>
      <c r="M38" s="631">
        <f t="shared" si="0"/>
        <v>405873</v>
      </c>
      <c r="N38" s="323">
        <f>+M38/E38%</f>
        <v>37.652302982513106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496062992125984" bottom="0.27559055118110237" header="0.39370078740157483" footer="0.31496062992125984"/>
  <pageSetup paperSize="9" scale="70" orientation="landscape" r:id="rId1"/>
</worksheet>
</file>

<file path=xl/worksheets/sheet35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N42"/>
  <sheetViews>
    <sheetView zoomScale="70" zoomScaleNormal="7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5.85546875" customWidth="1"/>
    <col min="4" max="4" width="11.85546875" customWidth="1"/>
    <col min="5" max="5" width="12.5703125" customWidth="1"/>
    <col min="6" max="6" width="15" customWidth="1"/>
    <col min="7" max="7" width="12.85546875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0.85546875" customWidth="1"/>
    <col min="257" max="257" width="36.5703125" bestFit="1" customWidth="1"/>
    <col min="258" max="258" width="13.28515625" customWidth="1"/>
    <col min="259" max="259" width="5.85546875" customWidth="1"/>
    <col min="260" max="260" width="11.85546875" customWidth="1"/>
    <col min="261" max="261" width="12.5703125" customWidth="1"/>
    <col min="262" max="262" width="15" customWidth="1"/>
    <col min="263" max="263" width="12.85546875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0.85546875" customWidth="1"/>
    <col min="513" max="513" width="36.5703125" bestFit="1" customWidth="1"/>
    <col min="514" max="514" width="13.28515625" customWidth="1"/>
    <col min="515" max="515" width="5.85546875" customWidth="1"/>
    <col min="516" max="516" width="11.85546875" customWidth="1"/>
    <col min="517" max="517" width="12.5703125" customWidth="1"/>
    <col min="518" max="518" width="15" customWidth="1"/>
    <col min="519" max="519" width="12.85546875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0.85546875" customWidth="1"/>
    <col min="769" max="769" width="36.5703125" bestFit="1" customWidth="1"/>
    <col min="770" max="770" width="13.28515625" customWidth="1"/>
    <col min="771" max="771" width="5.85546875" customWidth="1"/>
    <col min="772" max="772" width="11.85546875" customWidth="1"/>
    <col min="773" max="773" width="12.5703125" customWidth="1"/>
    <col min="774" max="774" width="15" customWidth="1"/>
    <col min="775" max="775" width="12.85546875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0.85546875" customWidth="1"/>
    <col min="1025" max="1025" width="36.5703125" bestFit="1" customWidth="1"/>
    <col min="1026" max="1026" width="13.28515625" customWidth="1"/>
    <col min="1027" max="1027" width="5.85546875" customWidth="1"/>
    <col min="1028" max="1028" width="11.85546875" customWidth="1"/>
    <col min="1029" max="1029" width="12.5703125" customWidth="1"/>
    <col min="1030" max="1030" width="15" customWidth="1"/>
    <col min="1031" max="1031" width="12.85546875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0.85546875" customWidth="1"/>
    <col min="1281" max="1281" width="36.5703125" bestFit="1" customWidth="1"/>
    <col min="1282" max="1282" width="13.28515625" customWidth="1"/>
    <col min="1283" max="1283" width="5.85546875" customWidth="1"/>
    <col min="1284" max="1284" width="11.85546875" customWidth="1"/>
    <col min="1285" max="1285" width="12.5703125" customWidth="1"/>
    <col min="1286" max="1286" width="15" customWidth="1"/>
    <col min="1287" max="1287" width="12.85546875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0.85546875" customWidth="1"/>
    <col min="1537" max="1537" width="36.5703125" bestFit="1" customWidth="1"/>
    <col min="1538" max="1538" width="13.28515625" customWidth="1"/>
    <col min="1539" max="1539" width="5.85546875" customWidth="1"/>
    <col min="1540" max="1540" width="11.85546875" customWidth="1"/>
    <col min="1541" max="1541" width="12.5703125" customWidth="1"/>
    <col min="1542" max="1542" width="15" customWidth="1"/>
    <col min="1543" max="1543" width="12.85546875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0.85546875" customWidth="1"/>
    <col min="1793" max="1793" width="36.5703125" bestFit="1" customWidth="1"/>
    <col min="1794" max="1794" width="13.28515625" customWidth="1"/>
    <col min="1795" max="1795" width="5.85546875" customWidth="1"/>
    <col min="1796" max="1796" width="11.85546875" customWidth="1"/>
    <col min="1797" max="1797" width="12.5703125" customWidth="1"/>
    <col min="1798" max="1798" width="15" customWidth="1"/>
    <col min="1799" max="1799" width="12.85546875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0.85546875" customWidth="1"/>
    <col min="2049" max="2049" width="36.5703125" bestFit="1" customWidth="1"/>
    <col min="2050" max="2050" width="13.28515625" customWidth="1"/>
    <col min="2051" max="2051" width="5.85546875" customWidth="1"/>
    <col min="2052" max="2052" width="11.85546875" customWidth="1"/>
    <col min="2053" max="2053" width="12.5703125" customWidth="1"/>
    <col min="2054" max="2054" width="15" customWidth="1"/>
    <col min="2055" max="2055" width="12.85546875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0.85546875" customWidth="1"/>
    <col min="2305" max="2305" width="36.5703125" bestFit="1" customWidth="1"/>
    <col min="2306" max="2306" width="13.28515625" customWidth="1"/>
    <col min="2307" max="2307" width="5.85546875" customWidth="1"/>
    <col min="2308" max="2308" width="11.85546875" customWidth="1"/>
    <col min="2309" max="2309" width="12.5703125" customWidth="1"/>
    <col min="2310" max="2310" width="15" customWidth="1"/>
    <col min="2311" max="2311" width="12.85546875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0.85546875" customWidth="1"/>
    <col min="2561" max="2561" width="36.5703125" bestFit="1" customWidth="1"/>
    <col min="2562" max="2562" width="13.28515625" customWidth="1"/>
    <col min="2563" max="2563" width="5.85546875" customWidth="1"/>
    <col min="2564" max="2564" width="11.85546875" customWidth="1"/>
    <col min="2565" max="2565" width="12.5703125" customWidth="1"/>
    <col min="2566" max="2566" width="15" customWidth="1"/>
    <col min="2567" max="2567" width="12.85546875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0.85546875" customWidth="1"/>
    <col min="2817" max="2817" width="36.5703125" bestFit="1" customWidth="1"/>
    <col min="2818" max="2818" width="13.28515625" customWidth="1"/>
    <col min="2819" max="2819" width="5.85546875" customWidth="1"/>
    <col min="2820" max="2820" width="11.85546875" customWidth="1"/>
    <col min="2821" max="2821" width="12.5703125" customWidth="1"/>
    <col min="2822" max="2822" width="15" customWidth="1"/>
    <col min="2823" max="2823" width="12.85546875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0.85546875" customWidth="1"/>
    <col min="3073" max="3073" width="36.5703125" bestFit="1" customWidth="1"/>
    <col min="3074" max="3074" width="13.28515625" customWidth="1"/>
    <col min="3075" max="3075" width="5.85546875" customWidth="1"/>
    <col min="3076" max="3076" width="11.85546875" customWidth="1"/>
    <col min="3077" max="3077" width="12.5703125" customWidth="1"/>
    <col min="3078" max="3078" width="15" customWidth="1"/>
    <col min="3079" max="3079" width="12.85546875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0.85546875" customWidth="1"/>
    <col min="3329" max="3329" width="36.5703125" bestFit="1" customWidth="1"/>
    <col min="3330" max="3330" width="13.28515625" customWidth="1"/>
    <col min="3331" max="3331" width="5.85546875" customWidth="1"/>
    <col min="3332" max="3332" width="11.85546875" customWidth="1"/>
    <col min="3333" max="3333" width="12.5703125" customWidth="1"/>
    <col min="3334" max="3334" width="15" customWidth="1"/>
    <col min="3335" max="3335" width="12.85546875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0.85546875" customWidth="1"/>
    <col min="3585" max="3585" width="36.5703125" bestFit="1" customWidth="1"/>
    <col min="3586" max="3586" width="13.28515625" customWidth="1"/>
    <col min="3587" max="3587" width="5.85546875" customWidth="1"/>
    <col min="3588" max="3588" width="11.85546875" customWidth="1"/>
    <col min="3589" max="3589" width="12.5703125" customWidth="1"/>
    <col min="3590" max="3590" width="15" customWidth="1"/>
    <col min="3591" max="3591" width="12.85546875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0.85546875" customWidth="1"/>
    <col min="3841" max="3841" width="36.5703125" bestFit="1" customWidth="1"/>
    <col min="3842" max="3842" width="13.28515625" customWidth="1"/>
    <col min="3843" max="3843" width="5.85546875" customWidth="1"/>
    <col min="3844" max="3844" width="11.85546875" customWidth="1"/>
    <col min="3845" max="3845" width="12.5703125" customWidth="1"/>
    <col min="3846" max="3846" width="15" customWidth="1"/>
    <col min="3847" max="3847" width="12.85546875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0.85546875" customWidth="1"/>
    <col min="4097" max="4097" width="36.5703125" bestFit="1" customWidth="1"/>
    <col min="4098" max="4098" width="13.28515625" customWidth="1"/>
    <col min="4099" max="4099" width="5.85546875" customWidth="1"/>
    <col min="4100" max="4100" width="11.85546875" customWidth="1"/>
    <col min="4101" max="4101" width="12.5703125" customWidth="1"/>
    <col min="4102" max="4102" width="15" customWidth="1"/>
    <col min="4103" max="4103" width="12.85546875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0.85546875" customWidth="1"/>
    <col min="4353" max="4353" width="36.5703125" bestFit="1" customWidth="1"/>
    <col min="4354" max="4354" width="13.28515625" customWidth="1"/>
    <col min="4355" max="4355" width="5.85546875" customWidth="1"/>
    <col min="4356" max="4356" width="11.85546875" customWidth="1"/>
    <col min="4357" max="4357" width="12.5703125" customWidth="1"/>
    <col min="4358" max="4358" width="15" customWidth="1"/>
    <col min="4359" max="4359" width="12.85546875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0.85546875" customWidth="1"/>
    <col min="4609" max="4609" width="36.5703125" bestFit="1" customWidth="1"/>
    <col min="4610" max="4610" width="13.28515625" customWidth="1"/>
    <col min="4611" max="4611" width="5.85546875" customWidth="1"/>
    <col min="4612" max="4612" width="11.85546875" customWidth="1"/>
    <col min="4613" max="4613" width="12.5703125" customWidth="1"/>
    <col min="4614" max="4614" width="15" customWidth="1"/>
    <col min="4615" max="4615" width="12.85546875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0.85546875" customWidth="1"/>
    <col min="4865" max="4865" width="36.5703125" bestFit="1" customWidth="1"/>
    <col min="4866" max="4866" width="13.28515625" customWidth="1"/>
    <col min="4867" max="4867" width="5.85546875" customWidth="1"/>
    <col min="4868" max="4868" width="11.85546875" customWidth="1"/>
    <col min="4869" max="4869" width="12.5703125" customWidth="1"/>
    <col min="4870" max="4870" width="15" customWidth="1"/>
    <col min="4871" max="4871" width="12.85546875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0.85546875" customWidth="1"/>
    <col min="5121" max="5121" width="36.5703125" bestFit="1" customWidth="1"/>
    <col min="5122" max="5122" width="13.28515625" customWidth="1"/>
    <col min="5123" max="5123" width="5.85546875" customWidth="1"/>
    <col min="5124" max="5124" width="11.85546875" customWidth="1"/>
    <col min="5125" max="5125" width="12.5703125" customWidth="1"/>
    <col min="5126" max="5126" width="15" customWidth="1"/>
    <col min="5127" max="5127" width="12.85546875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0.85546875" customWidth="1"/>
    <col min="5377" max="5377" width="36.5703125" bestFit="1" customWidth="1"/>
    <col min="5378" max="5378" width="13.28515625" customWidth="1"/>
    <col min="5379" max="5379" width="5.85546875" customWidth="1"/>
    <col min="5380" max="5380" width="11.85546875" customWidth="1"/>
    <col min="5381" max="5381" width="12.5703125" customWidth="1"/>
    <col min="5382" max="5382" width="15" customWidth="1"/>
    <col min="5383" max="5383" width="12.85546875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0.85546875" customWidth="1"/>
    <col min="5633" max="5633" width="36.5703125" bestFit="1" customWidth="1"/>
    <col min="5634" max="5634" width="13.28515625" customWidth="1"/>
    <col min="5635" max="5635" width="5.85546875" customWidth="1"/>
    <col min="5636" max="5636" width="11.85546875" customWidth="1"/>
    <col min="5637" max="5637" width="12.5703125" customWidth="1"/>
    <col min="5638" max="5638" width="15" customWidth="1"/>
    <col min="5639" max="5639" width="12.85546875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0.85546875" customWidth="1"/>
    <col min="5889" max="5889" width="36.5703125" bestFit="1" customWidth="1"/>
    <col min="5890" max="5890" width="13.28515625" customWidth="1"/>
    <col min="5891" max="5891" width="5.85546875" customWidth="1"/>
    <col min="5892" max="5892" width="11.85546875" customWidth="1"/>
    <col min="5893" max="5893" width="12.5703125" customWidth="1"/>
    <col min="5894" max="5894" width="15" customWidth="1"/>
    <col min="5895" max="5895" width="12.85546875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0.85546875" customWidth="1"/>
    <col min="6145" max="6145" width="36.5703125" bestFit="1" customWidth="1"/>
    <col min="6146" max="6146" width="13.28515625" customWidth="1"/>
    <col min="6147" max="6147" width="5.85546875" customWidth="1"/>
    <col min="6148" max="6148" width="11.85546875" customWidth="1"/>
    <col min="6149" max="6149" width="12.5703125" customWidth="1"/>
    <col min="6150" max="6150" width="15" customWidth="1"/>
    <col min="6151" max="6151" width="12.85546875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0.85546875" customWidth="1"/>
    <col min="6401" max="6401" width="36.5703125" bestFit="1" customWidth="1"/>
    <col min="6402" max="6402" width="13.28515625" customWidth="1"/>
    <col min="6403" max="6403" width="5.85546875" customWidth="1"/>
    <col min="6404" max="6404" width="11.85546875" customWidth="1"/>
    <col min="6405" max="6405" width="12.5703125" customWidth="1"/>
    <col min="6406" max="6406" width="15" customWidth="1"/>
    <col min="6407" max="6407" width="12.85546875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0.85546875" customWidth="1"/>
    <col min="6657" max="6657" width="36.5703125" bestFit="1" customWidth="1"/>
    <col min="6658" max="6658" width="13.28515625" customWidth="1"/>
    <col min="6659" max="6659" width="5.85546875" customWidth="1"/>
    <col min="6660" max="6660" width="11.85546875" customWidth="1"/>
    <col min="6661" max="6661" width="12.5703125" customWidth="1"/>
    <col min="6662" max="6662" width="15" customWidth="1"/>
    <col min="6663" max="6663" width="12.85546875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0.85546875" customWidth="1"/>
    <col min="6913" max="6913" width="36.5703125" bestFit="1" customWidth="1"/>
    <col min="6914" max="6914" width="13.28515625" customWidth="1"/>
    <col min="6915" max="6915" width="5.85546875" customWidth="1"/>
    <col min="6916" max="6916" width="11.85546875" customWidth="1"/>
    <col min="6917" max="6917" width="12.5703125" customWidth="1"/>
    <col min="6918" max="6918" width="15" customWidth="1"/>
    <col min="6919" max="6919" width="12.85546875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0.85546875" customWidth="1"/>
    <col min="7169" max="7169" width="36.5703125" bestFit="1" customWidth="1"/>
    <col min="7170" max="7170" width="13.28515625" customWidth="1"/>
    <col min="7171" max="7171" width="5.85546875" customWidth="1"/>
    <col min="7172" max="7172" width="11.85546875" customWidth="1"/>
    <col min="7173" max="7173" width="12.5703125" customWidth="1"/>
    <col min="7174" max="7174" width="15" customWidth="1"/>
    <col min="7175" max="7175" width="12.85546875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0.85546875" customWidth="1"/>
    <col min="7425" max="7425" width="36.5703125" bestFit="1" customWidth="1"/>
    <col min="7426" max="7426" width="13.28515625" customWidth="1"/>
    <col min="7427" max="7427" width="5.85546875" customWidth="1"/>
    <col min="7428" max="7428" width="11.85546875" customWidth="1"/>
    <col min="7429" max="7429" width="12.5703125" customWidth="1"/>
    <col min="7430" max="7430" width="15" customWidth="1"/>
    <col min="7431" max="7431" width="12.85546875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0.85546875" customWidth="1"/>
    <col min="7681" max="7681" width="36.5703125" bestFit="1" customWidth="1"/>
    <col min="7682" max="7682" width="13.28515625" customWidth="1"/>
    <col min="7683" max="7683" width="5.85546875" customWidth="1"/>
    <col min="7684" max="7684" width="11.85546875" customWidth="1"/>
    <col min="7685" max="7685" width="12.5703125" customWidth="1"/>
    <col min="7686" max="7686" width="15" customWidth="1"/>
    <col min="7687" max="7687" width="12.85546875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0.85546875" customWidth="1"/>
    <col min="7937" max="7937" width="36.5703125" bestFit="1" customWidth="1"/>
    <col min="7938" max="7938" width="13.28515625" customWidth="1"/>
    <col min="7939" max="7939" width="5.85546875" customWidth="1"/>
    <col min="7940" max="7940" width="11.85546875" customWidth="1"/>
    <col min="7941" max="7941" width="12.5703125" customWidth="1"/>
    <col min="7942" max="7942" width="15" customWidth="1"/>
    <col min="7943" max="7943" width="12.85546875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0.85546875" customWidth="1"/>
    <col min="8193" max="8193" width="36.5703125" bestFit="1" customWidth="1"/>
    <col min="8194" max="8194" width="13.28515625" customWidth="1"/>
    <col min="8195" max="8195" width="5.85546875" customWidth="1"/>
    <col min="8196" max="8196" width="11.85546875" customWidth="1"/>
    <col min="8197" max="8197" width="12.5703125" customWidth="1"/>
    <col min="8198" max="8198" width="15" customWidth="1"/>
    <col min="8199" max="8199" width="12.85546875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0.85546875" customWidth="1"/>
    <col min="8449" max="8449" width="36.5703125" bestFit="1" customWidth="1"/>
    <col min="8450" max="8450" width="13.28515625" customWidth="1"/>
    <col min="8451" max="8451" width="5.85546875" customWidth="1"/>
    <col min="8452" max="8452" width="11.85546875" customWidth="1"/>
    <col min="8453" max="8453" width="12.5703125" customWidth="1"/>
    <col min="8454" max="8454" width="15" customWidth="1"/>
    <col min="8455" max="8455" width="12.85546875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0.85546875" customWidth="1"/>
    <col min="8705" max="8705" width="36.5703125" bestFit="1" customWidth="1"/>
    <col min="8706" max="8706" width="13.28515625" customWidth="1"/>
    <col min="8707" max="8707" width="5.85546875" customWidth="1"/>
    <col min="8708" max="8708" width="11.85546875" customWidth="1"/>
    <col min="8709" max="8709" width="12.5703125" customWidth="1"/>
    <col min="8710" max="8710" width="15" customWidth="1"/>
    <col min="8711" max="8711" width="12.85546875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0.85546875" customWidth="1"/>
    <col min="8961" max="8961" width="36.5703125" bestFit="1" customWidth="1"/>
    <col min="8962" max="8962" width="13.28515625" customWidth="1"/>
    <col min="8963" max="8963" width="5.85546875" customWidth="1"/>
    <col min="8964" max="8964" width="11.85546875" customWidth="1"/>
    <col min="8965" max="8965" width="12.5703125" customWidth="1"/>
    <col min="8966" max="8966" width="15" customWidth="1"/>
    <col min="8967" max="8967" width="12.85546875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0.85546875" customWidth="1"/>
    <col min="9217" max="9217" width="36.5703125" bestFit="1" customWidth="1"/>
    <col min="9218" max="9218" width="13.28515625" customWidth="1"/>
    <col min="9219" max="9219" width="5.85546875" customWidth="1"/>
    <col min="9220" max="9220" width="11.85546875" customWidth="1"/>
    <col min="9221" max="9221" width="12.5703125" customWidth="1"/>
    <col min="9222" max="9222" width="15" customWidth="1"/>
    <col min="9223" max="9223" width="12.85546875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0.85546875" customWidth="1"/>
    <col min="9473" max="9473" width="36.5703125" bestFit="1" customWidth="1"/>
    <col min="9474" max="9474" width="13.28515625" customWidth="1"/>
    <col min="9475" max="9475" width="5.85546875" customWidth="1"/>
    <col min="9476" max="9476" width="11.85546875" customWidth="1"/>
    <col min="9477" max="9477" width="12.5703125" customWidth="1"/>
    <col min="9478" max="9478" width="15" customWidth="1"/>
    <col min="9479" max="9479" width="12.85546875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0.85546875" customWidth="1"/>
    <col min="9729" max="9729" width="36.5703125" bestFit="1" customWidth="1"/>
    <col min="9730" max="9730" width="13.28515625" customWidth="1"/>
    <col min="9731" max="9731" width="5.85546875" customWidth="1"/>
    <col min="9732" max="9732" width="11.85546875" customWidth="1"/>
    <col min="9733" max="9733" width="12.5703125" customWidth="1"/>
    <col min="9734" max="9734" width="15" customWidth="1"/>
    <col min="9735" max="9735" width="12.85546875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0.85546875" customWidth="1"/>
    <col min="9985" max="9985" width="36.5703125" bestFit="1" customWidth="1"/>
    <col min="9986" max="9986" width="13.28515625" customWidth="1"/>
    <col min="9987" max="9987" width="5.85546875" customWidth="1"/>
    <col min="9988" max="9988" width="11.85546875" customWidth="1"/>
    <col min="9989" max="9989" width="12.5703125" customWidth="1"/>
    <col min="9990" max="9990" width="15" customWidth="1"/>
    <col min="9991" max="9991" width="12.85546875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0.85546875" customWidth="1"/>
    <col min="10241" max="10241" width="36.5703125" bestFit="1" customWidth="1"/>
    <col min="10242" max="10242" width="13.28515625" customWidth="1"/>
    <col min="10243" max="10243" width="5.85546875" customWidth="1"/>
    <col min="10244" max="10244" width="11.85546875" customWidth="1"/>
    <col min="10245" max="10245" width="12.5703125" customWidth="1"/>
    <col min="10246" max="10246" width="15" customWidth="1"/>
    <col min="10247" max="10247" width="12.85546875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0.85546875" customWidth="1"/>
    <col min="10497" max="10497" width="36.5703125" bestFit="1" customWidth="1"/>
    <col min="10498" max="10498" width="13.28515625" customWidth="1"/>
    <col min="10499" max="10499" width="5.85546875" customWidth="1"/>
    <col min="10500" max="10500" width="11.85546875" customWidth="1"/>
    <col min="10501" max="10501" width="12.5703125" customWidth="1"/>
    <col min="10502" max="10502" width="15" customWidth="1"/>
    <col min="10503" max="10503" width="12.85546875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0.85546875" customWidth="1"/>
    <col min="10753" max="10753" width="36.5703125" bestFit="1" customWidth="1"/>
    <col min="10754" max="10754" width="13.28515625" customWidth="1"/>
    <col min="10755" max="10755" width="5.85546875" customWidth="1"/>
    <col min="10756" max="10756" width="11.85546875" customWidth="1"/>
    <col min="10757" max="10757" width="12.5703125" customWidth="1"/>
    <col min="10758" max="10758" width="15" customWidth="1"/>
    <col min="10759" max="10759" width="12.85546875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0.85546875" customWidth="1"/>
    <col min="11009" max="11009" width="36.5703125" bestFit="1" customWidth="1"/>
    <col min="11010" max="11010" width="13.28515625" customWidth="1"/>
    <col min="11011" max="11011" width="5.85546875" customWidth="1"/>
    <col min="11012" max="11012" width="11.85546875" customWidth="1"/>
    <col min="11013" max="11013" width="12.5703125" customWidth="1"/>
    <col min="11014" max="11014" width="15" customWidth="1"/>
    <col min="11015" max="11015" width="12.85546875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0.85546875" customWidth="1"/>
    <col min="11265" max="11265" width="36.5703125" bestFit="1" customWidth="1"/>
    <col min="11266" max="11266" width="13.28515625" customWidth="1"/>
    <col min="11267" max="11267" width="5.85546875" customWidth="1"/>
    <col min="11268" max="11268" width="11.85546875" customWidth="1"/>
    <col min="11269" max="11269" width="12.5703125" customWidth="1"/>
    <col min="11270" max="11270" width="15" customWidth="1"/>
    <col min="11271" max="11271" width="12.85546875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0.85546875" customWidth="1"/>
    <col min="11521" max="11521" width="36.5703125" bestFit="1" customWidth="1"/>
    <col min="11522" max="11522" width="13.28515625" customWidth="1"/>
    <col min="11523" max="11523" width="5.85546875" customWidth="1"/>
    <col min="11524" max="11524" width="11.85546875" customWidth="1"/>
    <col min="11525" max="11525" width="12.5703125" customWidth="1"/>
    <col min="11526" max="11526" width="15" customWidth="1"/>
    <col min="11527" max="11527" width="12.85546875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0.85546875" customWidth="1"/>
    <col min="11777" max="11777" width="36.5703125" bestFit="1" customWidth="1"/>
    <col min="11778" max="11778" width="13.28515625" customWidth="1"/>
    <col min="11779" max="11779" width="5.85546875" customWidth="1"/>
    <col min="11780" max="11780" width="11.85546875" customWidth="1"/>
    <col min="11781" max="11781" width="12.5703125" customWidth="1"/>
    <col min="11782" max="11782" width="15" customWidth="1"/>
    <col min="11783" max="11783" width="12.85546875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0.85546875" customWidth="1"/>
    <col min="12033" max="12033" width="36.5703125" bestFit="1" customWidth="1"/>
    <col min="12034" max="12034" width="13.28515625" customWidth="1"/>
    <col min="12035" max="12035" width="5.85546875" customWidth="1"/>
    <col min="12036" max="12036" width="11.85546875" customWidth="1"/>
    <col min="12037" max="12037" width="12.5703125" customWidth="1"/>
    <col min="12038" max="12038" width="15" customWidth="1"/>
    <col min="12039" max="12039" width="12.85546875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0.85546875" customWidth="1"/>
    <col min="12289" max="12289" width="36.5703125" bestFit="1" customWidth="1"/>
    <col min="12290" max="12290" width="13.28515625" customWidth="1"/>
    <col min="12291" max="12291" width="5.85546875" customWidth="1"/>
    <col min="12292" max="12292" width="11.85546875" customWidth="1"/>
    <col min="12293" max="12293" width="12.5703125" customWidth="1"/>
    <col min="12294" max="12294" width="15" customWidth="1"/>
    <col min="12295" max="12295" width="12.85546875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0.85546875" customWidth="1"/>
    <col min="12545" max="12545" width="36.5703125" bestFit="1" customWidth="1"/>
    <col min="12546" max="12546" width="13.28515625" customWidth="1"/>
    <col min="12547" max="12547" width="5.85546875" customWidth="1"/>
    <col min="12548" max="12548" width="11.85546875" customWidth="1"/>
    <col min="12549" max="12549" width="12.5703125" customWidth="1"/>
    <col min="12550" max="12550" width="15" customWidth="1"/>
    <col min="12551" max="12551" width="12.85546875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0.85546875" customWidth="1"/>
    <col min="12801" max="12801" width="36.5703125" bestFit="1" customWidth="1"/>
    <col min="12802" max="12802" width="13.28515625" customWidth="1"/>
    <col min="12803" max="12803" width="5.85546875" customWidth="1"/>
    <col min="12804" max="12804" width="11.85546875" customWidth="1"/>
    <col min="12805" max="12805" width="12.5703125" customWidth="1"/>
    <col min="12806" max="12806" width="15" customWidth="1"/>
    <col min="12807" max="12807" width="12.85546875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0.85546875" customWidth="1"/>
    <col min="13057" max="13057" width="36.5703125" bestFit="1" customWidth="1"/>
    <col min="13058" max="13058" width="13.28515625" customWidth="1"/>
    <col min="13059" max="13059" width="5.85546875" customWidth="1"/>
    <col min="13060" max="13060" width="11.85546875" customWidth="1"/>
    <col min="13061" max="13061" width="12.5703125" customWidth="1"/>
    <col min="13062" max="13062" width="15" customWidth="1"/>
    <col min="13063" max="13063" width="12.85546875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0.85546875" customWidth="1"/>
    <col min="13313" max="13313" width="36.5703125" bestFit="1" customWidth="1"/>
    <col min="13314" max="13314" width="13.28515625" customWidth="1"/>
    <col min="13315" max="13315" width="5.85546875" customWidth="1"/>
    <col min="13316" max="13316" width="11.85546875" customWidth="1"/>
    <col min="13317" max="13317" width="12.5703125" customWidth="1"/>
    <col min="13318" max="13318" width="15" customWidth="1"/>
    <col min="13319" max="13319" width="12.85546875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0.85546875" customWidth="1"/>
    <col min="13569" max="13569" width="36.5703125" bestFit="1" customWidth="1"/>
    <col min="13570" max="13570" width="13.28515625" customWidth="1"/>
    <col min="13571" max="13571" width="5.85546875" customWidth="1"/>
    <col min="13572" max="13572" width="11.85546875" customWidth="1"/>
    <col min="13573" max="13573" width="12.5703125" customWidth="1"/>
    <col min="13574" max="13574" width="15" customWidth="1"/>
    <col min="13575" max="13575" width="12.85546875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0.85546875" customWidth="1"/>
    <col min="13825" max="13825" width="36.5703125" bestFit="1" customWidth="1"/>
    <col min="13826" max="13826" width="13.28515625" customWidth="1"/>
    <col min="13827" max="13827" width="5.85546875" customWidth="1"/>
    <col min="13828" max="13828" width="11.85546875" customWidth="1"/>
    <col min="13829" max="13829" width="12.5703125" customWidth="1"/>
    <col min="13830" max="13830" width="15" customWidth="1"/>
    <col min="13831" max="13831" width="12.85546875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0.85546875" customWidth="1"/>
    <col min="14081" max="14081" width="36.5703125" bestFit="1" customWidth="1"/>
    <col min="14082" max="14082" width="13.28515625" customWidth="1"/>
    <col min="14083" max="14083" width="5.85546875" customWidth="1"/>
    <col min="14084" max="14084" width="11.85546875" customWidth="1"/>
    <col min="14085" max="14085" width="12.5703125" customWidth="1"/>
    <col min="14086" max="14086" width="15" customWidth="1"/>
    <col min="14087" max="14087" width="12.85546875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0.85546875" customWidth="1"/>
    <col min="14337" max="14337" width="36.5703125" bestFit="1" customWidth="1"/>
    <col min="14338" max="14338" width="13.28515625" customWidth="1"/>
    <col min="14339" max="14339" width="5.85546875" customWidth="1"/>
    <col min="14340" max="14340" width="11.85546875" customWidth="1"/>
    <col min="14341" max="14341" width="12.5703125" customWidth="1"/>
    <col min="14342" max="14342" width="15" customWidth="1"/>
    <col min="14343" max="14343" width="12.85546875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0.85546875" customWidth="1"/>
    <col min="14593" max="14593" width="36.5703125" bestFit="1" customWidth="1"/>
    <col min="14594" max="14594" width="13.28515625" customWidth="1"/>
    <col min="14595" max="14595" width="5.85546875" customWidth="1"/>
    <col min="14596" max="14596" width="11.85546875" customWidth="1"/>
    <col min="14597" max="14597" width="12.5703125" customWidth="1"/>
    <col min="14598" max="14598" width="15" customWidth="1"/>
    <col min="14599" max="14599" width="12.85546875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0.85546875" customWidth="1"/>
    <col min="14849" max="14849" width="36.5703125" bestFit="1" customWidth="1"/>
    <col min="14850" max="14850" width="13.28515625" customWidth="1"/>
    <col min="14851" max="14851" width="5.85546875" customWidth="1"/>
    <col min="14852" max="14852" width="11.85546875" customWidth="1"/>
    <col min="14853" max="14853" width="12.5703125" customWidth="1"/>
    <col min="14854" max="14854" width="15" customWidth="1"/>
    <col min="14855" max="14855" width="12.85546875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0.85546875" customWidth="1"/>
    <col min="15105" max="15105" width="36.5703125" bestFit="1" customWidth="1"/>
    <col min="15106" max="15106" width="13.28515625" customWidth="1"/>
    <col min="15107" max="15107" width="5.85546875" customWidth="1"/>
    <col min="15108" max="15108" width="11.85546875" customWidth="1"/>
    <col min="15109" max="15109" width="12.5703125" customWidth="1"/>
    <col min="15110" max="15110" width="15" customWidth="1"/>
    <col min="15111" max="15111" width="12.85546875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0.85546875" customWidth="1"/>
    <col min="15361" max="15361" width="36.5703125" bestFit="1" customWidth="1"/>
    <col min="15362" max="15362" width="13.28515625" customWidth="1"/>
    <col min="15363" max="15363" width="5.85546875" customWidth="1"/>
    <col min="15364" max="15364" width="11.85546875" customWidth="1"/>
    <col min="15365" max="15365" width="12.5703125" customWidth="1"/>
    <col min="15366" max="15366" width="15" customWidth="1"/>
    <col min="15367" max="15367" width="12.85546875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0.85546875" customWidth="1"/>
    <col min="15617" max="15617" width="36.5703125" bestFit="1" customWidth="1"/>
    <col min="15618" max="15618" width="13.28515625" customWidth="1"/>
    <col min="15619" max="15619" width="5.85546875" customWidth="1"/>
    <col min="15620" max="15620" width="11.85546875" customWidth="1"/>
    <col min="15621" max="15621" width="12.5703125" customWidth="1"/>
    <col min="15622" max="15622" width="15" customWidth="1"/>
    <col min="15623" max="15623" width="12.85546875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0.85546875" customWidth="1"/>
    <col min="15873" max="15873" width="36.5703125" bestFit="1" customWidth="1"/>
    <col min="15874" max="15874" width="13.28515625" customWidth="1"/>
    <col min="15875" max="15875" width="5.85546875" customWidth="1"/>
    <col min="15876" max="15876" width="11.85546875" customWidth="1"/>
    <col min="15877" max="15877" width="12.5703125" customWidth="1"/>
    <col min="15878" max="15878" width="15" customWidth="1"/>
    <col min="15879" max="15879" width="12.85546875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0.85546875" customWidth="1"/>
    <col min="16129" max="16129" width="36.5703125" bestFit="1" customWidth="1"/>
    <col min="16130" max="16130" width="13.28515625" customWidth="1"/>
    <col min="16131" max="16131" width="5.85546875" customWidth="1"/>
    <col min="16132" max="16132" width="11.85546875" customWidth="1"/>
    <col min="16133" max="16133" width="12.5703125" customWidth="1"/>
    <col min="16134" max="16134" width="15" customWidth="1"/>
    <col min="16135" max="16135" width="12.85546875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0.8554687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593" t="s">
        <v>3829</v>
      </c>
      <c r="C5" s="1594"/>
      <c r="D5" s="1594"/>
      <c r="E5" s="1595"/>
      <c r="F5" s="326" t="s">
        <v>171</v>
      </c>
      <c r="G5" s="326"/>
      <c r="H5" s="1618">
        <v>406020108080101</v>
      </c>
      <c r="I5" s="1619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3828</v>
      </c>
      <c r="C7" s="1594"/>
      <c r="D7" s="1594"/>
      <c r="E7" s="1595"/>
      <c r="F7" s="1596" t="s">
        <v>3208</v>
      </c>
      <c r="G7" s="1596"/>
      <c r="H7" s="1593" t="s">
        <v>3827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 t="s">
        <v>3819</v>
      </c>
      <c r="C9" s="1594"/>
      <c r="D9" s="1594"/>
      <c r="E9" s="1595"/>
      <c r="F9" s="1601" t="s">
        <v>3205</v>
      </c>
      <c r="G9" s="1602"/>
      <c r="H9" s="1620" t="s">
        <v>3826</v>
      </c>
      <c r="I9" s="1621"/>
      <c r="J9" s="1621"/>
      <c r="K9" s="1622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23"/>
      <c r="I10" s="1624"/>
      <c r="J10" s="1624"/>
      <c r="K10" s="1625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26"/>
      <c r="I11" s="1627"/>
      <c r="J11" s="1627"/>
      <c r="K11" s="1628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3825</v>
      </c>
      <c r="C13" s="1612"/>
      <c r="D13" s="1612" t="s">
        <v>3824</v>
      </c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3823</v>
      </c>
      <c r="C14" s="1612"/>
      <c r="D14" s="1612" t="s">
        <v>3822</v>
      </c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31.5" customHeight="1">
      <c r="A15" s="631" t="s">
        <v>192</v>
      </c>
      <c r="B15" s="1612" t="s">
        <v>3821</v>
      </c>
      <c r="C15" s="1612"/>
      <c r="D15" s="1612" t="s">
        <v>3820</v>
      </c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31.5" customHeight="1">
      <c r="A16" s="631" t="s">
        <v>197</v>
      </c>
      <c r="B16" s="1612" t="s">
        <v>3819</v>
      </c>
      <c r="C16" s="1612"/>
      <c r="D16" s="1612" t="s">
        <v>2438</v>
      </c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2</v>
      </c>
      <c r="C18" s="326" t="s">
        <v>199</v>
      </c>
      <c r="D18" s="326"/>
      <c r="E18" s="326"/>
      <c r="F18" s="631">
        <v>2</v>
      </c>
      <c r="G18" s="326" t="s">
        <v>200</v>
      </c>
      <c r="H18" s="632">
        <v>4</v>
      </c>
      <c r="I18" s="326" t="s">
        <v>201</v>
      </c>
      <c r="J18" s="632">
        <v>2</v>
      </c>
      <c r="K18" s="326" t="s">
        <v>202</v>
      </c>
      <c r="L18" s="631">
        <v>5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35</v>
      </c>
      <c r="D21" s="326" t="s">
        <v>205</v>
      </c>
      <c r="E21" s="631">
        <v>10</v>
      </c>
      <c r="F21" s="326" t="s">
        <v>206</v>
      </c>
      <c r="G21" s="631">
        <v>3</v>
      </c>
      <c r="H21" s="326" t="s">
        <v>230</v>
      </c>
      <c r="I21" s="631">
        <v>48</v>
      </c>
      <c r="J21" s="326" t="s">
        <v>207</v>
      </c>
      <c r="K21" s="631">
        <v>12</v>
      </c>
      <c r="L21" s="326" t="s">
        <v>3187</v>
      </c>
      <c r="M21" s="326"/>
      <c r="N21" s="631">
        <v>13</v>
      </c>
    </row>
    <row r="22" spans="1:14" ht="21.75" customHeight="1">
      <c r="A22" s="326" t="s">
        <v>209</v>
      </c>
      <c r="B22" s="326" t="s">
        <v>210</v>
      </c>
      <c r="C22" s="631">
        <v>98</v>
      </c>
      <c r="D22" s="326" t="s">
        <v>211</v>
      </c>
      <c r="E22" s="631">
        <v>27</v>
      </c>
      <c r="F22" s="326" t="s">
        <v>212</v>
      </c>
      <c r="G22" s="80">
        <v>9</v>
      </c>
      <c r="H22" s="326" t="s">
        <v>411</v>
      </c>
      <c r="I22" s="80">
        <v>134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82</v>
      </c>
      <c r="D23" s="326" t="s">
        <v>214</v>
      </c>
      <c r="E23" s="631">
        <v>25</v>
      </c>
      <c r="F23" s="326" t="s">
        <v>215</v>
      </c>
      <c r="G23" s="80">
        <v>7</v>
      </c>
      <c r="H23" s="326" t="s">
        <v>410</v>
      </c>
      <c r="I23" s="80">
        <v>114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5676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2">
        <v>663700</v>
      </c>
      <c r="F29" s="322">
        <v>0</v>
      </c>
      <c r="G29" s="322">
        <v>163700</v>
      </c>
      <c r="H29" s="322"/>
      <c r="I29" s="322"/>
      <c r="J29" s="322"/>
      <c r="K29" s="322"/>
      <c r="L29" s="322"/>
      <c r="M29" s="322">
        <f t="shared" ref="M29:M38" si="0">SUM(F29:L29)</f>
        <v>163700</v>
      </c>
      <c r="N29" s="323">
        <f>+M29/E29%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/>
      <c r="F30" s="322">
        <v>0</v>
      </c>
      <c r="G30" s="322">
        <v>0</v>
      </c>
      <c r="H30" s="322"/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2">
        <v>0</v>
      </c>
      <c r="G31" s="322">
        <v>18000</v>
      </c>
      <c r="H31" s="322"/>
      <c r="I31" s="322"/>
      <c r="J31" s="322"/>
      <c r="K31" s="322"/>
      <c r="L31" s="322"/>
      <c r="M31" s="322">
        <f t="shared" si="0"/>
        <v>18000</v>
      </c>
      <c r="N31" s="323">
        <f>+M31/E31%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2">
        <v>0</v>
      </c>
      <c r="G32" s="322">
        <v>16000</v>
      </c>
      <c r="H32" s="322"/>
      <c r="I32" s="322"/>
      <c r="J32" s="322"/>
      <c r="K32" s="322"/>
      <c r="L32" s="322"/>
      <c r="M32" s="322">
        <f t="shared" si="0"/>
        <v>16000</v>
      </c>
      <c r="N32" s="323">
        <f>+M32/E32%</f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2">
        <v>200000</v>
      </c>
      <c r="F33" s="322">
        <v>0</v>
      </c>
      <c r="G33" s="322">
        <v>126078</v>
      </c>
      <c r="H33" s="322"/>
      <c r="I33" s="322"/>
      <c r="J33" s="322"/>
      <c r="K33" s="322"/>
      <c r="L33" s="322"/>
      <c r="M33" s="322">
        <f t="shared" si="0"/>
        <v>126078</v>
      </c>
      <c r="N33" s="323">
        <f>+M33/E33%</f>
        <v>63.039000000000001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2">
        <v>145000</v>
      </c>
      <c r="F34" s="322">
        <v>0</v>
      </c>
      <c r="G34" s="322">
        <v>10500</v>
      </c>
      <c r="H34" s="322"/>
      <c r="I34" s="322"/>
      <c r="J34" s="322"/>
      <c r="K34" s="322"/>
      <c r="L34" s="322"/>
      <c r="M34" s="322">
        <f t="shared" si="0"/>
        <v>10500</v>
      </c>
      <c r="N34" s="323">
        <f>+M34/E34%</f>
        <v>7.2413793103448274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2"/>
      <c r="F35" s="322">
        <v>0</v>
      </c>
      <c r="G35" s="322">
        <v>0</v>
      </c>
      <c r="H35" s="322"/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2">
        <v>0</v>
      </c>
      <c r="G36" s="322">
        <v>22000</v>
      </c>
      <c r="H36" s="322"/>
      <c r="I36" s="322"/>
      <c r="J36" s="322"/>
      <c r="K36" s="322"/>
      <c r="L36" s="322"/>
      <c r="M36" s="322">
        <f t="shared" si="0"/>
        <v>22000</v>
      </c>
      <c r="N36" s="323">
        <f>+M36/E36%</f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>
        <v>0</v>
      </c>
      <c r="F37" s="322">
        <v>0</v>
      </c>
      <c r="G37" s="322">
        <v>0</v>
      </c>
      <c r="H37" s="322"/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1">SUM(D29:D37)</f>
        <v>62.635000000000005</v>
      </c>
      <c r="E38" s="321">
        <f t="shared" si="1"/>
        <v>1072950</v>
      </c>
      <c r="F38" s="321">
        <f t="shared" si="1"/>
        <v>0</v>
      </c>
      <c r="G38" s="321">
        <f t="shared" si="1"/>
        <v>356278</v>
      </c>
      <c r="H38" s="321">
        <f t="shared" si="1"/>
        <v>0</v>
      </c>
      <c r="I38" s="321">
        <f t="shared" si="1"/>
        <v>0</v>
      </c>
      <c r="J38" s="321">
        <f t="shared" si="1"/>
        <v>0</v>
      </c>
      <c r="K38" s="321">
        <f t="shared" si="1"/>
        <v>0</v>
      </c>
      <c r="L38" s="321">
        <f t="shared" si="1"/>
        <v>0</v>
      </c>
      <c r="M38" s="631">
        <f t="shared" si="0"/>
        <v>356278</v>
      </c>
      <c r="N38" s="323">
        <f>+M38/E38%</f>
        <v>33.205461577892727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496062992125984" bottom="0.27559055118110237" header="0.39370078740157483" footer="0.31496062992125984"/>
  <pageSetup paperSize="9" scale="70" orientation="landscape" r:id="rId1"/>
</worksheet>
</file>

<file path=xl/worksheets/sheet355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2"/>
  <sheetViews>
    <sheetView zoomScale="85" zoomScaleNormal="85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8" customWidth="1"/>
    <col min="4" max="5" width="11.85546875" customWidth="1"/>
    <col min="6" max="6" width="11" customWidth="1"/>
    <col min="7" max="7" width="12.85546875" customWidth="1"/>
    <col min="8" max="8" width="9.85546875" customWidth="1"/>
    <col min="9" max="9" width="7.140625" customWidth="1"/>
    <col min="10" max="10" width="14.140625" bestFit="1" customWidth="1"/>
    <col min="11" max="11" width="6.140625" customWidth="1"/>
    <col min="12" max="12" width="11.140625" customWidth="1"/>
    <col min="13" max="13" width="10.28515625" customWidth="1"/>
    <col min="14" max="14" width="12.28515625" bestFit="1" customWidth="1"/>
    <col min="257" max="257" width="36.5703125" bestFit="1" customWidth="1"/>
    <col min="258" max="258" width="13.28515625" customWidth="1"/>
    <col min="259" max="259" width="8" customWidth="1"/>
    <col min="260" max="261" width="11.85546875" customWidth="1"/>
    <col min="262" max="262" width="11" customWidth="1"/>
    <col min="263" max="263" width="12.85546875" customWidth="1"/>
    <col min="264" max="264" width="9.85546875" customWidth="1"/>
    <col min="265" max="265" width="7.140625" customWidth="1"/>
    <col min="266" max="266" width="14.140625" bestFit="1" customWidth="1"/>
    <col min="267" max="267" width="6.140625" customWidth="1"/>
    <col min="268" max="268" width="11.140625" customWidth="1"/>
    <col min="269" max="269" width="10.28515625" customWidth="1"/>
    <col min="270" max="270" width="12.28515625" bestFit="1" customWidth="1"/>
    <col min="513" max="513" width="36.5703125" bestFit="1" customWidth="1"/>
    <col min="514" max="514" width="13.28515625" customWidth="1"/>
    <col min="515" max="515" width="8" customWidth="1"/>
    <col min="516" max="517" width="11.85546875" customWidth="1"/>
    <col min="518" max="518" width="11" customWidth="1"/>
    <col min="519" max="519" width="12.85546875" customWidth="1"/>
    <col min="520" max="520" width="9.85546875" customWidth="1"/>
    <col min="521" max="521" width="7.140625" customWidth="1"/>
    <col min="522" max="522" width="14.140625" bestFit="1" customWidth="1"/>
    <col min="523" max="523" width="6.140625" customWidth="1"/>
    <col min="524" max="524" width="11.140625" customWidth="1"/>
    <col min="525" max="525" width="10.28515625" customWidth="1"/>
    <col min="526" max="526" width="12.28515625" bestFit="1" customWidth="1"/>
    <col min="769" max="769" width="36.5703125" bestFit="1" customWidth="1"/>
    <col min="770" max="770" width="13.28515625" customWidth="1"/>
    <col min="771" max="771" width="8" customWidth="1"/>
    <col min="772" max="773" width="11.85546875" customWidth="1"/>
    <col min="774" max="774" width="11" customWidth="1"/>
    <col min="775" max="775" width="12.85546875" customWidth="1"/>
    <col min="776" max="776" width="9.85546875" customWidth="1"/>
    <col min="777" max="777" width="7.140625" customWidth="1"/>
    <col min="778" max="778" width="14.140625" bestFit="1" customWidth="1"/>
    <col min="779" max="779" width="6.140625" customWidth="1"/>
    <col min="780" max="780" width="11.140625" customWidth="1"/>
    <col min="781" max="781" width="10.28515625" customWidth="1"/>
    <col min="782" max="782" width="12.28515625" bestFit="1" customWidth="1"/>
    <col min="1025" max="1025" width="36.5703125" bestFit="1" customWidth="1"/>
    <col min="1026" max="1026" width="13.28515625" customWidth="1"/>
    <col min="1027" max="1027" width="8" customWidth="1"/>
    <col min="1028" max="1029" width="11.85546875" customWidth="1"/>
    <col min="1030" max="1030" width="11" customWidth="1"/>
    <col min="1031" max="1031" width="12.85546875" customWidth="1"/>
    <col min="1032" max="1032" width="9.85546875" customWidth="1"/>
    <col min="1033" max="1033" width="7.140625" customWidth="1"/>
    <col min="1034" max="1034" width="14.140625" bestFit="1" customWidth="1"/>
    <col min="1035" max="1035" width="6.140625" customWidth="1"/>
    <col min="1036" max="1036" width="11.140625" customWidth="1"/>
    <col min="1037" max="1037" width="10.28515625" customWidth="1"/>
    <col min="1038" max="1038" width="12.28515625" bestFit="1" customWidth="1"/>
    <col min="1281" max="1281" width="36.5703125" bestFit="1" customWidth="1"/>
    <col min="1282" max="1282" width="13.28515625" customWidth="1"/>
    <col min="1283" max="1283" width="8" customWidth="1"/>
    <col min="1284" max="1285" width="11.85546875" customWidth="1"/>
    <col min="1286" max="1286" width="11" customWidth="1"/>
    <col min="1287" max="1287" width="12.85546875" customWidth="1"/>
    <col min="1288" max="1288" width="9.85546875" customWidth="1"/>
    <col min="1289" max="1289" width="7.140625" customWidth="1"/>
    <col min="1290" max="1290" width="14.140625" bestFit="1" customWidth="1"/>
    <col min="1291" max="1291" width="6.140625" customWidth="1"/>
    <col min="1292" max="1292" width="11.140625" customWidth="1"/>
    <col min="1293" max="1293" width="10.28515625" customWidth="1"/>
    <col min="1294" max="1294" width="12.28515625" bestFit="1" customWidth="1"/>
    <col min="1537" max="1537" width="36.5703125" bestFit="1" customWidth="1"/>
    <col min="1538" max="1538" width="13.28515625" customWidth="1"/>
    <col min="1539" max="1539" width="8" customWidth="1"/>
    <col min="1540" max="1541" width="11.85546875" customWidth="1"/>
    <col min="1542" max="1542" width="11" customWidth="1"/>
    <col min="1543" max="1543" width="12.85546875" customWidth="1"/>
    <col min="1544" max="1544" width="9.85546875" customWidth="1"/>
    <col min="1545" max="1545" width="7.140625" customWidth="1"/>
    <col min="1546" max="1546" width="14.140625" bestFit="1" customWidth="1"/>
    <col min="1547" max="1547" width="6.140625" customWidth="1"/>
    <col min="1548" max="1548" width="11.140625" customWidth="1"/>
    <col min="1549" max="1549" width="10.28515625" customWidth="1"/>
    <col min="1550" max="1550" width="12.28515625" bestFit="1" customWidth="1"/>
    <col min="1793" max="1793" width="36.5703125" bestFit="1" customWidth="1"/>
    <col min="1794" max="1794" width="13.28515625" customWidth="1"/>
    <col min="1795" max="1795" width="8" customWidth="1"/>
    <col min="1796" max="1797" width="11.85546875" customWidth="1"/>
    <col min="1798" max="1798" width="11" customWidth="1"/>
    <col min="1799" max="1799" width="12.85546875" customWidth="1"/>
    <col min="1800" max="1800" width="9.85546875" customWidth="1"/>
    <col min="1801" max="1801" width="7.140625" customWidth="1"/>
    <col min="1802" max="1802" width="14.140625" bestFit="1" customWidth="1"/>
    <col min="1803" max="1803" width="6.140625" customWidth="1"/>
    <col min="1804" max="1804" width="11.140625" customWidth="1"/>
    <col min="1805" max="1805" width="10.28515625" customWidth="1"/>
    <col min="1806" max="1806" width="12.28515625" bestFit="1" customWidth="1"/>
    <col min="2049" max="2049" width="36.5703125" bestFit="1" customWidth="1"/>
    <col min="2050" max="2050" width="13.28515625" customWidth="1"/>
    <col min="2051" max="2051" width="8" customWidth="1"/>
    <col min="2052" max="2053" width="11.85546875" customWidth="1"/>
    <col min="2054" max="2054" width="11" customWidth="1"/>
    <col min="2055" max="2055" width="12.85546875" customWidth="1"/>
    <col min="2056" max="2056" width="9.85546875" customWidth="1"/>
    <col min="2057" max="2057" width="7.140625" customWidth="1"/>
    <col min="2058" max="2058" width="14.140625" bestFit="1" customWidth="1"/>
    <col min="2059" max="2059" width="6.140625" customWidth="1"/>
    <col min="2060" max="2060" width="11.140625" customWidth="1"/>
    <col min="2061" max="2061" width="10.28515625" customWidth="1"/>
    <col min="2062" max="2062" width="12.28515625" bestFit="1" customWidth="1"/>
    <col min="2305" max="2305" width="36.5703125" bestFit="1" customWidth="1"/>
    <col min="2306" max="2306" width="13.28515625" customWidth="1"/>
    <col min="2307" max="2307" width="8" customWidth="1"/>
    <col min="2308" max="2309" width="11.85546875" customWidth="1"/>
    <col min="2310" max="2310" width="11" customWidth="1"/>
    <col min="2311" max="2311" width="12.85546875" customWidth="1"/>
    <col min="2312" max="2312" width="9.85546875" customWidth="1"/>
    <col min="2313" max="2313" width="7.140625" customWidth="1"/>
    <col min="2314" max="2314" width="14.140625" bestFit="1" customWidth="1"/>
    <col min="2315" max="2315" width="6.140625" customWidth="1"/>
    <col min="2316" max="2316" width="11.140625" customWidth="1"/>
    <col min="2317" max="2317" width="10.28515625" customWidth="1"/>
    <col min="2318" max="2318" width="12.28515625" bestFit="1" customWidth="1"/>
    <col min="2561" max="2561" width="36.5703125" bestFit="1" customWidth="1"/>
    <col min="2562" max="2562" width="13.28515625" customWidth="1"/>
    <col min="2563" max="2563" width="8" customWidth="1"/>
    <col min="2564" max="2565" width="11.85546875" customWidth="1"/>
    <col min="2566" max="2566" width="11" customWidth="1"/>
    <col min="2567" max="2567" width="12.85546875" customWidth="1"/>
    <col min="2568" max="2568" width="9.85546875" customWidth="1"/>
    <col min="2569" max="2569" width="7.140625" customWidth="1"/>
    <col min="2570" max="2570" width="14.140625" bestFit="1" customWidth="1"/>
    <col min="2571" max="2571" width="6.140625" customWidth="1"/>
    <col min="2572" max="2572" width="11.140625" customWidth="1"/>
    <col min="2573" max="2573" width="10.28515625" customWidth="1"/>
    <col min="2574" max="2574" width="12.28515625" bestFit="1" customWidth="1"/>
    <col min="2817" max="2817" width="36.5703125" bestFit="1" customWidth="1"/>
    <col min="2818" max="2818" width="13.28515625" customWidth="1"/>
    <col min="2819" max="2819" width="8" customWidth="1"/>
    <col min="2820" max="2821" width="11.85546875" customWidth="1"/>
    <col min="2822" max="2822" width="11" customWidth="1"/>
    <col min="2823" max="2823" width="12.85546875" customWidth="1"/>
    <col min="2824" max="2824" width="9.85546875" customWidth="1"/>
    <col min="2825" max="2825" width="7.140625" customWidth="1"/>
    <col min="2826" max="2826" width="14.140625" bestFit="1" customWidth="1"/>
    <col min="2827" max="2827" width="6.140625" customWidth="1"/>
    <col min="2828" max="2828" width="11.140625" customWidth="1"/>
    <col min="2829" max="2829" width="10.28515625" customWidth="1"/>
    <col min="2830" max="2830" width="12.28515625" bestFit="1" customWidth="1"/>
    <col min="3073" max="3073" width="36.5703125" bestFit="1" customWidth="1"/>
    <col min="3074" max="3074" width="13.28515625" customWidth="1"/>
    <col min="3075" max="3075" width="8" customWidth="1"/>
    <col min="3076" max="3077" width="11.85546875" customWidth="1"/>
    <col min="3078" max="3078" width="11" customWidth="1"/>
    <col min="3079" max="3079" width="12.85546875" customWidth="1"/>
    <col min="3080" max="3080" width="9.85546875" customWidth="1"/>
    <col min="3081" max="3081" width="7.140625" customWidth="1"/>
    <col min="3082" max="3082" width="14.140625" bestFit="1" customWidth="1"/>
    <col min="3083" max="3083" width="6.140625" customWidth="1"/>
    <col min="3084" max="3084" width="11.140625" customWidth="1"/>
    <col min="3085" max="3085" width="10.28515625" customWidth="1"/>
    <col min="3086" max="3086" width="12.28515625" bestFit="1" customWidth="1"/>
    <col min="3329" max="3329" width="36.5703125" bestFit="1" customWidth="1"/>
    <col min="3330" max="3330" width="13.28515625" customWidth="1"/>
    <col min="3331" max="3331" width="8" customWidth="1"/>
    <col min="3332" max="3333" width="11.85546875" customWidth="1"/>
    <col min="3334" max="3334" width="11" customWidth="1"/>
    <col min="3335" max="3335" width="12.85546875" customWidth="1"/>
    <col min="3336" max="3336" width="9.85546875" customWidth="1"/>
    <col min="3337" max="3337" width="7.140625" customWidth="1"/>
    <col min="3338" max="3338" width="14.140625" bestFit="1" customWidth="1"/>
    <col min="3339" max="3339" width="6.140625" customWidth="1"/>
    <col min="3340" max="3340" width="11.140625" customWidth="1"/>
    <col min="3341" max="3341" width="10.28515625" customWidth="1"/>
    <col min="3342" max="3342" width="12.28515625" bestFit="1" customWidth="1"/>
    <col min="3585" max="3585" width="36.5703125" bestFit="1" customWidth="1"/>
    <col min="3586" max="3586" width="13.28515625" customWidth="1"/>
    <col min="3587" max="3587" width="8" customWidth="1"/>
    <col min="3588" max="3589" width="11.85546875" customWidth="1"/>
    <col min="3590" max="3590" width="11" customWidth="1"/>
    <col min="3591" max="3591" width="12.85546875" customWidth="1"/>
    <col min="3592" max="3592" width="9.85546875" customWidth="1"/>
    <col min="3593" max="3593" width="7.140625" customWidth="1"/>
    <col min="3594" max="3594" width="14.140625" bestFit="1" customWidth="1"/>
    <col min="3595" max="3595" width="6.140625" customWidth="1"/>
    <col min="3596" max="3596" width="11.140625" customWidth="1"/>
    <col min="3597" max="3597" width="10.28515625" customWidth="1"/>
    <col min="3598" max="3598" width="12.28515625" bestFit="1" customWidth="1"/>
    <col min="3841" max="3841" width="36.5703125" bestFit="1" customWidth="1"/>
    <col min="3842" max="3842" width="13.28515625" customWidth="1"/>
    <col min="3843" max="3843" width="8" customWidth="1"/>
    <col min="3844" max="3845" width="11.85546875" customWidth="1"/>
    <col min="3846" max="3846" width="11" customWidth="1"/>
    <col min="3847" max="3847" width="12.85546875" customWidth="1"/>
    <col min="3848" max="3848" width="9.85546875" customWidth="1"/>
    <col min="3849" max="3849" width="7.140625" customWidth="1"/>
    <col min="3850" max="3850" width="14.140625" bestFit="1" customWidth="1"/>
    <col min="3851" max="3851" width="6.140625" customWidth="1"/>
    <col min="3852" max="3852" width="11.140625" customWidth="1"/>
    <col min="3853" max="3853" width="10.28515625" customWidth="1"/>
    <col min="3854" max="3854" width="12.28515625" bestFit="1" customWidth="1"/>
    <col min="4097" max="4097" width="36.5703125" bestFit="1" customWidth="1"/>
    <col min="4098" max="4098" width="13.28515625" customWidth="1"/>
    <col min="4099" max="4099" width="8" customWidth="1"/>
    <col min="4100" max="4101" width="11.85546875" customWidth="1"/>
    <col min="4102" max="4102" width="11" customWidth="1"/>
    <col min="4103" max="4103" width="12.85546875" customWidth="1"/>
    <col min="4104" max="4104" width="9.85546875" customWidth="1"/>
    <col min="4105" max="4105" width="7.140625" customWidth="1"/>
    <col min="4106" max="4106" width="14.140625" bestFit="1" customWidth="1"/>
    <col min="4107" max="4107" width="6.140625" customWidth="1"/>
    <col min="4108" max="4108" width="11.140625" customWidth="1"/>
    <col min="4109" max="4109" width="10.28515625" customWidth="1"/>
    <col min="4110" max="4110" width="12.28515625" bestFit="1" customWidth="1"/>
    <col min="4353" max="4353" width="36.5703125" bestFit="1" customWidth="1"/>
    <col min="4354" max="4354" width="13.28515625" customWidth="1"/>
    <col min="4355" max="4355" width="8" customWidth="1"/>
    <col min="4356" max="4357" width="11.85546875" customWidth="1"/>
    <col min="4358" max="4358" width="11" customWidth="1"/>
    <col min="4359" max="4359" width="12.85546875" customWidth="1"/>
    <col min="4360" max="4360" width="9.85546875" customWidth="1"/>
    <col min="4361" max="4361" width="7.140625" customWidth="1"/>
    <col min="4362" max="4362" width="14.140625" bestFit="1" customWidth="1"/>
    <col min="4363" max="4363" width="6.140625" customWidth="1"/>
    <col min="4364" max="4364" width="11.140625" customWidth="1"/>
    <col min="4365" max="4365" width="10.28515625" customWidth="1"/>
    <col min="4366" max="4366" width="12.28515625" bestFit="1" customWidth="1"/>
    <col min="4609" max="4609" width="36.5703125" bestFit="1" customWidth="1"/>
    <col min="4610" max="4610" width="13.28515625" customWidth="1"/>
    <col min="4611" max="4611" width="8" customWidth="1"/>
    <col min="4612" max="4613" width="11.85546875" customWidth="1"/>
    <col min="4614" max="4614" width="11" customWidth="1"/>
    <col min="4615" max="4615" width="12.85546875" customWidth="1"/>
    <col min="4616" max="4616" width="9.85546875" customWidth="1"/>
    <col min="4617" max="4617" width="7.140625" customWidth="1"/>
    <col min="4618" max="4618" width="14.140625" bestFit="1" customWidth="1"/>
    <col min="4619" max="4619" width="6.140625" customWidth="1"/>
    <col min="4620" max="4620" width="11.140625" customWidth="1"/>
    <col min="4621" max="4621" width="10.28515625" customWidth="1"/>
    <col min="4622" max="4622" width="12.28515625" bestFit="1" customWidth="1"/>
    <col min="4865" max="4865" width="36.5703125" bestFit="1" customWidth="1"/>
    <col min="4866" max="4866" width="13.28515625" customWidth="1"/>
    <col min="4867" max="4867" width="8" customWidth="1"/>
    <col min="4868" max="4869" width="11.85546875" customWidth="1"/>
    <col min="4870" max="4870" width="11" customWidth="1"/>
    <col min="4871" max="4871" width="12.85546875" customWidth="1"/>
    <col min="4872" max="4872" width="9.85546875" customWidth="1"/>
    <col min="4873" max="4873" width="7.140625" customWidth="1"/>
    <col min="4874" max="4874" width="14.140625" bestFit="1" customWidth="1"/>
    <col min="4875" max="4875" width="6.140625" customWidth="1"/>
    <col min="4876" max="4876" width="11.140625" customWidth="1"/>
    <col min="4877" max="4877" width="10.28515625" customWidth="1"/>
    <col min="4878" max="4878" width="12.28515625" bestFit="1" customWidth="1"/>
    <col min="5121" max="5121" width="36.5703125" bestFit="1" customWidth="1"/>
    <col min="5122" max="5122" width="13.28515625" customWidth="1"/>
    <col min="5123" max="5123" width="8" customWidth="1"/>
    <col min="5124" max="5125" width="11.85546875" customWidth="1"/>
    <col min="5126" max="5126" width="11" customWidth="1"/>
    <col min="5127" max="5127" width="12.85546875" customWidth="1"/>
    <col min="5128" max="5128" width="9.85546875" customWidth="1"/>
    <col min="5129" max="5129" width="7.140625" customWidth="1"/>
    <col min="5130" max="5130" width="14.140625" bestFit="1" customWidth="1"/>
    <col min="5131" max="5131" width="6.140625" customWidth="1"/>
    <col min="5132" max="5132" width="11.140625" customWidth="1"/>
    <col min="5133" max="5133" width="10.28515625" customWidth="1"/>
    <col min="5134" max="5134" width="12.28515625" bestFit="1" customWidth="1"/>
    <col min="5377" max="5377" width="36.5703125" bestFit="1" customWidth="1"/>
    <col min="5378" max="5378" width="13.28515625" customWidth="1"/>
    <col min="5379" max="5379" width="8" customWidth="1"/>
    <col min="5380" max="5381" width="11.85546875" customWidth="1"/>
    <col min="5382" max="5382" width="11" customWidth="1"/>
    <col min="5383" max="5383" width="12.85546875" customWidth="1"/>
    <col min="5384" max="5384" width="9.85546875" customWidth="1"/>
    <col min="5385" max="5385" width="7.140625" customWidth="1"/>
    <col min="5386" max="5386" width="14.140625" bestFit="1" customWidth="1"/>
    <col min="5387" max="5387" width="6.140625" customWidth="1"/>
    <col min="5388" max="5388" width="11.140625" customWidth="1"/>
    <col min="5389" max="5389" width="10.28515625" customWidth="1"/>
    <col min="5390" max="5390" width="12.28515625" bestFit="1" customWidth="1"/>
    <col min="5633" max="5633" width="36.5703125" bestFit="1" customWidth="1"/>
    <col min="5634" max="5634" width="13.28515625" customWidth="1"/>
    <col min="5635" max="5635" width="8" customWidth="1"/>
    <col min="5636" max="5637" width="11.85546875" customWidth="1"/>
    <col min="5638" max="5638" width="11" customWidth="1"/>
    <col min="5639" max="5639" width="12.85546875" customWidth="1"/>
    <col min="5640" max="5640" width="9.85546875" customWidth="1"/>
    <col min="5641" max="5641" width="7.140625" customWidth="1"/>
    <col min="5642" max="5642" width="14.140625" bestFit="1" customWidth="1"/>
    <col min="5643" max="5643" width="6.140625" customWidth="1"/>
    <col min="5644" max="5644" width="11.140625" customWidth="1"/>
    <col min="5645" max="5645" width="10.28515625" customWidth="1"/>
    <col min="5646" max="5646" width="12.28515625" bestFit="1" customWidth="1"/>
    <col min="5889" max="5889" width="36.5703125" bestFit="1" customWidth="1"/>
    <col min="5890" max="5890" width="13.28515625" customWidth="1"/>
    <col min="5891" max="5891" width="8" customWidth="1"/>
    <col min="5892" max="5893" width="11.85546875" customWidth="1"/>
    <col min="5894" max="5894" width="11" customWidth="1"/>
    <col min="5895" max="5895" width="12.85546875" customWidth="1"/>
    <col min="5896" max="5896" width="9.85546875" customWidth="1"/>
    <col min="5897" max="5897" width="7.140625" customWidth="1"/>
    <col min="5898" max="5898" width="14.140625" bestFit="1" customWidth="1"/>
    <col min="5899" max="5899" width="6.140625" customWidth="1"/>
    <col min="5900" max="5900" width="11.140625" customWidth="1"/>
    <col min="5901" max="5901" width="10.28515625" customWidth="1"/>
    <col min="5902" max="5902" width="12.28515625" bestFit="1" customWidth="1"/>
    <col min="6145" max="6145" width="36.5703125" bestFit="1" customWidth="1"/>
    <col min="6146" max="6146" width="13.28515625" customWidth="1"/>
    <col min="6147" max="6147" width="8" customWidth="1"/>
    <col min="6148" max="6149" width="11.85546875" customWidth="1"/>
    <col min="6150" max="6150" width="11" customWidth="1"/>
    <col min="6151" max="6151" width="12.85546875" customWidth="1"/>
    <col min="6152" max="6152" width="9.85546875" customWidth="1"/>
    <col min="6153" max="6153" width="7.140625" customWidth="1"/>
    <col min="6154" max="6154" width="14.140625" bestFit="1" customWidth="1"/>
    <col min="6155" max="6155" width="6.140625" customWidth="1"/>
    <col min="6156" max="6156" width="11.140625" customWidth="1"/>
    <col min="6157" max="6157" width="10.28515625" customWidth="1"/>
    <col min="6158" max="6158" width="12.28515625" bestFit="1" customWidth="1"/>
    <col min="6401" max="6401" width="36.5703125" bestFit="1" customWidth="1"/>
    <col min="6402" max="6402" width="13.28515625" customWidth="1"/>
    <col min="6403" max="6403" width="8" customWidth="1"/>
    <col min="6404" max="6405" width="11.85546875" customWidth="1"/>
    <col min="6406" max="6406" width="11" customWidth="1"/>
    <col min="6407" max="6407" width="12.85546875" customWidth="1"/>
    <col min="6408" max="6408" width="9.85546875" customWidth="1"/>
    <col min="6409" max="6409" width="7.140625" customWidth="1"/>
    <col min="6410" max="6410" width="14.140625" bestFit="1" customWidth="1"/>
    <col min="6411" max="6411" width="6.140625" customWidth="1"/>
    <col min="6412" max="6412" width="11.140625" customWidth="1"/>
    <col min="6413" max="6413" width="10.28515625" customWidth="1"/>
    <col min="6414" max="6414" width="12.28515625" bestFit="1" customWidth="1"/>
    <col min="6657" max="6657" width="36.5703125" bestFit="1" customWidth="1"/>
    <col min="6658" max="6658" width="13.28515625" customWidth="1"/>
    <col min="6659" max="6659" width="8" customWidth="1"/>
    <col min="6660" max="6661" width="11.85546875" customWidth="1"/>
    <col min="6662" max="6662" width="11" customWidth="1"/>
    <col min="6663" max="6663" width="12.85546875" customWidth="1"/>
    <col min="6664" max="6664" width="9.85546875" customWidth="1"/>
    <col min="6665" max="6665" width="7.140625" customWidth="1"/>
    <col min="6666" max="6666" width="14.140625" bestFit="1" customWidth="1"/>
    <col min="6667" max="6667" width="6.140625" customWidth="1"/>
    <col min="6668" max="6668" width="11.140625" customWidth="1"/>
    <col min="6669" max="6669" width="10.28515625" customWidth="1"/>
    <col min="6670" max="6670" width="12.28515625" bestFit="1" customWidth="1"/>
    <col min="6913" max="6913" width="36.5703125" bestFit="1" customWidth="1"/>
    <col min="6914" max="6914" width="13.28515625" customWidth="1"/>
    <col min="6915" max="6915" width="8" customWidth="1"/>
    <col min="6916" max="6917" width="11.85546875" customWidth="1"/>
    <col min="6918" max="6918" width="11" customWidth="1"/>
    <col min="6919" max="6919" width="12.85546875" customWidth="1"/>
    <col min="6920" max="6920" width="9.85546875" customWidth="1"/>
    <col min="6921" max="6921" width="7.140625" customWidth="1"/>
    <col min="6922" max="6922" width="14.140625" bestFit="1" customWidth="1"/>
    <col min="6923" max="6923" width="6.140625" customWidth="1"/>
    <col min="6924" max="6924" width="11.140625" customWidth="1"/>
    <col min="6925" max="6925" width="10.28515625" customWidth="1"/>
    <col min="6926" max="6926" width="12.28515625" bestFit="1" customWidth="1"/>
    <col min="7169" max="7169" width="36.5703125" bestFit="1" customWidth="1"/>
    <col min="7170" max="7170" width="13.28515625" customWidth="1"/>
    <col min="7171" max="7171" width="8" customWidth="1"/>
    <col min="7172" max="7173" width="11.85546875" customWidth="1"/>
    <col min="7174" max="7174" width="11" customWidth="1"/>
    <col min="7175" max="7175" width="12.85546875" customWidth="1"/>
    <col min="7176" max="7176" width="9.85546875" customWidth="1"/>
    <col min="7177" max="7177" width="7.140625" customWidth="1"/>
    <col min="7178" max="7178" width="14.140625" bestFit="1" customWidth="1"/>
    <col min="7179" max="7179" width="6.140625" customWidth="1"/>
    <col min="7180" max="7180" width="11.140625" customWidth="1"/>
    <col min="7181" max="7181" width="10.28515625" customWidth="1"/>
    <col min="7182" max="7182" width="12.28515625" bestFit="1" customWidth="1"/>
    <col min="7425" max="7425" width="36.5703125" bestFit="1" customWidth="1"/>
    <col min="7426" max="7426" width="13.28515625" customWidth="1"/>
    <col min="7427" max="7427" width="8" customWidth="1"/>
    <col min="7428" max="7429" width="11.85546875" customWidth="1"/>
    <col min="7430" max="7430" width="11" customWidth="1"/>
    <col min="7431" max="7431" width="12.85546875" customWidth="1"/>
    <col min="7432" max="7432" width="9.85546875" customWidth="1"/>
    <col min="7433" max="7433" width="7.140625" customWidth="1"/>
    <col min="7434" max="7434" width="14.140625" bestFit="1" customWidth="1"/>
    <col min="7435" max="7435" width="6.140625" customWidth="1"/>
    <col min="7436" max="7436" width="11.140625" customWidth="1"/>
    <col min="7437" max="7437" width="10.28515625" customWidth="1"/>
    <col min="7438" max="7438" width="12.28515625" bestFit="1" customWidth="1"/>
    <col min="7681" max="7681" width="36.5703125" bestFit="1" customWidth="1"/>
    <col min="7682" max="7682" width="13.28515625" customWidth="1"/>
    <col min="7683" max="7683" width="8" customWidth="1"/>
    <col min="7684" max="7685" width="11.85546875" customWidth="1"/>
    <col min="7686" max="7686" width="11" customWidth="1"/>
    <col min="7687" max="7687" width="12.85546875" customWidth="1"/>
    <col min="7688" max="7688" width="9.85546875" customWidth="1"/>
    <col min="7689" max="7689" width="7.140625" customWidth="1"/>
    <col min="7690" max="7690" width="14.140625" bestFit="1" customWidth="1"/>
    <col min="7691" max="7691" width="6.140625" customWidth="1"/>
    <col min="7692" max="7692" width="11.140625" customWidth="1"/>
    <col min="7693" max="7693" width="10.28515625" customWidth="1"/>
    <col min="7694" max="7694" width="12.28515625" bestFit="1" customWidth="1"/>
    <col min="7937" max="7937" width="36.5703125" bestFit="1" customWidth="1"/>
    <col min="7938" max="7938" width="13.28515625" customWidth="1"/>
    <col min="7939" max="7939" width="8" customWidth="1"/>
    <col min="7940" max="7941" width="11.85546875" customWidth="1"/>
    <col min="7942" max="7942" width="11" customWidth="1"/>
    <col min="7943" max="7943" width="12.85546875" customWidth="1"/>
    <col min="7944" max="7944" width="9.85546875" customWidth="1"/>
    <col min="7945" max="7945" width="7.140625" customWidth="1"/>
    <col min="7946" max="7946" width="14.140625" bestFit="1" customWidth="1"/>
    <col min="7947" max="7947" width="6.140625" customWidth="1"/>
    <col min="7948" max="7948" width="11.140625" customWidth="1"/>
    <col min="7949" max="7949" width="10.28515625" customWidth="1"/>
    <col min="7950" max="7950" width="12.28515625" bestFit="1" customWidth="1"/>
    <col min="8193" max="8193" width="36.5703125" bestFit="1" customWidth="1"/>
    <col min="8194" max="8194" width="13.28515625" customWidth="1"/>
    <col min="8195" max="8195" width="8" customWidth="1"/>
    <col min="8196" max="8197" width="11.85546875" customWidth="1"/>
    <col min="8198" max="8198" width="11" customWidth="1"/>
    <col min="8199" max="8199" width="12.85546875" customWidth="1"/>
    <col min="8200" max="8200" width="9.85546875" customWidth="1"/>
    <col min="8201" max="8201" width="7.140625" customWidth="1"/>
    <col min="8202" max="8202" width="14.140625" bestFit="1" customWidth="1"/>
    <col min="8203" max="8203" width="6.140625" customWidth="1"/>
    <col min="8204" max="8204" width="11.140625" customWidth="1"/>
    <col min="8205" max="8205" width="10.28515625" customWidth="1"/>
    <col min="8206" max="8206" width="12.28515625" bestFit="1" customWidth="1"/>
    <col min="8449" max="8449" width="36.5703125" bestFit="1" customWidth="1"/>
    <col min="8450" max="8450" width="13.28515625" customWidth="1"/>
    <col min="8451" max="8451" width="8" customWidth="1"/>
    <col min="8452" max="8453" width="11.85546875" customWidth="1"/>
    <col min="8454" max="8454" width="11" customWidth="1"/>
    <col min="8455" max="8455" width="12.85546875" customWidth="1"/>
    <col min="8456" max="8456" width="9.85546875" customWidth="1"/>
    <col min="8457" max="8457" width="7.140625" customWidth="1"/>
    <col min="8458" max="8458" width="14.140625" bestFit="1" customWidth="1"/>
    <col min="8459" max="8459" width="6.140625" customWidth="1"/>
    <col min="8460" max="8460" width="11.140625" customWidth="1"/>
    <col min="8461" max="8461" width="10.28515625" customWidth="1"/>
    <col min="8462" max="8462" width="12.28515625" bestFit="1" customWidth="1"/>
    <col min="8705" max="8705" width="36.5703125" bestFit="1" customWidth="1"/>
    <col min="8706" max="8706" width="13.28515625" customWidth="1"/>
    <col min="8707" max="8707" width="8" customWidth="1"/>
    <col min="8708" max="8709" width="11.85546875" customWidth="1"/>
    <col min="8710" max="8710" width="11" customWidth="1"/>
    <col min="8711" max="8711" width="12.85546875" customWidth="1"/>
    <col min="8712" max="8712" width="9.85546875" customWidth="1"/>
    <col min="8713" max="8713" width="7.140625" customWidth="1"/>
    <col min="8714" max="8714" width="14.140625" bestFit="1" customWidth="1"/>
    <col min="8715" max="8715" width="6.140625" customWidth="1"/>
    <col min="8716" max="8716" width="11.140625" customWidth="1"/>
    <col min="8717" max="8717" width="10.28515625" customWidth="1"/>
    <col min="8718" max="8718" width="12.28515625" bestFit="1" customWidth="1"/>
    <col min="8961" max="8961" width="36.5703125" bestFit="1" customWidth="1"/>
    <col min="8962" max="8962" width="13.28515625" customWidth="1"/>
    <col min="8963" max="8963" width="8" customWidth="1"/>
    <col min="8964" max="8965" width="11.85546875" customWidth="1"/>
    <col min="8966" max="8966" width="11" customWidth="1"/>
    <col min="8967" max="8967" width="12.85546875" customWidth="1"/>
    <col min="8968" max="8968" width="9.85546875" customWidth="1"/>
    <col min="8969" max="8969" width="7.140625" customWidth="1"/>
    <col min="8970" max="8970" width="14.140625" bestFit="1" customWidth="1"/>
    <col min="8971" max="8971" width="6.140625" customWidth="1"/>
    <col min="8972" max="8972" width="11.140625" customWidth="1"/>
    <col min="8973" max="8973" width="10.28515625" customWidth="1"/>
    <col min="8974" max="8974" width="12.28515625" bestFit="1" customWidth="1"/>
    <col min="9217" max="9217" width="36.5703125" bestFit="1" customWidth="1"/>
    <col min="9218" max="9218" width="13.28515625" customWidth="1"/>
    <col min="9219" max="9219" width="8" customWidth="1"/>
    <col min="9220" max="9221" width="11.85546875" customWidth="1"/>
    <col min="9222" max="9222" width="11" customWidth="1"/>
    <col min="9223" max="9223" width="12.85546875" customWidth="1"/>
    <col min="9224" max="9224" width="9.85546875" customWidth="1"/>
    <col min="9225" max="9225" width="7.140625" customWidth="1"/>
    <col min="9226" max="9226" width="14.140625" bestFit="1" customWidth="1"/>
    <col min="9227" max="9227" width="6.140625" customWidth="1"/>
    <col min="9228" max="9228" width="11.140625" customWidth="1"/>
    <col min="9229" max="9229" width="10.28515625" customWidth="1"/>
    <col min="9230" max="9230" width="12.28515625" bestFit="1" customWidth="1"/>
    <col min="9473" max="9473" width="36.5703125" bestFit="1" customWidth="1"/>
    <col min="9474" max="9474" width="13.28515625" customWidth="1"/>
    <col min="9475" max="9475" width="8" customWidth="1"/>
    <col min="9476" max="9477" width="11.85546875" customWidth="1"/>
    <col min="9478" max="9478" width="11" customWidth="1"/>
    <col min="9479" max="9479" width="12.85546875" customWidth="1"/>
    <col min="9480" max="9480" width="9.85546875" customWidth="1"/>
    <col min="9481" max="9481" width="7.140625" customWidth="1"/>
    <col min="9482" max="9482" width="14.140625" bestFit="1" customWidth="1"/>
    <col min="9483" max="9483" width="6.140625" customWidth="1"/>
    <col min="9484" max="9484" width="11.140625" customWidth="1"/>
    <col min="9485" max="9485" width="10.28515625" customWidth="1"/>
    <col min="9486" max="9486" width="12.28515625" bestFit="1" customWidth="1"/>
    <col min="9729" max="9729" width="36.5703125" bestFit="1" customWidth="1"/>
    <col min="9730" max="9730" width="13.28515625" customWidth="1"/>
    <col min="9731" max="9731" width="8" customWidth="1"/>
    <col min="9732" max="9733" width="11.85546875" customWidth="1"/>
    <col min="9734" max="9734" width="11" customWidth="1"/>
    <col min="9735" max="9735" width="12.85546875" customWidth="1"/>
    <col min="9736" max="9736" width="9.85546875" customWidth="1"/>
    <col min="9737" max="9737" width="7.140625" customWidth="1"/>
    <col min="9738" max="9738" width="14.140625" bestFit="1" customWidth="1"/>
    <col min="9739" max="9739" width="6.140625" customWidth="1"/>
    <col min="9740" max="9740" width="11.140625" customWidth="1"/>
    <col min="9741" max="9741" width="10.28515625" customWidth="1"/>
    <col min="9742" max="9742" width="12.28515625" bestFit="1" customWidth="1"/>
    <col min="9985" max="9985" width="36.5703125" bestFit="1" customWidth="1"/>
    <col min="9986" max="9986" width="13.28515625" customWidth="1"/>
    <col min="9987" max="9987" width="8" customWidth="1"/>
    <col min="9988" max="9989" width="11.85546875" customWidth="1"/>
    <col min="9990" max="9990" width="11" customWidth="1"/>
    <col min="9991" max="9991" width="12.85546875" customWidth="1"/>
    <col min="9992" max="9992" width="9.85546875" customWidth="1"/>
    <col min="9993" max="9993" width="7.140625" customWidth="1"/>
    <col min="9994" max="9994" width="14.140625" bestFit="1" customWidth="1"/>
    <col min="9995" max="9995" width="6.140625" customWidth="1"/>
    <col min="9996" max="9996" width="11.140625" customWidth="1"/>
    <col min="9997" max="9997" width="10.28515625" customWidth="1"/>
    <col min="9998" max="9998" width="12.28515625" bestFit="1" customWidth="1"/>
    <col min="10241" max="10241" width="36.5703125" bestFit="1" customWidth="1"/>
    <col min="10242" max="10242" width="13.28515625" customWidth="1"/>
    <col min="10243" max="10243" width="8" customWidth="1"/>
    <col min="10244" max="10245" width="11.85546875" customWidth="1"/>
    <col min="10246" max="10246" width="11" customWidth="1"/>
    <col min="10247" max="10247" width="12.85546875" customWidth="1"/>
    <col min="10248" max="10248" width="9.85546875" customWidth="1"/>
    <col min="10249" max="10249" width="7.140625" customWidth="1"/>
    <col min="10250" max="10250" width="14.140625" bestFit="1" customWidth="1"/>
    <col min="10251" max="10251" width="6.140625" customWidth="1"/>
    <col min="10252" max="10252" width="11.140625" customWidth="1"/>
    <col min="10253" max="10253" width="10.28515625" customWidth="1"/>
    <col min="10254" max="10254" width="12.28515625" bestFit="1" customWidth="1"/>
    <col min="10497" max="10497" width="36.5703125" bestFit="1" customWidth="1"/>
    <col min="10498" max="10498" width="13.28515625" customWidth="1"/>
    <col min="10499" max="10499" width="8" customWidth="1"/>
    <col min="10500" max="10501" width="11.85546875" customWidth="1"/>
    <col min="10502" max="10502" width="11" customWidth="1"/>
    <col min="10503" max="10503" width="12.85546875" customWidth="1"/>
    <col min="10504" max="10504" width="9.85546875" customWidth="1"/>
    <col min="10505" max="10505" width="7.140625" customWidth="1"/>
    <col min="10506" max="10506" width="14.140625" bestFit="1" customWidth="1"/>
    <col min="10507" max="10507" width="6.140625" customWidth="1"/>
    <col min="10508" max="10508" width="11.140625" customWidth="1"/>
    <col min="10509" max="10509" width="10.28515625" customWidth="1"/>
    <col min="10510" max="10510" width="12.28515625" bestFit="1" customWidth="1"/>
    <col min="10753" max="10753" width="36.5703125" bestFit="1" customWidth="1"/>
    <col min="10754" max="10754" width="13.28515625" customWidth="1"/>
    <col min="10755" max="10755" width="8" customWidth="1"/>
    <col min="10756" max="10757" width="11.85546875" customWidth="1"/>
    <col min="10758" max="10758" width="11" customWidth="1"/>
    <col min="10759" max="10759" width="12.85546875" customWidth="1"/>
    <col min="10760" max="10760" width="9.85546875" customWidth="1"/>
    <col min="10761" max="10761" width="7.140625" customWidth="1"/>
    <col min="10762" max="10762" width="14.140625" bestFit="1" customWidth="1"/>
    <col min="10763" max="10763" width="6.140625" customWidth="1"/>
    <col min="10764" max="10764" width="11.140625" customWidth="1"/>
    <col min="10765" max="10765" width="10.28515625" customWidth="1"/>
    <col min="10766" max="10766" width="12.28515625" bestFit="1" customWidth="1"/>
    <col min="11009" max="11009" width="36.5703125" bestFit="1" customWidth="1"/>
    <col min="11010" max="11010" width="13.28515625" customWidth="1"/>
    <col min="11011" max="11011" width="8" customWidth="1"/>
    <col min="11012" max="11013" width="11.85546875" customWidth="1"/>
    <col min="11014" max="11014" width="11" customWidth="1"/>
    <col min="11015" max="11015" width="12.85546875" customWidth="1"/>
    <col min="11016" max="11016" width="9.85546875" customWidth="1"/>
    <col min="11017" max="11017" width="7.140625" customWidth="1"/>
    <col min="11018" max="11018" width="14.140625" bestFit="1" customWidth="1"/>
    <col min="11019" max="11019" width="6.140625" customWidth="1"/>
    <col min="11020" max="11020" width="11.140625" customWidth="1"/>
    <col min="11021" max="11021" width="10.28515625" customWidth="1"/>
    <col min="11022" max="11022" width="12.28515625" bestFit="1" customWidth="1"/>
    <col min="11265" max="11265" width="36.5703125" bestFit="1" customWidth="1"/>
    <col min="11266" max="11266" width="13.28515625" customWidth="1"/>
    <col min="11267" max="11267" width="8" customWidth="1"/>
    <col min="11268" max="11269" width="11.85546875" customWidth="1"/>
    <col min="11270" max="11270" width="11" customWidth="1"/>
    <col min="11271" max="11271" width="12.85546875" customWidth="1"/>
    <col min="11272" max="11272" width="9.85546875" customWidth="1"/>
    <col min="11273" max="11273" width="7.140625" customWidth="1"/>
    <col min="11274" max="11274" width="14.140625" bestFit="1" customWidth="1"/>
    <col min="11275" max="11275" width="6.140625" customWidth="1"/>
    <col min="11276" max="11276" width="11.140625" customWidth="1"/>
    <col min="11277" max="11277" width="10.28515625" customWidth="1"/>
    <col min="11278" max="11278" width="12.28515625" bestFit="1" customWidth="1"/>
    <col min="11521" max="11521" width="36.5703125" bestFit="1" customWidth="1"/>
    <col min="11522" max="11522" width="13.28515625" customWidth="1"/>
    <col min="11523" max="11523" width="8" customWidth="1"/>
    <col min="11524" max="11525" width="11.85546875" customWidth="1"/>
    <col min="11526" max="11526" width="11" customWidth="1"/>
    <col min="11527" max="11527" width="12.85546875" customWidth="1"/>
    <col min="11528" max="11528" width="9.85546875" customWidth="1"/>
    <col min="11529" max="11529" width="7.140625" customWidth="1"/>
    <col min="11530" max="11530" width="14.140625" bestFit="1" customWidth="1"/>
    <col min="11531" max="11531" width="6.140625" customWidth="1"/>
    <col min="11532" max="11532" width="11.140625" customWidth="1"/>
    <col min="11533" max="11533" width="10.28515625" customWidth="1"/>
    <col min="11534" max="11534" width="12.28515625" bestFit="1" customWidth="1"/>
    <col min="11777" max="11777" width="36.5703125" bestFit="1" customWidth="1"/>
    <col min="11778" max="11778" width="13.28515625" customWidth="1"/>
    <col min="11779" max="11779" width="8" customWidth="1"/>
    <col min="11780" max="11781" width="11.85546875" customWidth="1"/>
    <col min="11782" max="11782" width="11" customWidth="1"/>
    <col min="11783" max="11783" width="12.85546875" customWidth="1"/>
    <col min="11784" max="11784" width="9.85546875" customWidth="1"/>
    <col min="11785" max="11785" width="7.140625" customWidth="1"/>
    <col min="11786" max="11786" width="14.140625" bestFit="1" customWidth="1"/>
    <col min="11787" max="11787" width="6.140625" customWidth="1"/>
    <col min="11788" max="11788" width="11.140625" customWidth="1"/>
    <col min="11789" max="11789" width="10.28515625" customWidth="1"/>
    <col min="11790" max="11790" width="12.28515625" bestFit="1" customWidth="1"/>
    <col min="12033" max="12033" width="36.5703125" bestFit="1" customWidth="1"/>
    <col min="12034" max="12034" width="13.28515625" customWidth="1"/>
    <col min="12035" max="12035" width="8" customWidth="1"/>
    <col min="12036" max="12037" width="11.85546875" customWidth="1"/>
    <col min="12038" max="12038" width="11" customWidth="1"/>
    <col min="12039" max="12039" width="12.85546875" customWidth="1"/>
    <col min="12040" max="12040" width="9.85546875" customWidth="1"/>
    <col min="12041" max="12041" width="7.140625" customWidth="1"/>
    <col min="12042" max="12042" width="14.140625" bestFit="1" customWidth="1"/>
    <col min="12043" max="12043" width="6.140625" customWidth="1"/>
    <col min="12044" max="12044" width="11.140625" customWidth="1"/>
    <col min="12045" max="12045" width="10.28515625" customWidth="1"/>
    <col min="12046" max="12046" width="12.28515625" bestFit="1" customWidth="1"/>
    <col min="12289" max="12289" width="36.5703125" bestFit="1" customWidth="1"/>
    <col min="12290" max="12290" width="13.28515625" customWidth="1"/>
    <col min="12291" max="12291" width="8" customWidth="1"/>
    <col min="12292" max="12293" width="11.85546875" customWidth="1"/>
    <col min="12294" max="12294" width="11" customWidth="1"/>
    <col min="12295" max="12295" width="12.85546875" customWidth="1"/>
    <col min="12296" max="12296" width="9.85546875" customWidth="1"/>
    <col min="12297" max="12297" width="7.140625" customWidth="1"/>
    <col min="12298" max="12298" width="14.140625" bestFit="1" customWidth="1"/>
    <col min="12299" max="12299" width="6.140625" customWidth="1"/>
    <col min="12300" max="12300" width="11.140625" customWidth="1"/>
    <col min="12301" max="12301" width="10.28515625" customWidth="1"/>
    <col min="12302" max="12302" width="12.28515625" bestFit="1" customWidth="1"/>
    <col min="12545" max="12545" width="36.5703125" bestFit="1" customWidth="1"/>
    <col min="12546" max="12546" width="13.28515625" customWidth="1"/>
    <col min="12547" max="12547" width="8" customWidth="1"/>
    <col min="12548" max="12549" width="11.85546875" customWidth="1"/>
    <col min="12550" max="12550" width="11" customWidth="1"/>
    <col min="12551" max="12551" width="12.85546875" customWidth="1"/>
    <col min="12552" max="12552" width="9.85546875" customWidth="1"/>
    <col min="12553" max="12553" width="7.140625" customWidth="1"/>
    <col min="12554" max="12554" width="14.140625" bestFit="1" customWidth="1"/>
    <col min="12555" max="12555" width="6.140625" customWidth="1"/>
    <col min="12556" max="12556" width="11.140625" customWidth="1"/>
    <col min="12557" max="12557" width="10.28515625" customWidth="1"/>
    <col min="12558" max="12558" width="12.28515625" bestFit="1" customWidth="1"/>
    <col min="12801" max="12801" width="36.5703125" bestFit="1" customWidth="1"/>
    <col min="12802" max="12802" width="13.28515625" customWidth="1"/>
    <col min="12803" max="12803" width="8" customWidth="1"/>
    <col min="12804" max="12805" width="11.85546875" customWidth="1"/>
    <col min="12806" max="12806" width="11" customWidth="1"/>
    <col min="12807" max="12807" width="12.85546875" customWidth="1"/>
    <col min="12808" max="12808" width="9.85546875" customWidth="1"/>
    <col min="12809" max="12809" width="7.140625" customWidth="1"/>
    <col min="12810" max="12810" width="14.140625" bestFit="1" customWidth="1"/>
    <col min="12811" max="12811" width="6.140625" customWidth="1"/>
    <col min="12812" max="12812" width="11.140625" customWidth="1"/>
    <col min="12813" max="12813" width="10.28515625" customWidth="1"/>
    <col min="12814" max="12814" width="12.28515625" bestFit="1" customWidth="1"/>
    <col min="13057" max="13057" width="36.5703125" bestFit="1" customWidth="1"/>
    <col min="13058" max="13058" width="13.28515625" customWidth="1"/>
    <col min="13059" max="13059" width="8" customWidth="1"/>
    <col min="13060" max="13061" width="11.85546875" customWidth="1"/>
    <col min="13062" max="13062" width="11" customWidth="1"/>
    <col min="13063" max="13063" width="12.85546875" customWidth="1"/>
    <col min="13064" max="13064" width="9.85546875" customWidth="1"/>
    <col min="13065" max="13065" width="7.140625" customWidth="1"/>
    <col min="13066" max="13066" width="14.140625" bestFit="1" customWidth="1"/>
    <col min="13067" max="13067" width="6.140625" customWidth="1"/>
    <col min="13068" max="13068" width="11.140625" customWidth="1"/>
    <col min="13069" max="13069" width="10.28515625" customWidth="1"/>
    <col min="13070" max="13070" width="12.28515625" bestFit="1" customWidth="1"/>
    <col min="13313" max="13313" width="36.5703125" bestFit="1" customWidth="1"/>
    <col min="13314" max="13314" width="13.28515625" customWidth="1"/>
    <col min="13315" max="13315" width="8" customWidth="1"/>
    <col min="13316" max="13317" width="11.85546875" customWidth="1"/>
    <col min="13318" max="13318" width="11" customWidth="1"/>
    <col min="13319" max="13319" width="12.85546875" customWidth="1"/>
    <col min="13320" max="13320" width="9.85546875" customWidth="1"/>
    <col min="13321" max="13321" width="7.140625" customWidth="1"/>
    <col min="13322" max="13322" width="14.140625" bestFit="1" customWidth="1"/>
    <col min="13323" max="13323" width="6.140625" customWidth="1"/>
    <col min="13324" max="13324" width="11.140625" customWidth="1"/>
    <col min="13325" max="13325" width="10.28515625" customWidth="1"/>
    <col min="13326" max="13326" width="12.28515625" bestFit="1" customWidth="1"/>
    <col min="13569" max="13569" width="36.5703125" bestFit="1" customWidth="1"/>
    <col min="13570" max="13570" width="13.28515625" customWidth="1"/>
    <col min="13571" max="13571" width="8" customWidth="1"/>
    <col min="13572" max="13573" width="11.85546875" customWidth="1"/>
    <col min="13574" max="13574" width="11" customWidth="1"/>
    <col min="13575" max="13575" width="12.85546875" customWidth="1"/>
    <col min="13576" max="13576" width="9.85546875" customWidth="1"/>
    <col min="13577" max="13577" width="7.140625" customWidth="1"/>
    <col min="13578" max="13578" width="14.140625" bestFit="1" customWidth="1"/>
    <col min="13579" max="13579" width="6.140625" customWidth="1"/>
    <col min="13580" max="13580" width="11.140625" customWidth="1"/>
    <col min="13581" max="13581" width="10.28515625" customWidth="1"/>
    <col min="13582" max="13582" width="12.28515625" bestFit="1" customWidth="1"/>
    <col min="13825" max="13825" width="36.5703125" bestFit="1" customWidth="1"/>
    <col min="13826" max="13826" width="13.28515625" customWidth="1"/>
    <col min="13827" max="13827" width="8" customWidth="1"/>
    <col min="13828" max="13829" width="11.85546875" customWidth="1"/>
    <col min="13830" max="13830" width="11" customWidth="1"/>
    <col min="13831" max="13831" width="12.85546875" customWidth="1"/>
    <col min="13832" max="13832" width="9.85546875" customWidth="1"/>
    <col min="13833" max="13833" width="7.140625" customWidth="1"/>
    <col min="13834" max="13834" width="14.140625" bestFit="1" customWidth="1"/>
    <col min="13835" max="13835" width="6.140625" customWidth="1"/>
    <col min="13836" max="13836" width="11.140625" customWidth="1"/>
    <col min="13837" max="13837" width="10.28515625" customWidth="1"/>
    <col min="13838" max="13838" width="12.28515625" bestFit="1" customWidth="1"/>
    <col min="14081" max="14081" width="36.5703125" bestFit="1" customWidth="1"/>
    <col min="14082" max="14082" width="13.28515625" customWidth="1"/>
    <col min="14083" max="14083" width="8" customWidth="1"/>
    <col min="14084" max="14085" width="11.85546875" customWidth="1"/>
    <col min="14086" max="14086" width="11" customWidth="1"/>
    <col min="14087" max="14087" width="12.85546875" customWidth="1"/>
    <col min="14088" max="14088" width="9.85546875" customWidth="1"/>
    <col min="14089" max="14089" width="7.140625" customWidth="1"/>
    <col min="14090" max="14090" width="14.140625" bestFit="1" customWidth="1"/>
    <col min="14091" max="14091" width="6.140625" customWidth="1"/>
    <col min="14092" max="14092" width="11.140625" customWidth="1"/>
    <col min="14093" max="14093" width="10.28515625" customWidth="1"/>
    <col min="14094" max="14094" width="12.28515625" bestFit="1" customWidth="1"/>
    <col min="14337" max="14337" width="36.5703125" bestFit="1" customWidth="1"/>
    <col min="14338" max="14338" width="13.28515625" customWidth="1"/>
    <col min="14339" max="14339" width="8" customWidth="1"/>
    <col min="14340" max="14341" width="11.85546875" customWidth="1"/>
    <col min="14342" max="14342" width="11" customWidth="1"/>
    <col min="14343" max="14343" width="12.85546875" customWidth="1"/>
    <col min="14344" max="14344" width="9.85546875" customWidth="1"/>
    <col min="14345" max="14345" width="7.140625" customWidth="1"/>
    <col min="14346" max="14346" width="14.140625" bestFit="1" customWidth="1"/>
    <col min="14347" max="14347" width="6.140625" customWidth="1"/>
    <col min="14348" max="14348" width="11.140625" customWidth="1"/>
    <col min="14349" max="14349" width="10.28515625" customWidth="1"/>
    <col min="14350" max="14350" width="12.28515625" bestFit="1" customWidth="1"/>
    <col min="14593" max="14593" width="36.5703125" bestFit="1" customWidth="1"/>
    <col min="14594" max="14594" width="13.28515625" customWidth="1"/>
    <col min="14595" max="14595" width="8" customWidth="1"/>
    <col min="14596" max="14597" width="11.85546875" customWidth="1"/>
    <col min="14598" max="14598" width="11" customWidth="1"/>
    <col min="14599" max="14599" width="12.85546875" customWidth="1"/>
    <col min="14600" max="14600" width="9.85546875" customWidth="1"/>
    <col min="14601" max="14601" width="7.140625" customWidth="1"/>
    <col min="14602" max="14602" width="14.140625" bestFit="1" customWidth="1"/>
    <col min="14603" max="14603" width="6.140625" customWidth="1"/>
    <col min="14604" max="14604" width="11.140625" customWidth="1"/>
    <col min="14605" max="14605" width="10.28515625" customWidth="1"/>
    <col min="14606" max="14606" width="12.28515625" bestFit="1" customWidth="1"/>
    <col min="14849" max="14849" width="36.5703125" bestFit="1" customWidth="1"/>
    <col min="14850" max="14850" width="13.28515625" customWidth="1"/>
    <col min="14851" max="14851" width="8" customWidth="1"/>
    <col min="14852" max="14853" width="11.85546875" customWidth="1"/>
    <col min="14854" max="14854" width="11" customWidth="1"/>
    <col min="14855" max="14855" width="12.85546875" customWidth="1"/>
    <col min="14856" max="14856" width="9.85546875" customWidth="1"/>
    <col min="14857" max="14857" width="7.140625" customWidth="1"/>
    <col min="14858" max="14858" width="14.140625" bestFit="1" customWidth="1"/>
    <col min="14859" max="14859" width="6.140625" customWidth="1"/>
    <col min="14860" max="14860" width="11.140625" customWidth="1"/>
    <col min="14861" max="14861" width="10.28515625" customWidth="1"/>
    <col min="14862" max="14862" width="12.28515625" bestFit="1" customWidth="1"/>
    <col min="15105" max="15105" width="36.5703125" bestFit="1" customWidth="1"/>
    <col min="15106" max="15106" width="13.28515625" customWidth="1"/>
    <col min="15107" max="15107" width="8" customWidth="1"/>
    <col min="15108" max="15109" width="11.85546875" customWidth="1"/>
    <col min="15110" max="15110" width="11" customWidth="1"/>
    <col min="15111" max="15111" width="12.85546875" customWidth="1"/>
    <col min="15112" max="15112" width="9.85546875" customWidth="1"/>
    <col min="15113" max="15113" width="7.140625" customWidth="1"/>
    <col min="15114" max="15114" width="14.140625" bestFit="1" customWidth="1"/>
    <col min="15115" max="15115" width="6.140625" customWidth="1"/>
    <col min="15116" max="15116" width="11.140625" customWidth="1"/>
    <col min="15117" max="15117" width="10.28515625" customWidth="1"/>
    <col min="15118" max="15118" width="12.28515625" bestFit="1" customWidth="1"/>
    <col min="15361" max="15361" width="36.5703125" bestFit="1" customWidth="1"/>
    <col min="15362" max="15362" width="13.28515625" customWidth="1"/>
    <col min="15363" max="15363" width="8" customWidth="1"/>
    <col min="15364" max="15365" width="11.85546875" customWidth="1"/>
    <col min="15366" max="15366" width="11" customWidth="1"/>
    <col min="15367" max="15367" width="12.85546875" customWidth="1"/>
    <col min="15368" max="15368" width="9.85546875" customWidth="1"/>
    <col min="15369" max="15369" width="7.140625" customWidth="1"/>
    <col min="15370" max="15370" width="14.140625" bestFit="1" customWidth="1"/>
    <col min="15371" max="15371" width="6.140625" customWidth="1"/>
    <col min="15372" max="15372" width="11.140625" customWidth="1"/>
    <col min="15373" max="15373" width="10.28515625" customWidth="1"/>
    <col min="15374" max="15374" width="12.28515625" bestFit="1" customWidth="1"/>
    <col min="15617" max="15617" width="36.5703125" bestFit="1" customWidth="1"/>
    <col min="15618" max="15618" width="13.28515625" customWidth="1"/>
    <col min="15619" max="15619" width="8" customWidth="1"/>
    <col min="15620" max="15621" width="11.85546875" customWidth="1"/>
    <col min="15622" max="15622" width="11" customWidth="1"/>
    <col min="15623" max="15623" width="12.85546875" customWidth="1"/>
    <col min="15624" max="15624" width="9.85546875" customWidth="1"/>
    <col min="15625" max="15625" width="7.140625" customWidth="1"/>
    <col min="15626" max="15626" width="14.140625" bestFit="1" customWidth="1"/>
    <col min="15627" max="15627" width="6.140625" customWidth="1"/>
    <col min="15628" max="15628" width="11.140625" customWidth="1"/>
    <col min="15629" max="15629" width="10.28515625" customWidth="1"/>
    <col min="15630" max="15630" width="12.28515625" bestFit="1" customWidth="1"/>
    <col min="15873" max="15873" width="36.5703125" bestFit="1" customWidth="1"/>
    <col min="15874" max="15874" width="13.28515625" customWidth="1"/>
    <col min="15875" max="15875" width="8" customWidth="1"/>
    <col min="15876" max="15877" width="11.85546875" customWidth="1"/>
    <col min="15878" max="15878" width="11" customWidth="1"/>
    <col min="15879" max="15879" width="12.85546875" customWidth="1"/>
    <col min="15880" max="15880" width="9.85546875" customWidth="1"/>
    <col min="15881" max="15881" width="7.140625" customWidth="1"/>
    <col min="15882" max="15882" width="14.140625" bestFit="1" customWidth="1"/>
    <col min="15883" max="15883" width="6.140625" customWidth="1"/>
    <col min="15884" max="15884" width="11.140625" customWidth="1"/>
    <col min="15885" max="15885" width="10.28515625" customWidth="1"/>
    <col min="15886" max="15886" width="12.28515625" bestFit="1" customWidth="1"/>
    <col min="16129" max="16129" width="36.5703125" bestFit="1" customWidth="1"/>
    <col min="16130" max="16130" width="13.28515625" customWidth="1"/>
    <col min="16131" max="16131" width="8" customWidth="1"/>
    <col min="16132" max="16133" width="11.85546875" customWidth="1"/>
    <col min="16134" max="16134" width="11" customWidth="1"/>
    <col min="16135" max="16135" width="12.85546875" customWidth="1"/>
    <col min="16136" max="16136" width="9.85546875" customWidth="1"/>
    <col min="16137" max="16137" width="7.140625" customWidth="1"/>
    <col min="16138" max="16138" width="14.140625" bestFit="1" customWidth="1"/>
    <col min="16139" max="16139" width="6.140625" customWidth="1"/>
    <col min="16140" max="16140" width="11.140625" customWidth="1"/>
    <col min="16141" max="16141" width="10.28515625" customWidth="1"/>
    <col min="16142" max="16142" width="12.28515625" bestFit="1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12" t="s">
        <v>154</v>
      </c>
      <c r="C5" s="1612"/>
      <c r="D5" s="1612"/>
      <c r="E5" s="637"/>
      <c r="F5" s="326" t="s">
        <v>171</v>
      </c>
      <c r="G5" s="326"/>
      <c r="H5" s="1663">
        <v>406020108080102</v>
      </c>
      <c r="I5" s="1664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3838</v>
      </c>
      <c r="C7" s="1594"/>
      <c r="D7" s="1594"/>
      <c r="E7" s="637"/>
      <c r="F7" s="1596" t="s">
        <v>3208</v>
      </c>
      <c r="G7" s="1596"/>
      <c r="H7" s="1593" t="s">
        <v>3837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 t="s">
        <v>3830</v>
      </c>
      <c r="C9" s="1594"/>
      <c r="D9" s="1594"/>
      <c r="E9" s="637"/>
      <c r="F9" s="1601" t="s">
        <v>3205</v>
      </c>
      <c r="G9" s="1602"/>
      <c r="H9" s="1603" t="s">
        <v>3836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3835</v>
      </c>
      <c r="C13" s="1612"/>
      <c r="D13" s="1612" t="s">
        <v>3834</v>
      </c>
      <c r="E13" s="1612"/>
      <c r="F13" s="1612"/>
      <c r="G13" s="1612"/>
      <c r="H13" s="1612"/>
      <c r="I13" s="1612"/>
      <c r="J13" s="1612"/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3830</v>
      </c>
      <c r="C14" s="1612"/>
      <c r="D14" s="1612" t="s">
        <v>3833</v>
      </c>
      <c r="E14" s="1612"/>
      <c r="F14" s="1612"/>
      <c r="G14" s="1612"/>
      <c r="H14" s="1612"/>
      <c r="I14" s="1612"/>
      <c r="J14" s="1612"/>
      <c r="K14" s="1612"/>
      <c r="L14" s="1612"/>
      <c r="M14" s="1612"/>
      <c r="N14" s="326"/>
    </row>
    <row r="15" spans="1:14" ht="31.5" customHeight="1">
      <c r="A15" s="631" t="s">
        <v>192</v>
      </c>
      <c r="B15" s="1612" t="s">
        <v>3832</v>
      </c>
      <c r="C15" s="1612"/>
      <c r="D15" s="1612" t="s">
        <v>3831</v>
      </c>
      <c r="E15" s="1612"/>
      <c r="F15" s="1612"/>
      <c r="G15" s="1612"/>
      <c r="H15" s="1612"/>
      <c r="I15" s="1612"/>
      <c r="J15" s="1612"/>
      <c r="K15" s="1612"/>
      <c r="L15" s="1612"/>
      <c r="M15" s="1612"/>
      <c r="N15" s="326"/>
    </row>
    <row r="16" spans="1:14" ht="31.5" customHeight="1">
      <c r="A16" s="631" t="s">
        <v>197</v>
      </c>
      <c r="B16" s="1612" t="s">
        <v>3830</v>
      </c>
      <c r="C16" s="1612"/>
      <c r="D16" s="1612" t="s">
        <v>2438</v>
      </c>
      <c r="E16" s="1612"/>
      <c r="F16" s="1612"/>
      <c r="G16" s="1612"/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2</v>
      </c>
      <c r="C18" s="326" t="s">
        <v>199</v>
      </c>
      <c r="D18" s="326"/>
      <c r="E18" s="326"/>
      <c r="F18" s="631">
        <v>2</v>
      </c>
      <c r="G18" s="326" t="s">
        <v>200</v>
      </c>
      <c r="H18" s="632">
        <v>2</v>
      </c>
      <c r="I18" s="326" t="s">
        <v>201</v>
      </c>
      <c r="J18" s="632">
        <v>1</v>
      </c>
      <c r="K18" s="326" t="s">
        <v>202</v>
      </c>
      <c r="L18" s="631">
        <v>5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28</v>
      </c>
      <c r="D21" s="326" t="s">
        <v>205</v>
      </c>
      <c r="E21" s="631">
        <v>2</v>
      </c>
      <c r="F21" s="326" t="s">
        <v>206</v>
      </c>
      <c r="G21" s="631">
        <v>0</v>
      </c>
      <c r="H21" s="326" t="s">
        <v>230</v>
      </c>
      <c r="I21" s="631">
        <v>33</v>
      </c>
      <c r="J21" s="326" t="s">
        <v>207</v>
      </c>
      <c r="K21" s="631">
        <v>37</v>
      </c>
      <c r="L21" s="326" t="s">
        <v>3187</v>
      </c>
      <c r="M21" s="326"/>
      <c r="N21" s="631">
        <v>9</v>
      </c>
    </row>
    <row r="22" spans="1:14" ht="21.75" customHeight="1">
      <c r="A22" s="326" t="s">
        <v>209</v>
      </c>
      <c r="B22" s="326" t="s">
        <v>210</v>
      </c>
      <c r="C22" s="631">
        <v>73</v>
      </c>
      <c r="D22" s="326" t="s">
        <v>211</v>
      </c>
      <c r="E22" s="631">
        <v>11</v>
      </c>
      <c r="F22" s="326" t="s">
        <v>212</v>
      </c>
      <c r="G22" s="631">
        <v>0</v>
      </c>
      <c r="H22" s="326" t="s">
        <v>411</v>
      </c>
      <c r="I22" s="631">
        <v>85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65</v>
      </c>
      <c r="D23" s="326" t="s">
        <v>214</v>
      </c>
      <c r="E23" s="631">
        <v>12</v>
      </c>
      <c r="F23" s="326" t="s">
        <v>215</v>
      </c>
      <c r="G23" s="631">
        <v>0</v>
      </c>
      <c r="H23" s="326" t="s">
        <v>410</v>
      </c>
      <c r="I23" s="631">
        <v>77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2">
        <v>663700</v>
      </c>
      <c r="F29" s="323">
        <v>0</v>
      </c>
      <c r="G29" s="322">
        <v>163700</v>
      </c>
      <c r="H29" s="322"/>
      <c r="I29" s="322"/>
      <c r="J29" s="322"/>
      <c r="K29" s="322"/>
      <c r="L29" s="322"/>
      <c r="M29" s="322">
        <f t="shared" ref="M29:M38" si="0">SUM(F29:L29)</f>
        <v>163700</v>
      </c>
      <c r="N29" s="323">
        <f>+M29/E29%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/>
      <c r="F30" s="323">
        <v>0</v>
      </c>
      <c r="G30" s="322">
        <v>0</v>
      </c>
      <c r="H30" s="322"/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3">
        <v>0</v>
      </c>
      <c r="G31" s="322">
        <v>18000</v>
      </c>
      <c r="H31" s="322"/>
      <c r="I31" s="322"/>
      <c r="J31" s="322"/>
      <c r="K31" s="322"/>
      <c r="L31" s="322"/>
      <c r="M31" s="322">
        <f t="shared" si="0"/>
        <v>18000</v>
      </c>
      <c r="N31" s="323">
        <f>+M31/E31%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3">
        <v>0</v>
      </c>
      <c r="G32" s="322">
        <v>16000</v>
      </c>
      <c r="H32" s="322"/>
      <c r="I32" s="322"/>
      <c r="J32" s="322"/>
      <c r="K32" s="322"/>
      <c r="L32" s="322"/>
      <c r="M32" s="322">
        <f t="shared" si="0"/>
        <v>16000</v>
      </c>
      <c r="N32" s="323">
        <f>+M32/E32%</f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2">
        <v>200000</v>
      </c>
      <c r="F33" s="323">
        <v>0</v>
      </c>
      <c r="G33" s="322">
        <v>186786</v>
      </c>
      <c r="H33" s="322"/>
      <c r="I33" s="322"/>
      <c r="J33" s="322"/>
      <c r="K33" s="322"/>
      <c r="L33" s="322"/>
      <c r="M33" s="322">
        <f t="shared" si="0"/>
        <v>186786</v>
      </c>
      <c r="N33" s="323">
        <f>+M33/E33%</f>
        <v>93.393000000000001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2">
        <v>150000</v>
      </c>
      <c r="F34" s="323">
        <v>0</v>
      </c>
      <c r="G34" s="322">
        <v>14400</v>
      </c>
      <c r="H34" s="322"/>
      <c r="I34" s="322"/>
      <c r="J34" s="322"/>
      <c r="K34" s="322"/>
      <c r="L34" s="322"/>
      <c r="M34" s="322">
        <f t="shared" si="0"/>
        <v>14400</v>
      </c>
      <c r="N34" s="323">
        <f>+M34/E34%</f>
        <v>9.6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2"/>
      <c r="F35" s="323">
        <v>0</v>
      </c>
      <c r="G35" s="322">
        <v>0</v>
      </c>
      <c r="H35" s="322"/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3">
        <v>0</v>
      </c>
      <c r="G36" s="322">
        <v>22000</v>
      </c>
      <c r="H36" s="322"/>
      <c r="I36" s="322"/>
      <c r="J36" s="322"/>
      <c r="K36" s="322"/>
      <c r="L36" s="322"/>
      <c r="M36" s="322">
        <f t="shared" si="0"/>
        <v>22000</v>
      </c>
      <c r="N36" s="323">
        <f>+M36/E36%</f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>
        <v>0</v>
      </c>
      <c r="F37" s="323">
        <v>0</v>
      </c>
      <c r="G37" s="322">
        <v>0</v>
      </c>
      <c r="H37" s="322"/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1">SUM(D29:D37)</f>
        <v>62.635000000000005</v>
      </c>
      <c r="E38" s="321">
        <f t="shared" si="1"/>
        <v>1077950</v>
      </c>
      <c r="F38" s="321">
        <f t="shared" si="1"/>
        <v>0</v>
      </c>
      <c r="G38" s="321">
        <f t="shared" si="1"/>
        <v>420886</v>
      </c>
      <c r="H38" s="321">
        <f t="shared" si="1"/>
        <v>0</v>
      </c>
      <c r="I38" s="321">
        <f t="shared" si="1"/>
        <v>0</v>
      </c>
      <c r="J38" s="321">
        <f t="shared" si="1"/>
        <v>0</v>
      </c>
      <c r="K38" s="321">
        <f t="shared" si="1"/>
        <v>0</v>
      </c>
      <c r="L38" s="321">
        <f t="shared" si="1"/>
        <v>0</v>
      </c>
      <c r="M38" s="631">
        <f t="shared" si="0"/>
        <v>420886</v>
      </c>
      <c r="N38" s="334">
        <f>+M38/E38%</f>
        <v>39.045039194767845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D9"/>
    <mergeCell ref="F9:G11"/>
    <mergeCell ref="H9:K11"/>
    <mergeCell ref="B13:C13"/>
    <mergeCell ref="D13:F13"/>
    <mergeCell ref="G13:I13"/>
    <mergeCell ref="J13:M13"/>
    <mergeCell ref="B7:D7"/>
    <mergeCell ref="F7:G7"/>
    <mergeCell ref="H7:J7"/>
    <mergeCell ref="A1:N1"/>
    <mergeCell ref="A2:N2"/>
    <mergeCell ref="A3:C3"/>
    <mergeCell ref="B5:D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496062992125984" bottom="0.27559055118110237" header="0.39370078740157483" footer="0.31496062992125984"/>
  <pageSetup paperSize="9" scale="70" orientation="landscape" r:id="rId1"/>
</worksheet>
</file>

<file path=xl/worksheets/sheet356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N42"/>
  <sheetViews>
    <sheetView zoomScale="70" zoomScaleNormal="7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5.85546875" customWidth="1"/>
    <col min="4" max="4" width="11.85546875" customWidth="1"/>
    <col min="5" max="5" width="12.5703125" customWidth="1"/>
    <col min="6" max="6" width="15" customWidth="1"/>
    <col min="7" max="7" width="12.85546875" customWidth="1"/>
    <col min="8" max="8" width="12.7109375" customWidth="1"/>
    <col min="9" max="9" width="14.28515625" customWidth="1"/>
    <col min="10" max="10" width="14.140625" bestFit="1" customWidth="1"/>
    <col min="11" max="11" width="10.28515625" customWidth="1"/>
    <col min="12" max="12" width="11.140625" customWidth="1"/>
    <col min="13" max="13" width="10.28515625" customWidth="1"/>
    <col min="14" max="14" width="11.140625" customWidth="1"/>
    <col min="257" max="257" width="36.5703125" bestFit="1" customWidth="1"/>
    <col min="258" max="258" width="13.28515625" customWidth="1"/>
    <col min="259" max="259" width="5.85546875" customWidth="1"/>
    <col min="260" max="260" width="11.85546875" customWidth="1"/>
    <col min="261" max="261" width="12.5703125" customWidth="1"/>
    <col min="262" max="262" width="15" customWidth="1"/>
    <col min="263" max="263" width="12.85546875" customWidth="1"/>
    <col min="264" max="264" width="12.7109375" customWidth="1"/>
    <col min="265" max="265" width="14.28515625" customWidth="1"/>
    <col min="266" max="266" width="14.140625" bestFit="1" customWidth="1"/>
    <col min="267" max="267" width="10.28515625" customWidth="1"/>
    <col min="268" max="268" width="11.140625" customWidth="1"/>
    <col min="269" max="269" width="10.28515625" customWidth="1"/>
    <col min="270" max="270" width="11.140625" customWidth="1"/>
    <col min="513" max="513" width="36.5703125" bestFit="1" customWidth="1"/>
    <col min="514" max="514" width="13.28515625" customWidth="1"/>
    <col min="515" max="515" width="5.85546875" customWidth="1"/>
    <col min="516" max="516" width="11.85546875" customWidth="1"/>
    <col min="517" max="517" width="12.5703125" customWidth="1"/>
    <col min="518" max="518" width="15" customWidth="1"/>
    <col min="519" max="519" width="12.85546875" customWidth="1"/>
    <col min="520" max="520" width="12.7109375" customWidth="1"/>
    <col min="521" max="521" width="14.28515625" customWidth="1"/>
    <col min="522" max="522" width="14.140625" bestFit="1" customWidth="1"/>
    <col min="523" max="523" width="10.28515625" customWidth="1"/>
    <col min="524" max="524" width="11.140625" customWidth="1"/>
    <col min="525" max="525" width="10.28515625" customWidth="1"/>
    <col min="526" max="526" width="11.140625" customWidth="1"/>
    <col min="769" max="769" width="36.5703125" bestFit="1" customWidth="1"/>
    <col min="770" max="770" width="13.28515625" customWidth="1"/>
    <col min="771" max="771" width="5.85546875" customWidth="1"/>
    <col min="772" max="772" width="11.85546875" customWidth="1"/>
    <col min="773" max="773" width="12.5703125" customWidth="1"/>
    <col min="774" max="774" width="15" customWidth="1"/>
    <col min="775" max="775" width="12.85546875" customWidth="1"/>
    <col min="776" max="776" width="12.7109375" customWidth="1"/>
    <col min="777" max="777" width="14.28515625" customWidth="1"/>
    <col min="778" max="778" width="14.140625" bestFit="1" customWidth="1"/>
    <col min="779" max="779" width="10.28515625" customWidth="1"/>
    <col min="780" max="780" width="11.140625" customWidth="1"/>
    <col min="781" max="781" width="10.28515625" customWidth="1"/>
    <col min="782" max="782" width="11.140625" customWidth="1"/>
    <col min="1025" max="1025" width="36.5703125" bestFit="1" customWidth="1"/>
    <col min="1026" max="1026" width="13.28515625" customWidth="1"/>
    <col min="1027" max="1027" width="5.85546875" customWidth="1"/>
    <col min="1028" max="1028" width="11.85546875" customWidth="1"/>
    <col min="1029" max="1029" width="12.5703125" customWidth="1"/>
    <col min="1030" max="1030" width="15" customWidth="1"/>
    <col min="1031" max="1031" width="12.85546875" customWidth="1"/>
    <col min="1032" max="1032" width="12.7109375" customWidth="1"/>
    <col min="1033" max="1033" width="14.28515625" customWidth="1"/>
    <col min="1034" max="1034" width="14.140625" bestFit="1" customWidth="1"/>
    <col min="1035" max="1035" width="10.28515625" customWidth="1"/>
    <col min="1036" max="1036" width="11.140625" customWidth="1"/>
    <col min="1037" max="1037" width="10.28515625" customWidth="1"/>
    <col min="1038" max="1038" width="11.140625" customWidth="1"/>
    <col min="1281" max="1281" width="36.5703125" bestFit="1" customWidth="1"/>
    <col min="1282" max="1282" width="13.28515625" customWidth="1"/>
    <col min="1283" max="1283" width="5.85546875" customWidth="1"/>
    <col min="1284" max="1284" width="11.85546875" customWidth="1"/>
    <col min="1285" max="1285" width="12.5703125" customWidth="1"/>
    <col min="1286" max="1286" width="15" customWidth="1"/>
    <col min="1287" max="1287" width="12.85546875" customWidth="1"/>
    <col min="1288" max="1288" width="12.7109375" customWidth="1"/>
    <col min="1289" max="1289" width="14.28515625" customWidth="1"/>
    <col min="1290" max="1290" width="14.140625" bestFit="1" customWidth="1"/>
    <col min="1291" max="1291" width="10.28515625" customWidth="1"/>
    <col min="1292" max="1292" width="11.140625" customWidth="1"/>
    <col min="1293" max="1293" width="10.28515625" customWidth="1"/>
    <col min="1294" max="1294" width="11.140625" customWidth="1"/>
    <col min="1537" max="1537" width="36.5703125" bestFit="1" customWidth="1"/>
    <col min="1538" max="1538" width="13.28515625" customWidth="1"/>
    <col min="1539" max="1539" width="5.85546875" customWidth="1"/>
    <col min="1540" max="1540" width="11.85546875" customWidth="1"/>
    <col min="1541" max="1541" width="12.5703125" customWidth="1"/>
    <col min="1542" max="1542" width="15" customWidth="1"/>
    <col min="1543" max="1543" width="12.85546875" customWidth="1"/>
    <col min="1544" max="1544" width="12.7109375" customWidth="1"/>
    <col min="1545" max="1545" width="14.28515625" customWidth="1"/>
    <col min="1546" max="1546" width="14.140625" bestFit="1" customWidth="1"/>
    <col min="1547" max="1547" width="10.28515625" customWidth="1"/>
    <col min="1548" max="1548" width="11.140625" customWidth="1"/>
    <col min="1549" max="1549" width="10.28515625" customWidth="1"/>
    <col min="1550" max="1550" width="11.140625" customWidth="1"/>
    <col min="1793" max="1793" width="36.5703125" bestFit="1" customWidth="1"/>
    <col min="1794" max="1794" width="13.28515625" customWidth="1"/>
    <col min="1795" max="1795" width="5.85546875" customWidth="1"/>
    <col min="1796" max="1796" width="11.85546875" customWidth="1"/>
    <col min="1797" max="1797" width="12.5703125" customWidth="1"/>
    <col min="1798" max="1798" width="15" customWidth="1"/>
    <col min="1799" max="1799" width="12.85546875" customWidth="1"/>
    <col min="1800" max="1800" width="12.7109375" customWidth="1"/>
    <col min="1801" max="1801" width="14.28515625" customWidth="1"/>
    <col min="1802" max="1802" width="14.140625" bestFit="1" customWidth="1"/>
    <col min="1803" max="1803" width="10.28515625" customWidth="1"/>
    <col min="1804" max="1804" width="11.140625" customWidth="1"/>
    <col min="1805" max="1805" width="10.28515625" customWidth="1"/>
    <col min="1806" max="1806" width="11.140625" customWidth="1"/>
    <col min="2049" max="2049" width="36.5703125" bestFit="1" customWidth="1"/>
    <col min="2050" max="2050" width="13.28515625" customWidth="1"/>
    <col min="2051" max="2051" width="5.85546875" customWidth="1"/>
    <col min="2052" max="2052" width="11.85546875" customWidth="1"/>
    <col min="2053" max="2053" width="12.5703125" customWidth="1"/>
    <col min="2054" max="2054" width="15" customWidth="1"/>
    <col min="2055" max="2055" width="12.85546875" customWidth="1"/>
    <col min="2056" max="2056" width="12.7109375" customWidth="1"/>
    <col min="2057" max="2057" width="14.28515625" customWidth="1"/>
    <col min="2058" max="2058" width="14.140625" bestFit="1" customWidth="1"/>
    <col min="2059" max="2059" width="10.28515625" customWidth="1"/>
    <col min="2060" max="2060" width="11.140625" customWidth="1"/>
    <col min="2061" max="2061" width="10.28515625" customWidth="1"/>
    <col min="2062" max="2062" width="11.140625" customWidth="1"/>
    <col min="2305" max="2305" width="36.5703125" bestFit="1" customWidth="1"/>
    <col min="2306" max="2306" width="13.28515625" customWidth="1"/>
    <col min="2307" max="2307" width="5.85546875" customWidth="1"/>
    <col min="2308" max="2308" width="11.85546875" customWidth="1"/>
    <col min="2309" max="2309" width="12.5703125" customWidth="1"/>
    <col min="2310" max="2310" width="15" customWidth="1"/>
    <col min="2311" max="2311" width="12.85546875" customWidth="1"/>
    <col min="2312" max="2312" width="12.7109375" customWidth="1"/>
    <col min="2313" max="2313" width="14.28515625" customWidth="1"/>
    <col min="2314" max="2314" width="14.140625" bestFit="1" customWidth="1"/>
    <col min="2315" max="2315" width="10.28515625" customWidth="1"/>
    <col min="2316" max="2316" width="11.140625" customWidth="1"/>
    <col min="2317" max="2317" width="10.28515625" customWidth="1"/>
    <col min="2318" max="2318" width="11.140625" customWidth="1"/>
    <col min="2561" max="2561" width="36.5703125" bestFit="1" customWidth="1"/>
    <col min="2562" max="2562" width="13.28515625" customWidth="1"/>
    <col min="2563" max="2563" width="5.85546875" customWidth="1"/>
    <col min="2564" max="2564" width="11.85546875" customWidth="1"/>
    <col min="2565" max="2565" width="12.5703125" customWidth="1"/>
    <col min="2566" max="2566" width="15" customWidth="1"/>
    <col min="2567" max="2567" width="12.85546875" customWidth="1"/>
    <col min="2568" max="2568" width="12.7109375" customWidth="1"/>
    <col min="2569" max="2569" width="14.28515625" customWidth="1"/>
    <col min="2570" max="2570" width="14.140625" bestFit="1" customWidth="1"/>
    <col min="2571" max="2571" width="10.28515625" customWidth="1"/>
    <col min="2572" max="2572" width="11.140625" customWidth="1"/>
    <col min="2573" max="2573" width="10.28515625" customWidth="1"/>
    <col min="2574" max="2574" width="11.140625" customWidth="1"/>
    <col min="2817" max="2817" width="36.5703125" bestFit="1" customWidth="1"/>
    <col min="2818" max="2818" width="13.28515625" customWidth="1"/>
    <col min="2819" max="2819" width="5.85546875" customWidth="1"/>
    <col min="2820" max="2820" width="11.85546875" customWidth="1"/>
    <col min="2821" max="2821" width="12.5703125" customWidth="1"/>
    <col min="2822" max="2822" width="15" customWidth="1"/>
    <col min="2823" max="2823" width="12.85546875" customWidth="1"/>
    <col min="2824" max="2824" width="12.7109375" customWidth="1"/>
    <col min="2825" max="2825" width="14.28515625" customWidth="1"/>
    <col min="2826" max="2826" width="14.140625" bestFit="1" customWidth="1"/>
    <col min="2827" max="2827" width="10.28515625" customWidth="1"/>
    <col min="2828" max="2828" width="11.140625" customWidth="1"/>
    <col min="2829" max="2829" width="10.28515625" customWidth="1"/>
    <col min="2830" max="2830" width="11.140625" customWidth="1"/>
    <col min="3073" max="3073" width="36.5703125" bestFit="1" customWidth="1"/>
    <col min="3074" max="3074" width="13.28515625" customWidth="1"/>
    <col min="3075" max="3075" width="5.85546875" customWidth="1"/>
    <col min="3076" max="3076" width="11.85546875" customWidth="1"/>
    <col min="3077" max="3077" width="12.5703125" customWidth="1"/>
    <col min="3078" max="3078" width="15" customWidth="1"/>
    <col min="3079" max="3079" width="12.85546875" customWidth="1"/>
    <col min="3080" max="3080" width="12.7109375" customWidth="1"/>
    <col min="3081" max="3081" width="14.28515625" customWidth="1"/>
    <col min="3082" max="3082" width="14.140625" bestFit="1" customWidth="1"/>
    <col min="3083" max="3083" width="10.28515625" customWidth="1"/>
    <col min="3084" max="3084" width="11.140625" customWidth="1"/>
    <col min="3085" max="3085" width="10.28515625" customWidth="1"/>
    <col min="3086" max="3086" width="11.140625" customWidth="1"/>
    <col min="3329" max="3329" width="36.5703125" bestFit="1" customWidth="1"/>
    <col min="3330" max="3330" width="13.28515625" customWidth="1"/>
    <col min="3331" max="3331" width="5.85546875" customWidth="1"/>
    <col min="3332" max="3332" width="11.85546875" customWidth="1"/>
    <col min="3333" max="3333" width="12.5703125" customWidth="1"/>
    <col min="3334" max="3334" width="15" customWidth="1"/>
    <col min="3335" max="3335" width="12.85546875" customWidth="1"/>
    <col min="3336" max="3336" width="12.7109375" customWidth="1"/>
    <col min="3337" max="3337" width="14.28515625" customWidth="1"/>
    <col min="3338" max="3338" width="14.140625" bestFit="1" customWidth="1"/>
    <col min="3339" max="3339" width="10.28515625" customWidth="1"/>
    <col min="3340" max="3340" width="11.140625" customWidth="1"/>
    <col min="3341" max="3341" width="10.28515625" customWidth="1"/>
    <col min="3342" max="3342" width="11.140625" customWidth="1"/>
    <col min="3585" max="3585" width="36.5703125" bestFit="1" customWidth="1"/>
    <col min="3586" max="3586" width="13.28515625" customWidth="1"/>
    <col min="3587" max="3587" width="5.85546875" customWidth="1"/>
    <col min="3588" max="3588" width="11.85546875" customWidth="1"/>
    <col min="3589" max="3589" width="12.5703125" customWidth="1"/>
    <col min="3590" max="3590" width="15" customWidth="1"/>
    <col min="3591" max="3591" width="12.85546875" customWidth="1"/>
    <col min="3592" max="3592" width="12.7109375" customWidth="1"/>
    <col min="3593" max="3593" width="14.28515625" customWidth="1"/>
    <col min="3594" max="3594" width="14.140625" bestFit="1" customWidth="1"/>
    <col min="3595" max="3595" width="10.28515625" customWidth="1"/>
    <col min="3596" max="3596" width="11.140625" customWidth="1"/>
    <col min="3597" max="3597" width="10.28515625" customWidth="1"/>
    <col min="3598" max="3598" width="11.140625" customWidth="1"/>
    <col min="3841" max="3841" width="36.5703125" bestFit="1" customWidth="1"/>
    <col min="3842" max="3842" width="13.28515625" customWidth="1"/>
    <col min="3843" max="3843" width="5.85546875" customWidth="1"/>
    <col min="3844" max="3844" width="11.85546875" customWidth="1"/>
    <col min="3845" max="3845" width="12.5703125" customWidth="1"/>
    <col min="3846" max="3846" width="15" customWidth="1"/>
    <col min="3847" max="3847" width="12.85546875" customWidth="1"/>
    <col min="3848" max="3848" width="12.7109375" customWidth="1"/>
    <col min="3849" max="3849" width="14.28515625" customWidth="1"/>
    <col min="3850" max="3850" width="14.140625" bestFit="1" customWidth="1"/>
    <col min="3851" max="3851" width="10.28515625" customWidth="1"/>
    <col min="3852" max="3852" width="11.140625" customWidth="1"/>
    <col min="3853" max="3853" width="10.28515625" customWidth="1"/>
    <col min="3854" max="3854" width="11.140625" customWidth="1"/>
    <col min="4097" max="4097" width="36.5703125" bestFit="1" customWidth="1"/>
    <col min="4098" max="4098" width="13.28515625" customWidth="1"/>
    <col min="4099" max="4099" width="5.85546875" customWidth="1"/>
    <col min="4100" max="4100" width="11.85546875" customWidth="1"/>
    <col min="4101" max="4101" width="12.5703125" customWidth="1"/>
    <col min="4102" max="4102" width="15" customWidth="1"/>
    <col min="4103" max="4103" width="12.85546875" customWidth="1"/>
    <col min="4104" max="4104" width="12.7109375" customWidth="1"/>
    <col min="4105" max="4105" width="14.28515625" customWidth="1"/>
    <col min="4106" max="4106" width="14.140625" bestFit="1" customWidth="1"/>
    <col min="4107" max="4107" width="10.28515625" customWidth="1"/>
    <col min="4108" max="4108" width="11.140625" customWidth="1"/>
    <col min="4109" max="4109" width="10.28515625" customWidth="1"/>
    <col min="4110" max="4110" width="11.140625" customWidth="1"/>
    <col min="4353" max="4353" width="36.5703125" bestFit="1" customWidth="1"/>
    <col min="4354" max="4354" width="13.28515625" customWidth="1"/>
    <col min="4355" max="4355" width="5.85546875" customWidth="1"/>
    <col min="4356" max="4356" width="11.85546875" customWidth="1"/>
    <col min="4357" max="4357" width="12.5703125" customWidth="1"/>
    <col min="4358" max="4358" width="15" customWidth="1"/>
    <col min="4359" max="4359" width="12.85546875" customWidth="1"/>
    <col min="4360" max="4360" width="12.7109375" customWidth="1"/>
    <col min="4361" max="4361" width="14.28515625" customWidth="1"/>
    <col min="4362" max="4362" width="14.140625" bestFit="1" customWidth="1"/>
    <col min="4363" max="4363" width="10.28515625" customWidth="1"/>
    <col min="4364" max="4364" width="11.140625" customWidth="1"/>
    <col min="4365" max="4365" width="10.28515625" customWidth="1"/>
    <col min="4366" max="4366" width="11.140625" customWidth="1"/>
    <col min="4609" max="4609" width="36.5703125" bestFit="1" customWidth="1"/>
    <col min="4610" max="4610" width="13.28515625" customWidth="1"/>
    <col min="4611" max="4611" width="5.85546875" customWidth="1"/>
    <col min="4612" max="4612" width="11.85546875" customWidth="1"/>
    <col min="4613" max="4613" width="12.5703125" customWidth="1"/>
    <col min="4614" max="4614" width="15" customWidth="1"/>
    <col min="4615" max="4615" width="12.85546875" customWidth="1"/>
    <col min="4616" max="4616" width="12.7109375" customWidth="1"/>
    <col min="4617" max="4617" width="14.28515625" customWidth="1"/>
    <col min="4618" max="4618" width="14.140625" bestFit="1" customWidth="1"/>
    <col min="4619" max="4619" width="10.28515625" customWidth="1"/>
    <col min="4620" max="4620" width="11.140625" customWidth="1"/>
    <col min="4621" max="4621" width="10.28515625" customWidth="1"/>
    <col min="4622" max="4622" width="11.140625" customWidth="1"/>
    <col min="4865" max="4865" width="36.5703125" bestFit="1" customWidth="1"/>
    <col min="4866" max="4866" width="13.28515625" customWidth="1"/>
    <col min="4867" max="4867" width="5.85546875" customWidth="1"/>
    <col min="4868" max="4868" width="11.85546875" customWidth="1"/>
    <col min="4869" max="4869" width="12.5703125" customWidth="1"/>
    <col min="4870" max="4870" width="15" customWidth="1"/>
    <col min="4871" max="4871" width="12.85546875" customWidth="1"/>
    <col min="4872" max="4872" width="12.7109375" customWidth="1"/>
    <col min="4873" max="4873" width="14.28515625" customWidth="1"/>
    <col min="4874" max="4874" width="14.140625" bestFit="1" customWidth="1"/>
    <col min="4875" max="4875" width="10.28515625" customWidth="1"/>
    <col min="4876" max="4876" width="11.140625" customWidth="1"/>
    <col min="4877" max="4877" width="10.28515625" customWidth="1"/>
    <col min="4878" max="4878" width="11.140625" customWidth="1"/>
    <col min="5121" max="5121" width="36.5703125" bestFit="1" customWidth="1"/>
    <col min="5122" max="5122" width="13.28515625" customWidth="1"/>
    <col min="5123" max="5123" width="5.85546875" customWidth="1"/>
    <col min="5124" max="5124" width="11.85546875" customWidth="1"/>
    <col min="5125" max="5125" width="12.5703125" customWidth="1"/>
    <col min="5126" max="5126" width="15" customWidth="1"/>
    <col min="5127" max="5127" width="12.85546875" customWidth="1"/>
    <col min="5128" max="5128" width="12.7109375" customWidth="1"/>
    <col min="5129" max="5129" width="14.28515625" customWidth="1"/>
    <col min="5130" max="5130" width="14.140625" bestFit="1" customWidth="1"/>
    <col min="5131" max="5131" width="10.28515625" customWidth="1"/>
    <col min="5132" max="5132" width="11.140625" customWidth="1"/>
    <col min="5133" max="5133" width="10.28515625" customWidth="1"/>
    <col min="5134" max="5134" width="11.140625" customWidth="1"/>
    <col min="5377" max="5377" width="36.5703125" bestFit="1" customWidth="1"/>
    <col min="5378" max="5378" width="13.28515625" customWidth="1"/>
    <col min="5379" max="5379" width="5.85546875" customWidth="1"/>
    <col min="5380" max="5380" width="11.85546875" customWidth="1"/>
    <col min="5381" max="5381" width="12.5703125" customWidth="1"/>
    <col min="5382" max="5382" width="15" customWidth="1"/>
    <col min="5383" max="5383" width="12.85546875" customWidth="1"/>
    <col min="5384" max="5384" width="12.7109375" customWidth="1"/>
    <col min="5385" max="5385" width="14.28515625" customWidth="1"/>
    <col min="5386" max="5386" width="14.140625" bestFit="1" customWidth="1"/>
    <col min="5387" max="5387" width="10.28515625" customWidth="1"/>
    <col min="5388" max="5388" width="11.140625" customWidth="1"/>
    <col min="5389" max="5389" width="10.28515625" customWidth="1"/>
    <col min="5390" max="5390" width="11.140625" customWidth="1"/>
    <col min="5633" max="5633" width="36.5703125" bestFit="1" customWidth="1"/>
    <col min="5634" max="5634" width="13.28515625" customWidth="1"/>
    <col min="5635" max="5635" width="5.85546875" customWidth="1"/>
    <col min="5636" max="5636" width="11.85546875" customWidth="1"/>
    <col min="5637" max="5637" width="12.5703125" customWidth="1"/>
    <col min="5638" max="5638" width="15" customWidth="1"/>
    <col min="5639" max="5639" width="12.85546875" customWidth="1"/>
    <col min="5640" max="5640" width="12.7109375" customWidth="1"/>
    <col min="5641" max="5641" width="14.28515625" customWidth="1"/>
    <col min="5642" max="5642" width="14.140625" bestFit="1" customWidth="1"/>
    <col min="5643" max="5643" width="10.28515625" customWidth="1"/>
    <col min="5644" max="5644" width="11.140625" customWidth="1"/>
    <col min="5645" max="5645" width="10.28515625" customWidth="1"/>
    <col min="5646" max="5646" width="11.140625" customWidth="1"/>
    <col min="5889" max="5889" width="36.5703125" bestFit="1" customWidth="1"/>
    <col min="5890" max="5890" width="13.28515625" customWidth="1"/>
    <col min="5891" max="5891" width="5.85546875" customWidth="1"/>
    <col min="5892" max="5892" width="11.85546875" customWidth="1"/>
    <col min="5893" max="5893" width="12.5703125" customWidth="1"/>
    <col min="5894" max="5894" width="15" customWidth="1"/>
    <col min="5895" max="5895" width="12.85546875" customWidth="1"/>
    <col min="5896" max="5896" width="12.7109375" customWidth="1"/>
    <col min="5897" max="5897" width="14.28515625" customWidth="1"/>
    <col min="5898" max="5898" width="14.140625" bestFit="1" customWidth="1"/>
    <col min="5899" max="5899" width="10.28515625" customWidth="1"/>
    <col min="5900" max="5900" width="11.140625" customWidth="1"/>
    <col min="5901" max="5901" width="10.28515625" customWidth="1"/>
    <col min="5902" max="5902" width="11.140625" customWidth="1"/>
    <col min="6145" max="6145" width="36.5703125" bestFit="1" customWidth="1"/>
    <col min="6146" max="6146" width="13.28515625" customWidth="1"/>
    <col min="6147" max="6147" width="5.85546875" customWidth="1"/>
    <col min="6148" max="6148" width="11.85546875" customWidth="1"/>
    <col min="6149" max="6149" width="12.5703125" customWidth="1"/>
    <col min="6150" max="6150" width="15" customWidth="1"/>
    <col min="6151" max="6151" width="12.85546875" customWidth="1"/>
    <col min="6152" max="6152" width="12.7109375" customWidth="1"/>
    <col min="6153" max="6153" width="14.28515625" customWidth="1"/>
    <col min="6154" max="6154" width="14.140625" bestFit="1" customWidth="1"/>
    <col min="6155" max="6155" width="10.28515625" customWidth="1"/>
    <col min="6156" max="6156" width="11.140625" customWidth="1"/>
    <col min="6157" max="6157" width="10.28515625" customWidth="1"/>
    <col min="6158" max="6158" width="11.140625" customWidth="1"/>
    <col min="6401" max="6401" width="36.5703125" bestFit="1" customWidth="1"/>
    <col min="6402" max="6402" width="13.28515625" customWidth="1"/>
    <col min="6403" max="6403" width="5.85546875" customWidth="1"/>
    <col min="6404" max="6404" width="11.85546875" customWidth="1"/>
    <col min="6405" max="6405" width="12.5703125" customWidth="1"/>
    <col min="6406" max="6406" width="15" customWidth="1"/>
    <col min="6407" max="6407" width="12.85546875" customWidth="1"/>
    <col min="6408" max="6408" width="12.7109375" customWidth="1"/>
    <col min="6409" max="6409" width="14.28515625" customWidth="1"/>
    <col min="6410" max="6410" width="14.140625" bestFit="1" customWidth="1"/>
    <col min="6411" max="6411" width="10.28515625" customWidth="1"/>
    <col min="6412" max="6412" width="11.140625" customWidth="1"/>
    <col min="6413" max="6413" width="10.28515625" customWidth="1"/>
    <col min="6414" max="6414" width="11.140625" customWidth="1"/>
    <col min="6657" max="6657" width="36.5703125" bestFit="1" customWidth="1"/>
    <col min="6658" max="6658" width="13.28515625" customWidth="1"/>
    <col min="6659" max="6659" width="5.85546875" customWidth="1"/>
    <col min="6660" max="6660" width="11.85546875" customWidth="1"/>
    <col min="6661" max="6661" width="12.5703125" customWidth="1"/>
    <col min="6662" max="6662" width="15" customWidth="1"/>
    <col min="6663" max="6663" width="12.85546875" customWidth="1"/>
    <col min="6664" max="6664" width="12.7109375" customWidth="1"/>
    <col min="6665" max="6665" width="14.28515625" customWidth="1"/>
    <col min="6666" max="6666" width="14.140625" bestFit="1" customWidth="1"/>
    <col min="6667" max="6667" width="10.28515625" customWidth="1"/>
    <col min="6668" max="6668" width="11.140625" customWidth="1"/>
    <col min="6669" max="6669" width="10.28515625" customWidth="1"/>
    <col min="6670" max="6670" width="11.140625" customWidth="1"/>
    <col min="6913" max="6913" width="36.5703125" bestFit="1" customWidth="1"/>
    <col min="6914" max="6914" width="13.28515625" customWidth="1"/>
    <col min="6915" max="6915" width="5.85546875" customWidth="1"/>
    <col min="6916" max="6916" width="11.85546875" customWidth="1"/>
    <col min="6917" max="6917" width="12.5703125" customWidth="1"/>
    <col min="6918" max="6918" width="15" customWidth="1"/>
    <col min="6919" max="6919" width="12.85546875" customWidth="1"/>
    <col min="6920" max="6920" width="12.7109375" customWidth="1"/>
    <col min="6921" max="6921" width="14.28515625" customWidth="1"/>
    <col min="6922" max="6922" width="14.140625" bestFit="1" customWidth="1"/>
    <col min="6923" max="6923" width="10.28515625" customWidth="1"/>
    <col min="6924" max="6924" width="11.140625" customWidth="1"/>
    <col min="6925" max="6925" width="10.28515625" customWidth="1"/>
    <col min="6926" max="6926" width="11.140625" customWidth="1"/>
    <col min="7169" max="7169" width="36.5703125" bestFit="1" customWidth="1"/>
    <col min="7170" max="7170" width="13.28515625" customWidth="1"/>
    <col min="7171" max="7171" width="5.85546875" customWidth="1"/>
    <col min="7172" max="7172" width="11.85546875" customWidth="1"/>
    <col min="7173" max="7173" width="12.5703125" customWidth="1"/>
    <col min="7174" max="7174" width="15" customWidth="1"/>
    <col min="7175" max="7175" width="12.85546875" customWidth="1"/>
    <col min="7176" max="7176" width="12.7109375" customWidth="1"/>
    <col min="7177" max="7177" width="14.28515625" customWidth="1"/>
    <col min="7178" max="7178" width="14.140625" bestFit="1" customWidth="1"/>
    <col min="7179" max="7179" width="10.28515625" customWidth="1"/>
    <col min="7180" max="7180" width="11.140625" customWidth="1"/>
    <col min="7181" max="7181" width="10.28515625" customWidth="1"/>
    <col min="7182" max="7182" width="11.140625" customWidth="1"/>
    <col min="7425" max="7425" width="36.5703125" bestFit="1" customWidth="1"/>
    <col min="7426" max="7426" width="13.28515625" customWidth="1"/>
    <col min="7427" max="7427" width="5.85546875" customWidth="1"/>
    <col min="7428" max="7428" width="11.85546875" customWidth="1"/>
    <col min="7429" max="7429" width="12.5703125" customWidth="1"/>
    <col min="7430" max="7430" width="15" customWidth="1"/>
    <col min="7431" max="7431" width="12.85546875" customWidth="1"/>
    <col min="7432" max="7432" width="12.7109375" customWidth="1"/>
    <col min="7433" max="7433" width="14.28515625" customWidth="1"/>
    <col min="7434" max="7434" width="14.140625" bestFit="1" customWidth="1"/>
    <col min="7435" max="7435" width="10.28515625" customWidth="1"/>
    <col min="7436" max="7436" width="11.140625" customWidth="1"/>
    <col min="7437" max="7437" width="10.28515625" customWidth="1"/>
    <col min="7438" max="7438" width="11.140625" customWidth="1"/>
    <col min="7681" max="7681" width="36.5703125" bestFit="1" customWidth="1"/>
    <col min="7682" max="7682" width="13.28515625" customWidth="1"/>
    <col min="7683" max="7683" width="5.85546875" customWidth="1"/>
    <col min="7684" max="7684" width="11.85546875" customWidth="1"/>
    <col min="7685" max="7685" width="12.5703125" customWidth="1"/>
    <col min="7686" max="7686" width="15" customWidth="1"/>
    <col min="7687" max="7687" width="12.85546875" customWidth="1"/>
    <col min="7688" max="7688" width="12.7109375" customWidth="1"/>
    <col min="7689" max="7689" width="14.28515625" customWidth="1"/>
    <col min="7690" max="7690" width="14.140625" bestFit="1" customWidth="1"/>
    <col min="7691" max="7691" width="10.28515625" customWidth="1"/>
    <col min="7692" max="7692" width="11.140625" customWidth="1"/>
    <col min="7693" max="7693" width="10.28515625" customWidth="1"/>
    <col min="7694" max="7694" width="11.140625" customWidth="1"/>
    <col min="7937" max="7937" width="36.5703125" bestFit="1" customWidth="1"/>
    <col min="7938" max="7938" width="13.28515625" customWidth="1"/>
    <col min="7939" max="7939" width="5.85546875" customWidth="1"/>
    <col min="7940" max="7940" width="11.85546875" customWidth="1"/>
    <col min="7941" max="7941" width="12.5703125" customWidth="1"/>
    <col min="7942" max="7942" width="15" customWidth="1"/>
    <col min="7943" max="7943" width="12.85546875" customWidth="1"/>
    <col min="7944" max="7944" width="12.7109375" customWidth="1"/>
    <col min="7945" max="7945" width="14.28515625" customWidth="1"/>
    <col min="7946" max="7946" width="14.140625" bestFit="1" customWidth="1"/>
    <col min="7947" max="7947" width="10.28515625" customWidth="1"/>
    <col min="7948" max="7948" width="11.140625" customWidth="1"/>
    <col min="7949" max="7949" width="10.28515625" customWidth="1"/>
    <col min="7950" max="7950" width="11.140625" customWidth="1"/>
    <col min="8193" max="8193" width="36.5703125" bestFit="1" customWidth="1"/>
    <col min="8194" max="8194" width="13.28515625" customWidth="1"/>
    <col min="8195" max="8195" width="5.85546875" customWidth="1"/>
    <col min="8196" max="8196" width="11.85546875" customWidth="1"/>
    <col min="8197" max="8197" width="12.5703125" customWidth="1"/>
    <col min="8198" max="8198" width="15" customWidth="1"/>
    <col min="8199" max="8199" width="12.85546875" customWidth="1"/>
    <col min="8200" max="8200" width="12.7109375" customWidth="1"/>
    <col min="8201" max="8201" width="14.28515625" customWidth="1"/>
    <col min="8202" max="8202" width="14.140625" bestFit="1" customWidth="1"/>
    <col min="8203" max="8203" width="10.28515625" customWidth="1"/>
    <col min="8204" max="8204" width="11.140625" customWidth="1"/>
    <col min="8205" max="8205" width="10.28515625" customWidth="1"/>
    <col min="8206" max="8206" width="11.140625" customWidth="1"/>
    <col min="8449" max="8449" width="36.5703125" bestFit="1" customWidth="1"/>
    <col min="8450" max="8450" width="13.28515625" customWidth="1"/>
    <col min="8451" max="8451" width="5.85546875" customWidth="1"/>
    <col min="8452" max="8452" width="11.85546875" customWidth="1"/>
    <col min="8453" max="8453" width="12.5703125" customWidth="1"/>
    <col min="8454" max="8454" width="15" customWidth="1"/>
    <col min="8455" max="8455" width="12.85546875" customWidth="1"/>
    <col min="8456" max="8456" width="12.7109375" customWidth="1"/>
    <col min="8457" max="8457" width="14.28515625" customWidth="1"/>
    <col min="8458" max="8458" width="14.140625" bestFit="1" customWidth="1"/>
    <col min="8459" max="8459" width="10.28515625" customWidth="1"/>
    <col min="8460" max="8460" width="11.140625" customWidth="1"/>
    <col min="8461" max="8461" width="10.28515625" customWidth="1"/>
    <col min="8462" max="8462" width="11.140625" customWidth="1"/>
    <col min="8705" max="8705" width="36.5703125" bestFit="1" customWidth="1"/>
    <col min="8706" max="8706" width="13.28515625" customWidth="1"/>
    <col min="8707" max="8707" width="5.85546875" customWidth="1"/>
    <col min="8708" max="8708" width="11.85546875" customWidth="1"/>
    <col min="8709" max="8709" width="12.5703125" customWidth="1"/>
    <col min="8710" max="8710" width="15" customWidth="1"/>
    <col min="8711" max="8711" width="12.85546875" customWidth="1"/>
    <col min="8712" max="8712" width="12.7109375" customWidth="1"/>
    <col min="8713" max="8713" width="14.28515625" customWidth="1"/>
    <col min="8714" max="8714" width="14.140625" bestFit="1" customWidth="1"/>
    <col min="8715" max="8715" width="10.28515625" customWidth="1"/>
    <col min="8716" max="8716" width="11.140625" customWidth="1"/>
    <col min="8717" max="8717" width="10.28515625" customWidth="1"/>
    <col min="8718" max="8718" width="11.140625" customWidth="1"/>
    <col min="8961" max="8961" width="36.5703125" bestFit="1" customWidth="1"/>
    <col min="8962" max="8962" width="13.28515625" customWidth="1"/>
    <col min="8963" max="8963" width="5.85546875" customWidth="1"/>
    <col min="8964" max="8964" width="11.85546875" customWidth="1"/>
    <col min="8965" max="8965" width="12.5703125" customWidth="1"/>
    <col min="8966" max="8966" width="15" customWidth="1"/>
    <col min="8967" max="8967" width="12.85546875" customWidth="1"/>
    <col min="8968" max="8968" width="12.7109375" customWidth="1"/>
    <col min="8969" max="8969" width="14.28515625" customWidth="1"/>
    <col min="8970" max="8970" width="14.140625" bestFit="1" customWidth="1"/>
    <col min="8971" max="8971" width="10.28515625" customWidth="1"/>
    <col min="8972" max="8972" width="11.140625" customWidth="1"/>
    <col min="8973" max="8973" width="10.28515625" customWidth="1"/>
    <col min="8974" max="8974" width="11.140625" customWidth="1"/>
    <col min="9217" max="9217" width="36.5703125" bestFit="1" customWidth="1"/>
    <col min="9218" max="9218" width="13.28515625" customWidth="1"/>
    <col min="9219" max="9219" width="5.85546875" customWidth="1"/>
    <col min="9220" max="9220" width="11.85546875" customWidth="1"/>
    <col min="9221" max="9221" width="12.5703125" customWidth="1"/>
    <col min="9222" max="9222" width="15" customWidth="1"/>
    <col min="9223" max="9223" width="12.85546875" customWidth="1"/>
    <col min="9224" max="9224" width="12.7109375" customWidth="1"/>
    <col min="9225" max="9225" width="14.28515625" customWidth="1"/>
    <col min="9226" max="9226" width="14.140625" bestFit="1" customWidth="1"/>
    <col min="9227" max="9227" width="10.28515625" customWidth="1"/>
    <col min="9228" max="9228" width="11.140625" customWidth="1"/>
    <col min="9229" max="9229" width="10.28515625" customWidth="1"/>
    <col min="9230" max="9230" width="11.140625" customWidth="1"/>
    <col min="9473" max="9473" width="36.5703125" bestFit="1" customWidth="1"/>
    <col min="9474" max="9474" width="13.28515625" customWidth="1"/>
    <col min="9475" max="9475" width="5.85546875" customWidth="1"/>
    <col min="9476" max="9476" width="11.85546875" customWidth="1"/>
    <col min="9477" max="9477" width="12.5703125" customWidth="1"/>
    <col min="9478" max="9478" width="15" customWidth="1"/>
    <col min="9479" max="9479" width="12.85546875" customWidth="1"/>
    <col min="9480" max="9480" width="12.7109375" customWidth="1"/>
    <col min="9481" max="9481" width="14.28515625" customWidth="1"/>
    <col min="9482" max="9482" width="14.140625" bestFit="1" customWidth="1"/>
    <col min="9483" max="9483" width="10.28515625" customWidth="1"/>
    <col min="9484" max="9484" width="11.140625" customWidth="1"/>
    <col min="9485" max="9485" width="10.28515625" customWidth="1"/>
    <col min="9486" max="9486" width="11.140625" customWidth="1"/>
    <col min="9729" max="9729" width="36.5703125" bestFit="1" customWidth="1"/>
    <col min="9730" max="9730" width="13.28515625" customWidth="1"/>
    <col min="9731" max="9731" width="5.85546875" customWidth="1"/>
    <col min="9732" max="9732" width="11.85546875" customWidth="1"/>
    <col min="9733" max="9733" width="12.5703125" customWidth="1"/>
    <col min="9734" max="9734" width="15" customWidth="1"/>
    <col min="9735" max="9735" width="12.85546875" customWidth="1"/>
    <col min="9736" max="9736" width="12.7109375" customWidth="1"/>
    <col min="9737" max="9737" width="14.28515625" customWidth="1"/>
    <col min="9738" max="9738" width="14.140625" bestFit="1" customWidth="1"/>
    <col min="9739" max="9739" width="10.28515625" customWidth="1"/>
    <col min="9740" max="9740" width="11.140625" customWidth="1"/>
    <col min="9741" max="9741" width="10.28515625" customWidth="1"/>
    <col min="9742" max="9742" width="11.140625" customWidth="1"/>
    <col min="9985" max="9985" width="36.5703125" bestFit="1" customWidth="1"/>
    <col min="9986" max="9986" width="13.28515625" customWidth="1"/>
    <col min="9987" max="9987" width="5.85546875" customWidth="1"/>
    <col min="9988" max="9988" width="11.85546875" customWidth="1"/>
    <col min="9989" max="9989" width="12.5703125" customWidth="1"/>
    <col min="9990" max="9990" width="15" customWidth="1"/>
    <col min="9991" max="9991" width="12.85546875" customWidth="1"/>
    <col min="9992" max="9992" width="12.7109375" customWidth="1"/>
    <col min="9993" max="9993" width="14.28515625" customWidth="1"/>
    <col min="9994" max="9994" width="14.140625" bestFit="1" customWidth="1"/>
    <col min="9995" max="9995" width="10.28515625" customWidth="1"/>
    <col min="9996" max="9996" width="11.140625" customWidth="1"/>
    <col min="9997" max="9997" width="10.28515625" customWidth="1"/>
    <col min="9998" max="9998" width="11.140625" customWidth="1"/>
    <col min="10241" max="10241" width="36.5703125" bestFit="1" customWidth="1"/>
    <col min="10242" max="10242" width="13.28515625" customWidth="1"/>
    <col min="10243" max="10243" width="5.85546875" customWidth="1"/>
    <col min="10244" max="10244" width="11.85546875" customWidth="1"/>
    <col min="10245" max="10245" width="12.5703125" customWidth="1"/>
    <col min="10246" max="10246" width="15" customWidth="1"/>
    <col min="10247" max="10247" width="12.85546875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28515625" customWidth="1"/>
    <col min="10252" max="10252" width="11.140625" customWidth="1"/>
    <col min="10253" max="10253" width="10.28515625" customWidth="1"/>
    <col min="10254" max="10254" width="11.140625" customWidth="1"/>
    <col min="10497" max="10497" width="36.5703125" bestFit="1" customWidth="1"/>
    <col min="10498" max="10498" width="13.28515625" customWidth="1"/>
    <col min="10499" max="10499" width="5.85546875" customWidth="1"/>
    <col min="10500" max="10500" width="11.85546875" customWidth="1"/>
    <col min="10501" max="10501" width="12.5703125" customWidth="1"/>
    <col min="10502" max="10502" width="15" customWidth="1"/>
    <col min="10503" max="10503" width="12.85546875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28515625" customWidth="1"/>
    <col min="10508" max="10508" width="11.140625" customWidth="1"/>
    <col min="10509" max="10509" width="10.28515625" customWidth="1"/>
    <col min="10510" max="10510" width="11.140625" customWidth="1"/>
    <col min="10753" max="10753" width="36.5703125" bestFit="1" customWidth="1"/>
    <col min="10754" max="10754" width="13.28515625" customWidth="1"/>
    <col min="10755" max="10755" width="5.85546875" customWidth="1"/>
    <col min="10756" max="10756" width="11.85546875" customWidth="1"/>
    <col min="10757" max="10757" width="12.5703125" customWidth="1"/>
    <col min="10758" max="10758" width="15" customWidth="1"/>
    <col min="10759" max="10759" width="12.85546875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28515625" customWidth="1"/>
    <col min="10764" max="10764" width="11.140625" customWidth="1"/>
    <col min="10765" max="10765" width="10.28515625" customWidth="1"/>
    <col min="10766" max="10766" width="11.140625" customWidth="1"/>
    <col min="11009" max="11009" width="36.5703125" bestFit="1" customWidth="1"/>
    <col min="11010" max="11010" width="13.28515625" customWidth="1"/>
    <col min="11011" max="11011" width="5.85546875" customWidth="1"/>
    <col min="11012" max="11012" width="11.85546875" customWidth="1"/>
    <col min="11013" max="11013" width="12.5703125" customWidth="1"/>
    <col min="11014" max="11014" width="15" customWidth="1"/>
    <col min="11015" max="11015" width="12.85546875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28515625" customWidth="1"/>
    <col min="11020" max="11020" width="11.140625" customWidth="1"/>
    <col min="11021" max="11021" width="10.28515625" customWidth="1"/>
    <col min="11022" max="11022" width="11.140625" customWidth="1"/>
    <col min="11265" max="11265" width="36.5703125" bestFit="1" customWidth="1"/>
    <col min="11266" max="11266" width="13.28515625" customWidth="1"/>
    <col min="11267" max="11267" width="5.85546875" customWidth="1"/>
    <col min="11268" max="11268" width="11.85546875" customWidth="1"/>
    <col min="11269" max="11269" width="12.5703125" customWidth="1"/>
    <col min="11270" max="11270" width="15" customWidth="1"/>
    <col min="11271" max="11271" width="12.85546875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28515625" customWidth="1"/>
    <col min="11276" max="11276" width="11.140625" customWidth="1"/>
    <col min="11277" max="11277" width="10.28515625" customWidth="1"/>
    <col min="11278" max="11278" width="11.140625" customWidth="1"/>
    <col min="11521" max="11521" width="36.5703125" bestFit="1" customWidth="1"/>
    <col min="11522" max="11522" width="13.28515625" customWidth="1"/>
    <col min="11523" max="11523" width="5.85546875" customWidth="1"/>
    <col min="11524" max="11524" width="11.85546875" customWidth="1"/>
    <col min="11525" max="11525" width="12.5703125" customWidth="1"/>
    <col min="11526" max="11526" width="15" customWidth="1"/>
    <col min="11527" max="11527" width="12.85546875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28515625" customWidth="1"/>
    <col min="11532" max="11532" width="11.140625" customWidth="1"/>
    <col min="11533" max="11533" width="10.28515625" customWidth="1"/>
    <col min="11534" max="11534" width="11.140625" customWidth="1"/>
    <col min="11777" max="11777" width="36.5703125" bestFit="1" customWidth="1"/>
    <col min="11778" max="11778" width="13.28515625" customWidth="1"/>
    <col min="11779" max="11779" width="5.85546875" customWidth="1"/>
    <col min="11780" max="11780" width="11.85546875" customWidth="1"/>
    <col min="11781" max="11781" width="12.5703125" customWidth="1"/>
    <col min="11782" max="11782" width="15" customWidth="1"/>
    <col min="11783" max="11783" width="12.85546875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28515625" customWidth="1"/>
    <col min="11788" max="11788" width="11.140625" customWidth="1"/>
    <col min="11789" max="11789" width="10.28515625" customWidth="1"/>
    <col min="11790" max="11790" width="11.140625" customWidth="1"/>
    <col min="12033" max="12033" width="36.5703125" bestFit="1" customWidth="1"/>
    <col min="12034" max="12034" width="13.28515625" customWidth="1"/>
    <col min="12035" max="12035" width="5.85546875" customWidth="1"/>
    <col min="12036" max="12036" width="11.85546875" customWidth="1"/>
    <col min="12037" max="12037" width="12.5703125" customWidth="1"/>
    <col min="12038" max="12038" width="15" customWidth="1"/>
    <col min="12039" max="12039" width="12.85546875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28515625" customWidth="1"/>
    <col min="12044" max="12044" width="11.140625" customWidth="1"/>
    <col min="12045" max="12045" width="10.28515625" customWidth="1"/>
    <col min="12046" max="12046" width="11.140625" customWidth="1"/>
    <col min="12289" max="12289" width="36.5703125" bestFit="1" customWidth="1"/>
    <col min="12290" max="12290" width="13.28515625" customWidth="1"/>
    <col min="12291" max="12291" width="5.85546875" customWidth="1"/>
    <col min="12292" max="12292" width="11.85546875" customWidth="1"/>
    <col min="12293" max="12293" width="12.5703125" customWidth="1"/>
    <col min="12294" max="12294" width="15" customWidth="1"/>
    <col min="12295" max="12295" width="12.85546875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28515625" customWidth="1"/>
    <col min="12300" max="12300" width="11.140625" customWidth="1"/>
    <col min="12301" max="12301" width="10.28515625" customWidth="1"/>
    <col min="12302" max="12302" width="11.140625" customWidth="1"/>
    <col min="12545" max="12545" width="36.5703125" bestFit="1" customWidth="1"/>
    <col min="12546" max="12546" width="13.28515625" customWidth="1"/>
    <col min="12547" max="12547" width="5.85546875" customWidth="1"/>
    <col min="12548" max="12548" width="11.85546875" customWidth="1"/>
    <col min="12549" max="12549" width="12.5703125" customWidth="1"/>
    <col min="12550" max="12550" width="15" customWidth="1"/>
    <col min="12551" max="12551" width="12.85546875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28515625" customWidth="1"/>
    <col min="12556" max="12556" width="11.140625" customWidth="1"/>
    <col min="12557" max="12557" width="10.28515625" customWidth="1"/>
    <col min="12558" max="12558" width="11.140625" customWidth="1"/>
    <col min="12801" max="12801" width="36.5703125" bestFit="1" customWidth="1"/>
    <col min="12802" max="12802" width="13.28515625" customWidth="1"/>
    <col min="12803" max="12803" width="5.85546875" customWidth="1"/>
    <col min="12804" max="12804" width="11.85546875" customWidth="1"/>
    <col min="12805" max="12805" width="12.5703125" customWidth="1"/>
    <col min="12806" max="12806" width="15" customWidth="1"/>
    <col min="12807" max="12807" width="12.85546875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28515625" customWidth="1"/>
    <col min="12812" max="12812" width="11.140625" customWidth="1"/>
    <col min="12813" max="12813" width="10.28515625" customWidth="1"/>
    <col min="12814" max="12814" width="11.140625" customWidth="1"/>
    <col min="13057" max="13057" width="36.5703125" bestFit="1" customWidth="1"/>
    <col min="13058" max="13058" width="13.28515625" customWidth="1"/>
    <col min="13059" max="13059" width="5.85546875" customWidth="1"/>
    <col min="13060" max="13060" width="11.85546875" customWidth="1"/>
    <col min="13061" max="13061" width="12.5703125" customWidth="1"/>
    <col min="13062" max="13062" width="15" customWidth="1"/>
    <col min="13063" max="13063" width="12.85546875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28515625" customWidth="1"/>
    <col min="13068" max="13068" width="11.140625" customWidth="1"/>
    <col min="13069" max="13069" width="10.28515625" customWidth="1"/>
    <col min="13070" max="13070" width="11.140625" customWidth="1"/>
    <col min="13313" max="13313" width="36.5703125" bestFit="1" customWidth="1"/>
    <col min="13314" max="13314" width="13.28515625" customWidth="1"/>
    <col min="13315" max="13315" width="5.85546875" customWidth="1"/>
    <col min="13316" max="13316" width="11.85546875" customWidth="1"/>
    <col min="13317" max="13317" width="12.5703125" customWidth="1"/>
    <col min="13318" max="13318" width="15" customWidth="1"/>
    <col min="13319" max="13319" width="12.85546875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28515625" customWidth="1"/>
    <col min="13324" max="13324" width="11.140625" customWidth="1"/>
    <col min="13325" max="13325" width="10.28515625" customWidth="1"/>
    <col min="13326" max="13326" width="11.140625" customWidth="1"/>
    <col min="13569" max="13569" width="36.5703125" bestFit="1" customWidth="1"/>
    <col min="13570" max="13570" width="13.28515625" customWidth="1"/>
    <col min="13571" max="13571" width="5.85546875" customWidth="1"/>
    <col min="13572" max="13572" width="11.85546875" customWidth="1"/>
    <col min="13573" max="13573" width="12.5703125" customWidth="1"/>
    <col min="13574" max="13574" width="15" customWidth="1"/>
    <col min="13575" max="13575" width="12.85546875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28515625" customWidth="1"/>
    <col min="13580" max="13580" width="11.140625" customWidth="1"/>
    <col min="13581" max="13581" width="10.28515625" customWidth="1"/>
    <col min="13582" max="13582" width="11.140625" customWidth="1"/>
    <col min="13825" max="13825" width="36.5703125" bestFit="1" customWidth="1"/>
    <col min="13826" max="13826" width="13.28515625" customWidth="1"/>
    <col min="13827" max="13827" width="5.85546875" customWidth="1"/>
    <col min="13828" max="13828" width="11.85546875" customWidth="1"/>
    <col min="13829" max="13829" width="12.5703125" customWidth="1"/>
    <col min="13830" max="13830" width="15" customWidth="1"/>
    <col min="13831" max="13831" width="12.85546875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28515625" customWidth="1"/>
    <col min="13836" max="13836" width="11.140625" customWidth="1"/>
    <col min="13837" max="13837" width="10.28515625" customWidth="1"/>
    <col min="13838" max="13838" width="11.140625" customWidth="1"/>
    <col min="14081" max="14081" width="36.5703125" bestFit="1" customWidth="1"/>
    <col min="14082" max="14082" width="13.28515625" customWidth="1"/>
    <col min="14083" max="14083" width="5.85546875" customWidth="1"/>
    <col min="14084" max="14084" width="11.85546875" customWidth="1"/>
    <col min="14085" max="14085" width="12.5703125" customWidth="1"/>
    <col min="14086" max="14086" width="15" customWidth="1"/>
    <col min="14087" max="14087" width="12.85546875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28515625" customWidth="1"/>
    <col min="14092" max="14092" width="11.140625" customWidth="1"/>
    <col min="14093" max="14093" width="10.28515625" customWidth="1"/>
    <col min="14094" max="14094" width="11.140625" customWidth="1"/>
    <col min="14337" max="14337" width="36.5703125" bestFit="1" customWidth="1"/>
    <col min="14338" max="14338" width="13.28515625" customWidth="1"/>
    <col min="14339" max="14339" width="5.85546875" customWidth="1"/>
    <col min="14340" max="14340" width="11.85546875" customWidth="1"/>
    <col min="14341" max="14341" width="12.5703125" customWidth="1"/>
    <col min="14342" max="14342" width="15" customWidth="1"/>
    <col min="14343" max="14343" width="12.85546875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28515625" customWidth="1"/>
    <col min="14348" max="14348" width="11.140625" customWidth="1"/>
    <col min="14349" max="14349" width="10.28515625" customWidth="1"/>
    <col min="14350" max="14350" width="11.140625" customWidth="1"/>
    <col min="14593" max="14593" width="36.5703125" bestFit="1" customWidth="1"/>
    <col min="14594" max="14594" width="13.28515625" customWidth="1"/>
    <col min="14595" max="14595" width="5.85546875" customWidth="1"/>
    <col min="14596" max="14596" width="11.85546875" customWidth="1"/>
    <col min="14597" max="14597" width="12.5703125" customWidth="1"/>
    <col min="14598" max="14598" width="15" customWidth="1"/>
    <col min="14599" max="14599" width="12.85546875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28515625" customWidth="1"/>
    <col min="14604" max="14604" width="11.140625" customWidth="1"/>
    <col min="14605" max="14605" width="10.28515625" customWidth="1"/>
    <col min="14606" max="14606" width="11.140625" customWidth="1"/>
    <col min="14849" max="14849" width="36.5703125" bestFit="1" customWidth="1"/>
    <col min="14850" max="14850" width="13.28515625" customWidth="1"/>
    <col min="14851" max="14851" width="5.85546875" customWidth="1"/>
    <col min="14852" max="14852" width="11.85546875" customWidth="1"/>
    <col min="14853" max="14853" width="12.5703125" customWidth="1"/>
    <col min="14854" max="14854" width="15" customWidth="1"/>
    <col min="14855" max="14855" width="12.85546875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28515625" customWidth="1"/>
    <col min="14860" max="14860" width="11.140625" customWidth="1"/>
    <col min="14861" max="14861" width="10.28515625" customWidth="1"/>
    <col min="14862" max="14862" width="11.140625" customWidth="1"/>
    <col min="15105" max="15105" width="36.5703125" bestFit="1" customWidth="1"/>
    <col min="15106" max="15106" width="13.28515625" customWidth="1"/>
    <col min="15107" max="15107" width="5.85546875" customWidth="1"/>
    <col min="15108" max="15108" width="11.85546875" customWidth="1"/>
    <col min="15109" max="15109" width="12.5703125" customWidth="1"/>
    <col min="15110" max="15110" width="15" customWidth="1"/>
    <col min="15111" max="15111" width="12.85546875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28515625" customWidth="1"/>
    <col min="15116" max="15116" width="11.140625" customWidth="1"/>
    <col min="15117" max="15117" width="10.28515625" customWidth="1"/>
    <col min="15118" max="15118" width="11.140625" customWidth="1"/>
    <col min="15361" max="15361" width="36.5703125" bestFit="1" customWidth="1"/>
    <col min="15362" max="15362" width="13.28515625" customWidth="1"/>
    <col min="15363" max="15363" width="5.85546875" customWidth="1"/>
    <col min="15364" max="15364" width="11.85546875" customWidth="1"/>
    <col min="15365" max="15365" width="12.5703125" customWidth="1"/>
    <col min="15366" max="15366" width="15" customWidth="1"/>
    <col min="15367" max="15367" width="12.85546875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28515625" customWidth="1"/>
    <col min="15372" max="15372" width="11.140625" customWidth="1"/>
    <col min="15373" max="15373" width="10.28515625" customWidth="1"/>
    <col min="15374" max="15374" width="11.140625" customWidth="1"/>
    <col min="15617" max="15617" width="36.5703125" bestFit="1" customWidth="1"/>
    <col min="15618" max="15618" width="13.28515625" customWidth="1"/>
    <col min="15619" max="15619" width="5.85546875" customWidth="1"/>
    <col min="15620" max="15620" width="11.85546875" customWidth="1"/>
    <col min="15621" max="15621" width="12.5703125" customWidth="1"/>
    <col min="15622" max="15622" width="15" customWidth="1"/>
    <col min="15623" max="15623" width="12.85546875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28515625" customWidth="1"/>
    <col min="15628" max="15628" width="11.140625" customWidth="1"/>
    <col min="15629" max="15629" width="10.28515625" customWidth="1"/>
    <col min="15630" max="15630" width="11.140625" customWidth="1"/>
    <col min="15873" max="15873" width="36.5703125" bestFit="1" customWidth="1"/>
    <col min="15874" max="15874" width="13.28515625" customWidth="1"/>
    <col min="15875" max="15875" width="5.85546875" customWidth="1"/>
    <col min="15876" max="15876" width="11.85546875" customWidth="1"/>
    <col min="15877" max="15877" width="12.5703125" customWidth="1"/>
    <col min="15878" max="15878" width="15" customWidth="1"/>
    <col min="15879" max="15879" width="12.85546875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28515625" customWidth="1"/>
    <col min="15884" max="15884" width="11.140625" customWidth="1"/>
    <col min="15885" max="15885" width="10.28515625" customWidth="1"/>
    <col min="15886" max="15886" width="11.140625" customWidth="1"/>
    <col min="16129" max="16129" width="36.5703125" bestFit="1" customWidth="1"/>
    <col min="16130" max="16130" width="13.28515625" customWidth="1"/>
    <col min="16131" max="16131" width="5.85546875" customWidth="1"/>
    <col min="16132" max="16132" width="11.85546875" customWidth="1"/>
    <col min="16133" max="16133" width="12.5703125" customWidth="1"/>
    <col min="16134" max="16134" width="15" customWidth="1"/>
    <col min="16135" max="16135" width="12.85546875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28515625" customWidth="1"/>
    <col min="16140" max="16140" width="11.140625" customWidth="1"/>
    <col min="16141" max="16141" width="10.28515625" customWidth="1"/>
    <col min="16142" max="16142" width="11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593" t="s">
        <v>3853</v>
      </c>
      <c r="C5" s="1594"/>
      <c r="D5" s="1594"/>
      <c r="E5" s="1595"/>
      <c r="F5" s="326" t="s">
        <v>171</v>
      </c>
      <c r="G5" s="326"/>
      <c r="H5" s="1651" t="s">
        <v>3852</v>
      </c>
      <c r="I5" s="1600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3839</v>
      </c>
      <c r="C7" s="1594"/>
      <c r="D7" s="1594"/>
      <c r="E7" s="1595"/>
      <c r="F7" s="1596" t="s">
        <v>3208</v>
      </c>
      <c r="G7" s="1596"/>
      <c r="H7" s="1593" t="s">
        <v>3851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 t="s">
        <v>3839</v>
      </c>
      <c r="C9" s="1594"/>
      <c r="D9" s="1594"/>
      <c r="E9" s="1595"/>
      <c r="F9" s="1601" t="s">
        <v>3205</v>
      </c>
      <c r="G9" s="1602"/>
      <c r="H9" s="1603" t="s">
        <v>3850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3849</v>
      </c>
      <c r="C13" s="1612"/>
      <c r="D13" s="1612" t="s">
        <v>3848</v>
      </c>
      <c r="E13" s="1612"/>
      <c r="F13" s="1612"/>
      <c r="G13" s="1612" t="s">
        <v>3847</v>
      </c>
      <c r="H13" s="1612"/>
      <c r="I13" s="1612"/>
      <c r="J13" s="1612" t="s">
        <v>3846</v>
      </c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3845</v>
      </c>
      <c r="C14" s="1612"/>
      <c r="D14" s="1612" t="s">
        <v>3844</v>
      </c>
      <c r="E14" s="1612"/>
      <c r="F14" s="1612"/>
      <c r="G14" s="1612" t="s">
        <v>2438</v>
      </c>
      <c r="H14" s="1612"/>
      <c r="I14" s="1612"/>
      <c r="J14" s="1612" t="s">
        <v>2438</v>
      </c>
      <c r="K14" s="1612"/>
      <c r="L14" s="1612"/>
      <c r="M14" s="1612"/>
      <c r="N14" s="326"/>
    </row>
    <row r="15" spans="1:14" ht="31.5" customHeight="1">
      <c r="A15" s="631" t="s">
        <v>192</v>
      </c>
      <c r="B15" s="1612" t="s">
        <v>3843</v>
      </c>
      <c r="C15" s="1612"/>
      <c r="D15" s="1612" t="s">
        <v>3842</v>
      </c>
      <c r="E15" s="1612"/>
      <c r="F15" s="1612"/>
      <c r="G15" s="1612" t="s">
        <v>3841</v>
      </c>
      <c r="H15" s="1612"/>
      <c r="I15" s="1612"/>
      <c r="J15" s="1612" t="s">
        <v>3840</v>
      </c>
      <c r="K15" s="1612"/>
      <c r="L15" s="1612"/>
      <c r="M15" s="1612"/>
      <c r="N15" s="326"/>
    </row>
    <row r="16" spans="1:14" ht="31.5" customHeight="1">
      <c r="A16" s="631" t="s">
        <v>197</v>
      </c>
      <c r="B16" s="1612" t="s">
        <v>2438</v>
      </c>
      <c r="C16" s="1612"/>
      <c r="D16" s="1612" t="s">
        <v>2438</v>
      </c>
      <c r="E16" s="1612"/>
      <c r="F16" s="1612"/>
      <c r="G16" s="1612" t="s">
        <v>3839</v>
      </c>
      <c r="H16" s="1612"/>
      <c r="I16" s="1612"/>
      <c r="J16" s="1612" t="s">
        <v>2438</v>
      </c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4</v>
      </c>
      <c r="C18" s="326" t="s">
        <v>199</v>
      </c>
      <c r="D18" s="326"/>
      <c r="E18" s="326"/>
      <c r="F18" s="631">
        <v>2</v>
      </c>
      <c r="G18" s="326" t="s">
        <v>200</v>
      </c>
      <c r="H18" s="632">
        <v>4</v>
      </c>
      <c r="I18" s="326" t="s">
        <v>201</v>
      </c>
      <c r="J18" s="632">
        <v>1</v>
      </c>
      <c r="K18" s="326" t="s">
        <v>202</v>
      </c>
      <c r="L18" s="631">
        <v>5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42</v>
      </c>
      <c r="D21" s="326" t="s">
        <v>205</v>
      </c>
      <c r="E21" s="631">
        <v>0</v>
      </c>
      <c r="F21" s="326" t="s">
        <v>206</v>
      </c>
      <c r="G21" s="80">
        <v>0</v>
      </c>
      <c r="H21" s="326" t="s">
        <v>230</v>
      </c>
      <c r="I21" s="631">
        <v>42</v>
      </c>
      <c r="J21" s="326" t="s">
        <v>207</v>
      </c>
      <c r="K21" s="631">
        <v>2</v>
      </c>
      <c r="L21" s="326" t="s">
        <v>3187</v>
      </c>
      <c r="M21" s="326"/>
      <c r="N21" s="631">
        <v>6</v>
      </c>
    </row>
    <row r="22" spans="1:14" ht="21.75" customHeight="1">
      <c r="A22" s="326" t="s">
        <v>209</v>
      </c>
      <c r="B22" s="326" t="s">
        <v>210</v>
      </c>
      <c r="C22" s="631">
        <v>120</v>
      </c>
      <c r="D22" s="326" t="s">
        <v>211</v>
      </c>
      <c r="E22" s="631">
        <v>0</v>
      </c>
      <c r="F22" s="326" t="s">
        <v>212</v>
      </c>
      <c r="G22" s="80">
        <v>0</v>
      </c>
      <c r="H22" s="326" t="s">
        <v>411</v>
      </c>
      <c r="I22" s="80">
        <v>120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95</v>
      </c>
      <c r="D23" s="326" t="s">
        <v>214</v>
      </c>
      <c r="E23" s="631">
        <v>0</v>
      </c>
      <c r="F23" s="326" t="s">
        <v>215</v>
      </c>
      <c r="G23" s="80">
        <v>0</v>
      </c>
      <c r="H23" s="326" t="s">
        <v>410</v>
      </c>
      <c r="I23" s="80">
        <v>95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2">
        <v>663700</v>
      </c>
      <c r="F29" s="322">
        <v>0</v>
      </c>
      <c r="G29" s="322">
        <v>163700</v>
      </c>
      <c r="H29" s="322"/>
      <c r="I29" s="322"/>
      <c r="J29" s="322"/>
      <c r="K29" s="322"/>
      <c r="L29" s="322"/>
      <c r="M29" s="322">
        <f t="shared" ref="M29:M38" si="0">SUM(F29:L29)</f>
        <v>163700</v>
      </c>
      <c r="N29" s="323">
        <f>+M29/E29%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/>
      <c r="F30" s="322">
        <v>0</v>
      </c>
      <c r="G30" s="322">
        <v>0</v>
      </c>
      <c r="H30" s="322"/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2">
        <v>0</v>
      </c>
      <c r="G31" s="322">
        <v>18000</v>
      </c>
      <c r="H31" s="322"/>
      <c r="I31" s="322"/>
      <c r="J31" s="322"/>
      <c r="K31" s="322"/>
      <c r="L31" s="322"/>
      <c r="M31" s="322">
        <f t="shared" si="0"/>
        <v>18000</v>
      </c>
      <c r="N31" s="323">
        <f>+M31/E31%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2">
        <v>0</v>
      </c>
      <c r="G32" s="322">
        <v>16000</v>
      </c>
      <c r="H32" s="322"/>
      <c r="I32" s="322"/>
      <c r="J32" s="322"/>
      <c r="K32" s="322"/>
      <c r="L32" s="322"/>
      <c r="M32" s="322">
        <f t="shared" si="0"/>
        <v>16000</v>
      </c>
      <c r="N32" s="323">
        <f>+M32/E32%</f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2">
        <v>200000</v>
      </c>
      <c r="F33" s="322">
        <v>0</v>
      </c>
      <c r="G33" s="322">
        <v>96920</v>
      </c>
      <c r="H33" s="322"/>
      <c r="I33" s="322"/>
      <c r="J33" s="322"/>
      <c r="K33" s="322"/>
      <c r="L33" s="322"/>
      <c r="M33" s="322">
        <f t="shared" si="0"/>
        <v>96920</v>
      </c>
      <c r="N33" s="323">
        <f>+M33/E33%</f>
        <v>48.46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2">
        <v>150000</v>
      </c>
      <c r="F34" s="322">
        <v>0</v>
      </c>
      <c r="G34" s="322">
        <v>26400</v>
      </c>
      <c r="H34" s="322"/>
      <c r="I34" s="322"/>
      <c r="J34" s="322"/>
      <c r="K34" s="322"/>
      <c r="L34" s="322"/>
      <c r="M34" s="322">
        <f t="shared" si="0"/>
        <v>26400</v>
      </c>
      <c r="N34" s="323">
        <f>+M34/E34%</f>
        <v>17.600000000000001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2"/>
      <c r="F35" s="322">
        <v>0</v>
      </c>
      <c r="G35" s="322">
        <v>0</v>
      </c>
      <c r="H35" s="322"/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2">
        <v>0</v>
      </c>
      <c r="G36" s="322">
        <v>22000</v>
      </c>
      <c r="H36" s="322"/>
      <c r="I36" s="322"/>
      <c r="J36" s="322"/>
      <c r="K36" s="322"/>
      <c r="L36" s="322"/>
      <c r="M36" s="322">
        <f t="shared" si="0"/>
        <v>22000</v>
      </c>
      <c r="N36" s="323">
        <f>+M36/E36%</f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>
        <v>0</v>
      </c>
      <c r="F37" s="322">
        <v>0</v>
      </c>
      <c r="G37" s="322">
        <v>0</v>
      </c>
      <c r="H37" s="322"/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1">SUM(D29:D37)</f>
        <v>62.635000000000005</v>
      </c>
      <c r="E38" s="321">
        <f t="shared" si="1"/>
        <v>1077950</v>
      </c>
      <c r="F38" s="321">
        <f t="shared" si="1"/>
        <v>0</v>
      </c>
      <c r="G38" s="321">
        <f t="shared" si="1"/>
        <v>343020</v>
      </c>
      <c r="H38" s="321">
        <f t="shared" si="1"/>
        <v>0</v>
      </c>
      <c r="I38" s="321">
        <f t="shared" si="1"/>
        <v>0</v>
      </c>
      <c r="J38" s="321">
        <f t="shared" si="1"/>
        <v>0</v>
      </c>
      <c r="K38" s="321">
        <f t="shared" si="1"/>
        <v>0</v>
      </c>
      <c r="L38" s="321">
        <f t="shared" si="1"/>
        <v>0</v>
      </c>
      <c r="M38" s="631">
        <f t="shared" si="0"/>
        <v>343020</v>
      </c>
      <c r="N38" s="334">
        <f>+M38/E38%</f>
        <v>31.821513057191893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496062992125984" bottom="0.27559055118110237" header="0.39370078740157483" footer="0.31496062992125984"/>
  <pageSetup paperSize="9" scale="70" orientation="landscape" r:id="rId1"/>
</worksheet>
</file>

<file path=xl/worksheets/sheet35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N42"/>
  <sheetViews>
    <sheetView zoomScale="70" zoomScaleNormal="7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5.85546875" customWidth="1"/>
    <col min="4" max="4" width="11.85546875" customWidth="1"/>
    <col min="5" max="5" width="14.28515625" customWidth="1"/>
    <col min="6" max="6" width="15" customWidth="1"/>
    <col min="7" max="7" width="12.85546875" customWidth="1"/>
    <col min="8" max="8" width="12.7109375" customWidth="1"/>
    <col min="9" max="9" width="14.28515625" customWidth="1"/>
    <col min="10" max="10" width="14.140625" bestFit="1" customWidth="1"/>
    <col min="11" max="11" width="11.7109375" customWidth="1"/>
    <col min="12" max="12" width="11.140625" customWidth="1"/>
    <col min="13" max="13" width="10.28515625" customWidth="1"/>
    <col min="14" max="14" width="9.85546875" customWidth="1"/>
    <col min="257" max="257" width="36.5703125" bestFit="1" customWidth="1"/>
    <col min="258" max="258" width="13.28515625" customWidth="1"/>
    <col min="259" max="259" width="5.85546875" customWidth="1"/>
    <col min="260" max="260" width="11.85546875" customWidth="1"/>
    <col min="261" max="261" width="14.28515625" customWidth="1"/>
    <col min="262" max="262" width="15" customWidth="1"/>
    <col min="263" max="263" width="12.85546875" customWidth="1"/>
    <col min="264" max="264" width="12.7109375" customWidth="1"/>
    <col min="265" max="265" width="14.28515625" customWidth="1"/>
    <col min="266" max="266" width="14.140625" bestFit="1" customWidth="1"/>
    <col min="267" max="267" width="11.7109375" customWidth="1"/>
    <col min="268" max="268" width="11.140625" customWidth="1"/>
    <col min="269" max="269" width="10.28515625" customWidth="1"/>
    <col min="270" max="270" width="9.85546875" customWidth="1"/>
    <col min="513" max="513" width="36.5703125" bestFit="1" customWidth="1"/>
    <col min="514" max="514" width="13.28515625" customWidth="1"/>
    <col min="515" max="515" width="5.85546875" customWidth="1"/>
    <col min="516" max="516" width="11.85546875" customWidth="1"/>
    <col min="517" max="517" width="14.28515625" customWidth="1"/>
    <col min="518" max="518" width="15" customWidth="1"/>
    <col min="519" max="519" width="12.85546875" customWidth="1"/>
    <col min="520" max="520" width="12.7109375" customWidth="1"/>
    <col min="521" max="521" width="14.28515625" customWidth="1"/>
    <col min="522" max="522" width="14.140625" bestFit="1" customWidth="1"/>
    <col min="523" max="523" width="11.7109375" customWidth="1"/>
    <col min="524" max="524" width="11.140625" customWidth="1"/>
    <col min="525" max="525" width="10.28515625" customWidth="1"/>
    <col min="526" max="526" width="9.85546875" customWidth="1"/>
    <col min="769" max="769" width="36.5703125" bestFit="1" customWidth="1"/>
    <col min="770" max="770" width="13.28515625" customWidth="1"/>
    <col min="771" max="771" width="5.85546875" customWidth="1"/>
    <col min="772" max="772" width="11.85546875" customWidth="1"/>
    <col min="773" max="773" width="14.28515625" customWidth="1"/>
    <col min="774" max="774" width="15" customWidth="1"/>
    <col min="775" max="775" width="12.85546875" customWidth="1"/>
    <col min="776" max="776" width="12.7109375" customWidth="1"/>
    <col min="777" max="777" width="14.28515625" customWidth="1"/>
    <col min="778" max="778" width="14.140625" bestFit="1" customWidth="1"/>
    <col min="779" max="779" width="11.7109375" customWidth="1"/>
    <col min="780" max="780" width="11.140625" customWidth="1"/>
    <col min="781" max="781" width="10.28515625" customWidth="1"/>
    <col min="782" max="782" width="9.85546875" customWidth="1"/>
    <col min="1025" max="1025" width="36.5703125" bestFit="1" customWidth="1"/>
    <col min="1026" max="1026" width="13.28515625" customWidth="1"/>
    <col min="1027" max="1027" width="5.85546875" customWidth="1"/>
    <col min="1028" max="1028" width="11.85546875" customWidth="1"/>
    <col min="1029" max="1029" width="14.28515625" customWidth="1"/>
    <col min="1030" max="1030" width="15" customWidth="1"/>
    <col min="1031" max="1031" width="12.85546875" customWidth="1"/>
    <col min="1032" max="1032" width="12.7109375" customWidth="1"/>
    <col min="1033" max="1033" width="14.28515625" customWidth="1"/>
    <col min="1034" max="1034" width="14.140625" bestFit="1" customWidth="1"/>
    <col min="1035" max="1035" width="11.7109375" customWidth="1"/>
    <col min="1036" max="1036" width="11.140625" customWidth="1"/>
    <col min="1037" max="1037" width="10.28515625" customWidth="1"/>
    <col min="1038" max="1038" width="9.85546875" customWidth="1"/>
    <col min="1281" max="1281" width="36.5703125" bestFit="1" customWidth="1"/>
    <col min="1282" max="1282" width="13.28515625" customWidth="1"/>
    <col min="1283" max="1283" width="5.85546875" customWidth="1"/>
    <col min="1284" max="1284" width="11.85546875" customWidth="1"/>
    <col min="1285" max="1285" width="14.28515625" customWidth="1"/>
    <col min="1286" max="1286" width="15" customWidth="1"/>
    <col min="1287" max="1287" width="12.85546875" customWidth="1"/>
    <col min="1288" max="1288" width="12.7109375" customWidth="1"/>
    <col min="1289" max="1289" width="14.28515625" customWidth="1"/>
    <col min="1290" max="1290" width="14.140625" bestFit="1" customWidth="1"/>
    <col min="1291" max="1291" width="11.7109375" customWidth="1"/>
    <col min="1292" max="1292" width="11.140625" customWidth="1"/>
    <col min="1293" max="1293" width="10.28515625" customWidth="1"/>
    <col min="1294" max="1294" width="9.85546875" customWidth="1"/>
    <col min="1537" max="1537" width="36.5703125" bestFit="1" customWidth="1"/>
    <col min="1538" max="1538" width="13.28515625" customWidth="1"/>
    <col min="1539" max="1539" width="5.85546875" customWidth="1"/>
    <col min="1540" max="1540" width="11.85546875" customWidth="1"/>
    <col min="1541" max="1541" width="14.28515625" customWidth="1"/>
    <col min="1542" max="1542" width="15" customWidth="1"/>
    <col min="1543" max="1543" width="12.85546875" customWidth="1"/>
    <col min="1544" max="1544" width="12.7109375" customWidth="1"/>
    <col min="1545" max="1545" width="14.28515625" customWidth="1"/>
    <col min="1546" max="1546" width="14.140625" bestFit="1" customWidth="1"/>
    <col min="1547" max="1547" width="11.7109375" customWidth="1"/>
    <col min="1548" max="1548" width="11.140625" customWidth="1"/>
    <col min="1549" max="1549" width="10.28515625" customWidth="1"/>
    <col min="1550" max="1550" width="9.85546875" customWidth="1"/>
    <col min="1793" max="1793" width="36.5703125" bestFit="1" customWidth="1"/>
    <col min="1794" max="1794" width="13.28515625" customWidth="1"/>
    <col min="1795" max="1795" width="5.85546875" customWidth="1"/>
    <col min="1796" max="1796" width="11.85546875" customWidth="1"/>
    <col min="1797" max="1797" width="14.28515625" customWidth="1"/>
    <col min="1798" max="1798" width="15" customWidth="1"/>
    <col min="1799" max="1799" width="12.85546875" customWidth="1"/>
    <col min="1800" max="1800" width="12.7109375" customWidth="1"/>
    <col min="1801" max="1801" width="14.28515625" customWidth="1"/>
    <col min="1802" max="1802" width="14.140625" bestFit="1" customWidth="1"/>
    <col min="1803" max="1803" width="11.7109375" customWidth="1"/>
    <col min="1804" max="1804" width="11.140625" customWidth="1"/>
    <col min="1805" max="1805" width="10.28515625" customWidth="1"/>
    <col min="1806" max="1806" width="9.85546875" customWidth="1"/>
    <col min="2049" max="2049" width="36.5703125" bestFit="1" customWidth="1"/>
    <col min="2050" max="2050" width="13.28515625" customWidth="1"/>
    <col min="2051" max="2051" width="5.85546875" customWidth="1"/>
    <col min="2052" max="2052" width="11.85546875" customWidth="1"/>
    <col min="2053" max="2053" width="14.28515625" customWidth="1"/>
    <col min="2054" max="2054" width="15" customWidth="1"/>
    <col min="2055" max="2055" width="12.85546875" customWidth="1"/>
    <col min="2056" max="2056" width="12.7109375" customWidth="1"/>
    <col min="2057" max="2057" width="14.28515625" customWidth="1"/>
    <col min="2058" max="2058" width="14.140625" bestFit="1" customWidth="1"/>
    <col min="2059" max="2059" width="11.7109375" customWidth="1"/>
    <col min="2060" max="2060" width="11.140625" customWidth="1"/>
    <col min="2061" max="2061" width="10.28515625" customWidth="1"/>
    <col min="2062" max="2062" width="9.85546875" customWidth="1"/>
    <col min="2305" max="2305" width="36.5703125" bestFit="1" customWidth="1"/>
    <col min="2306" max="2306" width="13.28515625" customWidth="1"/>
    <col min="2307" max="2307" width="5.85546875" customWidth="1"/>
    <col min="2308" max="2308" width="11.85546875" customWidth="1"/>
    <col min="2309" max="2309" width="14.28515625" customWidth="1"/>
    <col min="2310" max="2310" width="15" customWidth="1"/>
    <col min="2311" max="2311" width="12.85546875" customWidth="1"/>
    <col min="2312" max="2312" width="12.7109375" customWidth="1"/>
    <col min="2313" max="2313" width="14.28515625" customWidth="1"/>
    <col min="2314" max="2314" width="14.140625" bestFit="1" customWidth="1"/>
    <col min="2315" max="2315" width="11.7109375" customWidth="1"/>
    <col min="2316" max="2316" width="11.140625" customWidth="1"/>
    <col min="2317" max="2317" width="10.28515625" customWidth="1"/>
    <col min="2318" max="2318" width="9.85546875" customWidth="1"/>
    <col min="2561" max="2561" width="36.5703125" bestFit="1" customWidth="1"/>
    <col min="2562" max="2562" width="13.28515625" customWidth="1"/>
    <col min="2563" max="2563" width="5.85546875" customWidth="1"/>
    <col min="2564" max="2564" width="11.85546875" customWidth="1"/>
    <col min="2565" max="2565" width="14.28515625" customWidth="1"/>
    <col min="2566" max="2566" width="15" customWidth="1"/>
    <col min="2567" max="2567" width="12.85546875" customWidth="1"/>
    <col min="2568" max="2568" width="12.7109375" customWidth="1"/>
    <col min="2569" max="2569" width="14.28515625" customWidth="1"/>
    <col min="2570" max="2570" width="14.140625" bestFit="1" customWidth="1"/>
    <col min="2571" max="2571" width="11.7109375" customWidth="1"/>
    <col min="2572" max="2572" width="11.140625" customWidth="1"/>
    <col min="2573" max="2573" width="10.28515625" customWidth="1"/>
    <col min="2574" max="2574" width="9.85546875" customWidth="1"/>
    <col min="2817" max="2817" width="36.5703125" bestFit="1" customWidth="1"/>
    <col min="2818" max="2818" width="13.28515625" customWidth="1"/>
    <col min="2819" max="2819" width="5.85546875" customWidth="1"/>
    <col min="2820" max="2820" width="11.85546875" customWidth="1"/>
    <col min="2821" max="2821" width="14.28515625" customWidth="1"/>
    <col min="2822" max="2822" width="15" customWidth="1"/>
    <col min="2823" max="2823" width="12.85546875" customWidth="1"/>
    <col min="2824" max="2824" width="12.7109375" customWidth="1"/>
    <col min="2825" max="2825" width="14.28515625" customWidth="1"/>
    <col min="2826" max="2826" width="14.140625" bestFit="1" customWidth="1"/>
    <col min="2827" max="2827" width="11.7109375" customWidth="1"/>
    <col min="2828" max="2828" width="11.140625" customWidth="1"/>
    <col min="2829" max="2829" width="10.28515625" customWidth="1"/>
    <col min="2830" max="2830" width="9.85546875" customWidth="1"/>
    <col min="3073" max="3073" width="36.5703125" bestFit="1" customWidth="1"/>
    <col min="3074" max="3074" width="13.28515625" customWidth="1"/>
    <col min="3075" max="3075" width="5.85546875" customWidth="1"/>
    <col min="3076" max="3076" width="11.85546875" customWidth="1"/>
    <col min="3077" max="3077" width="14.28515625" customWidth="1"/>
    <col min="3078" max="3078" width="15" customWidth="1"/>
    <col min="3079" max="3079" width="12.85546875" customWidth="1"/>
    <col min="3080" max="3080" width="12.7109375" customWidth="1"/>
    <col min="3081" max="3081" width="14.28515625" customWidth="1"/>
    <col min="3082" max="3082" width="14.140625" bestFit="1" customWidth="1"/>
    <col min="3083" max="3083" width="11.7109375" customWidth="1"/>
    <col min="3084" max="3084" width="11.140625" customWidth="1"/>
    <col min="3085" max="3085" width="10.28515625" customWidth="1"/>
    <col min="3086" max="3086" width="9.85546875" customWidth="1"/>
    <col min="3329" max="3329" width="36.5703125" bestFit="1" customWidth="1"/>
    <col min="3330" max="3330" width="13.28515625" customWidth="1"/>
    <col min="3331" max="3331" width="5.85546875" customWidth="1"/>
    <col min="3332" max="3332" width="11.85546875" customWidth="1"/>
    <col min="3333" max="3333" width="14.28515625" customWidth="1"/>
    <col min="3334" max="3334" width="15" customWidth="1"/>
    <col min="3335" max="3335" width="12.85546875" customWidth="1"/>
    <col min="3336" max="3336" width="12.7109375" customWidth="1"/>
    <col min="3337" max="3337" width="14.28515625" customWidth="1"/>
    <col min="3338" max="3338" width="14.140625" bestFit="1" customWidth="1"/>
    <col min="3339" max="3339" width="11.7109375" customWidth="1"/>
    <col min="3340" max="3340" width="11.140625" customWidth="1"/>
    <col min="3341" max="3341" width="10.28515625" customWidth="1"/>
    <col min="3342" max="3342" width="9.85546875" customWidth="1"/>
    <col min="3585" max="3585" width="36.5703125" bestFit="1" customWidth="1"/>
    <col min="3586" max="3586" width="13.28515625" customWidth="1"/>
    <col min="3587" max="3587" width="5.85546875" customWidth="1"/>
    <col min="3588" max="3588" width="11.85546875" customWidth="1"/>
    <col min="3589" max="3589" width="14.28515625" customWidth="1"/>
    <col min="3590" max="3590" width="15" customWidth="1"/>
    <col min="3591" max="3591" width="12.85546875" customWidth="1"/>
    <col min="3592" max="3592" width="12.7109375" customWidth="1"/>
    <col min="3593" max="3593" width="14.28515625" customWidth="1"/>
    <col min="3594" max="3594" width="14.140625" bestFit="1" customWidth="1"/>
    <col min="3595" max="3595" width="11.7109375" customWidth="1"/>
    <col min="3596" max="3596" width="11.140625" customWidth="1"/>
    <col min="3597" max="3597" width="10.28515625" customWidth="1"/>
    <col min="3598" max="3598" width="9.85546875" customWidth="1"/>
    <col min="3841" max="3841" width="36.5703125" bestFit="1" customWidth="1"/>
    <col min="3842" max="3842" width="13.28515625" customWidth="1"/>
    <col min="3843" max="3843" width="5.85546875" customWidth="1"/>
    <col min="3844" max="3844" width="11.85546875" customWidth="1"/>
    <col min="3845" max="3845" width="14.28515625" customWidth="1"/>
    <col min="3846" max="3846" width="15" customWidth="1"/>
    <col min="3847" max="3847" width="12.85546875" customWidth="1"/>
    <col min="3848" max="3848" width="12.7109375" customWidth="1"/>
    <col min="3849" max="3849" width="14.28515625" customWidth="1"/>
    <col min="3850" max="3850" width="14.140625" bestFit="1" customWidth="1"/>
    <col min="3851" max="3851" width="11.7109375" customWidth="1"/>
    <col min="3852" max="3852" width="11.140625" customWidth="1"/>
    <col min="3853" max="3853" width="10.28515625" customWidth="1"/>
    <col min="3854" max="3854" width="9.85546875" customWidth="1"/>
    <col min="4097" max="4097" width="36.5703125" bestFit="1" customWidth="1"/>
    <col min="4098" max="4098" width="13.28515625" customWidth="1"/>
    <col min="4099" max="4099" width="5.85546875" customWidth="1"/>
    <col min="4100" max="4100" width="11.85546875" customWidth="1"/>
    <col min="4101" max="4101" width="14.28515625" customWidth="1"/>
    <col min="4102" max="4102" width="15" customWidth="1"/>
    <col min="4103" max="4103" width="12.85546875" customWidth="1"/>
    <col min="4104" max="4104" width="12.7109375" customWidth="1"/>
    <col min="4105" max="4105" width="14.28515625" customWidth="1"/>
    <col min="4106" max="4106" width="14.140625" bestFit="1" customWidth="1"/>
    <col min="4107" max="4107" width="11.7109375" customWidth="1"/>
    <col min="4108" max="4108" width="11.140625" customWidth="1"/>
    <col min="4109" max="4109" width="10.28515625" customWidth="1"/>
    <col min="4110" max="4110" width="9.85546875" customWidth="1"/>
    <col min="4353" max="4353" width="36.5703125" bestFit="1" customWidth="1"/>
    <col min="4354" max="4354" width="13.28515625" customWidth="1"/>
    <col min="4355" max="4355" width="5.85546875" customWidth="1"/>
    <col min="4356" max="4356" width="11.85546875" customWidth="1"/>
    <col min="4357" max="4357" width="14.28515625" customWidth="1"/>
    <col min="4358" max="4358" width="15" customWidth="1"/>
    <col min="4359" max="4359" width="12.85546875" customWidth="1"/>
    <col min="4360" max="4360" width="12.7109375" customWidth="1"/>
    <col min="4361" max="4361" width="14.28515625" customWidth="1"/>
    <col min="4362" max="4362" width="14.140625" bestFit="1" customWidth="1"/>
    <col min="4363" max="4363" width="11.7109375" customWidth="1"/>
    <col min="4364" max="4364" width="11.140625" customWidth="1"/>
    <col min="4365" max="4365" width="10.28515625" customWidth="1"/>
    <col min="4366" max="4366" width="9.85546875" customWidth="1"/>
    <col min="4609" max="4609" width="36.5703125" bestFit="1" customWidth="1"/>
    <col min="4610" max="4610" width="13.28515625" customWidth="1"/>
    <col min="4611" max="4611" width="5.85546875" customWidth="1"/>
    <col min="4612" max="4612" width="11.85546875" customWidth="1"/>
    <col min="4613" max="4613" width="14.28515625" customWidth="1"/>
    <col min="4614" max="4614" width="15" customWidth="1"/>
    <col min="4615" max="4615" width="12.85546875" customWidth="1"/>
    <col min="4616" max="4616" width="12.7109375" customWidth="1"/>
    <col min="4617" max="4617" width="14.28515625" customWidth="1"/>
    <col min="4618" max="4618" width="14.140625" bestFit="1" customWidth="1"/>
    <col min="4619" max="4619" width="11.7109375" customWidth="1"/>
    <col min="4620" max="4620" width="11.140625" customWidth="1"/>
    <col min="4621" max="4621" width="10.28515625" customWidth="1"/>
    <col min="4622" max="4622" width="9.85546875" customWidth="1"/>
    <col min="4865" max="4865" width="36.5703125" bestFit="1" customWidth="1"/>
    <col min="4866" max="4866" width="13.28515625" customWidth="1"/>
    <col min="4867" max="4867" width="5.85546875" customWidth="1"/>
    <col min="4868" max="4868" width="11.85546875" customWidth="1"/>
    <col min="4869" max="4869" width="14.28515625" customWidth="1"/>
    <col min="4870" max="4870" width="15" customWidth="1"/>
    <col min="4871" max="4871" width="12.85546875" customWidth="1"/>
    <col min="4872" max="4872" width="12.7109375" customWidth="1"/>
    <col min="4873" max="4873" width="14.28515625" customWidth="1"/>
    <col min="4874" max="4874" width="14.140625" bestFit="1" customWidth="1"/>
    <col min="4875" max="4875" width="11.7109375" customWidth="1"/>
    <col min="4876" max="4876" width="11.140625" customWidth="1"/>
    <col min="4877" max="4877" width="10.28515625" customWidth="1"/>
    <col min="4878" max="4878" width="9.85546875" customWidth="1"/>
    <col min="5121" max="5121" width="36.5703125" bestFit="1" customWidth="1"/>
    <col min="5122" max="5122" width="13.28515625" customWidth="1"/>
    <col min="5123" max="5123" width="5.85546875" customWidth="1"/>
    <col min="5124" max="5124" width="11.85546875" customWidth="1"/>
    <col min="5125" max="5125" width="14.28515625" customWidth="1"/>
    <col min="5126" max="5126" width="15" customWidth="1"/>
    <col min="5127" max="5127" width="12.85546875" customWidth="1"/>
    <col min="5128" max="5128" width="12.7109375" customWidth="1"/>
    <col min="5129" max="5129" width="14.28515625" customWidth="1"/>
    <col min="5130" max="5130" width="14.140625" bestFit="1" customWidth="1"/>
    <col min="5131" max="5131" width="11.7109375" customWidth="1"/>
    <col min="5132" max="5132" width="11.140625" customWidth="1"/>
    <col min="5133" max="5133" width="10.28515625" customWidth="1"/>
    <col min="5134" max="5134" width="9.85546875" customWidth="1"/>
    <col min="5377" max="5377" width="36.5703125" bestFit="1" customWidth="1"/>
    <col min="5378" max="5378" width="13.28515625" customWidth="1"/>
    <col min="5379" max="5379" width="5.85546875" customWidth="1"/>
    <col min="5380" max="5380" width="11.85546875" customWidth="1"/>
    <col min="5381" max="5381" width="14.28515625" customWidth="1"/>
    <col min="5382" max="5382" width="15" customWidth="1"/>
    <col min="5383" max="5383" width="12.85546875" customWidth="1"/>
    <col min="5384" max="5384" width="12.7109375" customWidth="1"/>
    <col min="5385" max="5385" width="14.28515625" customWidth="1"/>
    <col min="5386" max="5386" width="14.140625" bestFit="1" customWidth="1"/>
    <col min="5387" max="5387" width="11.7109375" customWidth="1"/>
    <col min="5388" max="5388" width="11.140625" customWidth="1"/>
    <col min="5389" max="5389" width="10.28515625" customWidth="1"/>
    <col min="5390" max="5390" width="9.85546875" customWidth="1"/>
    <col min="5633" max="5633" width="36.5703125" bestFit="1" customWidth="1"/>
    <col min="5634" max="5634" width="13.28515625" customWidth="1"/>
    <col min="5635" max="5635" width="5.85546875" customWidth="1"/>
    <col min="5636" max="5636" width="11.85546875" customWidth="1"/>
    <col min="5637" max="5637" width="14.28515625" customWidth="1"/>
    <col min="5638" max="5638" width="15" customWidth="1"/>
    <col min="5639" max="5639" width="12.85546875" customWidth="1"/>
    <col min="5640" max="5640" width="12.7109375" customWidth="1"/>
    <col min="5641" max="5641" width="14.28515625" customWidth="1"/>
    <col min="5642" max="5642" width="14.140625" bestFit="1" customWidth="1"/>
    <col min="5643" max="5643" width="11.7109375" customWidth="1"/>
    <col min="5644" max="5644" width="11.140625" customWidth="1"/>
    <col min="5645" max="5645" width="10.28515625" customWidth="1"/>
    <col min="5646" max="5646" width="9.85546875" customWidth="1"/>
    <col min="5889" max="5889" width="36.5703125" bestFit="1" customWidth="1"/>
    <col min="5890" max="5890" width="13.28515625" customWidth="1"/>
    <col min="5891" max="5891" width="5.85546875" customWidth="1"/>
    <col min="5892" max="5892" width="11.85546875" customWidth="1"/>
    <col min="5893" max="5893" width="14.28515625" customWidth="1"/>
    <col min="5894" max="5894" width="15" customWidth="1"/>
    <col min="5895" max="5895" width="12.85546875" customWidth="1"/>
    <col min="5896" max="5896" width="12.7109375" customWidth="1"/>
    <col min="5897" max="5897" width="14.28515625" customWidth="1"/>
    <col min="5898" max="5898" width="14.140625" bestFit="1" customWidth="1"/>
    <col min="5899" max="5899" width="11.7109375" customWidth="1"/>
    <col min="5900" max="5900" width="11.140625" customWidth="1"/>
    <col min="5901" max="5901" width="10.28515625" customWidth="1"/>
    <col min="5902" max="5902" width="9.85546875" customWidth="1"/>
    <col min="6145" max="6145" width="36.5703125" bestFit="1" customWidth="1"/>
    <col min="6146" max="6146" width="13.28515625" customWidth="1"/>
    <col min="6147" max="6147" width="5.85546875" customWidth="1"/>
    <col min="6148" max="6148" width="11.85546875" customWidth="1"/>
    <col min="6149" max="6149" width="14.28515625" customWidth="1"/>
    <col min="6150" max="6150" width="15" customWidth="1"/>
    <col min="6151" max="6151" width="12.85546875" customWidth="1"/>
    <col min="6152" max="6152" width="12.7109375" customWidth="1"/>
    <col min="6153" max="6153" width="14.28515625" customWidth="1"/>
    <col min="6154" max="6154" width="14.140625" bestFit="1" customWidth="1"/>
    <col min="6155" max="6155" width="11.7109375" customWidth="1"/>
    <col min="6156" max="6156" width="11.140625" customWidth="1"/>
    <col min="6157" max="6157" width="10.28515625" customWidth="1"/>
    <col min="6158" max="6158" width="9.85546875" customWidth="1"/>
    <col min="6401" max="6401" width="36.5703125" bestFit="1" customWidth="1"/>
    <col min="6402" max="6402" width="13.28515625" customWidth="1"/>
    <col min="6403" max="6403" width="5.85546875" customWidth="1"/>
    <col min="6404" max="6404" width="11.85546875" customWidth="1"/>
    <col min="6405" max="6405" width="14.28515625" customWidth="1"/>
    <col min="6406" max="6406" width="15" customWidth="1"/>
    <col min="6407" max="6407" width="12.85546875" customWidth="1"/>
    <col min="6408" max="6408" width="12.7109375" customWidth="1"/>
    <col min="6409" max="6409" width="14.28515625" customWidth="1"/>
    <col min="6410" max="6410" width="14.140625" bestFit="1" customWidth="1"/>
    <col min="6411" max="6411" width="11.7109375" customWidth="1"/>
    <col min="6412" max="6412" width="11.140625" customWidth="1"/>
    <col min="6413" max="6413" width="10.28515625" customWidth="1"/>
    <col min="6414" max="6414" width="9.85546875" customWidth="1"/>
    <col min="6657" max="6657" width="36.5703125" bestFit="1" customWidth="1"/>
    <col min="6658" max="6658" width="13.28515625" customWidth="1"/>
    <col min="6659" max="6659" width="5.85546875" customWidth="1"/>
    <col min="6660" max="6660" width="11.85546875" customWidth="1"/>
    <col min="6661" max="6661" width="14.28515625" customWidth="1"/>
    <col min="6662" max="6662" width="15" customWidth="1"/>
    <col min="6663" max="6663" width="12.85546875" customWidth="1"/>
    <col min="6664" max="6664" width="12.7109375" customWidth="1"/>
    <col min="6665" max="6665" width="14.28515625" customWidth="1"/>
    <col min="6666" max="6666" width="14.140625" bestFit="1" customWidth="1"/>
    <col min="6667" max="6667" width="11.7109375" customWidth="1"/>
    <col min="6668" max="6668" width="11.140625" customWidth="1"/>
    <col min="6669" max="6669" width="10.28515625" customWidth="1"/>
    <col min="6670" max="6670" width="9.85546875" customWidth="1"/>
    <col min="6913" max="6913" width="36.5703125" bestFit="1" customWidth="1"/>
    <col min="6914" max="6914" width="13.28515625" customWidth="1"/>
    <col min="6915" max="6915" width="5.85546875" customWidth="1"/>
    <col min="6916" max="6916" width="11.85546875" customWidth="1"/>
    <col min="6917" max="6917" width="14.28515625" customWidth="1"/>
    <col min="6918" max="6918" width="15" customWidth="1"/>
    <col min="6919" max="6919" width="12.85546875" customWidth="1"/>
    <col min="6920" max="6920" width="12.7109375" customWidth="1"/>
    <col min="6921" max="6921" width="14.28515625" customWidth="1"/>
    <col min="6922" max="6922" width="14.140625" bestFit="1" customWidth="1"/>
    <col min="6923" max="6923" width="11.7109375" customWidth="1"/>
    <col min="6924" max="6924" width="11.140625" customWidth="1"/>
    <col min="6925" max="6925" width="10.28515625" customWidth="1"/>
    <col min="6926" max="6926" width="9.85546875" customWidth="1"/>
    <col min="7169" max="7169" width="36.5703125" bestFit="1" customWidth="1"/>
    <col min="7170" max="7170" width="13.28515625" customWidth="1"/>
    <col min="7171" max="7171" width="5.85546875" customWidth="1"/>
    <col min="7172" max="7172" width="11.85546875" customWidth="1"/>
    <col min="7173" max="7173" width="14.28515625" customWidth="1"/>
    <col min="7174" max="7174" width="15" customWidth="1"/>
    <col min="7175" max="7175" width="12.85546875" customWidth="1"/>
    <col min="7176" max="7176" width="12.7109375" customWidth="1"/>
    <col min="7177" max="7177" width="14.28515625" customWidth="1"/>
    <col min="7178" max="7178" width="14.140625" bestFit="1" customWidth="1"/>
    <col min="7179" max="7179" width="11.7109375" customWidth="1"/>
    <col min="7180" max="7180" width="11.140625" customWidth="1"/>
    <col min="7181" max="7181" width="10.28515625" customWidth="1"/>
    <col min="7182" max="7182" width="9.85546875" customWidth="1"/>
    <col min="7425" max="7425" width="36.5703125" bestFit="1" customWidth="1"/>
    <col min="7426" max="7426" width="13.28515625" customWidth="1"/>
    <col min="7427" max="7427" width="5.85546875" customWidth="1"/>
    <col min="7428" max="7428" width="11.85546875" customWidth="1"/>
    <col min="7429" max="7429" width="14.28515625" customWidth="1"/>
    <col min="7430" max="7430" width="15" customWidth="1"/>
    <col min="7431" max="7431" width="12.85546875" customWidth="1"/>
    <col min="7432" max="7432" width="12.7109375" customWidth="1"/>
    <col min="7433" max="7433" width="14.28515625" customWidth="1"/>
    <col min="7434" max="7434" width="14.140625" bestFit="1" customWidth="1"/>
    <col min="7435" max="7435" width="11.7109375" customWidth="1"/>
    <col min="7436" max="7436" width="11.140625" customWidth="1"/>
    <col min="7437" max="7437" width="10.28515625" customWidth="1"/>
    <col min="7438" max="7438" width="9.85546875" customWidth="1"/>
    <col min="7681" max="7681" width="36.5703125" bestFit="1" customWidth="1"/>
    <col min="7682" max="7682" width="13.28515625" customWidth="1"/>
    <col min="7683" max="7683" width="5.85546875" customWidth="1"/>
    <col min="7684" max="7684" width="11.85546875" customWidth="1"/>
    <col min="7685" max="7685" width="14.28515625" customWidth="1"/>
    <col min="7686" max="7686" width="15" customWidth="1"/>
    <col min="7687" max="7687" width="12.85546875" customWidth="1"/>
    <col min="7688" max="7688" width="12.7109375" customWidth="1"/>
    <col min="7689" max="7689" width="14.28515625" customWidth="1"/>
    <col min="7690" max="7690" width="14.140625" bestFit="1" customWidth="1"/>
    <col min="7691" max="7691" width="11.7109375" customWidth="1"/>
    <col min="7692" max="7692" width="11.140625" customWidth="1"/>
    <col min="7693" max="7693" width="10.28515625" customWidth="1"/>
    <col min="7694" max="7694" width="9.85546875" customWidth="1"/>
    <col min="7937" max="7937" width="36.5703125" bestFit="1" customWidth="1"/>
    <col min="7938" max="7938" width="13.28515625" customWidth="1"/>
    <col min="7939" max="7939" width="5.85546875" customWidth="1"/>
    <col min="7940" max="7940" width="11.85546875" customWidth="1"/>
    <col min="7941" max="7941" width="14.28515625" customWidth="1"/>
    <col min="7942" max="7942" width="15" customWidth="1"/>
    <col min="7943" max="7943" width="12.85546875" customWidth="1"/>
    <col min="7944" max="7944" width="12.7109375" customWidth="1"/>
    <col min="7945" max="7945" width="14.28515625" customWidth="1"/>
    <col min="7946" max="7946" width="14.140625" bestFit="1" customWidth="1"/>
    <col min="7947" max="7947" width="11.7109375" customWidth="1"/>
    <col min="7948" max="7948" width="11.140625" customWidth="1"/>
    <col min="7949" max="7949" width="10.28515625" customWidth="1"/>
    <col min="7950" max="7950" width="9.85546875" customWidth="1"/>
    <col min="8193" max="8193" width="36.5703125" bestFit="1" customWidth="1"/>
    <col min="8194" max="8194" width="13.28515625" customWidth="1"/>
    <col min="8195" max="8195" width="5.85546875" customWidth="1"/>
    <col min="8196" max="8196" width="11.85546875" customWidth="1"/>
    <col min="8197" max="8197" width="14.28515625" customWidth="1"/>
    <col min="8198" max="8198" width="15" customWidth="1"/>
    <col min="8199" max="8199" width="12.85546875" customWidth="1"/>
    <col min="8200" max="8200" width="12.7109375" customWidth="1"/>
    <col min="8201" max="8201" width="14.28515625" customWidth="1"/>
    <col min="8202" max="8202" width="14.140625" bestFit="1" customWidth="1"/>
    <col min="8203" max="8203" width="11.7109375" customWidth="1"/>
    <col min="8204" max="8204" width="11.140625" customWidth="1"/>
    <col min="8205" max="8205" width="10.28515625" customWidth="1"/>
    <col min="8206" max="8206" width="9.85546875" customWidth="1"/>
    <col min="8449" max="8449" width="36.5703125" bestFit="1" customWidth="1"/>
    <col min="8450" max="8450" width="13.28515625" customWidth="1"/>
    <col min="8451" max="8451" width="5.85546875" customWidth="1"/>
    <col min="8452" max="8452" width="11.85546875" customWidth="1"/>
    <col min="8453" max="8453" width="14.28515625" customWidth="1"/>
    <col min="8454" max="8454" width="15" customWidth="1"/>
    <col min="8455" max="8455" width="12.85546875" customWidth="1"/>
    <col min="8456" max="8456" width="12.7109375" customWidth="1"/>
    <col min="8457" max="8457" width="14.28515625" customWidth="1"/>
    <col min="8458" max="8458" width="14.140625" bestFit="1" customWidth="1"/>
    <col min="8459" max="8459" width="11.7109375" customWidth="1"/>
    <col min="8460" max="8460" width="11.140625" customWidth="1"/>
    <col min="8461" max="8461" width="10.28515625" customWidth="1"/>
    <col min="8462" max="8462" width="9.85546875" customWidth="1"/>
    <col min="8705" max="8705" width="36.5703125" bestFit="1" customWidth="1"/>
    <col min="8706" max="8706" width="13.28515625" customWidth="1"/>
    <col min="8707" max="8707" width="5.85546875" customWidth="1"/>
    <col min="8708" max="8708" width="11.85546875" customWidth="1"/>
    <col min="8709" max="8709" width="14.28515625" customWidth="1"/>
    <col min="8710" max="8710" width="15" customWidth="1"/>
    <col min="8711" max="8711" width="12.85546875" customWidth="1"/>
    <col min="8712" max="8712" width="12.7109375" customWidth="1"/>
    <col min="8713" max="8713" width="14.28515625" customWidth="1"/>
    <col min="8714" max="8714" width="14.140625" bestFit="1" customWidth="1"/>
    <col min="8715" max="8715" width="11.7109375" customWidth="1"/>
    <col min="8716" max="8716" width="11.140625" customWidth="1"/>
    <col min="8717" max="8717" width="10.28515625" customWidth="1"/>
    <col min="8718" max="8718" width="9.85546875" customWidth="1"/>
    <col min="8961" max="8961" width="36.5703125" bestFit="1" customWidth="1"/>
    <col min="8962" max="8962" width="13.28515625" customWidth="1"/>
    <col min="8963" max="8963" width="5.85546875" customWidth="1"/>
    <col min="8964" max="8964" width="11.85546875" customWidth="1"/>
    <col min="8965" max="8965" width="14.28515625" customWidth="1"/>
    <col min="8966" max="8966" width="15" customWidth="1"/>
    <col min="8967" max="8967" width="12.85546875" customWidth="1"/>
    <col min="8968" max="8968" width="12.7109375" customWidth="1"/>
    <col min="8969" max="8969" width="14.28515625" customWidth="1"/>
    <col min="8970" max="8970" width="14.140625" bestFit="1" customWidth="1"/>
    <col min="8971" max="8971" width="11.7109375" customWidth="1"/>
    <col min="8972" max="8972" width="11.140625" customWidth="1"/>
    <col min="8973" max="8973" width="10.28515625" customWidth="1"/>
    <col min="8974" max="8974" width="9.85546875" customWidth="1"/>
    <col min="9217" max="9217" width="36.5703125" bestFit="1" customWidth="1"/>
    <col min="9218" max="9218" width="13.28515625" customWidth="1"/>
    <col min="9219" max="9219" width="5.85546875" customWidth="1"/>
    <col min="9220" max="9220" width="11.85546875" customWidth="1"/>
    <col min="9221" max="9221" width="14.28515625" customWidth="1"/>
    <col min="9222" max="9222" width="15" customWidth="1"/>
    <col min="9223" max="9223" width="12.85546875" customWidth="1"/>
    <col min="9224" max="9224" width="12.7109375" customWidth="1"/>
    <col min="9225" max="9225" width="14.28515625" customWidth="1"/>
    <col min="9226" max="9226" width="14.140625" bestFit="1" customWidth="1"/>
    <col min="9227" max="9227" width="11.7109375" customWidth="1"/>
    <col min="9228" max="9228" width="11.140625" customWidth="1"/>
    <col min="9229" max="9229" width="10.28515625" customWidth="1"/>
    <col min="9230" max="9230" width="9.85546875" customWidth="1"/>
    <col min="9473" max="9473" width="36.5703125" bestFit="1" customWidth="1"/>
    <col min="9474" max="9474" width="13.28515625" customWidth="1"/>
    <col min="9475" max="9475" width="5.85546875" customWidth="1"/>
    <col min="9476" max="9476" width="11.85546875" customWidth="1"/>
    <col min="9477" max="9477" width="14.28515625" customWidth="1"/>
    <col min="9478" max="9478" width="15" customWidth="1"/>
    <col min="9479" max="9479" width="12.85546875" customWidth="1"/>
    <col min="9480" max="9480" width="12.7109375" customWidth="1"/>
    <col min="9481" max="9481" width="14.28515625" customWidth="1"/>
    <col min="9482" max="9482" width="14.140625" bestFit="1" customWidth="1"/>
    <col min="9483" max="9483" width="11.7109375" customWidth="1"/>
    <col min="9484" max="9484" width="11.140625" customWidth="1"/>
    <col min="9485" max="9485" width="10.28515625" customWidth="1"/>
    <col min="9486" max="9486" width="9.85546875" customWidth="1"/>
    <col min="9729" max="9729" width="36.5703125" bestFit="1" customWidth="1"/>
    <col min="9730" max="9730" width="13.28515625" customWidth="1"/>
    <col min="9731" max="9731" width="5.85546875" customWidth="1"/>
    <col min="9732" max="9732" width="11.85546875" customWidth="1"/>
    <col min="9733" max="9733" width="14.28515625" customWidth="1"/>
    <col min="9734" max="9734" width="15" customWidth="1"/>
    <col min="9735" max="9735" width="12.85546875" customWidth="1"/>
    <col min="9736" max="9736" width="12.7109375" customWidth="1"/>
    <col min="9737" max="9737" width="14.28515625" customWidth="1"/>
    <col min="9738" max="9738" width="14.140625" bestFit="1" customWidth="1"/>
    <col min="9739" max="9739" width="11.7109375" customWidth="1"/>
    <col min="9740" max="9740" width="11.140625" customWidth="1"/>
    <col min="9741" max="9741" width="10.28515625" customWidth="1"/>
    <col min="9742" max="9742" width="9.85546875" customWidth="1"/>
    <col min="9985" max="9985" width="36.5703125" bestFit="1" customWidth="1"/>
    <col min="9986" max="9986" width="13.28515625" customWidth="1"/>
    <col min="9987" max="9987" width="5.85546875" customWidth="1"/>
    <col min="9988" max="9988" width="11.85546875" customWidth="1"/>
    <col min="9989" max="9989" width="14.28515625" customWidth="1"/>
    <col min="9990" max="9990" width="15" customWidth="1"/>
    <col min="9991" max="9991" width="12.85546875" customWidth="1"/>
    <col min="9992" max="9992" width="12.7109375" customWidth="1"/>
    <col min="9993" max="9993" width="14.28515625" customWidth="1"/>
    <col min="9994" max="9994" width="14.140625" bestFit="1" customWidth="1"/>
    <col min="9995" max="9995" width="11.7109375" customWidth="1"/>
    <col min="9996" max="9996" width="11.140625" customWidth="1"/>
    <col min="9997" max="9997" width="10.28515625" customWidth="1"/>
    <col min="9998" max="9998" width="9.85546875" customWidth="1"/>
    <col min="10241" max="10241" width="36.5703125" bestFit="1" customWidth="1"/>
    <col min="10242" max="10242" width="13.28515625" customWidth="1"/>
    <col min="10243" max="10243" width="5.85546875" customWidth="1"/>
    <col min="10244" max="10244" width="11.85546875" customWidth="1"/>
    <col min="10245" max="10245" width="14.28515625" customWidth="1"/>
    <col min="10246" max="10246" width="15" customWidth="1"/>
    <col min="10247" max="10247" width="12.85546875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1.7109375" customWidth="1"/>
    <col min="10252" max="10252" width="11.140625" customWidth="1"/>
    <col min="10253" max="10253" width="10.28515625" customWidth="1"/>
    <col min="10254" max="10254" width="9.85546875" customWidth="1"/>
    <col min="10497" max="10497" width="36.5703125" bestFit="1" customWidth="1"/>
    <col min="10498" max="10498" width="13.28515625" customWidth="1"/>
    <col min="10499" max="10499" width="5.85546875" customWidth="1"/>
    <col min="10500" max="10500" width="11.85546875" customWidth="1"/>
    <col min="10501" max="10501" width="14.28515625" customWidth="1"/>
    <col min="10502" max="10502" width="15" customWidth="1"/>
    <col min="10503" max="10503" width="12.85546875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1.7109375" customWidth="1"/>
    <col min="10508" max="10508" width="11.140625" customWidth="1"/>
    <col min="10509" max="10509" width="10.28515625" customWidth="1"/>
    <col min="10510" max="10510" width="9.85546875" customWidth="1"/>
    <col min="10753" max="10753" width="36.5703125" bestFit="1" customWidth="1"/>
    <col min="10754" max="10754" width="13.28515625" customWidth="1"/>
    <col min="10755" max="10755" width="5.85546875" customWidth="1"/>
    <col min="10756" max="10756" width="11.85546875" customWidth="1"/>
    <col min="10757" max="10757" width="14.28515625" customWidth="1"/>
    <col min="10758" max="10758" width="15" customWidth="1"/>
    <col min="10759" max="10759" width="12.85546875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1.7109375" customWidth="1"/>
    <col min="10764" max="10764" width="11.140625" customWidth="1"/>
    <col min="10765" max="10765" width="10.28515625" customWidth="1"/>
    <col min="10766" max="10766" width="9.85546875" customWidth="1"/>
    <col min="11009" max="11009" width="36.5703125" bestFit="1" customWidth="1"/>
    <col min="11010" max="11010" width="13.28515625" customWidth="1"/>
    <col min="11011" max="11011" width="5.85546875" customWidth="1"/>
    <col min="11012" max="11012" width="11.85546875" customWidth="1"/>
    <col min="11013" max="11013" width="14.28515625" customWidth="1"/>
    <col min="11014" max="11014" width="15" customWidth="1"/>
    <col min="11015" max="11015" width="12.85546875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1.7109375" customWidth="1"/>
    <col min="11020" max="11020" width="11.140625" customWidth="1"/>
    <col min="11021" max="11021" width="10.28515625" customWidth="1"/>
    <col min="11022" max="11022" width="9.85546875" customWidth="1"/>
    <col min="11265" max="11265" width="36.5703125" bestFit="1" customWidth="1"/>
    <col min="11266" max="11266" width="13.28515625" customWidth="1"/>
    <col min="11267" max="11267" width="5.85546875" customWidth="1"/>
    <col min="11268" max="11268" width="11.85546875" customWidth="1"/>
    <col min="11269" max="11269" width="14.28515625" customWidth="1"/>
    <col min="11270" max="11270" width="15" customWidth="1"/>
    <col min="11271" max="11271" width="12.85546875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1.7109375" customWidth="1"/>
    <col min="11276" max="11276" width="11.140625" customWidth="1"/>
    <col min="11277" max="11277" width="10.28515625" customWidth="1"/>
    <col min="11278" max="11278" width="9.85546875" customWidth="1"/>
    <col min="11521" max="11521" width="36.5703125" bestFit="1" customWidth="1"/>
    <col min="11522" max="11522" width="13.28515625" customWidth="1"/>
    <col min="11523" max="11523" width="5.85546875" customWidth="1"/>
    <col min="11524" max="11524" width="11.85546875" customWidth="1"/>
    <col min="11525" max="11525" width="14.28515625" customWidth="1"/>
    <col min="11526" max="11526" width="15" customWidth="1"/>
    <col min="11527" max="11527" width="12.85546875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1.7109375" customWidth="1"/>
    <col min="11532" max="11532" width="11.140625" customWidth="1"/>
    <col min="11533" max="11533" width="10.28515625" customWidth="1"/>
    <col min="11534" max="11534" width="9.85546875" customWidth="1"/>
    <col min="11777" max="11777" width="36.5703125" bestFit="1" customWidth="1"/>
    <col min="11778" max="11778" width="13.28515625" customWidth="1"/>
    <col min="11779" max="11779" width="5.85546875" customWidth="1"/>
    <col min="11780" max="11780" width="11.85546875" customWidth="1"/>
    <col min="11781" max="11781" width="14.28515625" customWidth="1"/>
    <col min="11782" max="11782" width="15" customWidth="1"/>
    <col min="11783" max="11783" width="12.85546875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1.7109375" customWidth="1"/>
    <col min="11788" max="11788" width="11.140625" customWidth="1"/>
    <col min="11789" max="11789" width="10.28515625" customWidth="1"/>
    <col min="11790" max="11790" width="9.85546875" customWidth="1"/>
    <col min="12033" max="12033" width="36.5703125" bestFit="1" customWidth="1"/>
    <col min="12034" max="12034" width="13.28515625" customWidth="1"/>
    <col min="12035" max="12035" width="5.85546875" customWidth="1"/>
    <col min="12036" max="12036" width="11.85546875" customWidth="1"/>
    <col min="12037" max="12037" width="14.28515625" customWidth="1"/>
    <col min="12038" max="12038" width="15" customWidth="1"/>
    <col min="12039" max="12039" width="12.85546875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1.7109375" customWidth="1"/>
    <col min="12044" max="12044" width="11.140625" customWidth="1"/>
    <col min="12045" max="12045" width="10.28515625" customWidth="1"/>
    <col min="12046" max="12046" width="9.85546875" customWidth="1"/>
    <col min="12289" max="12289" width="36.5703125" bestFit="1" customWidth="1"/>
    <col min="12290" max="12290" width="13.28515625" customWidth="1"/>
    <col min="12291" max="12291" width="5.85546875" customWidth="1"/>
    <col min="12292" max="12292" width="11.85546875" customWidth="1"/>
    <col min="12293" max="12293" width="14.28515625" customWidth="1"/>
    <col min="12294" max="12294" width="15" customWidth="1"/>
    <col min="12295" max="12295" width="12.85546875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1.7109375" customWidth="1"/>
    <col min="12300" max="12300" width="11.140625" customWidth="1"/>
    <col min="12301" max="12301" width="10.28515625" customWidth="1"/>
    <col min="12302" max="12302" width="9.85546875" customWidth="1"/>
    <col min="12545" max="12545" width="36.5703125" bestFit="1" customWidth="1"/>
    <col min="12546" max="12546" width="13.28515625" customWidth="1"/>
    <col min="12547" max="12547" width="5.85546875" customWidth="1"/>
    <col min="12548" max="12548" width="11.85546875" customWidth="1"/>
    <col min="12549" max="12549" width="14.28515625" customWidth="1"/>
    <col min="12550" max="12550" width="15" customWidth="1"/>
    <col min="12551" max="12551" width="12.85546875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1.7109375" customWidth="1"/>
    <col min="12556" max="12556" width="11.140625" customWidth="1"/>
    <col min="12557" max="12557" width="10.28515625" customWidth="1"/>
    <col min="12558" max="12558" width="9.85546875" customWidth="1"/>
    <col min="12801" max="12801" width="36.5703125" bestFit="1" customWidth="1"/>
    <col min="12802" max="12802" width="13.28515625" customWidth="1"/>
    <col min="12803" max="12803" width="5.85546875" customWidth="1"/>
    <col min="12804" max="12804" width="11.85546875" customWidth="1"/>
    <col min="12805" max="12805" width="14.28515625" customWidth="1"/>
    <col min="12806" max="12806" width="15" customWidth="1"/>
    <col min="12807" max="12807" width="12.85546875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1.7109375" customWidth="1"/>
    <col min="12812" max="12812" width="11.140625" customWidth="1"/>
    <col min="12813" max="12813" width="10.28515625" customWidth="1"/>
    <col min="12814" max="12814" width="9.85546875" customWidth="1"/>
    <col min="13057" max="13057" width="36.5703125" bestFit="1" customWidth="1"/>
    <col min="13058" max="13058" width="13.28515625" customWidth="1"/>
    <col min="13059" max="13059" width="5.85546875" customWidth="1"/>
    <col min="13060" max="13060" width="11.85546875" customWidth="1"/>
    <col min="13061" max="13061" width="14.28515625" customWidth="1"/>
    <col min="13062" max="13062" width="15" customWidth="1"/>
    <col min="13063" max="13063" width="12.85546875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1.7109375" customWidth="1"/>
    <col min="13068" max="13068" width="11.140625" customWidth="1"/>
    <col min="13069" max="13069" width="10.28515625" customWidth="1"/>
    <col min="13070" max="13070" width="9.85546875" customWidth="1"/>
    <col min="13313" max="13313" width="36.5703125" bestFit="1" customWidth="1"/>
    <col min="13314" max="13314" width="13.28515625" customWidth="1"/>
    <col min="13315" max="13315" width="5.85546875" customWidth="1"/>
    <col min="13316" max="13316" width="11.85546875" customWidth="1"/>
    <col min="13317" max="13317" width="14.28515625" customWidth="1"/>
    <col min="13318" max="13318" width="15" customWidth="1"/>
    <col min="13319" max="13319" width="12.85546875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1.7109375" customWidth="1"/>
    <col min="13324" max="13324" width="11.140625" customWidth="1"/>
    <col min="13325" max="13325" width="10.28515625" customWidth="1"/>
    <col min="13326" max="13326" width="9.85546875" customWidth="1"/>
    <col min="13569" max="13569" width="36.5703125" bestFit="1" customWidth="1"/>
    <col min="13570" max="13570" width="13.28515625" customWidth="1"/>
    <col min="13571" max="13571" width="5.85546875" customWidth="1"/>
    <col min="13572" max="13572" width="11.85546875" customWidth="1"/>
    <col min="13573" max="13573" width="14.28515625" customWidth="1"/>
    <col min="13574" max="13574" width="15" customWidth="1"/>
    <col min="13575" max="13575" width="12.85546875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1.7109375" customWidth="1"/>
    <col min="13580" max="13580" width="11.140625" customWidth="1"/>
    <col min="13581" max="13581" width="10.28515625" customWidth="1"/>
    <col min="13582" max="13582" width="9.85546875" customWidth="1"/>
    <col min="13825" max="13825" width="36.5703125" bestFit="1" customWidth="1"/>
    <col min="13826" max="13826" width="13.28515625" customWidth="1"/>
    <col min="13827" max="13827" width="5.85546875" customWidth="1"/>
    <col min="13828" max="13828" width="11.85546875" customWidth="1"/>
    <col min="13829" max="13829" width="14.28515625" customWidth="1"/>
    <col min="13830" max="13830" width="15" customWidth="1"/>
    <col min="13831" max="13831" width="12.85546875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1.7109375" customWidth="1"/>
    <col min="13836" max="13836" width="11.140625" customWidth="1"/>
    <col min="13837" max="13837" width="10.28515625" customWidth="1"/>
    <col min="13838" max="13838" width="9.85546875" customWidth="1"/>
    <col min="14081" max="14081" width="36.5703125" bestFit="1" customWidth="1"/>
    <col min="14082" max="14082" width="13.28515625" customWidth="1"/>
    <col min="14083" max="14083" width="5.85546875" customWidth="1"/>
    <col min="14084" max="14084" width="11.85546875" customWidth="1"/>
    <col min="14085" max="14085" width="14.28515625" customWidth="1"/>
    <col min="14086" max="14086" width="15" customWidth="1"/>
    <col min="14087" max="14087" width="12.85546875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1.7109375" customWidth="1"/>
    <col min="14092" max="14092" width="11.140625" customWidth="1"/>
    <col min="14093" max="14093" width="10.28515625" customWidth="1"/>
    <col min="14094" max="14094" width="9.85546875" customWidth="1"/>
    <col min="14337" max="14337" width="36.5703125" bestFit="1" customWidth="1"/>
    <col min="14338" max="14338" width="13.28515625" customWidth="1"/>
    <col min="14339" max="14339" width="5.85546875" customWidth="1"/>
    <col min="14340" max="14340" width="11.85546875" customWidth="1"/>
    <col min="14341" max="14341" width="14.28515625" customWidth="1"/>
    <col min="14342" max="14342" width="15" customWidth="1"/>
    <col min="14343" max="14343" width="12.85546875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1.7109375" customWidth="1"/>
    <col min="14348" max="14348" width="11.140625" customWidth="1"/>
    <col min="14349" max="14349" width="10.28515625" customWidth="1"/>
    <col min="14350" max="14350" width="9.85546875" customWidth="1"/>
    <col min="14593" max="14593" width="36.5703125" bestFit="1" customWidth="1"/>
    <col min="14594" max="14594" width="13.28515625" customWidth="1"/>
    <col min="14595" max="14595" width="5.85546875" customWidth="1"/>
    <col min="14596" max="14596" width="11.85546875" customWidth="1"/>
    <col min="14597" max="14597" width="14.28515625" customWidth="1"/>
    <col min="14598" max="14598" width="15" customWidth="1"/>
    <col min="14599" max="14599" width="12.85546875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1.7109375" customWidth="1"/>
    <col min="14604" max="14604" width="11.140625" customWidth="1"/>
    <col min="14605" max="14605" width="10.28515625" customWidth="1"/>
    <col min="14606" max="14606" width="9.85546875" customWidth="1"/>
    <col min="14849" max="14849" width="36.5703125" bestFit="1" customWidth="1"/>
    <col min="14850" max="14850" width="13.28515625" customWidth="1"/>
    <col min="14851" max="14851" width="5.85546875" customWidth="1"/>
    <col min="14852" max="14852" width="11.85546875" customWidth="1"/>
    <col min="14853" max="14853" width="14.28515625" customWidth="1"/>
    <col min="14854" max="14854" width="15" customWidth="1"/>
    <col min="14855" max="14855" width="12.85546875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1.7109375" customWidth="1"/>
    <col min="14860" max="14860" width="11.140625" customWidth="1"/>
    <col min="14861" max="14861" width="10.28515625" customWidth="1"/>
    <col min="14862" max="14862" width="9.85546875" customWidth="1"/>
    <col min="15105" max="15105" width="36.5703125" bestFit="1" customWidth="1"/>
    <col min="15106" max="15106" width="13.28515625" customWidth="1"/>
    <col min="15107" max="15107" width="5.85546875" customWidth="1"/>
    <col min="15108" max="15108" width="11.85546875" customWidth="1"/>
    <col min="15109" max="15109" width="14.28515625" customWidth="1"/>
    <col min="15110" max="15110" width="15" customWidth="1"/>
    <col min="15111" max="15111" width="12.85546875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1.7109375" customWidth="1"/>
    <col min="15116" max="15116" width="11.140625" customWidth="1"/>
    <col min="15117" max="15117" width="10.28515625" customWidth="1"/>
    <col min="15118" max="15118" width="9.85546875" customWidth="1"/>
    <col min="15361" max="15361" width="36.5703125" bestFit="1" customWidth="1"/>
    <col min="15362" max="15362" width="13.28515625" customWidth="1"/>
    <col min="15363" max="15363" width="5.85546875" customWidth="1"/>
    <col min="15364" max="15364" width="11.85546875" customWidth="1"/>
    <col min="15365" max="15365" width="14.28515625" customWidth="1"/>
    <col min="15366" max="15366" width="15" customWidth="1"/>
    <col min="15367" max="15367" width="12.85546875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1.7109375" customWidth="1"/>
    <col min="15372" max="15372" width="11.140625" customWidth="1"/>
    <col min="15373" max="15373" width="10.28515625" customWidth="1"/>
    <col min="15374" max="15374" width="9.85546875" customWidth="1"/>
    <col min="15617" max="15617" width="36.5703125" bestFit="1" customWidth="1"/>
    <col min="15618" max="15618" width="13.28515625" customWidth="1"/>
    <col min="15619" max="15619" width="5.85546875" customWidth="1"/>
    <col min="15620" max="15620" width="11.85546875" customWidth="1"/>
    <col min="15621" max="15621" width="14.28515625" customWidth="1"/>
    <col min="15622" max="15622" width="15" customWidth="1"/>
    <col min="15623" max="15623" width="12.85546875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1.7109375" customWidth="1"/>
    <col min="15628" max="15628" width="11.140625" customWidth="1"/>
    <col min="15629" max="15629" width="10.28515625" customWidth="1"/>
    <col min="15630" max="15630" width="9.85546875" customWidth="1"/>
    <col min="15873" max="15873" width="36.5703125" bestFit="1" customWidth="1"/>
    <col min="15874" max="15874" width="13.28515625" customWidth="1"/>
    <col min="15875" max="15875" width="5.85546875" customWidth="1"/>
    <col min="15876" max="15876" width="11.85546875" customWidth="1"/>
    <col min="15877" max="15877" width="14.28515625" customWidth="1"/>
    <col min="15878" max="15878" width="15" customWidth="1"/>
    <col min="15879" max="15879" width="12.85546875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1.7109375" customWidth="1"/>
    <col min="15884" max="15884" width="11.140625" customWidth="1"/>
    <col min="15885" max="15885" width="10.28515625" customWidth="1"/>
    <col min="15886" max="15886" width="9.85546875" customWidth="1"/>
    <col min="16129" max="16129" width="36.5703125" bestFit="1" customWidth="1"/>
    <col min="16130" max="16130" width="13.28515625" customWidth="1"/>
    <col min="16131" max="16131" width="5.85546875" customWidth="1"/>
    <col min="16132" max="16132" width="11.85546875" customWidth="1"/>
    <col min="16133" max="16133" width="14.28515625" customWidth="1"/>
    <col min="16134" max="16134" width="15" customWidth="1"/>
    <col min="16135" max="16135" width="12.85546875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1.7109375" customWidth="1"/>
    <col min="16140" max="16140" width="11.140625" customWidth="1"/>
    <col min="16141" max="16141" width="10.28515625" customWidth="1"/>
    <col min="16142" max="16142" width="9.8554687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593" t="s">
        <v>3866</v>
      </c>
      <c r="C5" s="1594"/>
      <c r="D5" s="1594"/>
      <c r="E5" s="1595"/>
      <c r="F5" s="326" t="s">
        <v>171</v>
      </c>
      <c r="G5" s="326"/>
      <c r="H5" s="1618">
        <v>406020108080201</v>
      </c>
      <c r="I5" s="1619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3865</v>
      </c>
      <c r="C7" s="1594"/>
      <c r="D7" s="1594"/>
      <c r="E7" s="1595"/>
      <c r="F7" s="1596" t="s">
        <v>3208</v>
      </c>
      <c r="G7" s="1596"/>
      <c r="H7" s="1593" t="s">
        <v>3864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 t="s">
        <v>3854</v>
      </c>
      <c r="C9" s="1594"/>
      <c r="D9" s="1594"/>
      <c r="E9" s="1595"/>
      <c r="F9" s="1601" t="s">
        <v>3205</v>
      </c>
      <c r="G9" s="1602"/>
      <c r="H9" s="1603" t="s">
        <v>3863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3862</v>
      </c>
      <c r="C13" s="1612"/>
      <c r="D13" s="1612" t="s">
        <v>3861</v>
      </c>
      <c r="E13" s="1612"/>
      <c r="F13" s="1612"/>
      <c r="G13" s="1612" t="s">
        <v>3860</v>
      </c>
      <c r="H13" s="1612"/>
      <c r="I13" s="1612"/>
      <c r="J13" s="1612"/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3859</v>
      </c>
      <c r="C14" s="1612"/>
      <c r="D14" s="1612" t="s">
        <v>3858</v>
      </c>
      <c r="E14" s="1612"/>
      <c r="F14" s="1612"/>
      <c r="G14" s="1612" t="s">
        <v>2438</v>
      </c>
      <c r="H14" s="1612"/>
      <c r="I14" s="1612"/>
      <c r="J14" s="1612"/>
      <c r="K14" s="1612"/>
      <c r="L14" s="1612"/>
      <c r="M14" s="1612"/>
      <c r="N14" s="326"/>
    </row>
    <row r="15" spans="1:14" ht="31.5" customHeight="1">
      <c r="A15" s="631" t="s">
        <v>192</v>
      </c>
      <c r="B15" s="1612" t="s">
        <v>3857</v>
      </c>
      <c r="C15" s="1612"/>
      <c r="D15" s="1612" t="s">
        <v>3856</v>
      </c>
      <c r="E15" s="1612"/>
      <c r="F15" s="1612"/>
      <c r="G15" s="1612" t="s">
        <v>3855</v>
      </c>
      <c r="H15" s="1612"/>
      <c r="I15" s="1612"/>
      <c r="J15" s="1612"/>
      <c r="K15" s="1612"/>
      <c r="L15" s="1612"/>
      <c r="M15" s="1612"/>
      <c r="N15" s="326"/>
    </row>
    <row r="16" spans="1:14" ht="31.5" customHeight="1">
      <c r="A16" s="631" t="s">
        <v>197</v>
      </c>
      <c r="B16" s="1612" t="s">
        <v>3854</v>
      </c>
      <c r="C16" s="1612"/>
      <c r="D16" s="1612" t="s">
        <v>2438</v>
      </c>
      <c r="E16" s="1612"/>
      <c r="F16" s="1612"/>
      <c r="G16" s="1612" t="s">
        <v>2438</v>
      </c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4</v>
      </c>
      <c r="C18" s="326" t="s">
        <v>199</v>
      </c>
      <c r="D18" s="326"/>
      <c r="E18" s="326"/>
      <c r="F18" s="631">
        <v>2</v>
      </c>
      <c r="G18" s="326" t="s">
        <v>200</v>
      </c>
      <c r="H18" s="632">
        <v>7</v>
      </c>
      <c r="I18" s="326" t="s">
        <v>201</v>
      </c>
      <c r="J18" s="632">
        <v>2</v>
      </c>
      <c r="K18" s="326" t="s">
        <v>202</v>
      </c>
      <c r="L18" s="631">
        <v>5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53</v>
      </c>
      <c r="D21" s="326" t="s">
        <v>205</v>
      </c>
      <c r="E21" s="631">
        <v>14</v>
      </c>
      <c r="F21" s="326" t="s">
        <v>206</v>
      </c>
      <c r="G21" s="80">
        <v>0</v>
      </c>
      <c r="H21" s="326" t="s">
        <v>230</v>
      </c>
      <c r="I21" s="631">
        <v>67</v>
      </c>
      <c r="J21" s="326" t="s">
        <v>207</v>
      </c>
      <c r="K21" s="631"/>
      <c r="L21" s="326" t="s">
        <v>3187</v>
      </c>
      <c r="M21" s="326"/>
      <c r="N21" s="631"/>
    </row>
    <row r="22" spans="1:14" ht="21.75" customHeight="1">
      <c r="A22" s="326" t="s">
        <v>209</v>
      </c>
      <c r="B22" s="326" t="s">
        <v>210</v>
      </c>
      <c r="C22" s="631">
        <v>109</v>
      </c>
      <c r="D22" s="326" t="s">
        <v>211</v>
      </c>
      <c r="E22" s="631">
        <v>33</v>
      </c>
      <c r="F22" s="326" t="s">
        <v>212</v>
      </c>
      <c r="G22" s="80">
        <v>0</v>
      </c>
      <c r="H22" s="326" t="s">
        <v>411</v>
      </c>
      <c r="I22" s="80">
        <v>142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90</v>
      </c>
      <c r="D23" s="326" t="s">
        <v>214</v>
      </c>
      <c r="E23" s="631">
        <v>28</v>
      </c>
      <c r="F23" s="326" t="s">
        <v>215</v>
      </c>
      <c r="G23" s="80">
        <v>0</v>
      </c>
      <c r="H23" s="326" t="s">
        <v>410</v>
      </c>
      <c r="I23" s="80">
        <v>118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2">
        <v>663700</v>
      </c>
      <c r="F29" s="322">
        <v>0</v>
      </c>
      <c r="G29" s="322">
        <v>163700</v>
      </c>
      <c r="H29" s="322"/>
      <c r="I29" s="322"/>
      <c r="J29" s="322"/>
      <c r="K29" s="322"/>
      <c r="L29" s="322"/>
      <c r="M29" s="322">
        <f t="shared" ref="M29:M38" si="0">SUM(F29:L29)</f>
        <v>163700</v>
      </c>
      <c r="N29" s="323">
        <f>+M29/E29%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/>
      <c r="F30" s="322">
        <v>0</v>
      </c>
      <c r="G30" s="322">
        <v>0</v>
      </c>
      <c r="H30" s="322"/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2">
        <v>0</v>
      </c>
      <c r="G31" s="322">
        <v>18000</v>
      </c>
      <c r="H31" s="322"/>
      <c r="I31" s="322"/>
      <c r="J31" s="322"/>
      <c r="K31" s="322"/>
      <c r="L31" s="322"/>
      <c r="M31" s="322">
        <f t="shared" si="0"/>
        <v>18000</v>
      </c>
      <c r="N31" s="323">
        <f>+M31/E31%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2">
        <v>0</v>
      </c>
      <c r="G32" s="322">
        <v>16000</v>
      </c>
      <c r="H32" s="322"/>
      <c r="I32" s="322"/>
      <c r="J32" s="322"/>
      <c r="K32" s="322"/>
      <c r="L32" s="322"/>
      <c r="M32" s="322">
        <f t="shared" si="0"/>
        <v>16000</v>
      </c>
      <c r="N32" s="323">
        <f>+M32/E32%</f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2">
        <v>200000</v>
      </c>
      <c r="F33" s="322">
        <v>0</v>
      </c>
      <c r="G33" s="322">
        <v>124700</v>
      </c>
      <c r="H33" s="322"/>
      <c r="I33" s="322"/>
      <c r="J33" s="322"/>
      <c r="K33" s="322"/>
      <c r="L33" s="322"/>
      <c r="M33" s="322">
        <f t="shared" si="0"/>
        <v>124700</v>
      </c>
      <c r="N33" s="323">
        <f>+M33/E33%</f>
        <v>62.35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2">
        <v>150000</v>
      </c>
      <c r="F34" s="322">
        <v>0</v>
      </c>
      <c r="G34" s="322">
        <v>46100</v>
      </c>
      <c r="H34" s="322"/>
      <c r="I34" s="322"/>
      <c r="J34" s="322"/>
      <c r="K34" s="322"/>
      <c r="L34" s="322"/>
      <c r="M34" s="322">
        <f t="shared" si="0"/>
        <v>46100</v>
      </c>
      <c r="N34" s="323">
        <f>+M34/E34%</f>
        <v>30.733333333333334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2"/>
      <c r="F35" s="322">
        <v>0</v>
      </c>
      <c r="G35" s="322">
        <v>0</v>
      </c>
      <c r="H35" s="322"/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2">
        <v>0</v>
      </c>
      <c r="G36" s="322">
        <v>22000</v>
      </c>
      <c r="H36" s="322"/>
      <c r="I36" s="322"/>
      <c r="J36" s="322"/>
      <c r="K36" s="322"/>
      <c r="L36" s="322"/>
      <c r="M36" s="322">
        <f t="shared" si="0"/>
        <v>22000</v>
      </c>
      <c r="N36" s="323">
        <f>+M36/E36%</f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23">
        <v>0</v>
      </c>
      <c r="F37" s="322">
        <v>0</v>
      </c>
      <c r="G37" s="322">
        <v>0</v>
      </c>
      <c r="H37" s="322"/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1">SUM(D29:D37)</f>
        <v>62.635000000000005</v>
      </c>
      <c r="E38" s="321">
        <f t="shared" si="1"/>
        <v>1077950</v>
      </c>
      <c r="F38" s="321">
        <f t="shared" si="1"/>
        <v>0</v>
      </c>
      <c r="G38" s="321">
        <f t="shared" si="1"/>
        <v>390500</v>
      </c>
      <c r="H38" s="321">
        <f t="shared" si="1"/>
        <v>0</v>
      </c>
      <c r="I38" s="321">
        <f t="shared" si="1"/>
        <v>0</v>
      </c>
      <c r="J38" s="321">
        <f t="shared" si="1"/>
        <v>0</v>
      </c>
      <c r="K38" s="321">
        <f t="shared" si="1"/>
        <v>0</v>
      </c>
      <c r="L38" s="321">
        <f t="shared" si="1"/>
        <v>0</v>
      </c>
      <c r="M38" s="631">
        <f t="shared" si="0"/>
        <v>390500</v>
      </c>
      <c r="N38" s="334">
        <f>+M38/E38%</f>
        <v>36.226170044992813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" bottom="0.27" header="0.39" footer="0.31496062992125984"/>
  <pageSetup paperSize="9" scale="70" orientation="landscape" r:id="rId1"/>
</worksheet>
</file>

<file path=xl/worksheets/sheet358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N42"/>
  <sheetViews>
    <sheetView zoomScale="70" zoomScaleNormal="70" workbookViewId="0">
      <selection activeCell="A3" sqref="A3:C3"/>
    </sheetView>
  </sheetViews>
  <sheetFormatPr defaultRowHeight="15"/>
  <cols>
    <col min="1" max="1" width="41.42578125" customWidth="1"/>
    <col min="2" max="2" width="13.28515625" customWidth="1"/>
    <col min="3" max="3" width="5.85546875" customWidth="1"/>
    <col min="4" max="4" width="11.85546875" customWidth="1"/>
    <col min="5" max="5" width="16.5703125" customWidth="1"/>
    <col min="6" max="6" width="15" customWidth="1"/>
    <col min="7" max="7" width="12.140625" customWidth="1"/>
    <col min="8" max="8" width="12.7109375" customWidth="1"/>
    <col min="9" max="9" width="16.42578125" customWidth="1"/>
    <col min="10" max="10" width="14.140625" bestFit="1" customWidth="1"/>
    <col min="11" max="11" width="10.28515625" customWidth="1"/>
    <col min="12" max="12" width="15.5703125" customWidth="1"/>
    <col min="13" max="13" width="10.28515625" customWidth="1"/>
    <col min="14" max="14" width="13.28515625" customWidth="1"/>
    <col min="257" max="257" width="41.42578125" customWidth="1"/>
    <col min="258" max="258" width="13.28515625" customWidth="1"/>
    <col min="259" max="259" width="5.85546875" customWidth="1"/>
    <col min="260" max="260" width="11.85546875" customWidth="1"/>
    <col min="261" max="261" width="16.5703125" customWidth="1"/>
    <col min="262" max="262" width="15" customWidth="1"/>
    <col min="263" max="263" width="12.140625" customWidth="1"/>
    <col min="264" max="264" width="12.7109375" customWidth="1"/>
    <col min="265" max="265" width="16.42578125" customWidth="1"/>
    <col min="266" max="266" width="14.140625" bestFit="1" customWidth="1"/>
    <col min="267" max="267" width="10.28515625" customWidth="1"/>
    <col min="268" max="268" width="15.5703125" customWidth="1"/>
    <col min="269" max="269" width="10.28515625" customWidth="1"/>
    <col min="270" max="270" width="13.28515625" customWidth="1"/>
    <col min="513" max="513" width="41.42578125" customWidth="1"/>
    <col min="514" max="514" width="13.28515625" customWidth="1"/>
    <col min="515" max="515" width="5.85546875" customWidth="1"/>
    <col min="516" max="516" width="11.85546875" customWidth="1"/>
    <col min="517" max="517" width="16.5703125" customWidth="1"/>
    <col min="518" max="518" width="15" customWidth="1"/>
    <col min="519" max="519" width="12.140625" customWidth="1"/>
    <col min="520" max="520" width="12.7109375" customWidth="1"/>
    <col min="521" max="521" width="16.42578125" customWidth="1"/>
    <col min="522" max="522" width="14.140625" bestFit="1" customWidth="1"/>
    <col min="523" max="523" width="10.28515625" customWidth="1"/>
    <col min="524" max="524" width="15.5703125" customWidth="1"/>
    <col min="525" max="525" width="10.28515625" customWidth="1"/>
    <col min="526" max="526" width="13.28515625" customWidth="1"/>
    <col min="769" max="769" width="41.42578125" customWidth="1"/>
    <col min="770" max="770" width="13.28515625" customWidth="1"/>
    <col min="771" max="771" width="5.85546875" customWidth="1"/>
    <col min="772" max="772" width="11.85546875" customWidth="1"/>
    <col min="773" max="773" width="16.5703125" customWidth="1"/>
    <col min="774" max="774" width="15" customWidth="1"/>
    <col min="775" max="775" width="12.140625" customWidth="1"/>
    <col min="776" max="776" width="12.7109375" customWidth="1"/>
    <col min="777" max="777" width="16.42578125" customWidth="1"/>
    <col min="778" max="778" width="14.140625" bestFit="1" customWidth="1"/>
    <col min="779" max="779" width="10.28515625" customWidth="1"/>
    <col min="780" max="780" width="15.5703125" customWidth="1"/>
    <col min="781" max="781" width="10.28515625" customWidth="1"/>
    <col min="782" max="782" width="13.28515625" customWidth="1"/>
    <col min="1025" max="1025" width="41.42578125" customWidth="1"/>
    <col min="1026" max="1026" width="13.28515625" customWidth="1"/>
    <col min="1027" max="1027" width="5.85546875" customWidth="1"/>
    <col min="1028" max="1028" width="11.85546875" customWidth="1"/>
    <col min="1029" max="1029" width="16.5703125" customWidth="1"/>
    <col min="1030" max="1030" width="15" customWidth="1"/>
    <col min="1031" max="1031" width="12.140625" customWidth="1"/>
    <col min="1032" max="1032" width="12.7109375" customWidth="1"/>
    <col min="1033" max="1033" width="16.42578125" customWidth="1"/>
    <col min="1034" max="1034" width="14.140625" bestFit="1" customWidth="1"/>
    <col min="1035" max="1035" width="10.28515625" customWidth="1"/>
    <col min="1036" max="1036" width="15.5703125" customWidth="1"/>
    <col min="1037" max="1037" width="10.28515625" customWidth="1"/>
    <col min="1038" max="1038" width="13.28515625" customWidth="1"/>
    <col min="1281" max="1281" width="41.42578125" customWidth="1"/>
    <col min="1282" max="1282" width="13.28515625" customWidth="1"/>
    <col min="1283" max="1283" width="5.85546875" customWidth="1"/>
    <col min="1284" max="1284" width="11.85546875" customWidth="1"/>
    <col min="1285" max="1285" width="16.5703125" customWidth="1"/>
    <col min="1286" max="1286" width="15" customWidth="1"/>
    <col min="1287" max="1287" width="12.140625" customWidth="1"/>
    <col min="1288" max="1288" width="12.7109375" customWidth="1"/>
    <col min="1289" max="1289" width="16.42578125" customWidth="1"/>
    <col min="1290" max="1290" width="14.140625" bestFit="1" customWidth="1"/>
    <col min="1291" max="1291" width="10.28515625" customWidth="1"/>
    <col min="1292" max="1292" width="15.5703125" customWidth="1"/>
    <col min="1293" max="1293" width="10.28515625" customWidth="1"/>
    <col min="1294" max="1294" width="13.28515625" customWidth="1"/>
    <col min="1537" max="1537" width="41.42578125" customWidth="1"/>
    <col min="1538" max="1538" width="13.28515625" customWidth="1"/>
    <col min="1539" max="1539" width="5.85546875" customWidth="1"/>
    <col min="1540" max="1540" width="11.85546875" customWidth="1"/>
    <col min="1541" max="1541" width="16.5703125" customWidth="1"/>
    <col min="1542" max="1542" width="15" customWidth="1"/>
    <col min="1543" max="1543" width="12.140625" customWidth="1"/>
    <col min="1544" max="1544" width="12.7109375" customWidth="1"/>
    <col min="1545" max="1545" width="16.42578125" customWidth="1"/>
    <col min="1546" max="1546" width="14.140625" bestFit="1" customWidth="1"/>
    <col min="1547" max="1547" width="10.28515625" customWidth="1"/>
    <col min="1548" max="1548" width="15.5703125" customWidth="1"/>
    <col min="1549" max="1549" width="10.28515625" customWidth="1"/>
    <col min="1550" max="1550" width="13.28515625" customWidth="1"/>
    <col min="1793" max="1793" width="41.42578125" customWidth="1"/>
    <col min="1794" max="1794" width="13.28515625" customWidth="1"/>
    <col min="1795" max="1795" width="5.85546875" customWidth="1"/>
    <col min="1796" max="1796" width="11.85546875" customWidth="1"/>
    <col min="1797" max="1797" width="16.5703125" customWidth="1"/>
    <col min="1798" max="1798" width="15" customWidth="1"/>
    <col min="1799" max="1799" width="12.140625" customWidth="1"/>
    <col min="1800" max="1800" width="12.7109375" customWidth="1"/>
    <col min="1801" max="1801" width="16.42578125" customWidth="1"/>
    <col min="1802" max="1802" width="14.140625" bestFit="1" customWidth="1"/>
    <col min="1803" max="1803" width="10.28515625" customWidth="1"/>
    <col min="1804" max="1804" width="15.5703125" customWidth="1"/>
    <col min="1805" max="1805" width="10.28515625" customWidth="1"/>
    <col min="1806" max="1806" width="13.28515625" customWidth="1"/>
    <col min="2049" max="2049" width="41.42578125" customWidth="1"/>
    <col min="2050" max="2050" width="13.28515625" customWidth="1"/>
    <col min="2051" max="2051" width="5.85546875" customWidth="1"/>
    <col min="2052" max="2052" width="11.85546875" customWidth="1"/>
    <col min="2053" max="2053" width="16.5703125" customWidth="1"/>
    <col min="2054" max="2054" width="15" customWidth="1"/>
    <col min="2055" max="2055" width="12.140625" customWidth="1"/>
    <col min="2056" max="2056" width="12.7109375" customWidth="1"/>
    <col min="2057" max="2057" width="16.42578125" customWidth="1"/>
    <col min="2058" max="2058" width="14.140625" bestFit="1" customWidth="1"/>
    <col min="2059" max="2059" width="10.28515625" customWidth="1"/>
    <col min="2060" max="2060" width="15.5703125" customWidth="1"/>
    <col min="2061" max="2061" width="10.28515625" customWidth="1"/>
    <col min="2062" max="2062" width="13.28515625" customWidth="1"/>
    <col min="2305" max="2305" width="41.42578125" customWidth="1"/>
    <col min="2306" max="2306" width="13.28515625" customWidth="1"/>
    <col min="2307" max="2307" width="5.85546875" customWidth="1"/>
    <col min="2308" max="2308" width="11.85546875" customWidth="1"/>
    <col min="2309" max="2309" width="16.5703125" customWidth="1"/>
    <col min="2310" max="2310" width="15" customWidth="1"/>
    <col min="2311" max="2311" width="12.140625" customWidth="1"/>
    <col min="2312" max="2312" width="12.7109375" customWidth="1"/>
    <col min="2313" max="2313" width="16.42578125" customWidth="1"/>
    <col min="2314" max="2314" width="14.140625" bestFit="1" customWidth="1"/>
    <col min="2315" max="2315" width="10.28515625" customWidth="1"/>
    <col min="2316" max="2316" width="15.5703125" customWidth="1"/>
    <col min="2317" max="2317" width="10.28515625" customWidth="1"/>
    <col min="2318" max="2318" width="13.28515625" customWidth="1"/>
    <col min="2561" max="2561" width="41.42578125" customWidth="1"/>
    <col min="2562" max="2562" width="13.28515625" customWidth="1"/>
    <col min="2563" max="2563" width="5.85546875" customWidth="1"/>
    <col min="2564" max="2564" width="11.85546875" customWidth="1"/>
    <col min="2565" max="2565" width="16.5703125" customWidth="1"/>
    <col min="2566" max="2566" width="15" customWidth="1"/>
    <col min="2567" max="2567" width="12.140625" customWidth="1"/>
    <col min="2568" max="2568" width="12.7109375" customWidth="1"/>
    <col min="2569" max="2569" width="16.42578125" customWidth="1"/>
    <col min="2570" max="2570" width="14.140625" bestFit="1" customWidth="1"/>
    <col min="2571" max="2571" width="10.28515625" customWidth="1"/>
    <col min="2572" max="2572" width="15.5703125" customWidth="1"/>
    <col min="2573" max="2573" width="10.28515625" customWidth="1"/>
    <col min="2574" max="2574" width="13.28515625" customWidth="1"/>
    <col min="2817" max="2817" width="41.42578125" customWidth="1"/>
    <col min="2818" max="2818" width="13.28515625" customWidth="1"/>
    <col min="2819" max="2819" width="5.85546875" customWidth="1"/>
    <col min="2820" max="2820" width="11.85546875" customWidth="1"/>
    <col min="2821" max="2821" width="16.5703125" customWidth="1"/>
    <col min="2822" max="2822" width="15" customWidth="1"/>
    <col min="2823" max="2823" width="12.140625" customWidth="1"/>
    <col min="2824" max="2824" width="12.7109375" customWidth="1"/>
    <col min="2825" max="2825" width="16.42578125" customWidth="1"/>
    <col min="2826" max="2826" width="14.140625" bestFit="1" customWidth="1"/>
    <col min="2827" max="2827" width="10.28515625" customWidth="1"/>
    <col min="2828" max="2828" width="15.5703125" customWidth="1"/>
    <col min="2829" max="2829" width="10.28515625" customWidth="1"/>
    <col min="2830" max="2830" width="13.28515625" customWidth="1"/>
    <col min="3073" max="3073" width="41.42578125" customWidth="1"/>
    <col min="3074" max="3074" width="13.28515625" customWidth="1"/>
    <col min="3075" max="3075" width="5.85546875" customWidth="1"/>
    <col min="3076" max="3076" width="11.85546875" customWidth="1"/>
    <col min="3077" max="3077" width="16.5703125" customWidth="1"/>
    <col min="3078" max="3078" width="15" customWidth="1"/>
    <col min="3079" max="3079" width="12.140625" customWidth="1"/>
    <col min="3080" max="3080" width="12.7109375" customWidth="1"/>
    <col min="3081" max="3081" width="16.42578125" customWidth="1"/>
    <col min="3082" max="3082" width="14.140625" bestFit="1" customWidth="1"/>
    <col min="3083" max="3083" width="10.28515625" customWidth="1"/>
    <col min="3084" max="3084" width="15.5703125" customWidth="1"/>
    <col min="3085" max="3085" width="10.28515625" customWidth="1"/>
    <col min="3086" max="3086" width="13.28515625" customWidth="1"/>
    <col min="3329" max="3329" width="41.42578125" customWidth="1"/>
    <col min="3330" max="3330" width="13.28515625" customWidth="1"/>
    <col min="3331" max="3331" width="5.85546875" customWidth="1"/>
    <col min="3332" max="3332" width="11.85546875" customWidth="1"/>
    <col min="3333" max="3333" width="16.5703125" customWidth="1"/>
    <col min="3334" max="3334" width="15" customWidth="1"/>
    <col min="3335" max="3335" width="12.140625" customWidth="1"/>
    <col min="3336" max="3336" width="12.7109375" customWidth="1"/>
    <col min="3337" max="3337" width="16.42578125" customWidth="1"/>
    <col min="3338" max="3338" width="14.140625" bestFit="1" customWidth="1"/>
    <col min="3339" max="3339" width="10.28515625" customWidth="1"/>
    <col min="3340" max="3340" width="15.5703125" customWidth="1"/>
    <col min="3341" max="3341" width="10.28515625" customWidth="1"/>
    <col min="3342" max="3342" width="13.28515625" customWidth="1"/>
    <col min="3585" max="3585" width="41.42578125" customWidth="1"/>
    <col min="3586" max="3586" width="13.28515625" customWidth="1"/>
    <col min="3587" max="3587" width="5.85546875" customWidth="1"/>
    <col min="3588" max="3588" width="11.85546875" customWidth="1"/>
    <col min="3589" max="3589" width="16.5703125" customWidth="1"/>
    <col min="3590" max="3590" width="15" customWidth="1"/>
    <col min="3591" max="3591" width="12.140625" customWidth="1"/>
    <col min="3592" max="3592" width="12.7109375" customWidth="1"/>
    <col min="3593" max="3593" width="16.42578125" customWidth="1"/>
    <col min="3594" max="3594" width="14.140625" bestFit="1" customWidth="1"/>
    <col min="3595" max="3595" width="10.28515625" customWidth="1"/>
    <col min="3596" max="3596" width="15.5703125" customWidth="1"/>
    <col min="3597" max="3597" width="10.28515625" customWidth="1"/>
    <col min="3598" max="3598" width="13.28515625" customWidth="1"/>
    <col min="3841" max="3841" width="41.42578125" customWidth="1"/>
    <col min="3842" max="3842" width="13.28515625" customWidth="1"/>
    <col min="3843" max="3843" width="5.85546875" customWidth="1"/>
    <col min="3844" max="3844" width="11.85546875" customWidth="1"/>
    <col min="3845" max="3845" width="16.5703125" customWidth="1"/>
    <col min="3846" max="3846" width="15" customWidth="1"/>
    <col min="3847" max="3847" width="12.140625" customWidth="1"/>
    <col min="3848" max="3848" width="12.7109375" customWidth="1"/>
    <col min="3849" max="3849" width="16.42578125" customWidth="1"/>
    <col min="3850" max="3850" width="14.140625" bestFit="1" customWidth="1"/>
    <col min="3851" max="3851" width="10.28515625" customWidth="1"/>
    <col min="3852" max="3852" width="15.5703125" customWidth="1"/>
    <col min="3853" max="3853" width="10.28515625" customWidth="1"/>
    <col min="3854" max="3854" width="13.28515625" customWidth="1"/>
    <col min="4097" max="4097" width="41.42578125" customWidth="1"/>
    <col min="4098" max="4098" width="13.28515625" customWidth="1"/>
    <col min="4099" max="4099" width="5.85546875" customWidth="1"/>
    <col min="4100" max="4100" width="11.85546875" customWidth="1"/>
    <col min="4101" max="4101" width="16.5703125" customWidth="1"/>
    <col min="4102" max="4102" width="15" customWidth="1"/>
    <col min="4103" max="4103" width="12.140625" customWidth="1"/>
    <col min="4104" max="4104" width="12.7109375" customWidth="1"/>
    <col min="4105" max="4105" width="16.42578125" customWidth="1"/>
    <col min="4106" max="4106" width="14.140625" bestFit="1" customWidth="1"/>
    <col min="4107" max="4107" width="10.28515625" customWidth="1"/>
    <col min="4108" max="4108" width="15.5703125" customWidth="1"/>
    <col min="4109" max="4109" width="10.28515625" customWidth="1"/>
    <col min="4110" max="4110" width="13.28515625" customWidth="1"/>
    <col min="4353" max="4353" width="41.42578125" customWidth="1"/>
    <col min="4354" max="4354" width="13.28515625" customWidth="1"/>
    <col min="4355" max="4355" width="5.85546875" customWidth="1"/>
    <col min="4356" max="4356" width="11.85546875" customWidth="1"/>
    <col min="4357" max="4357" width="16.5703125" customWidth="1"/>
    <col min="4358" max="4358" width="15" customWidth="1"/>
    <col min="4359" max="4359" width="12.140625" customWidth="1"/>
    <col min="4360" max="4360" width="12.7109375" customWidth="1"/>
    <col min="4361" max="4361" width="16.42578125" customWidth="1"/>
    <col min="4362" max="4362" width="14.140625" bestFit="1" customWidth="1"/>
    <col min="4363" max="4363" width="10.28515625" customWidth="1"/>
    <col min="4364" max="4364" width="15.5703125" customWidth="1"/>
    <col min="4365" max="4365" width="10.28515625" customWidth="1"/>
    <col min="4366" max="4366" width="13.28515625" customWidth="1"/>
    <col min="4609" max="4609" width="41.42578125" customWidth="1"/>
    <col min="4610" max="4610" width="13.28515625" customWidth="1"/>
    <col min="4611" max="4611" width="5.85546875" customWidth="1"/>
    <col min="4612" max="4612" width="11.85546875" customWidth="1"/>
    <col min="4613" max="4613" width="16.5703125" customWidth="1"/>
    <col min="4614" max="4614" width="15" customWidth="1"/>
    <col min="4615" max="4615" width="12.140625" customWidth="1"/>
    <col min="4616" max="4616" width="12.7109375" customWidth="1"/>
    <col min="4617" max="4617" width="16.42578125" customWidth="1"/>
    <col min="4618" max="4618" width="14.140625" bestFit="1" customWidth="1"/>
    <col min="4619" max="4619" width="10.28515625" customWidth="1"/>
    <col min="4620" max="4620" width="15.5703125" customWidth="1"/>
    <col min="4621" max="4621" width="10.28515625" customWidth="1"/>
    <col min="4622" max="4622" width="13.28515625" customWidth="1"/>
    <col min="4865" max="4865" width="41.42578125" customWidth="1"/>
    <col min="4866" max="4866" width="13.28515625" customWidth="1"/>
    <col min="4867" max="4867" width="5.85546875" customWidth="1"/>
    <col min="4868" max="4868" width="11.85546875" customWidth="1"/>
    <col min="4869" max="4869" width="16.5703125" customWidth="1"/>
    <col min="4870" max="4870" width="15" customWidth="1"/>
    <col min="4871" max="4871" width="12.140625" customWidth="1"/>
    <col min="4872" max="4872" width="12.7109375" customWidth="1"/>
    <col min="4873" max="4873" width="16.42578125" customWidth="1"/>
    <col min="4874" max="4874" width="14.140625" bestFit="1" customWidth="1"/>
    <col min="4875" max="4875" width="10.28515625" customWidth="1"/>
    <col min="4876" max="4876" width="15.5703125" customWidth="1"/>
    <col min="4877" max="4877" width="10.28515625" customWidth="1"/>
    <col min="4878" max="4878" width="13.28515625" customWidth="1"/>
    <col min="5121" max="5121" width="41.42578125" customWidth="1"/>
    <col min="5122" max="5122" width="13.28515625" customWidth="1"/>
    <col min="5123" max="5123" width="5.85546875" customWidth="1"/>
    <col min="5124" max="5124" width="11.85546875" customWidth="1"/>
    <col min="5125" max="5125" width="16.5703125" customWidth="1"/>
    <col min="5126" max="5126" width="15" customWidth="1"/>
    <col min="5127" max="5127" width="12.140625" customWidth="1"/>
    <col min="5128" max="5128" width="12.7109375" customWidth="1"/>
    <col min="5129" max="5129" width="16.42578125" customWidth="1"/>
    <col min="5130" max="5130" width="14.140625" bestFit="1" customWidth="1"/>
    <col min="5131" max="5131" width="10.28515625" customWidth="1"/>
    <col min="5132" max="5132" width="15.5703125" customWidth="1"/>
    <col min="5133" max="5133" width="10.28515625" customWidth="1"/>
    <col min="5134" max="5134" width="13.28515625" customWidth="1"/>
    <col min="5377" max="5377" width="41.42578125" customWidth="1"/>
    <col min="5378" max="5378" width="13.28515625" customWidth="1"/>
    <col min="5379" max="5379" width="5.85546875" customWidth="1"/>
    <col min="5380" max="5380" width="11.85546875" customWidth="1"/>
    <col min="5381" max="5381" width="16.5703125" customWidth="1"/>
    <col min="5382" max="5382" width="15" customWidth="1"/>
    <col min="5383" max="5383" width="12.140625" customWidth="1"/>
    <col min="5384" max="5384" width="12.7109375" customWidth="1"/>
    <col min="5385" max="5385" width="16.42578125" customWidth="1"/>
    <col min="5386" max="5386" width="14.140625" bestFit="1" customWidth="1"/>
    <col min="5387" max="5387" width="10.28515625" customWidth="1"/>
    <col min="5388" max="5388" width="15.5703125" customWidth="1"/>
    <col min="5389" max="5389" width="10.28515625" customWidth="1"/>
    <col min="5390" max="5390" width="13.28515625" customWidth="1"/>
    <col min="5633" max="5633" width="41.42578125" customWidth="1"/>
    <col min="5634" max="5634" width="13.28515625" customWidth="1"/>
    <col min="5635" max="5635" width="5.85546875" customWidth="1"/>
    <col min="5636" max="5636" width="11.85546875" customWidth="1"/>
    <col min="5637" max="5637" width="16.5703125" customWidth="1"/>
    <col min="5638" max="5638" width="15" customWidth="1"/>
    <col min="5639" max="5639" width="12.140625" customWidth="1"/>
    <col min="5640" max="5640" width="12.7109375" customWidth="1"/>
    <col min="5641" max="5641" width="16.42578125" customWidth="1"/>
    <col min="5642" max="5642" width="14.140625" bestFit="1" customWidth="1"/>
    <col min="5643" max="5643" width="10.28515625" customWidth="1"/>
    <col min="5644" max="5644" width="15.5703125" customWidth="1"/>
    <col min="5645" max="5645" width="10.28515625" customWidth="1"/>
    <col min="5646" max="5646" width="13.28515625" customWidth="1"/>
    <col min="5889" max="5889" width="41.42578125" customWidth="1"/>
    <col min="5890" max="5890" width="13.28515625" customWidth="1"/>
    <col min="5891" max="5891" width="5.85546875" customWidth="1"/>
    <col min="5892" max="5892" width="11.85546875" customWidth="1"/>
    <col min="5893" max="5893" width="16.5703125" customWidth="1"/>
    <col min="5894" max="5894" width="15" customWidth="1"/>
    <col min="5895" max="5895" width="12.140625" customWidth="1"/>
    <col min="5896" max="5896" width="12.7109375" customWidth="1"/>
    <col min="5897" max="5897" width="16.42578125" customWidth="1"/>
    <col min="5898" max="5898" width="14.140625" bestFit="1" customWidth="1"/>
    <col min="5899" max="5899" width="10.28515625" customWidth="1"/>
    <col min="5900" max="5900" width="15.5703125" customWidth="1"/>
    <col min="5901" max="5901" width="10.28515625" customWidth="1"/>
    <col min="5902" max="5902" width="13.28515625" customWidth="1"/>
    <col min="6145" max="6145" width="41.42578125" customWidth="1"/>
    <col min="6146" max="6146" width="13.28515625" customWidth="1"/>
    <col min="6147" max="6147" width="5.85546875" customWidth="1"/>
    <col min="6148" max="6148" width="11.85546875" customWidth="1"/>
    <col min="6149" max="6149" width="16.5703125" customWidth="1"/>
    <col min="6150" max="6150" width="15" customWidth="1"/>
    <col min="6151" max="6151" width="12.140625" customWidth="1"/>
    <col min="6152" max="6152" width="12.7109375" customWidth="1"/>
    <col min="6153" max="6153" width="16.42578125" customWidth="1"/>
    <col min="6154" max="6154" width="14.140625" bestFit="1" customWidth="1"/>
    <col min="6155" max="6155" width="10.28515625" customWidth="1"/>
    <col min="6156" max="6156" width="15.5703125" customWidth="1"/>
    <col min="6157" max="6157" width="10.28515625" customWidth="1"/>
    <col min="6158" max="6158" width="13.28515625" customWidth="1"/>
    <col min="6401" max="6401" width="41.42578125" customWidth="1"/>
    <col min="6402" max="6402" width="13.28515625" customWidth="1"/>
    <col min="6403" max="6403" width="5.85546875" customWidth="1"/>
    <col min="6404" max="6404" width="11.85546875" customWidth="1"/>
    <col min="6405" max="6405" width="16.5703125" customWidth="1"/>
    <col min="6406" max="6406" width="15" customWidth="1"/>
    <col min="6407" max="6407" width="12.140625" customWidth="1"/>
    <col min="6408" max="6408" width="12.7109375" customWidth="1"/>
    <col min="6409" max="6409" width="16.42578125" customWidth="1"/>
    <col min="6410" max="6410" width="14.140625" bestFit="1" customWidth="1"/>
    <col min="6411" max="6411" width="10.28515625" customWidth="1"/>
    <col min="6412" max="6412" width="15.5703125" customWidth="1"/>
    <col min="6413" max="6413" width="10.28515625" customWidth="1"/>
    <col min="6414" max="6414" width="13.28515625" customWidth="1"/>
    <col min="6657" max="6657" width="41.42578125" customWidth="1"/>
    <col min="6658" max="6658" width="13.28515625" customWidth="1"/>
    <col min="6659" max="6659" width="5.85546875" customWidth="1"/>
    <col min="6660" max="6660" width="11.85546875" customWidth="1"/>
    <col min="6661" max="6661" width="16.5703125" customWidth="1"/>
    <col min="6662" max="6662" width="15" customWidth="1"/>
    <col min="6663" max="6663" width="12.140625" customWidth="1"/>
    <col min="6664" max="6664" width="12.7109375" customWidth="1"/>
    <col min="6665" max="6665" width="16.42578125" customWidth="1"/>
    <col min="6666" max="6666" width="14.140625" bestFit="1" customWidth="1"/>
    <col min="6667" max="6667" width="10.28515625" customWidth="1"/>
    <col min="6668" max="6668" width="15.5703125" customWidth="1"/>
    <col min="6669" max="6669" width="10.28515625" customWidth="1"/>
    <col min="6670" max="6670" width="13.28515625" customWidth="1"/>
    <col min="6913" max="6913" width="41.42578125" customWidth="1"/>
    <col min="6914" max="6914" width="13.28515625" customWidth="1"/>
    <col min="6915" max="6915" width="5.85546875" customWidth="1"/>
    <col min="6916" max="6916" width="11.85546875" customWidth="1"/>
    <col min="6917" max="6917" width="16.5703125" customWidth="1"/>
    <col min="6918" max="6918" width="15" customWidth="1"/>
    <col min="6919" max="6919" width="12.140625" customWidth="1"/>
    <col min="6920" max="6920" width="12.7109375" customWidth="1"/>
    <col min="6921" max="6921" width="16.42578125" customWidth="1"/>
    <col min="6922" max="6922" width="14.140625" bestFit="1" customWidth="1"/>
    <col min="6923" max="6923" width="10.28515625" customWidth="1"/>
    <col min="6924" max="6924" width="15.5703125" customWidth="1"/>
    <col min="6925" max="6925" width="10.28515625" customWidth="1"/>
    <col min="6926" max="6926" width="13.28515625" customWidth="1"/>
    <col min="7169" max="7169" width="41.42578125" customWidth="1"/>
    <col min="7170" max="7170" width="13.28515625" customWidth="1"/>
    <col min="7171" max="7171" width="5.85546875" customWidth="1"/>
    <col min="7172" max="7172" width="11.85546875" customWidth="1"/>
    <col min="7173" max="7173" width="16.5703125" customWidth="1"/>
    <col min="7174" max="7174" width="15" customWidth="1"/>
    <col min="7175" max="7175" width="12.140625" customWidth="1"/>
    <col min="7176" max="7176" width="12.7109375" customWidth="1"/>
    <col min="7177" max="7177" width="16.42578125" customWidth="1"/>
    <col min="7178" max="7178" width="14.140625" bestFit="1" customWidth="1"/>
    <col min="7179" max="7179" width="10.28515625" customWidth="1"/>
    <col min="7180" max="7180" width="15.5703125" customWidth="1"/>
    <col min="7181" max="7181" width="10.28515625" customWidth="1"/>
    <col min="7182" max="7182" width="13.28515625" customWidth="1"/>
    <col min="7425" max="7425" width="41.42578125" customWidth="1"/>
    <col min="7426" max="7426" width="13.28515625" customWidth="1"/>
    <col min="7427" max="7427" width="5.85546875" customWidth="1"/>
    <col min="7428" max="7428" width="11.85546875" customWidth="1"/>
    <col min="7429" max="7429" width="16.5703125" customWidth="1"/>
    <col min="7430" max="7430" width="15" customWidth="1"/>
    <col min="7431" max="7431" width="12.140625" customWidth="1"/>
    <col min="7432" max="7432" width="12.7109375" customWidth="1"/>
    <col min="7433" max="7433" width="16.42578125" customWidth="1"/>
    <col min="7434" max="7434" width="14.140625" bestFit="1" customWidth="1"/>
    <col min="7435" max="7435" width="10.28515625" customWidth="1"/>
    <col min="7436" max="7436" width="15.5703125" customWidth="1"/>
    <col min="7437" max="7437" width="10.28515625" customWidth="1"/>
    <col min="7438" max="7438" width="13.28515625" customWidth="1"/>
    <col min="7681" max="7681" width="41.42578125" customWidth="1"/>
    <col min="7682" max="7682" width="13.28515625" customWidth="1"/>
    <col min="7683" max="7683" width="5.85546875" customWidth="1"/>
    <col min="7684" max="7684" width="11.85546875" customWidth="1"/>
    <col min="7685" max="7685" width="16.5703125" customWidth="1"/>
    <col min="7686" max="7686" width="15" customWidth="1"/>
    <col min="7687" max="7687" width="12.140625" customWidth="1"/>
    <col min="7688" max="7688" width="12.7109375" customWidth="1"/>
    <col min="7689" max="7689" width="16.42578125" customWidth="1"/>
    <col min="7690" max="7690" width="14.140625" bestFit="1" customWidth="1"/>
    <col min="7691" max="7691" width="10.28515625" customWidth="1"/>
    <col min="7692" max="7692" width="15.5703125" customWidth="1"/>
    <col min="7693" max="7693" width="10.28515625" customWidth="1"/>
    <col min="7694" max="7694" width="13.28515625" customWidth="1"/>
    <col min="7937" max="7937" width="41.42578125" customWidth="1"/>
    <col min="7938" max="7938" width="13.28515625" customWidth="1"/>
    <col min="7939" max="7939" width="5.85546875" customWidth="1"/>
    <col min="7940" max="7940" width="11.85546875" customWidth="1"/>
    <col min="7941" max="7941" width="16.5703125" customWidth="1"/>
    <col min="7942" max="7942" width="15" customWidth="1"/>
    <col min="7943" max="7943" width="12.140625" customWidth="1"/>
    <col min="7944" max="7944" width="12.7109375" customWidth="1"/>
    <col min="7945" max="7945" width="16.42578125" customWidth="1"/>
    <col min="7946" max="7946" width="14.140625" bestFit="1" customWidth="1"/>
    <col min="7947" max="7947" width="10.28515625" customWidth="1"/>
    <col min="7948" max="7948" width="15.5703125" customWidth="1"/>
    <col min="7949" max="7949" width="10.28515625" customWidth="1"/>
    <col min="7950" max="7950" width="13.28515625" customWidth="1"/>
    <col min="8193" max="8193" width="41.42578125" customWidth="1"/>
    <col min="8194" max="8194" width="13.28515625" customWidth="1"/>
    <col min="8195" max="8195" width="5.85546875" customWidth="1"/>
    <col min="8196" max="8196" width="11.85546875" customWidth="1"/>
    <col min="8197" max="8197" width="16.5703125" customWidth="1"/>
    <col min="8198" max="8198" width="15" customWidth="1"/>
    <col min="8199" max="8199" width="12.140625" customWidth="1"/>
    <col min="8200" max="8200" width="12.7109375" customWidth="1"/>
    <col min="8201" max="8201" width="16.42578125" customWidth="1"/>
    <col min="8202" max="8202" width="14.140625" bestFit="1" customWidth="1"/>
    <col min="8203" max="8203" width="10.28515625" customWidth="1"/>
    <col min="8204" max="8204" width="15.5703125" customWidth="1"/>
    <col min="8205" max="8205" width="10.28515625" customWidth="1"/>
    <col min="8206" max="8206" width="13.28515625" customWidth="1"/>
    <col min="8449" max="8449" width="41.42578125" customWidth="1"/>
    <col min="8450" max="8450" width="13.28515625" customWidth="1"/>
    <col min="8451" max="8451" width="5.85546875" customWidth="1"/>
    <col min="8452" max="8452" width="11.85546875" customWidth="1"/>
    <col min="8453" max="8453" width="16.5703125" customWidth="1"/>
    <col min="8454" max="8454" width="15" customWidth="1"/>
    <col min="8455" max="8455" width="12.140625" customWidth="1"/>
    <col min="8456" max="8456" width="12.7109375" customWidth="1"/>
    <col min="8457" max="8457" width="16.42578125" customWidth="1"/>
    <col min="8458" max="8458" width="14.140625" bestFit="1" customWidth="1"/>
    <col min="8459" max="8459" width="10.28515625" customWidth="1"/>
    <col min="8460" max="8460" width="15.5703125" customWidth="1"/>
    <col min="8461" max="8461" width="10.28515625" customWidth="1"/>
    <col min="8462" max="8462" width="13.28515625" customWidth="1"/>
    <col min="8705" max="8705" width="41.42578125" customWidth="1"/>
    <col min="8706" max="8706" width="13.28515625" customWidth="1"/>
    <col min="8707" max="8707" width="5.85546875" customWidth="1"/>
    <col min="8708" max="8708" width="11.85546875" customWidth="1"/>
    <col min="8709" max="8709" width="16.5703125" customWidth="1"/>
    <col min="8710" max="8710" width="15" customWidth="1"/>
    <col min="8711" max="8711" width="12.140625" customWidth="1"/>
    <col min="8712" max="8712" width="12.7109375" customWidth="1"/>
    <col min="8713" max="8713" width="16.42578125" customWidth="1"/>
    <col min="8714" max="8714" width="14.140625" bestFit="1" customWidth="1"/>
    <col min="8715" max="8715" width="10.28515625" customWidth="1"/>
    <col min="8716" max="8716" width="15.5703125" customWidth="1"/>
    <col min="8717" max="8717" width="10.28515625" customWidth="1"/>
    <col min="8718" max="8718" width="13.28515625" customWidth="1"/>
    <col min="8961" max="8961" width="41.42578125" customWidth="1"/>
    <col min="8962" max="8962" width="13.28515625" customWidth="1"/>
    <col min="8963" max="8963" width="5.85546875" customWidth="1"/>
    <col min="8964" max="8964" width="11.85546875" customWidth="1"/>
    <col min="8965" max="8965" width="16.5703125" customWidth="1"/>
    <col min="8966" max="8966" width="15" customWidth="1"/>
    <col min="8967" max="8967" width="12.140625" customWidth="1"/>
    <col min="8968" max="8968" width="12.7109375" customWidth="1"/>
    <col min="8969" max="8969" width="16.42578125" customWidth="1"/>
    <col min="8970" max="8970" width="14.140625" bestFit="1" customWidth="1"/>
    <col min="8971" max="8971" width="10.28515625" customWidth="1"/>
    <col min="8972" max="8972" width="15.5703125" customWidth="1"/>
    <col min="8973" max="8973" width="10.28515625" customWidth="1"/>
    <col min="8974" max="8974" width="13.28515625" customWidth="1"/>
    <col min="9217" max="9217" width="41.42578125" customWidth="1"/>
    <col min="9218" max="9218" width="13.28515625" customWidth="1"/>
    <col min="9219" max="9219" width="5.85546875" customWidth="1"/>
    <col min="9220" max="9220" width="11.85546875" customWidth="1"/>
    <col min="9221" max="9221" width="16.5703125" customWidth="1"/>
    <col min="9222" max="9222" width="15" customWidth="1"/>
    <col min="9223" max="9223" width="12.140625" customWidth="1"/>
    <col min="9224" max="9224" width="12.7109375" customWidth="1"/>
    <col min="9225" max="9225" width="16.42578125" customWidth="1"/>
    <col min="9226" max="9226" width="14.140625" bestFit="1" customWidth="1"/>
    <col min="9227" max="9227" width="10.28515625" customWidth="1"/>
    <col min="9228" max="9228" width="15.5703125" customWidth="1"/>
    <col min="9229" max="9229" width="10.28515625" customWidth="1"/>
    <col min="9230" max="9230" width="13.28515625" customWidth="1"/>
    <col min="9473" max="9473" width="41.42578125" customWidth="1"/>
    <col min="9474" max="9474" width="13.28515625" customWidth="1"/>
    <col min="9475" max="9475" width="5.85546875" customWidth="1"/>
    <col min="9476" max="9476" width="11.85546875" customWidth="1"/>
    <col min="9477" max="9477" width="16.5703125" customWidth="1"/>
    <col min="9478" max="9478" width="15" customWidth="1"/>
    <col min="9479" max="9479" width="12.140625" customWidth="1"/>
    <col min="9480" max="9480" width="12.7109375" customWidth="1"/>
    <col min="9481" max="9481" width="16.42578125" customWidth="1"/>
    <col min="9482" max="9482" width="14.140625" bestFit="1" customWidth="1"/>
    <col min="9483" max="9483" width="10.28515625" customWidth="1"/>
    <col min="9484" max="9484" width="15.5703125" customWidth="1"/>
    <col min="9485" max="9485" width="10.28515625" customWidth="1"/>
    <col min="9486" max="9486" width="13.28515625" customWidth="1"/>
    <col min="9729" max="9729" width="41.42578125" customWidth="1"/>
    <col min="9730" max="9730" width="13.28515625" customWidth="1"/>
    <col min="9731" max="9731" width="5.85546875" customWidth="1"/>
    <col min="9732" max="9732" width="11.85546875" customWidth="1"/>
    <col min="9733" max="9733" width="16.5703125" customWidth="1"/>
    <col min="9734" max="9734" width="15" customWidth="1"/>
    <col min="9735" max="9735" width="12.140625" customWidth="1"/>
    <col min="9736" max="9736" width="12.7109375" customWidth="1"/>
    <col min="9737" max="9737" width="16.42578125" customWidth="1"/>
    <col min="9738" max="9738" width="14.140625" bestFit="1" customWidth="1"/>
    <col min="9739" max="9739" width="10.28515625" customWidth="1"/>
    <col min="9740" max="9740" width="15.5703125" customWidth="1"/>
    <col min="9741" max="9741" width="10.28515625" customWidth="1"/>
    <col min="9742" max="9742" width="13.28515625" customWidth="1"/>
    <col min="9985" max="9985" width="41.42578125" customWidth="1"/>
    <col min="9986" max="9986" width="13.28515625" customWidth="1"/>
    <col min="9987" max="9987" width="5.85546875" customWidth="1"/>
    <col min="9988" max="9988" width="11.85546875" customWidth="1"/>
    <col min="9989" max="9989" width="16.5703125" customWidth="1"/>
    <col min="9990" max="9990" width="15" customWidth="1"/>
    <col min="9991" max="9991" width="12.140625" customWidth="1"/>
    <col min="9992" max="9992" width="12.7109375" customWidth="1"/>
    <col min="9993" max="9993" width="16.42578125" customWidth="1"/>
    <col min="9994" max="9994" width="14.140625" bestFit="1" customWidth="1"/>
    <col min="9995" max="9995" width="10.28515625" customWidth="1"/>
    <col min="9996" max="9996" width="15.5703125" customWidth="1"/>
    <col min="9997" max="9997" width="10.28515625" customWidth="1"/>
    <col min="9998" max="9998" width="13.28515625" customWidth="1"/>
    <col min="10241" max="10241" width="41.42578125" customWidth="1"/>
    <col min="10242" max="10242" width="13.28515625" customWidth="1"/>
    <col min="10243" max="10243" width="5.85546875" customWidth="1"/>
    <col min="10244" max="10244" width="11.85546875" customWidth="1"/>
    <col min="10245" max="10245" width="16.5703125" customWidth="1"/>
    <col min="10246" max="10246" width="15" customWidth="1"/>
    <col min="10247" max="10247" width="12.140625" customWidth="1"/>
    <col min="10248" max="10248" width="12.7109375" customWidth="1"/>
    <col min="10249" max="10249" width="16.42578125" customWidth="1"/>
    <col min="10250" max="10250" width="14.140625" bestFit="1" customWidth="1"/>
    <col min="10251" max="10251" width="10.28515625" customWidth="1"/>
    <col min="10252" max="10252" width="15.5703125" customWidth="1"/>
    <col min="10253" max="10253" width="10.28515625" customWidth="1"/>
    <col min="10254" max="10254" width="13.28515625" customWidth="1"/>
    <col min="10497" max="10497" width="41.42578125" customWidth="1"/>
    <col min="10498" max="10498" width="13.28515625" customWidth="1"/>
    <col min="10499" max="10499" width="5.85546875" customWidth="1"/>
    <col min="10500" max="10500" width="11.85546875" customWidth="1"/>
    <col min="10501" max="10501" width="16.5703125" customWidth="1"/>
    <col min="10502" max="10502" width="15" customWidth="1"/>
    <col min="10503" max="10503" width="12.140625" customWidth="1"/>
    <col min="10504" max="10504" width="12.7109375" customWidth="1"/>
    <col min="10505" max="10505" width="16.42578125" customWidth="1"/>
    <col min="10506" max="10506" width="14.140625" bestFit="1" customWidth="1"/>
    <col min="10507" max="10507" width="10.28515625" customWidth="1"/>
    <col min="10508" max="10508" width="15.5703125" customWidth="1"/>
    <col min="10509" max="10509" width="10.28515625" customWidth="1"/>
    <col min="10510" max="10510" width="13.28515625" customWidth="1"/>
    <col min="10753" max="10753" width="41.42578125" customWidth="1"/>
    <col min="10754" max="10754" width="13.28515625" customWidth="1"/>
    <col min="10755" max="10755" width="5.85546875" customWidth="1"/>
    <col min="10756" max="10756" width="11.85546875" customWidth="1"/>
    <col min="10757" max="10757" width="16.5703125" customWidth="1"/>
    <col min="10758" max="10758" width="15" customWidth="1"/>
    <col min="10759" max="10759" width="12.140625" customWidth="1"/>
    <col min="10760" max="10760" width="12.7109375" customWidth="1"/>
    <col min="10761" max="10761" width="16.42578125" customWidth="1"/>
    <col min="10762" max="10762" width="14.140625" bestFit="1" customWidth="1"/>
    <col min="10763" max="10763" width="10.28515625" customWidth="1"/>
    <col min="10764" max="10764" width="15.5703125" customWidth="1"/>
    <col min="10765" max="10765" width="10.28515625" customWidth="1"/>
    <col min="10766" max="10766" width="13.28515625" customWidth="1"/>
    <col min="11009" max="11009" width="41.42578125" customWidth="1"/>
    <col min="11010" max="11010" width="13.28515625" customWidth="1"/>
    <col min="11011" max="11011" width="5.85546875" customWidth="1"/>
    <col min="11012" max="11012" width="11.85546875" customWidth="1"/>
    <col min="11013" max="11013" width="16.5703125" customWidth="1"/>
    <col min="11014" max="11014" width="15" customWidth="1"/>
    <col min="11015" max="11015" width="12.140625" customWidth="1"/>
    <col min="11016" max="11016" width="12.7109375" customWidth="1"/>
    <col min="11017" max="11017" width="16.42578125" customWidth="1"/>
    <col min="11018" max="11018" width="14.140625" bestFit="1" customWidth="1"/>
    <col min="11019" max="11019" width="10.28515625" customWidth="1"/>
    <col min="11020" max="11020" width="15.5703125" customWidth="1"/>
    <col min="11021" max="11021" width="10.28515625" customWidth="1"/>
    <col min="11022" max="11022" width="13.28515625" customWidth="1"/>
    <col min="11265" max="11265" width="41.42578125" customWidth="1"/>
    <col min="11266" max="11266" width="13.28515625" customWidth="1"/>
    <col min="11267" max="11267" width="5.85546875" customWidth="1"/>
    <col min="11268" max="11268" width="11.85546875" customWidth="1"/>
    <col min="11269" max="11269" width="16.5703125" customWidth="1"/>
    <col min="11270" max="11270" width="15" customWidth="1"/>
    <col min="11271" max="11271" width="12.140625" customWidth="1"/>
    <col min="11272" max="11272" width="12.7109375" customWidth="1"/>
    <col min="11273" max="11273" width="16.42578125" customWidth="1"/>
    <col min="11274" max="11274" width="14.140625" bestFit="1" customWidth="1"/>
    <col min="11275" max="11275" width="10.28515625" customWidth="1"/>
    <col min="11276" max="11276" width="15.5703125" customWidth="1"/>
    <col min="11277" max="11277" width="10.28515625" customWidth="1"/>
    <col min="11278" max="11278" width="13.28515625" customWidth="1"/>
    <col min="11521" max="11521" width="41.42578125" customWidth="1"/>
    <col min="11522" max="11522" width="13.28515625" customWidth="1"/>
    <col min="11523" max="11523" width="5.85546875" customWidth="1"/>
    <col min="11524" max="11524" width="11.85546875" customWidth="1"/>
    <col min="11525" max="11525" width="16.5703125" customWidth="1"/>
    <col min="11526" max="11526" width="15" customWidth="1"/>
    <col min="11527" max="11527" width="12.140625" customWidth="1"/>
    <col min="11528" max="11528" width="12.7109375" customWidth="1"/>
    <col min="11529" max="11529" width="16.42578125" customWidth="1"/>
    <col min="11530" max="11530" width="14.140625" bestFit="1" customWidth="1"/>
    <col min="11531" max="11531" width="10.28515625" customWidth="1"/>
    <col min="11532" max="11532" width="15.5703125" customWidth="1"/>
    <col min="11533" max="11533" width="10.28515625" customWidth="1"/>
    <col min="11534" max="11534" width="13.28515625" customWidth="1"/>
    <col min="11777" max="11777" width="41.42578125" customWidth="1"/>
    <col min="11778" max="11778" width="13.28515625" customWidth="1"/>
    <col min="11779" max="11779" width="5.85546875" customWidth="1"/>
    <col min="11780" max="11780" width="11.85546875" customWidth="1"/>
    <col min="11781" max="11781" width="16.5703125" customWidth="1"/>
    <col min="11782" max="11782" width="15" customWidth="1"/>
    <col min="11783" max="11783" width="12.140625" customWidth="1"/>
    <col min="11784" max="11784" width="12.7109375" customWidth="1"/>
    <col min="11785" max="11785" width="16.42578125" customWidth="1"/>
    <col min="11786" max="11786" width="14.140625" bestFit="1" customWidth="1"/>
    <col min="11787" max="11787" width="10.28515625" customWidth="1"/>
    <col min="11788" max="11788" width="15.5703125" customWidth="1"/>
    <col min="11789" max="11789" width="10.28515625" customWidth="1"/>
    <col min="11790" max="11790" width="13.28515625" customWidth="1"/>
    <col min="12033" max="12033" width="41.42578125" customWidth="1"/>
    <col min="12034" max="12034" width="13.28515625" customWidth="1"/>
    <col min="12035" max="12035" width="5.85546875" customWidth="1"/>
    <col min="12036" max="12036" width="11.85546875" customWidth="1"/>
    <col min="12037" max="12037" width="16.5703125" customWidth="1"/>
    <col min="12038" max="12038" width="15" customWidth="1"/>
    <col min="12039" max="12039" width="12.140625" customWidth="1"/>
    <col min="12040" max="12040" width="12.7109375" customWidth="1"/>
    <col min="12041" max="12041" width="16.42578125" customWidth="1"/>
    <col min="12042" max="12042" width="14.140625" bestFit="1" customWidth="1"/>
    <col min="12043" max="12043" width="10.28515625" customWidth="1"/>
    <col min="12044" max="12044" width="15.5703125" customWidth="1"/>
    <col min="12045" max="12045" width="10.28515625" customWidth="1"/>
    <col min="12046" max="12046" width="13.28515625" customWidth="1"/>
    <col min="12289" max="12289" width="41.42578125" customWidth="1"/>
    <col min="12290" max="12290" width="13.28515625" customWidth="1"/>
    <col min="12291" max="12291" width="5.85546875" customWidth="1"/>
    <col min="12292" max="12292" width="11.85546875" customWidth="1"/>
    <col min="12293" max="12293" width="16.5703125" customWidth="1"/>
    <col min="12294" max="12294" width="15" customWidth="1"/>
    <col min="12295" max="12295" width="12.140625" customWidth="1"/>
    <col min="12296" max="12296" width="12.7109375" customWidth="1"/>
    <col min="12297" max="12297" width="16.42578125" customWidth="1"/>
    <col min="12298" max="12298" width="14.140625" bestFit="1" customWidth="1"/>
    <col min="12299" max="12299" width="10.28515625" customWidth="1"/>
    <col min="12300" max="12300" width="15.5703125" customWidth="1"/>
    <col min="12301" max="12301" width="10.28515625" customWidth="1"/>
    <col min="12302" max="12302" width="13.28515625" customWidth="1"/>
    <col min="12545" max="12545" width="41.42578125" customWidth="1"/>
    <col min="12546" max="12546" width="13.28515625" customWidth="1"/>
    <col min="12547" max="12547" width="5.85546875" customWidth="1"/>
    <col min="12548" max="12548" width="11.85546875" customWidth="1"/>
    <col min="12549" max="12549" width="16.5703125" customWidth="1"/>
    <col min="12550" max="12550" width="15" customWidth="1"/>
    <col min="12551" max="12551" width="12.140625" customWidth="1"/>
    <col min="12552" max="12552" width="12.7109375" customWidth="1"/>
    <col min="12553" max="12553" width="16.42578125" customWidth="1"/>
    <col min="12554" max="12554" width="14.140625" bestFit="1" customWidth="1"/>
    <col min="12555" max="12555" width="10.28515625" customWidth="1"/>
    <col min="12556" max="12556" width="15.5703125" customWidth="1"/>
    <col min="12557" max="12557" width="10.28515625" customWidth="1"/>
    <col min="12558" max="12558" width="13.28515625" customWidth="1"/>
    <col min="12801" max="12801" width="41.42578125" customWidth="1"/>
    <col min="12802" max="12802" width="13.28515625" customWidth="1"/>
    <col min="12803" max="12803" width="5.85546875" customWidth="1"/>
    <col min="12804" max="12804" width="11.85546875" customWidth="1"/>
    <col min="12805" max="12805" width="16.5703125" customWidth="1"/>
    <col min="12806" max="12806" width="15" customWidth="1"/>
    <col min="12807" max="12807" width="12.140625" customWidth="1"/>
    <col min="12808" max="12808" width="12.7109375" customWidth="1"/>
    <col min="12809" max="12809" width="16.42578125" customWidth="1"/>
    <col min="12810" max="12810" width="14.140625" bestFit="1" customWidth="1"/>
    <col min="12811" max="12811" width="10.28515625" customWidth="1"/>
    <col min="12812" max="12812" width="15.5703125" customWidth="1"/>
    <col min="12813" max="12813" width="10.28515625" customWidth="1"/>
    <col min="12814" max="12814" width="13.28515625" customWidth="1"/>
    <col min="13057" max="13057" width="41.42578125" customWidth="1"/>
    <col min="13058" max="13058" width="13.28515625" customWidth="1"/>
    <col min="13059" max="13059" width="5.85546875" customWidth="1"/>
    <col min="13060" max="13060" width="11.85546875" customWidth="1"/>
    <col min="13061" max="13061" width="16.5703125" customWidth="1"/>
    <col min="13062" max="13062" width="15" customWidth="1"/>
    <col min="13063" max="13063" width="12.140625" customWidth="1"/>
    <col min="13064" max="13064" width="12.7109375" customWidth="1"/>
    <col min="13065" max="13065" width="16.42578125" customWidth="1"/>
    <col min="13066" max="13066" width="14.140625" bestFit="1" customWidth="1"/>
    <col min="13067" max="13067" width="10.28515625" customWidth="1"/>
    <col min="13068" max="13068" width="15.5703125" customWidth="1"/>
    <col min="13069" max="13069" width="10.28515625" customWidth="1"/>
    <col min="13070" max="13070" width="13.28515625" customWidth="1"/>
    <col min="13313" max="13313" width="41.42578125" customWidth="1"/>
    <col min="13314" max="13314" width="13.28515625" customWidth="1"/>
    <col min="13315" max="13315" width="5.85546875" customWidth="1"/>
    <col min="13316" max="13316" width="11.85546875" customWidth="1"/>
    <col min="13317" max="13317" width="16.5703125" customWidth="1"/>
    <col min="13318" max="13318" width="15" customWidth="1"/>
    <col min="13319" max="13319" width="12.140625" customWidth="1"/>
    <col min="13320" max="13320" width="12.7109375" customWidth="1"/>
    <col min="13321" max="13321" width="16.42578125" customWidth="1"/>
    <col min="13322" max="13322" width="14.140625" bestFit="1" customWidth="1"/>
    <col min="13323" max="13323" width="10.28515625" customWidth="1"/>
    <col min="13324" max="13324" width="15.5703125" customWidth="1"/>
    <col min="13325" max="13325" width="10.28515625" customWidth="1"/>
    <col min="13326" max="13326" width="13.28515625" customWidth="1"/>
    <col min="13569" max="13569" width="41.42578125" customWidth="1"/>
    <col min="13570" max="13570" width="13.28515625" customWidth="1"/>
    <col min="13571" max="13571" width="5.85546875" customWidth="1"/>
    <col min="13572" max="13572" width="11.85546875" customWidth="1"/>
    <col min="13573" max="13573" width="16.5703125" customWidth="1"/>
    <col min="13574" max="13574" width="15" customWidth="1"/>
    <col min="13575" max="13575" width="12.140625" customWidth="1"/>
    <col min="13576" max="13576" width="12.7109375" customWidth="1"/>
    <col min="13577" max="13577" width="16.42578125" customWidth="1"/>
    <col min="13578" max="13578" width="14.140625" bestFit="1" customWidth="1"/>
    <col min="13579" max="13579" width="10.28515625" customWidth="1"/>
    <col min="13580" max="13580" width="15.5703125" customWidth="1"/>
    <col min="13581" max="13581" width="10.28515625" customWidth="1"/>
    <col min="13582" max="13582" width="13.28515625" customWidth="1"/>
    <col min="13825" max="13825" width="41.42578125" customWidth="1"/>
    <col min="13826" max="13826" width="13.28515625" customWidth="1"/>
    <col min="13827" max="13827" width="5.85546875" customWidth="1"/>
    <col min="13828" max="13828" width="11.85546875" customWidth="1"/>
    <col min="13829" max="13829" width="16.5703125" customWidth="1"/>
    <col min="13830" max="13830" width="15" customWidth="1"/>
    <col min="13831" max="13831" width="12.140625" customWidth="1"/>
    <col min="13832" max="13832" width="12.7109375" customWidth="1"/>
    <col min="13833" max="13833" width="16.42578125" customWidth="1"/>
    <col min="13834" max="13834" width="14.140625" bestFit="1" customWidth="1"/>
    <col min="13835" max="13835" width="10.28515625" customWidth="1"/>
    <col min="13836" max="13836" width="15.5703125" customWidth="1"/>
    <col min="13837" max="13837" width="10.28515625" customWidth="1"/>
    <col min="13838" max="13838" width="13.28515625" customWidth="1"/>
    <col min="14081" max="14081" width="41.42578125" customWidth="1"/>
    <col min="14082" max="14082" width="13.28515625" customWidth="1"/>
    <col min="14083" max="14083" width="5.85546875" customWidth="1"/>
    <col min="14084" max="14084" width="11.85546875" customWidth="1"/>
    <col min="14085" max="14085" width="16.5703125" customWidth="1"/>
    <col min="14086" max="14086" width="15" customWidth="1"/>
    <col min="14087" max="14087" width="12.140625" customWidth="1"/>
    <col min="14088" max="14088" width="12.7109375" customWidth="1"/>
    <col min="14089" max="14089" width="16.42578125" customWidth="1"/>
    <col min="14090" max="14090" width="14.140625" bestFit="1" customWidth="1"/>
    <col min="14091" max="14091" width="10.28515625" customWidth="1"/>
    <col min="14092" max="14092" width="15.5703125" customWidth="1"/>
    <col min="14093" max="14093" width="10.28515625" customWidth="1"/>
    <col min="14094" max="14094" width="13.28515625" customWidth="1"/>
    <col min="14337" max="14337" width="41.42578125" customWidth="1"/>
    <col min="14338" max="14338" width="13.28515625" customWidth="1"/>
    <col min="14339" max="14339" width="5.85546875" customWidth="1"/>
    <col min="14340" max="14340" width="11.85546875" customWidth="1"/>
    <col min="14341" max="14341" width="16.5703125" customWidth="1"/>
    <col min="14342" max="14342" width="15" customWidth="1"/>
    <col min="14343" max="14343" width="12.140625" customWidth="1"/>
    <col min="14344" max="14344" width="12.7109375" customWidth="1"/>
    <col min="14345" max="14345" width="16.42578125" customWidth="1"/>
    <col min="14346" max="14346" width="14.140625" bestFit="1" customWidth="1"/>
    <col min="14347" max="14347" width="10.28515625" customWidth="1"/>
    <col min="14348" max="14348" width="15.5703125" customWidth="1"/>
    <col min="14349" max="14349" width="10.28515625" customWidth="1"/>
    <col min="14350" max="14350" width="13.28515625" customWidth="1"/>
    <col min="14593" max="14593" width="41.42578125" customWidth="1"/>
    <col min="14594" max="14594" width="13.28515625" customWidth="1"/>
    <col min="14595" max="14595" width="5.85546875" customWidth="1"/>
    <col min="14596" max="14596" width="11.85546875" customWidth="1"/>
    <col min="14597" max="14597" width="16.5703125" customWidth="1"/>
    <col min="14598" max="14598" width="15" customWidth="1"/>
    <col min="14599" max="14599" width="12.140625" customWidth="1"/>
    <col min="14600" max="14600" width="12.7109375" customWidth="1"/>
    <col min="14601" max="14601" width="16.42578125" customWidth="1"/>
    <col min="14602" max="14602" width="14.140625" bestFit="1" customWidth="1"/>
    <col min="14603" max="14603" width="10.28515625" customWidth="1"/>
    <col min="14604" max="14604" width="15.5703125" customWidth="1"/>
    <col min="14605" max="14605" width="10.28515625" customWidth="1"/>
    <col min="14606" max="14606" width="13.28515625" customWidth="1"/>
    <col min="14849" max="14849" width="41.42578125" customWidth="1"/>
    <col min="14850" max="14850" width="13.28515625" customWidth="1"/>
    <col min="14851" max="14851" width="5.85546875" customWidth="1"/>
    <col min="14852" max="14852" width="11.85546875" customWidth="1"/>
    <col min="14853" max="14853" width="16.5703125" customWidth="1"/>
    <col min="14854" max="14854" width="15" customWidth="1"/>
    <col min="14855" max="14855" width="12.140625" customWidth="1"/>
    <col min="14856" max="14856" width="12.7109375" customWidth="1"/>
    <col min="14857" max="14857" width="16.42578125" customWidth="1"/>
    <col min="14858" max="14858" width="14.140625" bestFit="1" customWidth="1"/>
    <col min="14859" max="14859" width="10.28515625" customWidth="1"/>
    <col min="14860" max="14860" width="15.5703125" customWidth="1"/>
    <col min="14861" max="14861" width="10.28515625" customWidth="1"/>
    <col min="14862" max="14862" width="13.28515625" customWidth="1"/>
    <col min="15105" max="15105" width="41.42578125" customWidth="1"/>
    <col min="15106" max="15106" width="13.28515625" customWidth="1"/>
    <col min="15107" max="15107" width="5.85546875" customWidth="1"/>
    <col min="15108" max="15108" width="11.85546875" customWidth="1"/>
    <col min="15109" max="15109" width="16.5703125" customWidth="1"/>
    <col min="15110" max="15110" width="15" customWidth="1"/>
    <col min="15111" max="15111" width="12.140625" customWidth="1"/>
    <col min="15112" max="15112" width="12.7109375" customWidth="1"/>
    <col min="15113" max="15113" width="16.42578125" customWidth="1"/>
    <col min="15114" max="15114" width="14.140625" bestFit="1" customWidth="1"/>
    <col min="15115" max="15115" width="10.28515625" customWidth="1"/>
    <col min="15116" max="15116" width="15.5703125" customWidth="1"/>
    <col min="15117" max="15117" width="10.28515625" customWidth="1"/>
    <col min="15118" max="15118" width="13.28515625" customWidth="1"/>
    <col min="15361" max="15361" width="41.42578125" customWidth="1"/>
    <col min="15362" max="15362" width="13.28515625" customWidth="1"/>
    <col min="15363" max="15363" width="5.85546875" customWidth="1"/>
    <col min="15364" max="15364" width="11.85546875" customWidth="1"/>
    <col min="15365" max="15365" width="16.5703125" customWidth="1"/>
    <col min="15366" max="15366" width="15" customWidth="1"/>
    <col min="15367" max="15367" width="12.140625" customWidth="1"/>
    <col min="15368" max="15368" width="12.7109375" customWidth="1"/>
    <col min="15369" max="15369" width="16.42578125" customWidth="1"/>
    <col min="15370" max="15370" width="14.140625" bestFit="1" customWidth="1"/>
    <col min="15371" max="15371" width="10.28515625" customWidth="1"/>
    <col min="15372" max="15372" width="15.5703125" customWidth="1"/>
    <col min="15373" max="15373" width="10.28515625" customWidth="1"/>
    <col min="15374" max="15374" width="13.28515625" customWidth="1"/>
    <col min="15617" max="15617" width="41.42578125" customWidth="1"/>
    <col min="15618" max="15618" width="13.28515625" customWidth="1"/>
    <col min="15619" max="15619" width="5.85546875" customWidth="1"/>
    <col min="15620" max="15620" width="11.85546875" customWidth="1"/>
    <col min="15621" max="15621" width="16.5703125" customWidth="1"/>
    <col min="15622" max="15622" width="15" customWidth="1"/>
    <col min="15623" max="15623" width="12.140625" customWidth="1"/>
    <col min="15624" max="15624" width="12.7109375" customWidth="1"/>
    <col min="15625" max="15625" width="16.42578125" customWidth="1"/>
    <col min="15626" max="15626" width="14.140625" bestFit="1" customWidth="1"/>
    <col min="15627" max="15627" width="10.28515625" customWidth="1"/>
    <col min="15628" max="15628" width="15.5703125" customWidth="1"/>
    <col min="15629" max="15629" width="10.28515625" customWidth="1"/>
    <col min="15630" max="15630" width="13.28515625" customWidth="1"/>
    <col min="15873" max="15873" width="41.42578125" customWidth="1"/>
    <col min="15874" max="15874" width="13.28515625" customWidth="1"/>
    <col min="15875" max="15875" width="5.85546875" customWidth="1"/>
    <col min="15876" max="15876" width="11.85546875" customWidth="1"/>
    <col min="15877" max="15877" width="16.5703125" customWidth="1"/>
    <col min="15878" max="15878" width="15" customWidth="1"/>
    <col min="15879" max="15879" width="12.140625" customWidth="1"/>
    <col min="15880" max="15880" width="12.7109375" customWidth="1"/>
    <col min="15881" max="15881" width="16.42578125" customWidth="1"/>
    <col min="15882" max="15882" width="14.140625" bestFit="1" customWidth="1"/>
    <col min="15883" max="15883" width="10.28515625" customWidth="1"/>
    <col min="15884" max="15884" width="15.5703125" customWidth="1"/>
    <col min="15885" max="15885" width="10.28515625" customWidth="1"/>
    <col min="15886" max="15886" width="13.28515625" customWidth="1"/>
    <col min="16129" max="16129" width="41.42578125" customWidth="1"/>
    <col min="16130" max="16130" width="13.28515625" customWidth="1"/>
    <col min="16131" max="16131" width="5.85546875" customWidth="1"/>
    <col min="16132" max="16132" width="11.85546875" customWidth="1"/>
    <col min="16133" max="16133" width="16.5703125" customWidth="1"/>
    <col min="16134" max="16134" width="15" customWidth="1"/>
    <col min="16135" max="16135" width="12.140625" customWidth="1"/>
    <col min="16136" max="16136" width="12.7109375" customWidth="1"/>
    <col min="16137" max="16137" width="16.42578125" customWidth="1"/>
    <col min="16138" max="16138" width="14.140625" bestFit="1" customWidth="1"/>
    <col min="16139" max="16139" width="10.28515625" customWidth="1"/>
    <col min="16140" max="16140" width="15.5703125" customWidth="1"/>
    <col min="16141" max="16141" width="10.28515625" customWidth="1"/>
    <col min="16142" max="16142" width="13.28515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593" t="s">
        <v>3883</v>
      </c>
      <c r="C5" s="1594"/>
      <c r="D5" s="1594"/>
      <c r="E5" s="1595"/>
      <c r="F5" s="326" t="s">
        <v>171</v>
      </c>
      <c r="G5" s="326"/>
      <c r="H5" s="1663">
        <v>406020109210103</v>
      </c>
      <c r="I5" s="1664"/>
      <c r="J5" s="326" t="s">
        <v>172</v>
      </c>
      <c r="K5" s="645">
        <v>500</v>
      </c>
      <c r="L5" s="326" t="s">
        <v>436</v>
      </c>
      <c r="M5" s="326"/>
      <c r="N5" s="645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648" t="s">
        <v>3882</v>
      </c>
      <c r="C7" s="1649"/>
      <c r="D7" s="1649"/>
      <c r="E7" s="1650"/>
      <c r="F7" s="1596" t="s">
        <v>3208</v>
      </c>
      <c r="G7" s="1596"/>
      <c r="H7" s="625" t="s">
        <v>3881</v>
      </c>
      <c r="I7" s="626"/>
      <c r="J7" s="627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648" t="s">
        <v>3867</v>
      </c>
      <c r="C9" s="1649"/>
      <c r="D9" s="1649"/>
      <c r="E9" s="1650"/>
      <c r="F9" s="1601" t="s">
        <v>3205</v>
      </c>
      <c r="G9" s="1602"/>
      <c r="H9" s="1631" t="s">
        <v>3880</v>
      </c>
      <c r="I9" s="1652"/>
      <c r="J9" s="1652"/>
      <c r="K9" s="1653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54"/>
      <c r="I10" s="1655"/>
      <c r="J10" s="1655"/>
      <c r="K10" s="1656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57"/>
      <c r="I11" s="1658"/>
      <c r="J11" s="1658"/>
      <c r="K11" s="1659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3879</v>
      </c>
      <c r="C13" s="1612"/>
      <c r="D13" s="1612" t="s">
        <v>3878</v>
      </c>
      <c r="E13" s="1612"/>
      <c r="F13" s="1612"/>
      <c r="G13" s="1612" t="s">
        <v>3877</v>
      </c>
      <c r="H13" s="1612"/>
      <c r="I13" s="1612"/>
      <c r="J13" s="1612" t="s">
        <v>3876</v>
      </c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3875</v>
      </c>
      <c r="C14" s="1612"/>
      <c r="D14" s="1612" t="s">
        <v>3874</v>
      </c>
      <c r="E14" s="1612"/>
      <c r="F14" s="1612"/>
      <c r="G14" s="1612" t="s">
        <v>3873</v>
      </c>
      <c r="H14" s="1612"/>
      <c r="I14" s="1612"/>
      <c r="J14" s="1612" t="s">
        <v>3872</v>
      </c>
      <c r="K14" s="1612"/>
      <c r="L14" s="1612"/>
      <c r="M14" s="1612"/>
      <c r="N14" s="326"/>
    </row>
    <row r="15" spans="1:14" ht="31.5" customHeight="1">
      <c r="A15" s="631" t="s">
        <v>192</v>
      </c>
      <c r="B15" s="1613" t="s">
        <v>3871</v>
      </c>
      <c r="C15" s="1614"/>
      <c r="D15" s="1612" t="s">
        <v>3870</v>
      </c>
      <c r="E15" s="1612"/>
      <c r="F15" s="1612"/>
      <c r="G15" s="1612" t="s">
        <v>3869</v>
      </c>
      <c r="H15" s="1612"/>
      <c r="I15" s="1612"/>
      <c r="J15" s="1612" t="s">
        <v>3868</v>
      </c>
      <c r="K15" s="1612"/>
      <c r="L15" s="1612"/>
      <c r="M15" s="1612"/>
      <c r="N15" s="326"/>
    </row>
    <row r="16" spans="1:14" ht="31.5" customHeight="1">
      <c r="A16" s="631" t="s">
        <v>197</v>
      </c>
      <c r="B16" s="1613" t="s">
        <v>3867</v>
      </c>
      <c r="C16" s="1614"/>
      <c r="D16" s="1612" t="s">
        <v>2438</v>
      </c>
      <c r="E16" s="1612"/>
      <c r="F16" s="1612"/>
      <c r="G16" s="1612" t="s">
        <v>2438</v>
      </c>
      <c r="H16" s="1612"/>
      <c r="I16" s="1612"/>
      <c r="J16" s="1612" t="s">
        <v>2438</v>
      </c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45">
        <v>4</v>
      </c>
      <c r="C18" s="326" t="s">
        <v>199</v>
      </c>
      <c r="D18" s="326"/>
      <c r="E18" s="326"/>
      <c r="F18" s="631">
        <v>3</v>
      </c>
      <c r="G18" s="326" t="s">
        <v>200</v>
      </c>
      <c r="H18" s="632">
        <v>13</v>
      </c>
      <c r="I18" s="326" t="s">
        <v>201</v>
      </c>
      <c r="J18" s="337">
        <v>2</v>
      </c>
      <c r="K18" s="326" t="s">
        <v>202</v>
      </c>
      <c r="L18" s="645">
        <v>5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7" customHeight="1">
      <c r="A21" s="326" t="s">
        <v>203</v>
      </c>
      <c r="B21" s="326" t="s">
        <v>204</v>
      </c>
      <c r="C21" s="631">
        <v>74</v>
      </c>
      <c r="D21" s="326" t="s">
        <v>205</v>
      </c>
      <c r="E21" s="631">
        <v>35</v>
      </c>
      <c r="F21" s="326" t="s">
        <v>206</v>
      </c>
      <c r="G21" s="80">
        <v>51</v>
      </c>
      <c r="H21" s="326" t="s">
        <v>230</v>
      </c>
      <c r="I21" s="80">
        <v>160</v>
      </c>
      <c r="J21" s="326" t="s">
        <v>207</v>
      </c>
      <c r="K21" s="631">
        <v>41</v>
      </c>
      <c r="L21" s="336" t="s">
        <v>3187</v>
      </c>
      <c r="M21" s="631">
        <v>11</v>
      </c>
      <c r="N21" s="326"/>
    </row>
    <row r="22" spans="1:14" ht="21.75" customHeight="1">
      <c r="A22" s="326" t="s">
        <v>209</v>
      </c>
      <c r="B22" s="326" t="s">
        <v>210</v>
      </c>
      <c r="C22" s="631">
        <v>128</v>
      </c>
      <c r="D22" s="326" t="s">
        <v>211</v>
      </c>
      <c r="E22" s="631">
        <v>62</v>
      </c>
      <c r="F22" s="326" t="s">
        <v>212</v>
      </c>
      <c r="G22" s="631">
        <v>88</v>
      </c>
      <c r="H22" s="326" t="s">
        <v>411</v>
      </c>
      <c r="I22" s="80">
        <v>278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157</v>
      </c>
      <c r="D23" s="326" t="s">
        <v>214</v>
      </c>
      <c r="E23" s="631">
        <v>85</v>
      </c>
      <c r="F23" s="326" t="s">
        <v>215</v>
      </c>
      <c r="G23" s="631">
        <v>86</v>
      </c>
      <c r="H23" s="326" t="s">
        <v>410</v>
      </c>
      <c r="I23" s="80">
        <v>328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2">
        <v>663700</v>
      </c>
      <c r="F29" s="322">
        <v>0</v>
      </c>
      <c r="G29" s="335">
        <v>163700</v>
      </c>
      <c r="H29" s="322"/>
      <c r="I29" s="322"/>
      <c r="J29" s="322"/>
      <c r="K29" s="322"/>
      <c r="L29" s="322"/>
      <c r="M29" s="322">
        <f t="shared" ref="M29:M38" si="0">SUM(F29:L29)</f>
        <v>163700</v>
      </c>
      <c r="N29" s="323">
        <f>+M29/E29%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/>
      <c r="F30" s="322">
        <v>0</v>
      </c>
      <c r="G30" s="335">
        <v>0</v>
      </c>
      <c r="H30" s="322"/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2">
        <v>0</v>
      </c>
      <c r="G31" s="335">
        <v>18000</v>
      </c>
      <c r="H31" s="322"/>
      <c r="I31" s="322"/>
      <c r="J31" s="322"/>
      <c r="K31" s="322"/>
      <c r="L31" s="322"/>
      <c r="M31" s="322">
        <f t="shared" si="0"/>
        <v>18000</v>
      </c>
      <c r="N31" s="323">
        <f>+M31/E31%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2">
        <v>0</v>
      </c>
      <c r="G32" s="335">
        <v>16000</v>
      </c>
      <c r="H32" s="322"/>
      <c r="I32" s="322"/>
      <c r="J32" s="322"/>
      <c r="K32" s="322"/>
      <c r="L32" s="322"/>
      <c r="M32" s="322">
        <f t="shared" si="0"/>
        <v>16000</v>
      </c>
      <c r="N32" s="323">
        <f>+M32/E32%</f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2">
        <v>200000</v>
      </c>
      <c r="F33" s="322">
        <v>0</v>
      </c>
      <c r="G33" s="335">
        <v>140453</v>
      </c>
      <c r="H33" s="322"/>
      <c r="I33" s="322"/>
      <c r="J33" s="322"/>
      <c r="K33" s="322"/>
      <c r="L33" s="322"/>
      <c r="M33" s="322">
        <f t="shared" si="0"/>
        <v>140453</v>
      </c>
      <c r="N33" s="323">
        <f>+M33/E33%</f>
        <v>70.226500000000001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2">
        <v>150000</v>
      </c>
      <c r="F34" s="322">
        <v>0</v>
      </c>
      <c r="G34" s="335">
        <v>25000</v>
      </c>
      <c r="H34" s="322"/>
      <c r="I34" s="322"/>
      <c r="J34" s="322"/>
      <c r="K34" s="322"/>
      <c r="L34" s="322"/>
      <c r="M34" s="322">
        <f t="shared" si="0"/>
        <v>25000</v>
      </c>
      <c r="N34" s="323">
        <f>+M34/E34%</f>
        <v>16.666666666666668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2"/>
      <c r="F35" s="322">
        <v>0</v>
      </c>
      <c r="G35" s="335">
        <v>0</v>
      </c>
      <c r="H35" s="322"/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2">
        <v>0</v>
      </c>
      <c r="G36" s="335">
        <v>22000</v>
      </c>
      <c r="H36" s="322"/>
      <c r="I36" s="322"/>
      <c r="J36" s="322"/>
      <c r="K36" s="322"/>
      <c r="L36" s="322"/>
      <c r="M36" s="322">
        <f t="shared" si="0"/>
        <v>22000</v>
      </c>
      <c r="N36" s="323">
        <f>+M36/E36%</f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202">
        <v>0</v>
      </c>
      <c r="F37" s="322">
        <v>0</v>
      </c>
      <c r="G37" s="335">
        <v>0</v>
      </c>
      <c r="H37" s="322"/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1">SUM(D29:D37)</f>
        <v>62.635000000000005</v>
      </c>
      <c r="E38" s="321">
        <f t="shared" si="1"/>
        <v>1077950</v>
      </c>
      <c r="F38" s="321">
        <f t="shared" si="1"/>
        <v>0</v>
      </c>
      <c r="G38" s="321">
        <f t="shared" si="1"/>
        <v>385153</v>
      </c>
      <c r="H38" s="321">
        <f t="shared" si="1"/>
        <v>0</v>
      </c>
      <c r="I38" s="321">
        <f t="shared" si="1"/>
        <v>0</v>
      </c>
      <c r="J38" s="321">
        <f t="shared" si="1"/>
        <v>0</v>
      </c>
      <c r="K38" s="321">
        <f t="shared" si="1"/>
        <v>0</v>
      </c>
      <c r="L38" s="321">
        <f t="shared" si="1"/>
        <v>0</v>
      </c>
      <c r="M38" s="631">
        <f t="shared" si="0"/>
        <v>385153</v>
      </c>
      <c r="N38" s="334">
        <f>+M38/E38%</f>
        <v>35.730135906118093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2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" bottom="0.27" header="0.39" footer="0.31496062992125984"/>
  <pageSetup paperSize="9" scale="68" orientation="landscape" r:id="rId1"/>
</worksheet>
</file>

<file path=xl/worksheets/sheet359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N42"/>
  <sheetViews>
    <sheetView zoomScale="70" zoomScaleNormal="7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3.7109375" customWidth="1"/>
    <col min="4" max="4" width="11.85546875" customWidth="1"/>
    <col min="5" max="5" width="13.28515625" customWidth="1"/>
    <col min="6" max="6" width="15" customWidth="1"/>
    <col min="7" max="7" width="12.85546875" customWidth="1"/>
    <col min="8" max="8" width="12.7109375" customWidth="1"/>
    <col min="9" max="9" width="14.28515625" customWidth="1"/>
    <col min="10" max="10" width="14.140625" bestFit="1" customWidth="1"/>
    <col min="11" max="11" width="12.5703125" bestFit="1" customWidth="1"/>
    <col min="12" max="12" width="13" customWidth="1"/>
    <col min="13" max="13" width="10.28515625" customWidth="1"/>
    <col min="14" max="14" width="11.140625" customWidth="1"/>
    <col min="257" max="257" width="36.5703125" bestFit="1" customWidth="1"/>
    <col min="258" max="258" width="13.28515625" customWidth="1"/>
    <col min="259" max="259" width="13.7109375" customWidth="1"/>
    <col min="260" max="260" width="11.85546875" customWidth="1"/>
    <col min="261" max="261" width="13.28515625" customWidth="1"/>
    <col min="262" max="262" width="15" customWidth="1"/>
    <col min="263" max="263" width="12.85546875" customWidth="1"/>
    <col min="264" max="264" width="12.7109375" customWidth="1"/>
    <col min="265" max="265" width="14.28515625" customWidth="1"/>
    <col min="266" max="266" width="14.140625" bestFit="1" customWidth="1"/>
    <col min="267" max="267" width="12.5703125" bestFit="1" customWidth="1"/>
    <col min="268" max="268" width="13" customWidth="1"/>
    <col min="269" max="269" width="10.28515625" customWidth="1"/>
    <col min="270" max="270" width="11.140625" customWidth="1"/>
    <col min="513" max="513" width="36.5703125" bestFit="1" customWidth="1"/>
    <col min="514" max="514" width="13.28515625" customWidth="1"/>
    <col min="515" max="515" width="13.7109375" customWidth="1"/>
    <col min="516" max="516" width="11.85546875" customWidth="1"/>
    <col min="517" max="517" width="13.28515625" customWidth="1"/>
    <col min="518" max="518" width="15" customWidth="1"/>
    <col min="519" max="519" width="12.85546875" customWidth="1"/>
    <col min="520" max="520" width="12.7109375" customWidth="1"/>
    <col min="521" max="521" width="14.28515625" customWidth="1"/>
    <col min="522" max="522" width="14.140625" bestFit="1" customWidth="1"/>
    <col min="523" max="523" width="12.5703125" bestFit="1" customWidth="1"/>
    <col min="524" max="524" width="13" customWidth="1"/>
    <col min="525" max="525" width="10.28515625" customWidth="1"/>
    <col min="526" max="526" width="11.140625" customWidth="1"/>
    <col min="769" max="769" width="36.5703125" bestFit="1" customWidth="1"/>
    <col min="770" max="770" width="13.28515625" customWidth="1"/>
    <col min="771" max="771" width="13.7109375" customWidth="1"/>
    <col min="772" max="772" width="11.85546875" customWidth="1"/>
    <col min="773" max="773" width="13.28515625" customWidth="1"/>
    <col min="774" max="774" width="15" customWidth="1"/>
    <col min="775" max="775" width="12.85546875" customWidth="1"/>
    <col min="776" max="776" width="12.7109375" customWidth="1"/>
    <col min="777" max="777" width="14.28515625" customWidth="1"/>
    <col min="778" max="778" width="14.140625" bestFit="1" customWidth="1"/>
    <col min="779" max="779" width="12.5703125" bestFit="1" customWidth="1"/>
    <col min="780" max="780" width="13" customWidth="1"/>
    <col min="781" max="781" width="10.28515625" customWidth="1"/>
    <col min="782" max="782" width="11.140625" customWidth="1"/>
    <col min="1025" max="1025" width="36.5703125" bestFit="1" customWidth="1"/>
    <col min="1026" max="1026" width="13.28515625" customWidth="1"/>
    <col min="1027" max="1027" width="13.7109375" customWidth="1"/>
    <col min="1028" max="1028" width="11.85546875" customWidth="1"/>
    <col min="1029" max="1029" width="13.28515625" customWidth="1"/>
    <col min="1030" max="1030" width="15" customWidth="1"/>
    <col min="1031" max="1031" width="12.85546875" customWidth="1"/>
    <col min="1032" max="1032" width="12.7109375" customWidth="1"/>
    <col min="1033" max="1033" width="14.28515625" customWidth="1"/>
    <col min="1034" max="1034" width="14.140625" bestFit="1" customWidth="1"/>
    <col min="1035" max="1035" width="12.5703125" bestFit="1" customWidth="1"/>
    <col min="1036" max="1036" width="13" customWidth="1"/>
    <col min="1037" max="1037" width="10.28515625" customWidth="1"/>
    <col min="1038" max="1038" width="11.140625" customWidth="1"/>
    <col min="1281" max="1281" width="36.5703125" bestFit="1" customWidth="1"/>
    <col min="1282" max="1282" width="13.28515625" customWidth="1"/>
    <col min="1283" max="1283" width="13.7109375" customWidth="1"/>
    <col min="1284" max="1284" width="11.85546875" customWidth="1"/>
    <col min="1285" max="1285" width="13.28515625" customWidth="1"/>
    <col min="1286" max="1286" width="15" customWidth="1"/>
    <col min="1287" max="1287" width="12.85546875" customWidth="1"/>
    <col min="1288" max="1288" width="12.7109375" customWidth="1"/>
    <col min="1289" max="1289" width="14.28515625" customWidth="1"/>
    <col min="1290" max="1290" width="14.140625" bestFit="1" customWidth="1"/>
    <col min="1291" max="1291" width="12.5703125" bestFit="1" customWidth="1"/>
    <col min="1292" max="1292" width="13" customWidth="1"/>
    <col min="1293" max="1293" width="10.28515625" customWidth="1"/>
    <col min="1294" max="1294" width="11.140625" customWidth="1"/>
    <col min="1537" max="1537" width="36.5703125" bestFit="1" customWidth="1"/>
    <col min="1538" max="1538" width="13.28515625" customWidth="1"/>
    <col min="1539" max="1539" width="13.7109375" customWidth="1"/>
    <col min="1540" max="1540" width="11.85546875" customWidth="1"/>
    <col min="1541" max="1541" width="13.28515625" customWidth="1"/>
    <col min="1542" max="1542" width="15" customWidth="1"/>
    <col min="1543" max="1543" width="12.85546875" customWidth="1"/>
    <col min="1544" max="1544" width="12.7109375" customWidth="1"/>
    <col min="1545" max="1545" width="14.28515625" customWidth="1"/>
    <col min="1546" max="1546" width="14.140625" bestFit="1" customWidth="1"/>
    <col min="1547" max="1547" width="12.5703125" bestFit="1" customWidth="1"/>
    <col min="1548" max="1548" width="13" customWidth="1"/>
    <col min="1549" max="1549" width="10.28515625" customWidth="1"/>
    <col min="1550" max="1550" width="11.140625" customWidth="1"/>
    <col min="1793" max="1793" width="36.5703125" bestFit="1" customWidth="1"/>
    <col min="1794" max="1794" width="13.28515625" customWidth="1"/>
    <col min="1795" max="1795" width="13.7109375" customWidth="1"/>
    <col min="1796" max="1796" width="11.85546875" customWidth="1"/>
    <col min="1797" max="1797" width="13.28515625" customWidth="1"/>
    <col min="1798" max="1798" width="15" customWidth="1"/>
    <col min="1799" max="1799" width="12.85546875" customWidth="1"/>
    <col min="1800" max="1800" width="12.7109375" customWidth="1"/>
    <col min="1801" max="1801" width="14.28515625" customWidth="1"/>
    <col min="1802" max="1802" width="14.140625" bestFit="1" customWidth="1"/>
    <col min="1803" max="1803" width="12.5703125" bestFit="1" customWidth="1"/>
    <col min="1804" max="1804" width="13" customWidth="1"/>
    <col min="1805" max="1805" width="10.28515625" customWidth="1"/>
    <col min="1806" max="1806" width="11.140625" customWidth="1"/>
    <col min="2049" max="2049" width="36.5703125" bestFit="1" customWidth="1"/>
    <col min="2050" max="2050" width="13.28515625" customWidth="1"/>
    <col min="2051" max="2051" width="13.7109375" customWidth="1"/>
    <col min="2052" max="2052" width="11.85546875" customWidth="1"/>
    <col min="2053" max="2053" width="13.28515625" customWidth="1"/>
    <col min="2054" max="2054" width="15" customWidth="1"/>
    <col min="2055" max="2055" width="12.85546875" customWidth="1"/>
    <col min="2056" max="2056" width="12.7109375" customWidth="1"/>
    <col min="2057" max="2057" width="14.28515625" customWidth="1"/>
    <col min="2058" max="2058" width="14.140625" bestFit="1" customWidth="1"/>
    <col min="2059" max="2059" width="12.5703125" bestFit="1" customWidth="1"/>
    <col min="2060" max="2060" width="13" customWidth="1"/>
    <col min="2061" max="2061" width="10.28515625" customWidth="1"/>
    <col min="2062" max="2062" width="11.140625" customWidth="1"/>
    <col min="2305" max="2305" width="36.5703125" bestFit="1" customWidth="1"/>
    <col min="2306" max="2306" width="13.28515625" customWidth="1"/>
    <col min="2307" max="2307" width="13.7109375" customWidth="1"/>
    <col min="2308" max="2308" width="11.85546875" customWidth="1"/>
    <col min="2309" max="2309" width="13.28515625" customWidth="1"/>
    <col min="2310" max="2310" width="15" customWidth="1"/>
    <col min="2311" max="2311" width="12.85546875" customWidth="1"/>
    <col min="2312" max="2312" width="12.7109375" customWidth="1"/>
    <col min="2313" max="2313" width="14.28515625" customWidth="1"/>
    <col min="2314" max="2314" width="14.140625" bestFit="1" customWidth="1"/>
    <col min="2315" max="2315" width="12.5703125" bestFit="1" customWidth="1"/>
    <col min="2316" max="2316" width="13" customWidth="1"/>
    <col min="2317" max="2317" width="10.28515625" customWidth="1"/>
    <col min="2318" max="2318" width="11.140625" customWidth="1"/>
    <col min="2561" max="2561" width="36.5703125" bestFit="1" customWidth="1"/>
    <col min="2562" max="2562" width="13.28515625" customWidth="1"/>
    <col min="2563" max="2563" width="13.7109375" customWidth="1"/>
    <col min="2564" max="2564" width="11.85546875" customWidth="1"/>
    <col min="2565" max="2565" width="13.28515625" customWidth="1"/>
    <col min="2566" max="2566" width="15" customWidth="1"/>
    <col min="2567" max="2567" width="12.85546875" customWidth="1"/>
    <col min="2568" max="2568" width="12.7109375" customWidth="1"/>
    <col min="2569" max="2569" width="14.28515625" customWidth="1"/>
    <col min="2570" max="2570" width="14.140625" bestFit="1" customWidth="1"/>
    <col min="2571" max="2571" width="12.5703125" bestFit="1" customWidth="1"/>
    <col min="2572" max="2572" width="13" customWidth="1"/>
    <col min="2573" max="2573" width="10.28515625" customWidth="1"/>
    <col min="2574" max="2574" width="11.140625" customWidth="1"/>
    <col min="2817" max="2817" width="36.5703125" bestFit="1" customWidth="1"/>
    <col min="2818" max="2818" width="13.28515625" customWidth="1"/>
    <col min="2819" max="2819" width="13.7109375" customWidth="1"/>
    <col min="2820" max="2820" width="11.85546875" customWidth="1"/>
    <col min="2821" max="2821" width="13.28515625" customWidth="1"/>
    <col min="2822" max="2822" width="15" customWidth="1"/>
    <col min="2823" max="2823" width="12.85546875" customWidth="1"/>
    <col min="2824" max="2824" width="12.7109375" customWidth="1"/>
    <col min="2825" max="2825" width="14.28515625" customWidth="1"/>
    <col min="2826" max="2826" width="14.140625" bestFit="1" customWidth="1"/>
    <col min="2827" max="2827" width="12.5703125" bestFit="1" customWidth="1"/>
    <col min="2828" max="2828" width="13" customWidth="1"/>
    <col min="2829" max="2829" width="10.28515625" customWidth="1"/>
    <col min="2830" max="2830" width="11.140625" customWidth="1"/>
    <col min="3073" max="3073" width="36.5703125" bestFit="1" customWidth="1"/>
    <col min="3074" max="3074" width="13.28515625" customWidth="1"/>
    <col min="3075" max="3075" width="13.7109375" customWidth="1"/>
    <col min="3076" max="3076" width="11.85546875" customWidth="1"/>
    <col min="3077" max="3077" width="13.28515625" customWidth="1"/>
    <col min="3078" max="3078" width="15" customWidth="1"/>
    <col min="3079" max="3079" width="12.85546875" customWidth="1"/>
    <col min="3080" max="3080" width="12.7109375" customWidth="1"/>
    <col min="3081" max="3081" width="14.28515625" customWidth="1"/>
    <col min="3082" max="3082" width="14.140625" bestFit="1" customWidth="1"/>
    <col min="3083" max="3083" width="12.5703125" bestFit="1" customWidth="1"/>
    <col min="3084" max="3084" width="13" customWidth="1"/>
    <col min="3085" max="3085" width="10.28515625" customWidth="1"/>
    <col min="3086" max="3086" width="11.140625" customWidth="1"/>
    <col min="3329" max="3329" width="36.5703125" bestFit="1" customWidth="1"/>
    <col min="3330" max="3330" width="13.28515625" customWidth="1"/>
    <col min="3331" max="3331" width="13.7109375" customWidth="1"/>
    <col min="3332" max="3332" width="11.85546875" customWidth="1"/>
    <col min="3333" max="3333" width="13.28515625" customWidth="1"/>
    <col min="3334" max="3334" width="15" customWidth="1"/>
    <col min="3335" max="3335" width="12.85546875" customWidth="1"/>
    <col min="3336" max="3336" width="12.7109375" customWidth="1"/>
    <col min="3337" max="3337" width="14.28515625" customWidth="1"/>
    <col min="3338" max="3338" width="14.140625" bestFit="1" customWidth="1"/>
    <col min="3339" max="3339" width="12.5703125" bestFit="1" customWidth="1"/>
    <col min="3340" max="3340" width="13" customWidth="1"/>
    <col min="3341" max="3341" width="10.28515625" customWidth="1"/>
    <col min="3342" max="3342" width="11.140625" customWidth="1"/>
    <col min="3585" max="3585" width="36.5703125" bestFit="1" customWidth="1"/>
    <col min="3586" max="3586" width="13.28515625" customWidth="1"/>
    <col min="3587" max="3587" width="13.7109375" customWidth="1"/>
    <col min="3588" max="3588" width="11.85546875" customWidth="1"/>
    <col min="3589" max="3589" width="13.28515625" customWidth="1"/>
    <col min="3590" max="3590" width="15" customWidth="1"/>
    <col min="3591" max="3591" width="12.85546875" customWidth="1"/>
    <col min="3592" max="3592" width="12.7109375" customWidth="1"/>
    <col min="3593" max="3593" width="14.28515625" customWidth="1"/>
    <col min="3594" max="3594" width="14.140625" bestFit="1" customWidth="1"/>
    <col min="3595" max="3595" width="12.5703125" bestFit="1" customWidth="1"/>
    <col min="3596" max="3596" width="13" customWidth="1"/>
    <col min="3597" max="3597" width="10.28515625" customWidth="1"/>
    <col min="3598" max="3598" width="11.140625" customWidth="1"/>
    <col min="3841" max="3841" width="36.5703125" bestFit="1" customWidth="1"/>
    <col min="3842" max="3842" width="13.28515625" customWidth="1"/>
    <col min="3843" max="3843" width="13.7109375" customWidth="1"/>
    <col min="3844" max="3844" width="11.85546875" customWidth="1"/>
    <col min="3845" max="3845" width="13.28515625" customWidth="1"/>
    <col min="3846" max="3846" width="15" customWidth="1"/>
    <col min="3847" max="3847" width="12.85546875" customWidth="1"/>
    <col min="3848" max="3848" width="12.7109375" customWidth="1"/>
    <col min="3849" max="3849" width="14.28515625" customWidth="1"/>
    <col min="3850" max="3850" width="14.140625" bestFit="1" customWidth="1"/>
    <col min="3851" max="3851" width="12.5703125" bestFit="1" customWidth="1"/>
    <col min="3852" max="3852" width="13" customWidth="1"/>
    <col min="3853" max="3853" width="10.28515625" customWidth="1"/>
    <col min="3854" max="3854" width="11.140625" customWidth="1"/>
    <col min="4097" max="4097" width="36.5703125" bestFit="1" customWidth="1"/>
    <col min="4098" max="4098" width="13.28515625" customWidth="1"/>
    <col min="4099" max="4099" width="13.7109375" customWidth="1"/>
    <col min="4100" max="4100" width="11.85546875" customWidth="1"/>
    <col min="4101" max="4101" width="13.28515625" customWidth="1"/>
    <col min="4102" max="4102" width="15" customWidth="1"/>
    <col min="4103" max="4103" width="12.85546875" customWidth="1"/>
    <col min="4104" max="4104" width="12.7109375" customWidth="1"/>
    <col min="4105" max="4105" width="14.28515625" customWidth="1"/>
    <col min="4106" max="4106" width="14.140625" bestFit="1" customWidth="1"/>
    <col min="4107" max="4107" width="12.5703125" bestFit="1" customWidth="1"/>
    <col min="4108" max="4108" width="13" customWidth="1"/>
    <col min="4109" max="4109" width="10.28515625" customWidth="1"/>
    <col min="4110" max="4110" width="11.140625" customWidth="1"/>
    <col min="4353" max="4353" width="36.5703125" bestFit="1" customWidth="1"/>
    <col min="4354" max="4354" width="13.28515625" customWidth="1"/>
    <col min="4355" max="4355" width="13.7109375" customWidth="1"/>
    <col min="4356" max="4356" width="11.85546875" customWidth="1"/>
    <col min="4357" max="4357" width="13.28515625" customWidth="1"/>
    <col min="4358" max="4358" width="15" customWidth="1"/>
    <col min="4359" max="4359" width="12.85546875" customWidth="1"/>
    <col min="4360" max="4360" width="12.7109375" customWidth="1"/>
    <col min="4361" max="4361" width="14.28515625" customWidth="1"/>
    <col min="4362" max="4362" width="14.140625" bestFit="1" customWidth="1"/>
    <col min="4363" max="4363" width="12.5703125" bestFit="1" customWidth="1"/>
    <col min="4364" max="4364" width="13" customWidth="1"/>
    <col min="4365" max="4365" width="10.28515625" customWidth="1"/>
    <col min="4366" max="4366" width="11.140625" customWidth="1"/>
    <col min="4609" max="4609" width="36.5703125" bestFit="1" customWidth="1"/>
    <col min="4610" max="4610" width="13.28515625" customWidth="1"/>
    <col min="4611" max="4611" width="13.7109375" customWidth="1"/>
    <col min="4612" max="4612" width="11.85546875" customWidth="1"/>
    <col min="4613" max="4613" width="13.28515625" customWidth="1"/>
    <col min="4614" max="4614" width="15" customWidth="1"/>
    <col min="4615" max="4615" width="12.85546875" customWidth="1"/>
    <col min="4616" max="4616" width="12.7109375" customWidth="1"/>
    <col min="4617" max="4617" width="14.28515625" customWidth="1"/>
    <col min="4618" max="4618" width="14.140625" bestFit="1" customWidth="1"/>
    <col min="4619" max="4619" width="12.5703125" bestFit="1" customWidth="1"/>
    <col min="4620" max="4620" width="13" customWidth="1"/>
    <col min="4621" max="4621" width="10.28515625" customWidth="1"/>
    <col min="4622" max="4622" width="11.140625" customWidth="1"/>
    <col min="4865" max="4865" width="36.5703125" bestFit="1" customWidth="1"/>
    <col min="4866" max="4866" width="13.28515625" customWidth="1"/>
    <col min="4867" max="4867" width="13.7109375" customWidth="1"/>
    <col min="4868" max="4868" width="11.85546875" customWidth="1"/>
    <col min="4869" max="4869" width="13.28515625" customWidth="1"/>
    <col min="4870" max="4870" width="15" customWidth="1"/>
    <col min="4871" max="4871" width="12.85546875" customWidth="1"/>
    <col min="4872" max="4872" width="12.7109375" customWidth="1"/>
    <col min="4873" max="4873" width="14.28515625" customWidth="1"/>
    <col min="4874" max="4874" width="14.140625" bestFit="1" customWidth="1"/>
    <col min="4875" max="4875" width="12.5703125" bestFit="1" customWidth="1"/>
    <col min="4876" max="4876" width="13" customWidth="1"/>
    <col min="4877" max="4877" width="10.28515625" customWidth="1"/>
    <col min="4878" max="4878" width="11.140625" customWidth="1"/>
    <col min="5121" max="5121" width="36.5703125" bestFit="1" customWidth="1"/>
    <col min="5122" max="5122" width="13.28515625" customWidth="1"/>
    <col min="5123" max="5123" width="13.7109375" customWidth="1"/>
    <col min="5124" max="5124" width="11.85546875" customWidth="1"/>
    <col min="5125" max="5125" width="13.28515625" customWidth="1"/>
    <col min="5126" max="5126" width="15" customWidth="1"/>
    <col min="5127" max="5127" width="12.85546875" customWidth="1"/>
    <col min="5128" max="5128" width="12.7109375" customWidth="1"/>
    <col min="5129" max="5129" width="14.28515625" customWidth="1"/>
    <col min="5130" max="5130" width="14.140625" bestFit="1" customWidth="1"/>
    <col min="5131" max="5131" width="12.5703125" bestFit="1" customWidth="1"/>
    <col min="5132" max="5132" width="13" customWidth="1"/>
    <col min="5133" max="5133" width="10.28515625" customWidth="1"/>
    <col min="5134" max="5134" width="11.140625" customWidth="1"/>
    <col min="5377" max="5377" width="36.5703125" bestFit="1" customWidth="1"/>
    <col min="5378" max="5378" width="13.28515625" customWidth="1"/>
    <col min="5379" max="5379" width="13.7109375" customWidth="1"/>
    <col min="5380" max="5380" width="11.85546875" customWidth="1"/>
    <col min="5381" max="5381" width="13.28515625" customWidth="1"/>
    <col min="5382" max="5382" width="15" customWidth="1"/>
    <col min="5383" max="5383" width="12.85546875" customWidth="1"/>
    <col min="5384" max="5384" width="12.7109375" customWidth="1"/>
    <col min="5385" max="5385" width="14.28515625" customWidth="1"/>
    <col min="5386" max="5386" width="14.140625" bestFit="1" customWidth="1"/>
    <col min="5387" max="5387" width="12.5703125" bestFit="1" customWidth="1"/>
    <col min="5388" max="5388" width="13" customWidth="1"/>
    <col min="5389" max="5389" width="10.28515625" customWidth="1"/>
    <col min="5390" max="5390" width="11.140625" customWidth="1"/>
    <col min="5633" max="5633" width="36.5703125" bestFit="1" customWidth="1"/>
    <col min="5634" max="5634" width="13.28515625" customWidth="1"/>
    <col min="5635" max="5635" width="13.7109375" customWidth="1"/>
    <col min="5636" max="5636" width="11.85546875" customWidth="1"/>
    <col min="5637" max="5637" width="13.28515625" customWidth="1"/>
    <col min="5638" max="5638" width="15" customWidth="1"/>
    <col min="5639" max="5639" width="12.85546875" customWidth="1"/>
    <col min="5640" max="5640" width="12.7109375" customWidth="1"/>
    <col min="5641" max="5641" width="14.28515625" customWidth="1"/>
    <col min="5642" max="5642" width="14.140625" bestFit="1" customWidth="1"/>
    <col min="5643" max="5643" width="12.5703125" bestFit="1" customWidth="1"/>
    <col min="5644" max="5644" width="13" customWidth="1"/>
    <col min="5645" max="5645" width="10.28515625" customWidth="1"/>
    <col min="5646" max="5646" width="11.140625" customWidth="1"/>
    <col min="5889" max="5889" width="36.5703125" bestFit="1" customWidth="1"/>
    <col min="5890" max="5890" width="13.28515625" customWidth="1"/>
    <col min="5891" max="5891" width="13.7109375" customWidth="1"/>
    <col min="5892" max="5892" width="11.85546875" customWidth="1"/>
    <col min="5893" max="5893" width="13.28515625" customWidth="1"/>
    <col min="5894" max="5894" width="15" customWidth="1"/>
    <col min="5895" max="5895" width="12.85546875" customWidth="1"/>
    <col min="5896" max="5896" width="12.7109375" customWidth="1"/>
    <col min="5897" max="5897" width="14.28515625" customWidth="1"/>
    <col min="5898" max="5898" width="14.140625" bestFit="1" customWidth="1"/>
    <col min="5899" max="5899" width="12.5703125" bestFit="1" customWidth="1"/>
    <col min="5900" max="5900" width="13" customWidth="1"/>
    <col min="5901" max="5901" width="10.28515625" customWidth="1"/>
    <col min="5902" max="5902" width="11.140625" customWidth="1"/>
    <col min="6145" max="6145" width="36.5703125" bestFit="1" customWidth="1"/>
    <col min="6146" max="6146" width="13.28515625" customWidth="1"/>
    <col min="6147" max="6147" width="13.7109375" customWidth="1"/>
    <col min="6148" max="6148" width="11.85546875" customWidth="1"/>
    <col min="6149" max="6149" width="13.28515625" customWidth="1"/>
    <col min="6150" max="6150" width="15" customWidth="1"/>
    <col min="6151" max="6151" width="12.85546875" customWidth="1"/>
    <col min="6152" max="6152" width="12.7109375" customWidth="1"/>
    <col min="6153" max="6153" width="14.28515625" customWidth="1"/>
    <col min="6154" max="6154" width="14.140625" bestFit="1" customWidth="1"/>
    <col min="6155" max="6155" width="12.5703125" bestFit="1" customWidth="1"/>
    <col min="6156" max="6156" width="13" customWidth="1"/>
    <col min="6157" max="6157" width="10.28515625" customWidth="1"/>
    <col min="6158" max="6158" width="11.140625" customWidth="1"/>
    <col min="6401" max="6401" width="36.5703125" bestFit="1" customWidth="1"/>
    <col min="6402" max="6402" width="13.28515625" customWidth="1"/>
    <col min="6403" max="6403" width="13.7109375" customWidth="1"/>
    <col min="6404" max="6404" width="11.85546875" customWidth="1"/>
    <col min="6405" max="6405" width="13.28515625" customWidth="1"/>
    <col min="6406" max="6406" width="15" customWidth="1"/>
    <col min="6407" max="6407" width="12.85546875" customWidth="1"/>
    <col min="6408" max="6408" width="12.7109375" customWidth="1"/>
    <col min="6409" max="6409" width="14.28515625" customWidth="1"/>
    <col min="6410" max="6410" width="14.140625" bestFit="1" customWidth="1"/>
    <col min="6411" max="6411" width="12.5703125" bestFit="1" customWidth="1"/>
    <col min="6412" max="6412" width="13" customWidth="1"/>
    <col min="6413" max="6413" width="10.28515625" customWidth="1"/>
    <col min="6414" max="6414" width="11.140625" customWidth="1"/>
    <col min="6657" max="6657" width="36.5703125" bestFit="1" customWidth="1"/>
    <col min="6658" max="6658" width="13.28515625" customWidth="1"/>
    <col min="6659" max="6659" width="13.7109375" customWidth="1"/>
    <col min="6660" max="6660" width="11.85546875" customWidth="1"/>
    <col min="6661" max="6661" width="13.28515625" customWidth="1"/>
    <col min="6662" max="6662" width="15" customWidth="1"/>
    <col min="6663" max="6663" width="12.85546875" customWidth="1"/>
    <col min="6664" max="6664" width="12.7109375" customWidth="1"/>
    <col min="6665" max="6665" width="14.28515625" customWidth="1"/>
    <col min="6666" max="6666" width="14.140625" bestFit="1" customWidth="1"/>
    <col min="6667" max="6667" width="12.5703125" bestFit="1" customWidth="1"/>
    <col min="6668" max="6668" width="13" customWidth="1"/>
    <col min="6669" max="6669" width="10.28515625" customWidth="1"/>
    <col min="6670" max="6670" width="11.140625" customWidth="1"/>
    <col min="6913" max="6913" width="36.5703125" bestFit="1" customWidth="1"/>
    <col min="6914" max="6914" width="13.28515625" customWidth="1"/>
    <col min="6915" max="6915" width="13.7109375" customWidth="1"/>
    <col min="6916" max="6916" width="11.85546875" customWidth="1"/>
    <col min="6917" max="6917" width="13.28515625" customWidth="1"/>
    <col min="6918" max="6918" width="15" customWidth="1"/>
    <col min="6919" max="6919" width="12.85546875" customWidth="1"/>
    <col min="6920" max="6920" width="12.7109375" customWidth="1"/>
    <col min="6921" max="6921" width="14.28515625" customWidth="1"/>
    <col min="6922" max="6922" width="14.140625" bestFit="1" customWidth="1"/>
    <col min="6923" max="6923" width="12.5703125" bestFit="1" customWidth="1"/>
    <col min="6924" max="6924" width="13" customWidth="1"/>
    <col min="6925" max="6925" width="10.28515625" customWidth="1"/>
    <col min="6926" max="6926" width="11.140625" customWidth="1"/>
    <col min="7169" max="7169" width="36.5703125" bestFit="1" customWidth="1"/>
    <col min="7170" max="7170" width="13.28515625" customWidth="1"/>
    <col min="7171" max="7171" width="13.7109375" customWidth="1"/>
    <col min="7172" max="7172" width="11.85546875" customWidth="1"/>
    <col min="7173" max="7173" width="13.28515625" customWidth="1"/>
    <col min="7174" max="7174" width="15" customWidth="1"/>
    <col min="7175" max="7175" width="12.85546875" customWidth="1"/>
    <col min="7176" max="7176" width="12.7109375" customWidth="1"/>
    <col min="7177" max="7177" width="14.28515625" customWidth="1"/>
    <col min="7178" max="7178" width="14.140625" bestFit="1" customWidth="1"/>
    <col min="7179" max="7179" width="12.5703125" bestFit="1" customWidth="1"/>
    <col min="7180" max="7180" width="13" customWidth="1"/>
    <col min="7181" max="7181" width="10.28515625" customWidth="1"/>
    <col min="7182" max="7182" width="11.140625" customWidth="1"/>
    <col min="7425" max="7425" width="36.5703125" bestFit="1" customWidth="1"/>
    <col min="7426" max="7426" width="13.28515625" customWidth="1"/>
    <col min="7427" max="7427" width="13.7109375" customWidth="1"/>
    <col min="7428" max="7428" width="11.85546875" customWidth="1"/>
    <col min="7429" max="7429" width="13.28515625" customWidth="1"/>
    <col min="7430" max="7430" width="15" customWidth="1"/>
    <col min="7431" max="7431" width="12.85546875" customWidth="1"/>
    <col min="7432" max="7432" width="12.7109375" customWidth="1"/>
    <col min="7433" max="7433" width="14.28515625" customWidth="1"/>
    <col min="7434" max="7434" width="14.140625" bestFit="1" customWidth="1"/>
    <col min="7435" max="7435" width="12.5703125" bestFit="1" customWidth="1"/>
    <col min="7436" max="7436" width="13" customWidth="1"/>
    <col min="7437" max="7437" width="10.28515625" customWidth="1"/>
    <col min="7438" max="7438" width="11.140625" customWidth="1"/>
    <col min="7681" max="7681" width="36.5703125" bestFit="1" customWidth="1"/>
    <col min="7682" max="7682" width="13.28515625" customWidth="1"/>
    <col min="7683" max="7683" width="13.7109375" customWidth="1"/>
    <col min="7684" max="7684" width="11.85546875" customWidth="1"/>
    <col min="7685" max="7685" width="13.28515625" customWidth="1"/>
    <col min="7686" max="7686" width="15" customWidth="1"/>
    <col min="7687" max="7687" width="12.85546875" customWidth="1"/>
    <col min="7688" max="7688" width="12.7109375" customWidth="1"/>
    <col min="7689" max="7689" width="14.28515625" customWidth="1"/>
    <col min="7690" max="7690" width="14.140625" bestFit="1" customWidth="1"/>
    <col min="7691" max="7691" width="12.5703125" bestFit="1" customWidth="1"/>
    <col min="7692" max="7692" width="13" customWidth="1"/>
    <col min="7693" max="7693" width="10.28515625" customWidth="1"/>
    <col min="7694" max="7694" width="11.140625" customWidth="1"/>
    <col min="7937" max="7937" width="36.5703125" bestFit="1" customWidth="1"/>
    <col min="7938" max="7938" width="13.28515625" customWidth="1"/>
    <col min="7939" max="7939" width="13.7109375" customWidth="1"/>
    <col min="7940" max="7940" width="11.85546875" customWidth="1"/>
    <col min="7941" max="7941" width="13.28515625" customWidth="1"/>
    <col min="7942" max="7942" width="15" customWidth="1"/>
    <col min="7943" max="7943" width="12.85546875" customWidth="1"/>
    <col min="7944" max="7944" width="12.7109375" customWidth="1"/>
    <col min="7945" max="7945" width="14.28515625" customWidth="1"/>
    <col min="7946" max="7946" width="14.140625" bestFit="1" customWidth="1"/>
    <col min="7947" max="7947" width="12.5703125" bestFit="1" customWidth="1"/>
    <col min="7948" max="7948" width="13" customWidth="1"/>
    <col min="7949" max="7949" width="10.28515625" customWidth="1"/>
    <col min="7950" max="7950" width="11.140625" customWidth="1"/>
    <col min="8193" max="8193" width="36.5703125" bestFit="1" customWidth="1"/>
    <col min="8194" max="8194" width="13.28515625" customWidth="1"/>
    <col min="8195" max="8195" width="13.7109375" customWidth="1"/>
    <col min="8196" max="8196" width="11.85546875" customWidth="1"/>
    <col min="8197" max="8197" width="13.28515625" customWidth="1"/>
    <col min="8198" max="8198" width="15" customWidth="1"/>
    <col min="8199" max="8199" width="12.85546875" customWidth="1"/>
    <col min="8200" max="8200" width="12.7109375" customWidth="1"/>
    <col min="8201" max="8201" width="14.28515625" customWidth="1"/>
    <col min="8202" max="8202" width="14.140625" bestFit="1" customWidth="1"/>
    <col min="8203" max="8203" width="12.5703125" bestFit="1" customWidth="1"/>
    <col min="8204" max="8204" width="13" customWidth="1"/>
    <col min="8205" max="8205" width="10.28515625" customWidth="1"/>
    <col min="8206" max="8206" width="11.140625" customWidth="1"/>
    <col min="8449" max="8449" width="36.5703125" bestFit="1" customWidth="1"/>
    <col min="8450" max="8450" width="13.28515625" customWidth="1"/>
    <col min="8451" max="8451" width="13.7109375" customWidth="1"/>
    <col min="8452" max="8452" width="11.85546875" customWidth="1"/>
    <col min="8453" max="8453" width="13.28515625" customWidth="1"/>
    <col min="8454" max="8454" width="15" customWidth="1"/>
    <col min="8455" max="8455" width="12.85546875" customWidth="1"/>
    <col min="8456" max="8456" width="12.7109375" customWidth="1"/>
    <col min="8457" max="8457" width="14.28515625" customWidth="1"/>
    <col min="8458" max="8458" width="14.140625" bestFit="1" customWidth="1"/>
    <col min="8459" max="8459" width="12.5703125" bestFit="1" customWidth="1"/>
    <col min="8460" max="8460" width="13" customWidth="1"/>
    <col min="8461" max="8461" width="10.28515625" customWidth="1"/>
    <col min="8462" max="8462" width="11.140625" customWidth="1"/>
    <col min="8705" max="8705" width="36.5703125" bestFit="1" customWidth="1"/>
    <col min="8706" max="8706" width="13.28515625" customWidth="1"/>
    <col min="8707" max="8707" width="13.7109375" customWidth="1"/>
    <col min="8708" max="8708" width="11.85546875" customWidth="1"/>
    <col min="8709" max="8709" width="13.28515625" customWidth="1"/>
    <col min="8710" max="8710" width="15" customWidth="1"/>
    <col min="8711" max="8711" width="12.85546875" customWidth="1"/>
    <col min="8712" max="8712" width="12.7109375" customWidth="1"/>
    <col min="8713" max="8713" width="14.28515625" customWidth="1"/>
    <col min="8714" max="8714" width="14.140625" bestFit="1" customWidth="1"/>
    <col min="8715" max="8715" width="12.5703125" bestFit="1" customWidth="1"/>
    <col min="8716" max="8716" width="13" customWidth="1"/>
    <col min="8717" max="8717" width="10.28515625" customWidth="1"/>
    <col min="8718" max="8718" width="11.140625" customWidth="1"/>
    <col min="8961" max="8961" width="36.5703125" bestFit="1" customWidth="1"/>
    <col min="8962" max="8962" width="13.28515625" customWidth="1"/>
    <col min="8963" max="8963" width="13.7109375" customWidth="1"/>
    <col min="8964" max="8964" width="11.85546875" customWidth="1"/>
    <col min="8965" max="8965" width="13.28515625" customWidth="1"/>
    <col min="8966" max="8966" width="15" customWidth="1"/>
    <col min="8967" max="8967" width="12.85546875" customWidth="1"/>
    <col min="8968" max="8968" width="12.7109375" customWidth="1"/>
    <col min="8969" max="8969" width="14.28515625" customWidth="1"/>
    <col min="8970" max="8970" width="14.140625" bestFit="1" customWidth="1"/>
    <col min="8971" max="8971" width="12.5703125" bestFit="1" customWidth="1"/>
    <col min="8972" max="8972" width="13" customWidth="1"/>
    <col min="8973" max="8973" width="10.28515625" customWidth="1"/>
    <col min="8974" max="8974" width="11.140625" customWidth="1"/>
    <col min="9217" max="9217" width="36.5703125" bestFit="1" customWidth="1"/>
    <col min="9218" max="9218" width="13.28515625" customWidth="1"/>
    <col min="9219" max="9219" width="13.7109375" customWidth="1"/>
    <col min="9220" max="9220" width="11.85546875" customWidth="1"/>
    <col min="9221" max="9221" width="13.28515625" customWidth="1"/>
    <col min="9222" max="9222" width="15" customWidth="1"/>
    <col min="9223" max="9223" width="12.85546875" customWidth="1"/>
    <col min="9224" max="9224" width="12.7109375" customWidth="1"/>
    <col min="9225" max="9225" width="14.28515625" customWidth="1"/>
    <col min="9226" max="9226" width="14.140625" bestFit="1" customWidth="1"/>
    <col min="9227" max="9227" width="12.5703125" bestFit="1" customWidth="1"/>
    <col min="9228" max="9228" width="13" customWidth="1"/>
    <col min="9229" max="9229" width="10.28515625" customWidth="1"/>
    <col min="9230" max="9230" width="11.140625" customWidth="1"/>
    <col min="9473" max="9473" width="36.5703125" bestFit="1" customWidth="1"/>
    <col min="9474" max="9474" width="13.28515625" customWidth="1"/>
    <col min="9475" max="9475" width="13.7109375" customWidth="1"/>
    <col min="9476" max="9476" width="11.85546875" customWidth="1"/>
    <col min="9477" max="9477" width="13.28515625" customWidth="1"/>
    <col min="9478" max="9478" width="15" customWidth="1"/>
    <col min="9479" max="9479" width="12.85546875" customWidth="1"/>
    <col min="9480" max="9480" width="12.7109375" customWidth="1"/>
    <col min="9481" max="9481" width="14.28515625" customWidth="1"/>
    <col min="9482" max="9482" width="14.140625" bestFit="1" customWidth="1"/>
    <col min="9483" max="9483" width="12.5703125" bestFit="1" customWidth="1"/>
    <col min="9484" max="9484" width="13" customWidth="1"/>
    <col min="9485" max="9485" width="10.28515625" customWidth="1"/>
    <col min="9486" max="9486" width="11.140625" customWidth="1"/>
    <col min="9729" max="9729" width="36.5703125" bestFit="1" customWidth="1"/>
    <col min="9730" max="9730" width="13.28515625" customWidth="1"/>
    <col min="9731" max="9731" width="13.7109375" customWidth="1"/>
    <col min="9732" max="9732" width="11.85546875" customWidth="1"/>
    <col min="9733" max="9733" width="13.28515625" customWidth="1"/>
    <col min="9734" max="9734" width="15" customWidth="1"/>
    <col min="9735" max="9735" width="12.85546875" customWidth="1"/>
    <col min="9736" max="9736" width="12.7109375" customWidth="1"/>
    <col min="9737" max="9737" width="14.28515625" customWidth="1"/>
    <col min="9738" max="9738" width="14.140625" bestFit="1" customWidth="1"/>
    <col min="9739" max="9739" width="12.5703125" bestFit="1" customWidth="1"/>
    <col min="9740" max="9740" width="13" customWidth="1"/>
    <col min="9741" max="9741" width="10.28515625" customWidth="1"/>
    <col min="9742" max="9742" width="11.140625" customWidth="1"/>
    <col min="9985" max="9985" width="36.5703125" bestFit="1" customWidth="1"/>
    <col min="9986" max="9986" width="13.28515625" customWidth="1"/>
    <col min="9987" max="9987" width="13.7109375" customWidth="1"/>
    <col min="9988" max="9988" width="11.85546875" customWidth="1"/>
    <col min="9989" max="9989" width="13.28515625" customWidth="1"/>
    <col min="9990" max="9990" width="15" customWidth="1"/>
    <col min="9991" max="9991" width="12.85546875" customWidth="1"/>
    <col min="9992" max="9992" width="12.7109375" customWidth="1"/>
    <col min="9993" max="9993" width="14.28515625" customWidth="1"/>
    <col min="9994" max="9994" width="14.140625" bestFit="1" customWidth="1"/>
    <col min="9995" max="9995" width="12.5703125" bestFit="1" customWidth="1"/>
    <col min="9996" max="9996" width="13" customWidth="1"/>
    <col min="9997" max="9997" width="10.28515625" customWidth="1"/>
    <col min="9998" max="9998" width="11.140625" customWidth="1"/>
    <col min="10241" max="10241" width="36.5703125" bestFit="1" customWidth="1"/>
    <col min="10242" max="10242" width="13.28515625" customWidth="1"/>
    <col min="10243" max="10243" width="13.7109375" customWidth="1"/>
    <col min="10244" max="10244" width="11.85546875" customWidth="1"/>
    <col min="10245" max="10245" width="13.28515625" customWidth="1"/>
    <col min="10246" max="10246" width="15" customWidth="1"/>
    <col min="10247" max="10247" width="12.85546875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2.5703125" bestFit="1" customWidth="1"/>
    <col min="10252" max="10252" width="13" customWidth="1"/>
    <col min="10253" max="10253" width="10.28515625" customWidth="1"/>
    <col min="10254" max="10254" width="11.140625" customWidth="1"/>
    <col min="10497" max="10497" width="36.5703125" bestFit="1" customWidth="1"/>
    <col min="10498" max="10498" width="13.28515625" customWidth="1"/>
    <col min="10499" max="10499" width="13.7109375" customWidth="1"/>
    <col min="10500" max="10500" width="11.85546875" customWidth="1"/>
    <col min="10501" max="10501" width="13.28515625" customWidth="1"/>
    <col min="10502" max="10502" width="15" customWidth="1"/>
    <col min="10503" max="10503" width="12.85546875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2.5703125" bestFit="1" customWidth="1"/>
    <col min="10508" max="10508" width="13" customWidth="1"/>
    <col min="10509" max="10509" width="10.28515625" customWidth="1"/>
    <col min="10510" max="10510" width="11.140625" customWidth="1"/>
    <col min="10753" max="10753" width="36.5703125" bestFit="1" customWidth="1"/>
    <col min="10754" max="10754" width="13.28515625" customWidth="1"/>
    <col min="10755" max="10755" width="13.7109375" customWidth="1"/>
    <col min="10756" max="10756" width="11.85546875" customWidth="1"/>
    <col min="10757" max="10757" width="13.28515625" customWidth="1"/>
    <col min="10758" max="10758" width="15" customWidth="1"/>
    <col min="10759" max="10759" width="12.85546875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2.5703125" bestFit="1" customWidth="1"/>
    <col min="10764" max="10764" width="13" customWidth="1"/>
    <col min="10765" max="10765" width="10.28515625" customWidth="1"/>
    <col min="10766" max="10766" width="11.140625" customWidth="1"/>
    <col min="11009" max="11009" width="36.5703125" bestFit="1" customWidth="1"/>
    <col min="11010" max="11010" width="13.28515625" customWidth="1"/>
    <col min="11011" max="11011" width="13.7109375" customWidth="1"/>
    <col min="11012" max="11012" width="11.85546875" customWidth="1"/>
    <col min="11013" max="11013" width="13.28515625" customWidth="1"/>
    <col min="11014" max="11014" width="15" customWidth="1"/>
    <col min="11015" max="11015" width="12.85546875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2.5703125" bestFit="1" customWidth="1"/>
    <col min="11020" max="11020" width="13" customWidth="1"/>
    <col min="11021" max="11021" width="10.28515625" customWidth="1"/>
    <col min="11022" max="11022" width="11.140625" customWidth="1"/>
    <col min="11265" max="11265" width="36.5703125" bestFit="1" customWidth="1"/>
    <col min="11266" max="11266" width="13.28515625" customWidth="1"/>
    <col min="11267" max="11267" width="13.7109375" customWidth="1"/>
    <col min="11268" max="11268" width="11.85546875" customWidth="1"/>
    <col min="11269" max="11269" width="13.28515625" customWidth="1"/>
    <col min="11270" max="11270" width="15" customWidth="1"/>
    <col min="11271" max="11271" width="12.85546875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2.5703125" bestFit="1" customWidth="1"/>
    <col min="11276" max="11276" width="13" customWidth="1"/>
    <col min="11277" max="11277" width="10.28515625" customWidth="1"/>
    <col min="11278" max="11278" width="11.140625" customWidth="1"/>
    <col min="11521" max="11521" width="36.5703125" bestFit="1" customWidth="1"/>
    <col min="11522" max="11522" width="13.28515625" customWidth="1"/>
    <col min="11523" max="11523" width="13.7109375" customWidth="1"/>
    <col min="11524" max="11524" width="11.85546875" customWidth="1"/>
    <col min="11525" max="11525" width="13.28515625" customWidth="1"/>
    <col min="11526" max="11526" width="15" customWidth="1"/>
    <col min="11527" max="11527" width="12.85546875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2.5703125" bestFit="1" customWidth="1"/>
    <col min="11532" max="11532" width="13" customWidth="1"/>
    <col min="11533" max="11533" width="10.28515625" customWidth="1"/>
    <col min="11534" max="11534" width="11.140625" customWidth="1"/>
    <col min="11777" max="11777" width="36.5703125" bestFit="1" customWidth="1"/>
    <col min="11778" max="11778" width="13.28515625" customWidth="1"/>
    <col min="11779" max="11779" width="13.7109375" customWidth="1"/>
    <col min="11780" max="11780" width="11.85546875" customWidth="1"/>
    <col min="11781" max="11781" width="13.28515625" customWidth="1"/>
    <col min="11782" max="11782" width="15" customWidth="1"/>
    <col min="11783" max="11783" width="12.85546875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2.5703125" bestFit="1" customWidth="1"/>
    <col min="11788" max="11788" width="13" customWidth="1"/>
    <col min="11789" max="11789" width="10.28515625" customWidth="1"/>
    <col min="11790" max="11790" width="11.140625" customWidth="1"/>
    <col min="12033" max="12033" width="36.5703125" bestFit="1" customWidth="1"/>
    <col min="12034" max="12034" width="13.28515625" customWidth="1"/>
    <col min="12035" max="12035" width="13.7109375" customWidth="1"/>
    <col min="12036" max="12036" width="11.85546875" customWidth="1"/>
    <col min="12037" max="12037" width="13.28515625" customWidth="1"/>
    <col min="12038" max="12038" width="15" customWidth="1"/>
    <col min="12039" max="12039" width="12.85546875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2.5703125" bestFit="1" customWidth="1"/>
    <col min="12044" max="12044" width="13" customWidth="1"/>
    <col min="12045" max="12045" width="10.28515625" customWidth="1"/>
    <col min="12046" max="12046" width="11.140625" customWidth="1"/>
    <col min="12289" max="12289" width="36.5703125" bestFit="1" customWidth="1"/>
    <col min="12290" max="12290" width="13.28515625" customWidth="1"/>
    <col min="12291" max="12291" width="13.7109375" customWidth="1"/>
    <col min="12292" max="12292" width="11.85546875" customWidth="1"/>
    <col min="12293" max="12293" width="13.28515625" customWidth="1"/>
    <col min="12294" max="12294" width="15" customWidth="1"/>
    <col min="12295" max="12295" width="12.85546875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2.5703125" bestFit="1" customWidth="1"/>
    <col min="12300" max="12300" width="13" customWidth="1"/>
    <col min="12301" max="12301" width="10.28515625" customWidth="1"/>
    <col min="12302" max="12302" width="11.140625" customWidth="1"/>
    <col min="12545" max="12545" width="36.5703125" bestFit="1" customWidth="1"/>
    <col min="12546" max="12546" width="13.28515625" customWidth="1"/>
    <col min="12547" max="12547" width="13.7109375" customWidth="1"/>
    <col min="12548" max="12548" width="11.85546875" customWidth="1"/>
    <col min="12549" max="12549" width="13.28515625" customWidth="1"/>
    <col min="12550" max="12550" width="15" customWidth="1"/>
    <col min="12551" max="12551" width="12.85546875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2.5703125" bestFit="1" customWidth="1"/>
    <col min="12556" max="12556" width="13" customWidth="1"/>
    <col min="12557" max="12557" width="10.28515625" customWidth="1"/>
    <col min="12558" max="12558" width="11.140625" customWidth="1"/>
    <col min="12801" max="12801" width="36.5703125" bestFit="1" customWidth="1"/>
    <col min="12802" max="12802" width="13.28515625" customWidth="1"/>
    <col min="12803" max="12803" width="13.7109375" customWidth="1"/>
    <col min="12804" max="12804" width="11.85546875" customWidth="1"/>
    <col min="12805" max="12805" width="13.28515625" customWidth="1"/>
    <col min="12806" max="12806" width="15" customWidth="1"/>
    <col min="12807" max="12807" width="12.85546875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2.5703125" bestFit="1" customWidth="1"/>
    <col min="12812" max="12812" width="13" customWidth="1"/>
    <col min="12813" max="12813" width="10.28515625" customWidth="1"/>
    <col min="12814" max="12814" width="11.140625" customWidth="1"/>
    <col min="13057" max="13057" width="36.5703125" bestFit="1" customWidth="1"/>
    <col min="13058" max="13058" width="13.28515625" customWidth="1"/>
    <col min="13059" max="13059" width="13.7109375" customWidth="1"/>
    <col min="13060" max="13060" width="11.85546875" customWidth="1"/>
    <col min="13061" max="13061" width="13.28515625" customWidth="1"/>
    <col min="13062" max="13062" width="15" customWidth="1"/>
    <col min="13063" max="13063" width="12.85546875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2.5703125" bestFit="1" customWidth="1"/>
    <col min="13068" max="13068" width="13" customWidth="1"/>
    <col min="13069" max="13069" width="10.28515625" customWidth="1"/>
    <col min="13070" max="13070" width="11.140625" customWidth="1"/>
    <col min="13313" max="13313" width="36.5703125" bestFit="1" customWidth="1"/>
    <col min="13314" max="13314" width="13.28515625" customWidth="1"/>
    <col min="13315" max="13315" width="13.7109375" customWidth="1"/>
    <col min="13316" max="13316" width="11.85546875" customWidth="1"/>
    <col min="13317" max="13317" width="13.28515625" customWidth="1"/>
    <col min="13318" max="13318" width="15" customWidth="1"/>
    <col min="13319" max="13319" width="12.85546875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2.5703125" bestFit="1" customWidth="1"/>
    <col min="13324" max="13324" width="13" customWidth="1"/>
    <col min="13325" max="13325" width="10.28515625" customWidth="1"/>
    <col min="13326" max="13326" width="11.140625" customWidth="1"/>
    <col min="13569" max="13569" width="36.5703125" bestFit="1" customWidth="1"/>
    <col min="13570" max="13570" width="13.28515625" customWidth="1"/>
    <col min="13571" max="13571" width="13.7109375" customWidth="1"/>
    <col min="13572" max="13572" width="11.85546875" customWidth="1"/>
    <col min="13573" max="13573" width="13.28515625" customWidth="1"/>
    <col min="13574" max="13574" width="15" customWidth="1"/>
    <col min="13575" max="13575" width="12.85546875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2.5703125" bestFit="1" customWidth="1"/>
    <col min="13580" max="13580" width="13" customWidth="1"/>
    <col min="13581" max="13581" width="10.28515625" customWidth="1"/>
    <col min="13582" max="13582" width="11.140625" customWidth="1"/>
    <col min="13825" max="13825" width="36.5703125" bestFit="1" customWidth="1"/>
    <col min="13826" max="13826" width="13.28515625" customWidth="1"/>
    <col min="13827" max="13827" width="13.7109375" customWidth="1"/>
    <col min="13828" max="13828" width="11.85546875" customWidth="1"/>
    <col min="13829" max="13829" width="13.28515625" customWidth="1"/>
    <col min="13830" max="13830" width="15" customWidth="1"/>
    <col min="13831" max="13831" width="12.85546875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2.5703125" bestFit="1" customWidth="1"/>
    <col min="13836" max="13836" width="13" customWidth="1"/>
    <col min="13837" max="13837" width="10.28515625" customWidth="1"/>
    <col min="13838" max="13838" width="11.140625" customWidth="1"/>
    <col min="14081" max="14081" width="36.5703125" bestFit="1" customWidth="1"/>
    <col min="14082" max="14082" width="13.28515625" customWidth="1"/>
    <col min="14083" max="14083" width="13.7109375" customWidth="1"/>
    <col min="14084" max="14084" width="11.85546875" customWidth="1"/>
    <col min="14085" max="14085" width="13.28515625" customWidth="1"/>
    <col min="14086" max="14086" width="15" customWidth="1"/>
    <col min="14087" max="14087" width="12.85546875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2.5703125" bestFit="1" customWidth="1"/>
    <col min="14092" max="14092" width="13" customWidth="1"/>
    <col min="14093" max="14093" width="10.28515625" customWidth="1"/>
    <col min="14094" max="14094" width="11.140625" customWidth="1"/>
    <col min="14337" max="14337" width="36.5703125" bestFit="1" customWidth="1"/>
    <col min="14338" max="14338" width="13.28515625" customWidth="1"/>
    <col min="14339" max="14339" width="13.7109375" customWidth="1"/>
    <col min="14340" max="14340" width="11.85546875" customWidth="1"/>
    <col min="14341" max="14341" width="13.28515625" customWidth="1"/>
    <col min="14342" max="14342" width="15" customWidth="1"/>
    <col min="14343" max="14343" width="12.85546875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2.5703125" bestFit="1" customWidth="1"/>
    <col min="14348" max="14348" width="13" customWidth="1"/>
    <col min="14349" max="14349" width="10.28515625" customWidth="1"/>
    <col min="14350" max="14350" width="11.140625" customWidth="1"/>
    <col min="14593" max="14593" width="36.5703125" bestFit="1" customWidth="1"/>
    <col min="14594" max="14594" width="13.28515625" customWidth="1"/>
    <col min="14595" max="14595" width="13.7109375" customWidth="1"/>
    <col min="14596" max="14596" width="11.85546875" customWidth="1"/>
    <col min="14597" max="14597" width="13.28515625" customWidth="1"/>
    <col min="14598" max="14598" width="15" customWidth="1"/>
    <col min="14599" max="14599" width="12.85546875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2.5703125" bestFit="1" customWidth="1"/>
    <col min="14604" max="14604" width="13" customWidth="1"/>
    <col min="14605" max="14605" width="10.28515625" customWidth="1"/>
    <col min="14606" max="14606" width="11.140625" customWidth="1"/>
    <col min="14849" max="14849" width="36.5703125" bestFit="1" customWidth="1"/>
    <col min="14850" max="14850" width="13.28515625" customWidth="1"/>
    <col min="14851" max="14851" width="13.7109375" customWidth="1"/>
    <col min="14852" max="14852" width="11.85546875" customWidth="1"/>
    <col min="14853" max="14853" width="13.28515625" customWidth="1"/>
    <col min="14854" max="14854" width="15" customWidth="1"/>
    <col min="14855" max="14855" width="12.85546875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2.5703125" bestFit="1" customWidth="1"/>
    <col min="14860" max="14860" width="13" customWidth="1"/>
    <col min="14861" max="14861" width="10.28515625" customWidth="1"/>
    <col min="14862" max="14862" width="11.140625" customWidth="1"/>
    <col min="15105" max="15105" width="36.5703125" bestFit="1" customWidth="1"/>
    <col min="15106" max="15106" width="13.28515625" customWidth="1"/>
    <col min="15107" max="15107" width="13.7109375" customWidth="1"/>
    <col min="15108" max="15108" width="11.85546875" customWidth="1"/>
    <col min="15109" max="15109" width="13.28515625" customWidth="1"/>
    <col min="15110" max="15110" width="15" customWidth="1"/>
    <col min="15111" max="15111" width="12.85546875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2.5703125" bestFit="1" customWidth="1"/>
    <col min="15116" max="15116" width="13" customWidth="1"/>
    <col min="15117" max="15117" width="10.28515625" customWidth="1"/>
    <col min="15118" max="15118" width="11.140625" customWidth="1"/>
    <col min="15361" max="15361" width="36.5703125" bestFit="1" customWidth="1"/>
    <col min="15362" max="15362" width="13.28515625" customWidth="1"/>
    <col min="15363" max="15363" width="13.7109375" customWidth="1"/>
    <col min="15364" max="15364" width="11.85546875" customWidth="1"/>
    <col min="15365" max="15365" width="13.28515625" customWidth="1"/>
    <col min="15366" max="15366" width="15" customWidth="1"/>
    <col min="15367" max="15367" width="12.85546875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2.5703125" bestFit="1" customWidth="1"/>
    <col min="15372" max="15372" width="13" customWidth="1"/>
    <col min="15373" max="15373" width="10.28515625" customWidth="1"/>
    <col min="15374" max="15374" width="11.140625" customWidth="1"/>
    <col min="15617" max="15617" width="36.5703125" bestFit="1" customWidth="1"/>
    <col min="15618" max="15618" width="13.28515625" customWidth="1"/>
    <col min="15619" max="15619" width="13.7109375" customWidth="1"/>
    <col min="15620" max="15620" width="11.85546875" customWidth="1"/>
    <col min="15621" max="15621" width="13.28515625" customWidth="1"/>
    <col min="15622" max="15622" width="15" customWidth="1"/>
    <col min="15623" max="15623" width="12.85546875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2.5703125" bestFit="1" customWidth="1"/>
    <col min="15628" max="15628" width="13" customWidth="1"/>
    <col min="15629" max="15629" width="10.28515625" customWidth="1"/>
    <col min="15630" max="15630" width="11.140625" customWidth="1"/>
    <col min="15873" max="15873" width="36.5703125" bestFit="1" customWidth="1"/>
    <col min="15874" max="15874" width="13.28515625" customWidth="1"/>
    <col min="15875" max="15875" width="13.7109375" customWidth="1"/>
    <col min="15876" max="15876" width="11.85546875" customWidth="1"/>
    <col min="15877" max="15877" width="13.28515625" customWidth="1"/>
    <col min="15878" max="15878" width="15" customWidth="1"/>
    <col min="15879" max="15879" width="12.85546875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2.5703125" bestFit="1" customWidth="1"/>
    <col min="15884" max="15884" width="13" customWidth="1"/>
    <col min="15885" max="15885" width="10.28515625" customWidth="1"/>
    <col min="15886" max="15886" width="11.140625" customWidth="1"/>
    <col min="16129" max="16129" width="36.5703125" bestFit="1" customWidth="1"/>
    <col min="16130" max="16130" width="13.28515625" customWidth="1"/>
    <col min="16131" max="16131" width="13.7109375" customWidth="1"/>
    <col min="16132" max="16132" width="11.85546875" customWidth="1"/>
    <col min="16133" max="16133" width="13.28515625" customWidth="1"/>
    <col min="16134" max="16134" width="15" customWidth="1"/>
    <col min="16135" max="16135" width="12.85546875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2.5703125" bestFit="1" customWidth="1"/>
    <col min="16140" max="16140" width="13" customWidth="1"/>
    <col min="16141" max="16141" width="10.28515625" customWidth="1"/>
    <col min="16142" max="16142" width="11.1406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648" t="s">
        <v>3896</v>
      </c>
      <c r="C5" s="1649"/>
      <c r="D5" s="1649"/>
      <c r="E5" s="1650"/>
      <c r="F5" s="326" t="s">
        <v>171</v>
      </c>
      <c r="G5" s="326"/>
      <c r="H5" s="1665" t="s">
        <v>3895</v>
      </c>
      <c r="I5" s="1666"/>
      <c r="J5" s="326" t="s">
        <v>172</v>
      </c>
      <c r="K5" s="631">
        <v>550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40"/>
      <c r="I6" s="340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3894</v>
      </c>
      <c r="C7" s="1594"/>
      <c r="D7" s="1594"/>
      <c r="E7" s="1595"/>
      <c r="F7" s="1596" t="s">
        <v>3208</v>
      </c>
      <c r="G7" s="1596"/>
      <c r="H7" s="1593" t="s">
        <v>3893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 t="s">
        <v>3892</v>
      </c>
      <c r="C9" s="1594"/>
      <c r="D9" s="1594"/>
      <c r="E9" s="1595"/>
      <c r="F9" s="1601" t="s">
        <v>3205</v>
      </c>
      <c r="G9" s="1602"/>
      <c r="H9" s="1603" t="s">
        <v>3891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3308</v>
      </c>
      <c r="C13" s="1612"/>
      <c r="D13" s="1612" t="s">
        <v>3890</v>
      </c>
      <c r="E13" s="1612"/>
      <c r="F13" s="1612"/>
      <c r="G13" s="1612" t="s">
        <v>3889</v>
      </c>
      <c r="H13" s="1612"/>
      <c r="I13" s="1612"/>
      <c r="J13" s="1612"/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3884</v>
      </c>
      <c r="C14" s="1612"/>
      <c r="D14" s="1612" t="s">
        <v>3888</v>
      </c>
      <c r="E14" s="1612"/>
      <c r="F14" s="1612"/>
      <c r="G14" s="1612" t="s">
        <v>2438</v>
      </c>
      <c r="H14" s="1612"/>
      <c r="I14" s="1612"/>
      <c r="J14" s="1612"/>
      <c r="K14" s="1612"/>
      <c r="L14" s="1612"/>
      <c r="M14" s="1612"/>
      <c r="N14" s="326"/>
    </row>
    <row r="15" spans="1:14" ht="31.5" customHeight="1">
      <c r="A15" s="631" t="s">
        <v>192</v>
      </c>
      <c r="B15" s="1612" t="s">
        <v>3887</v>
      </c>
      <c r="C15" s="1612"/>
      <c r="D15" s="1612" t="s">
        <v>3886</v>
      </c>
      <c r="E15" s="1612"/>
      <c r="F15" s="1612"/>
      <c r="G15" s="1612" t="s">
        <v>3885</v>
      </c>
      <c r="H15" s="1612"/>
      <c r="I15" s="1612"/>
      <c r="J15" s="1612"/>
      <c r="K15" s="1612"/>
      <c r="L15" s="1612"/>
      <c r="M15" s="1612"/>
      <c r="N15" s="326"/>
    </row>
    <row r="16" spans="1:14" ht="31.5" customHeight="1">
      <c r="A16" s="631" t="s">
        <v>197</v>
      </c>
      <c r="B16" s="1612" t="s">
        <v>3884</v>
      </c>
      <c r="C16" s="1612"/>
      <c r="D16" s="1612" t="s">
        <v>2438</v>
      </c>
      <c r="E16" s="1612"/>
      <c r="F16" s="1612"/>
      <c r="G16" s="1612" t="s">
        <v>2438</v>
      </c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3</v>
      </c>
      <c r="C18" s="326" t="s">
        <v>199</v>
      </c>
      <c r="D18" s="326"/>
      <c r="E18" s="326"/>
      <c r="F18" s="631">
        <v>2</v>
      </c>
      <c r="G18" s="326" t="s">
        <v>200</v>
      </c>
      <c r="H18" s="632">
        <v>4</v>
      </c>
      <c r="I18" s="326" t="s">
        <v>201</v>
      </c>
      <c r="J18" s="632">
        <v>2</v>
      </c>
      <c r="K18" s="326" t="s">
        <v>202</v>
      </c>
      <c r="L18" s="631">
        <v>50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36.75" customHeight="1">
      <c r="A21" s="326" t="s">
        <v>203</v>
      </c>
      <c r="B21" s="326" t="s">
        <v>204</v>
      </c>
      <c r="C21" s="631">
        <v>63</v>
      </c>
      <c r="D21" s="326" t="s">
        <v>205</v>
      </c>
      <c r="E21" s="631">
        <v>5</v>
      </c>
      <c r="F21" s="326" t="s">
        <v>206</v>
      </c>
      <c r="G21" s="631">
        <v>2</v>
      </c>
      <c r="H21" s="326" t="s">
        <v>230</v>
      </c>
      <c r="I21" s="631">
        <v>70</v>
      </c>
      <c r="J21" s="326" t="s">
        <v>207</v>
      </c>
      <c r="K21" s="631">
        <v>6</v>
      </c>
      <c r="L21" s="336" t="s">
        <v>3187</v>
      </c>
      <c r="M21" s="631">
        <v>7</v>
      </c>
      <c r="N21" s="326"/>
    </row>
    <row r="22" spans="1:14" ht="21.75" customHeight="1">
      <c r="A22" s="326" t="s">
        <v>209</v>
      </c>
      <c r="B22" s="326" t="s">
        <v>210</v>
      </c>
      <c r="C22" s="631">
        <v>195</v>
      </c>
      <c r="D22" s="326" t="s">
        <v>211</v>
      </c>
      <c r="E22" s="631">
        <v>16</v>
      </c>
      <c r="F22" s="326" t="s">
        <v>212</v>
      </c>
      <c r="G22" s="80">
        <v>8</v>
      </c>
      <c r="H22" s="326" t="s">
        <v>411</v>
      </c>
      <c r="I22" s="80">
        <v>219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140</v>
      </c>
      <c r="D23" s="326" t="s">
        <v>214</v>
      </c>
      <c r="E23" s="631">
        <v>11</v>
      </c>
      <c r="F23" s="326" t="s">
        <v>215</v>
      </c>
      <c r="G23" s="339">
        <v>4</v>
      </c>
      <c r="H23" s="326" t="s">
        <v>410</v>
      </c>
      <c r="I23" s="80">
        <v>155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44</v>
      </c>
      <c r="E29" s="322">
        <v>663700</v>
      </c>
      <c r="F29" s="322">
        <v>0</v>
      </c>
      <c r="G29" s="335">
        <v>163700</v>
      </c>
      <c r="H29" s="322"/>
      <c r="I29" s="322"/>
      <c r="J29" s="322"/>
      <c r="K29" s="322"/>
      <c r="L29" s="322"/>
      <c r="M29" s="322">
        <f t="shared" ref="M29:M38" si="0">SUM(F29:L29)</f>
        <v>163700</v>
      </c>
      <c r="N29" s="323">
        <f>+M29/E29%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/>
      <c r="F30" s="322">
        <v>0</v>
      </c>
      <c r="G30" s="335">
        <v>0</v>
      </c>
      <c r="H30" s="322"/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2">
        <v>0</v>
      </c>
      <c r="G31" s="335">
        <v>18000</v>
      </c>
      <c r="H31" s="322"/>
      <c r="I31" s="322"/>
      <c r="J31" s="322"/>
      <c r="K31" s="322"/>
      <c r="L31" s="322"/>
      <c r="M31" s="322">
        <f t="shared" si="0"/>
        <v>18000</v>
      </c>
      <c r="N31" s="323">
        <f>+M31/E31%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2">
        <v>0</v>
      </c>
      <c r="G32" s="335">
        <v>16000</v>
      </c>
      <c r="H32" s="322"/>
      <c r="I32" s="322"/>
      <c r="J32" s="322"/>
      <c r="K32" s="322"/>
      <c r="L32" s="322"/>
      <c r="M32" s="322">
        <f t="shared" si="0"/>
        <v>16000</v>
      </c>
      <c r="N32" s="323">
        <f>+M32/E32%</f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6.6</v>
      </c>
      <c r="E33" s="322">
        <v>200000</v>
      </c>
      <c r="F33" s="322">
        <v>0</v>
      </c>
      <c r="G33" s="335">
        <v>176510</v>
      </c>
      <c r="H33" s="322"/>
      <c r="I33" s="322"/>
      <c r="J33" s="322"/>
      <c r="K33" s="322"/>
      <c r="L33" s="322"/>
      <c r="M33" s="322">
        <f t="shared" si="0"/>
        <v>176510</v>
      </c>
      <c r="N33" s="323">
        <f>+M33/E33%</f>
        <v>88.254999999999995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3.1074999999999999</v>
      </c>
      <c r="E34" s="322">
        <v>155000</v>
      </c>
      <c r="F34" s="322">
        <v>0</v>
      </c>
      <c r="G34" s="335">
        <v>26600</v>
      </c>
      <c r="H34" s="322"/>
      <c r="I34" s="322"/>
      <c r="J34" s="322"/>
      <c r="K34" s="322"/>
      <c r="L34" s="322"/>
      <c r="M34" s="322">
        <f t="shared" si="0"/>
        <v>26600</v>
      </c>
      <c r="N34" s="323">
        <f>+M34/E34%</f>
        <v>17.161290322580644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5.5</v>
      </c>
      <c r="E35" s="322"/>
      <c r="F35" s="322">
        <v>0</v>
      </c>
      <c r="G35" s="335">
        <v>0</v>
      </c>
      <c r="H35" s="322"/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2">
        <v>0</v>
      </c>
      <c r="G36" s="335">
        <v>22000</v>
      </c>
      <c r="H36" s="322"/>
      <c r="I36" s="322"/>
      <c r="J36" s="322"/>
      <c r="K36" s="322"/>
      <c r="L36" s="322"/>
      <c r="M36" s="322">
        <f t="shared" si="0"/>
        <v>22000</v>
      </c>
      <c r="N36" s="323">
        <f>+M36/E36%</f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38">
        <v>0</v>
      </c>
      <c r="F37" s="322">
        <v>0</v>
      </c>
      <c r="G37" s="335">
        <v>0</v>
      </c>
      <c r="H37" s="322"/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1">SUM(D29:D37)</f>
        <v>68.017499999999998</v>
      </c>
      <c r="E38" s="321">
        <f t="shared" si="1"/>
        <v>1082950</v>
      </c>
      <c r="F38" s="321">
        <f t="shared" si="1"/>
        <v>0</v>
      </c>
      <c r="G38" s="321">
        <f t="shared" si="1"/>
        <v>422810</v>
      </c>
      <c r="H38" s="321">
        <f t="shared" si="1"/>
        <v>0</v>
      </c>
      <c r="I38" s="321">
        <f t="shared" si="1"/>
        <v>0</v>
      </c>
      <c r="J38" s="321">
        <f t="shared" si="1"/>
        <v>0</v>
      </c>
      <c r="K38" s="321">
        <f t="shared" si="1"/>
        <v>0</v>
      </c>
      <c r="L38" s="321">
        <f t="shared" si="1"/>
        <v>0</v>
      </c>
      <c r="M38" s="631">
        <f t="shared" si="0"/>
        <v>422810</v>
      </c>
      <c r="N38" s="334">
        <f>+M38/E38%</f>
        <v>39.04243039844868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" bottom="0.27" header="0.39" footer="0.31496062992125984"/>
  <pageSetup paperSize="9" scale="6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801</v>
      </c>
      <c r="C2" t="s">
        <v>611</v>
      </c>
      <c r="D2" t="s">
        <v>5733</v>
      </c>
      <c r="F2" t="s">
        <v>612</v>
      </c>
      <c r="G2">
        <v>512</v>
      </c>
      <c r="H2" t="s">
        <v>613</v>
      </c>
      <c r="I2">
        <v>40</v>
      </c>
      <c r="K2" s="808" t="s">
        <v>4176</v>
      </c>
      <c r="L2" s="808"/>
      <c r="M2" s="808"/>
    </row>
    <row r="3" spans="1:15">
      <c r="A3" t="s">
        <v>614</v>
      </c>
      <c r="B3" t="s">
        <v>802</v>
      </c>
      <c r="E3" t="s">
        <v>616</v>
      </c>
      <c r="G3" t="s">
        <v>803</v>
      </c>
    </row>
    <row r="4" spans="1:15">
      <c r="A4" t="s">
        <v>618</v>
      </c>
      <c r="B4" t="s">
        <v>804</v>
      </c>
      <c r="G4" t="s">
        <v>620</v>
      </c>
      <c r="I4" t="s">
        <v>805</v>
      </c>
    </row>
    <row r="5" spans="1:15">
      <c r="A5" t="s">
        <v>622</v>
      </c>
      <c r="B5" t="s">
        <v>806</v>
      </c>
      <c r="E5" t="s">
        <v>807</v>
      </c>
      <c r="I5" t="s">
        <v>808</v>
      </c>
      <c r="M5" t="s">
        <v>809</v>
      </c>
    </row>
    <row r="6" spans="1:15">
      <c r="A6" t="s">
        <v>628</v>
      </c>
      <c r="B6" t="s">
        <v>810</v>
      </c>
      <c r="E6" t="s">
        <v>811</v>
      </c>
      <c r="I6" t="s">
        <v>812</v>
      </c>
      <c r="M6" t="s">
        <v>813</v>
      </c>
    </row>
    <row r="7" spans="1:15">
      <c r="A7" t="s">
        <v>634</v>
      </c>
      <c r="B7" t="s">
        <v>814</v>
      </c>
      <c r="E7" t="s">
        <v>815</v>
      </c>
      <c r="I7" t="s">
        <v>816</v>
      </c>
      <c r="M7" t="s">
        <v>817</v>
      </c>
    </row>
    <row r="8" spans="1:15">
      <c r="A8" t="s">
        <v>639</v>
      </c>
    </row>
    <row r="9" spans="1:15">
      <c r="A9" t="s">
        <v>641</v>
      </c>
      <c r="B9">
        <v>5</v>
      </c>
      <c r="C9" t="s">
        <v>642</v>
      </c>
      <c r="D9">
        <v>4</v>
      </c>
      <c r="E9" t="s">
        <v>643</v>
      </c>
      <c r="F9">
        <v>16</v>
      </c>
      <c r="G9" t="s">
        <v>644</v>
      </c>
      <c r="H9">
        <v>1</v>
      </c>
      <c r="I9" t="s">
        <v>645</v>
      </c>
      <c r="J9">
        <v>9</v>
      </c>
    </row>
    <row r="10" spans="1:15">
      <c r="A10" t="s">
        <v>646</v>
      </c>
      <c r="B10" t="s">
        <v>204</v>
      </c>
      <c r="C10">
        <v>146</v>
      </c>
      <c r="D10" t="s">
        <v>205</v>
      </c>
      <c r="E10">
        <v>53</v>
      </c>
      <c r="F10" t="s">
        <v>206</v>
      </c>
      <c r="G10">
        <v>15</v>
      </c>
      <c r="H10" t="s">
        <v>230</v>
      </c>
      <c r="I10">
        <v>214</v>
      </c>
      <c r="J10" t="s">
        <v>647</v>
      </c>
      <c r="K10">
        <v>82</v>
      </c>
      <c r="L10" t="s">
        <v>648</v>
      </c>
      <c r="M10">
        <v>31</v>
      </c>
    </row>
    <row r="11" spans="1:15">
      <c r="A11" t="s">
        <v>209</v>
      </c>
      <c r="B11" t="s">
        <v>210</v>
      </c>
      <c r="C11">
        <v>349</v>
      </c>
      <c r="D11" t="s">
        <v>649</v>
      </c>
      <c r="E11">
        <v>104</v>
      </c>
      <c r="F11" t="s">
        <v>212</v>
      </c>
      <c r="G11">
        <v>40</v>
      </c>
      <c r="H11" t="s">
        <v>411</v>
      </c>
      <c r="I11">
        <v>493</v>
      </c>
    </row>
    <row r="12" spans="1:15">
      <c r="B12" t="s">
        <v>213</v>
      </c>
      <c r="C12">
        <v>357</v>
      </c>
      <c r="D12" t="s">
        <v>650</v>
      </c>
      <c r="E12">
        <v>105</v>
      </c>
      <c r="F12" t="s">
        <v>215</v>
      </c>
      <c r="G12">
        <v>33</v>
      </c>
      <c r="H12" t="s">
        <v>410</v>
      </c>
      <c r="I12">
        <v>495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40.96</v>
      </c>
      <c r="F16">
        <v>4096000</v>
      </c>
      <c r="G16">
        <v>0</v>
      </c>
      <c r="H16">
        <v>213361</v>
      </c>
      <c r="I16">
        <v>1506610</v>
      </c>
      <c r="J16">
        <v>1484777</v>
      </c>
      <c r="K16">
        <v>207633</v>
      </c>
      <c r="L16">
        <v>33715</v>
      </c>
      <c r="N16">
        <f>SUM(G16:M16)</f>
        <v>3446096</v>
      </c>
    </row>
    <row r="17" spans="1:15">
      <c r="A17" t="s">
        <v>665</v>
      </c>
      <c r="C17">
        <v>7000</v>
      </c>
      <c r="D17" t="s">
        <v>664</v>
      </c>
      <c r="E17">
        <v>2.8</v>
      </c>
      <c r="F17">
        <v>200000</v>
      </c>
      <c r="G17">
        <v>0</v>
      </c>
      <c r="H17">
        <v>0</v>
      </c>
      <c r="I17">
        <v>41552</v>
      </c>
      <c r="J17">
        <v>19680</v>
      </c>
      <c r="K17">
        <v>0</v>
      </c>
      <c r="L17">
        <v>239538</v>
      </c>
      <c r="N17">
        <f t="shared" ref="N17:N24" si="0">SUM(G17:M17)</f>
        <v>300770</v>
      </c>
    </row>
    <row r="18" spans="1:15">
      <c r="A18" t="s">
        <v>235</v>
      </c>
      <c r="C18">
        <v>86</v>
      </c>
      <c r="D18" t="s">
        <v>664</v>
      </c>
      <c r="E18">
        <v>0.44</v>
      </c>
      <c r="F18">
        <v>43000</v>
      </c>
      <c r="G18">
        <v>0</v>
      </c>
      <c r="H18">
        <v>0</v>
      </c>
      <c r="I18">
        <v>16006</v>
      </c>
      <c r="J18">
        <v>0</v>
      </c>
      <c r="K18">
        <v>0</v>
      </c>
      <c r="L18">
        <v>20250</v>
      </c>
      <c r="N18">
        <f t="shared" si="0"/>
        <v>36256</v>
      </c>
    </row>
    <row r="19" spans="1:15">
      <c r="A19" t="s">
        <v>666</v>
      </c>
      <c r="C19">
        <v>68</v>
      </c>
      <c r="D19" t="s">
        <v>664</v>
      </c>
      <c r="E19">
        <v>0.35</v>
      </c>
      <c r="F19">
        <v>34000</v>
      </c>
      <c r="G19">
        <v>0</v>
      </c>
      <c r="H19">
        <v>0</v>
      </c>
      <c r="I19">
        <v>0</v>
      </c>
      <c r="J19">
        <v>16084</v>
      </c>
      <c r="K19">
        <v>14373</v>
      </c>
      <c r="L19">
        <v>0</v>
      </c>
      <c r="M19">
        <v>0</v>
      </c>
      <c r="N19">
        <f t="shared" si="0"/>
        <v>30457</v>
      </c>
    </row>
    <row r="20" spans="1:15">
      <c r="A20" t="s">
        <v>238</v>
      </c>
      <c r="C20">
        <v>1200</v>
      </c>
      <c r="D20" t="s">
        <v>664</v>
      </c>
      <c r="E20">
        <v>6.14</v>
      </c>
      <c r="F20">
        <v>200000</v>
      </c>
      <c r="G20">
        <v>0</v>
      </c>
      <c r="H20">
        <v>0</v>
      </c>
      <c r="I20">
        <v>0</v>
      </c>
      <c r="J20">
        <v>0</v>
      </c>
      <c r="K20">
        <v>13200</v>
      </c>
      <c r="L20">
        <v>296188</v>
      </c>
      <c r="N20">
        <f t="shared" si="0"/>
        <v>309388</v>
      </c>
    </row>
    <row r="21" spans="1:15">
      <c r="A21" t="s">
        <v>667</v>
      </c>
      <c r="C21">
        <v>565</v>
      </c>
      <c r="D21" t="s">
        <v>664</v>
      </c>
      <c r="E21">
        <v>2.83</v>
      </c>
      <c r="F21">
        <v>251000</v>
      </c>
      <c r="G21">
        <v>0</v>
      </c>
      <c r="H21">
        <v>0</v>
      </c>
      <c r="I21">
        <v>0</v>
      </c>
      <c r="J21">
        <v>0</v>
      </c>
      <c r="K21">
        <v>250233</v>
      </c>
      <c r="L21">
        <v>0</v>
      </c>
      <c r="N21">
        <f t="shared" si="0"/>
        <v>250233</v>
      </c>
    </row>
    <row r="22" spans="1:15">
      <c r="A22" t="s">
        <v>668</v>
      </c>
      <c r="C22">
        <v>1000</v>
      </c>
      <c r="D22" t="s">
        <v>664</v>
      </c>
      <c r="E22">
        <v>5.12</v>
      </c>
      <c r="F22">
        <v>512000</v>
      </c>
      <c r="G22">
        <v>0</v>
      </c>
      <c r="H22">
        <v>0</v>
      </c>
      <c r="I22">
        <v>0</v>
      </c>
      <c r="J22">
        <v>0</v>
      </c>
      <c r="K22">
        <v>0</v>
      </c>
      <c r="L22">
        <v>30000</v>
      </c>
      <c r="N22">
        <f t="shared" si="0"/>
        <v>30000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f>115500+16500</f>
        <v>132000</v>
      </c>
      <c r="G23">
        <v>0</v>
      </c>
      <c r="H23">
        <v>35182</v>
      </c>
      <c r="I23">
        <v>32980</v>
      </c>
      <c r="J23">
        <v>32944</v>
      </c>
      <c r="K23">
        <v>20293</v>
      </c>
      <c r="L23">
        <v>16130</v>
      </c>
      <c r="N23">
        <f t="shared" si="0"/>
        <v>137529</v>
      </c>
    </row>
    <row r="24" spans="1:15">
      <c r="A24" t="s">
        <v>670</v>
      </c>
      <c r="C24">
        <v>10000</v>
      </c>
      <c r="D24" t="s">
        <v>244</v>
      </c>
      <c r="E24">
        <v>0.1</v>
      </c>
      <c r="N24">
        <f t="shared" si="0"/>
        <v>0</v>
      </c>
    </row>
    <row r="25" spans="1:15">
      <c r="A25" t="s">
        <v>230</v>
      </c>
      <c r="E25">
        <f>SUM(E16:E24)</f>
        <v>61.05</v>
      </c>
      <c r="F25">
        <f t="shared" ref="F25:O25" si="1">SUM(F16:F24)</f>
        <v>5468000</v>
      </c>
      <c r="G25">
        <f t="shared" si="1"/>
        <v>0</v>
      </c>
      <c r="H25">
        <f t="shared" si="1"/>
        <v>248543</v>
      </c>
      <c r="I25">
        <f t="shared" si="1"/>
        <v>1597148</v>
      </c>
      <c r="J25">
        <f t="shared" si="1"/>
        <v>1553485</v>
      </c>
      <c r="K25">
        <f t="shared" si="1"/>
        <v>505732</v>
      </c>
      <c r="L25">
        <f t="shared" si="1"/>
        <v>635821</v>
      </c>
      <c r="N25">
        <f t="shared" si="1"/>
        <v>4540729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360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N42"/>
  <sheetViews>
    <sheetView zoomScale="70" zoomScaleNormal="70" workbookViewId="0">
      <selection activeCell="A3" sqref="A3:C3"/>
    </sheetView>
  </sheetViews>
  <sheetFormatPr defaultRowHeight="15"/>
  <cols>
    <col min="1" max="1" width="36.5703125" bestFit="1" customWidth="1"/>
    <col min="2" max="2" width="13.28515625" customWidth="1"/>
    <col min="3" max="3" width="12" customWidth="1"/>
    <col min="4" max="4" width="11.85546875" customWidth="1"/>
    <col min="5" max="5" width="12.42578125" customWidth="1"/>
    <col min="6" max="6" width="15" customWidth="1"/>
    <col min="7" max="7" width="12.85546875" customWidth="1"/>
    <col min="8" max="8" width="12.7109375" customWidth="1"/>
    <col min="9" max="9" width="14.28515625" customWidth="1"/>
    <col min="10" max="10" width="14.140625" bestFit="1" customWidth="1"/>
    <col min="11" max="11" width="10.42578125" customWidth="1"/>
    <col min="12" max="12" width="11.140625" customWidth="1"/>
    <col min="13" max="13" width="10.28515625" customWidth="1"/>
    <col min="14" max="14" width="11.5703125" customWidth="1"/>
    <col min="257" max="257" width="36.5703125" bestFit="1" customWidth="1"/>
    <col min="258" max="258" width="13.28515625" customWidth="1"/>
    <col min="259" max="259" width="12" customWidth="1"/>
    <col min="260" max="260" width="11.85546875" customWidth="1"/>
    <col min="261" max="261" width="12.42578125" customWidth="1"/>
    <col min="262" max="262" width="15" customWidth="1"/>
    <col min="263" max="263" width="12.85546875" customWidth="1"/>
    <col min="264" max="264" width="12.7109375" customWidth="1"/>
    <col min="265" max="265" width="14.28515625" customWidth="1"/>
    <col min="266" max="266" width="14.140625" bestFit="1" customWidth="1"/>
    <col min="267" max="267" width="10.42578125" customWidth="1"/>
    <col min="268" max="268" width="11.140625" customWidth="1"/>
    <col min="269" max="269" width="10.28515625" customWidth="1"/>
    <col min="270" max="270" width="11.5703125" customWidth="1"/>
    <col min="513" max="513" width="36.5703125" bestFit="1" customWidth="1"/>
    <col min="514" max="514" width="13.28515625" customWidth="1"/>
    <col min="515" max="515" width="12" customWidth="1"/>
    <col min="516" max="516" width="11.85546875" customWidth="1"/>
    <col min="517" max="517" width="12.42578125" customWidth="1"/>
    <col min="518" max="518" width="15" customWidth="1"/>
    <col min="519" max="519" width="12.85546875" customWidth="1"/>
    <col min="520" max="520" width="12.7109375" customWidth="1"/>
    <col min="521" max="521" width="14.28515625" customWidth="1"/>
    <col min="522" max="522" width="14.140625" bestFit="1" customWidth="1"/>
    <col min="523" max="523" width="10.42578125" customWidth="1"/>
    <col min="524" max="524" width="11.140625" customWidth="1"/>
    <col min="525" max="525" width="10.28515625" customWidth="1"/>
    <col min="526" max="526" width="11.5703125" customWidth="1"/>
    <col min="769" max="769" width="36.5703125" bestFit="1" customWidth="1"/>
    <col min="770" max="770" width="13.28515625" customWidth="1"/>
    <col min="771" max="771" width="12" customWidth="1"/>
    <col min="772" max="772" width="11.85546875" customWidth="1"/>
    <col min="773" max="773" width="12.42578125" customWidth="1"/>
    <col min="774" max="774" width="15" customWidth="1"/>
    <col min="775" max="775" width="12.85546875" customWidth="1"/>
    <col min="776" max="776" width="12.7109375" customWidth="1"/>
    <col min="777" max="777" width="14.28515625" customWidth="1"/>
    <col min="778" max="778" width="14.140625" bestFit="1" customWidth="1"/>
    <col min="779" max="779" width="10.42578125" customWidth="1"/>
    <col min="780" max="780" width="11.140625" customWidth="1"/>
    <col min="781" max="781" width="10.28515625" customWidth="1"/>
    <col min="782" max="782" width="11.5703125" customWidth="1"/>
    <col min="1025" max="1025" width="36.5703125" bestFit="1" customWidth="1"/>
    <col min="1026" max="1026" width="13.28515625" customWidth="1"/>
    <col min="1027" max="1027" width="12" customWidth="1"/>
    <col min="1028" max="1028" width="11.85546875" customWidth="1"/>
    <col min="1029" max="1029" width="12.42578125" customWidth="1"/>
    <col min="1030" max="1030" width="15" customWidth="1"/>
    <col min="1031" max="1031" width="12.85546875" customWidth="1"/>
    <col min="1032" max="1032" width="12.7109375" customWidth="1"/>
    <col min="1033" max="1033" width="14.28515625" customWidth="1"/>
    <col min="1034" max="1034" width="14.140625" bestFit="1" customWidth="1"/>
    <col min="1035" max="1035" width="10.42578125" customWidth="1"/>
    <col min="1036" max="1036" width="11.140625" customWidth="1"/>
    <col min="1037" max="1037" width="10.28515625" customWidth="1"/>
    <col min="1038" max="1038" width="11.5703125" customWidth="1"/>
    <col min="1281" max="1281" width="36.5703125" bestFit="1" customWidth="1"/>
    <col min="1282" max="1282" width="13.28515625" customWidth="1"/>
    <col min="1283" max="1283" width="12" customWidth="1"/>
    <col min="1284" max="1284" width="11.85546875" customWidth="1"/>
    <col min="1285" max="1285" width="12.42578125" customWidth="1"/>
    <col min="1286" max="1286" width="15" customWidth="1"/>
    <col min="1287" max="1287" width="12.85546875" customWidth="1"/>
    <col min="1288" max="1288" width="12.7109375" customWidth="1"/>
    <col min="1289" max="1289" width="14.28515625" customWidth="1"/>
    <col min="1290" max="1290" width="14.140625" bestFit="1" customWidth="1"/>
    <col min="1291" max="1291" width="10.42578125" customWidth="1"/>
    <col min="1292" max="1292" width="11.140625" customWidth="1"/>
    <col min="1293" max="1293" width="10.28515625" customWidth="1"/>
    <col min="1294" max="1294" width="11.5703125" customWidth="1"/>
    <col min="1537" max="1537" width="36.5703125" bestFit="1" customWidth="1"/>
    <col min="1538" max="1538" width="13.28515625" customWidth="1"/>
    <col min="1539" max="1539" width="12" customWidth="1"/>
    <col min="1540" max="1540" width="11.85546875" customWidth="1"/>
    <col min="1541" max="1541" width="12.42578125" customWidth="1"/>
    <col min="1542" max="1542" width="15" customWidth="1"/>
    <col min="1543" max="1543" width="12.85546875" customWidth="1"/>
    <col min="1544" max="1544" width="12.7109375" customWidth="1"/>
    <col min="1545" max="1545" width="14.28515625" customWidth="1"/>
    <col min="1546" max="1546" width="14.140625" bestFit="1" customWidth="1"/>
    <col min="1547" max="1547" width="10.42578125" customWidth="1"/>
    <col min="1548" max="1548" width="11.140625" customWidth="1"/>
    <col min="1549" max="1549" width="10.28515625" customWidth="1"/>
    <col min="1550" max="1550" width="11.5703125" customWidth="1"/>
    <col min="1793" max="1793" width="36.5703125" bestFit="1" customWidth="1"/>
    <col min="1794" max="1794" width="13.28515625" customWidth="1"/>
    <col min="1795" max="1795" width="12" customWidth="1"/>
    <col min="1796" max="1796" width="11.85546875" customWidth="1"/>
    <col min="1797" max="1797" width="12.42578125" customWidth="1"/>
    <col min="1798" max="1798" width="15" customWidth="1"/>
    <col min="1799" max="1799" width="12.85546875" customWidth="1"/>
    <col min="1800" max="1800" width="12.7109375" customWidth="1"/>
    <col min="1801" max="1801" width="14.28515625" customWidth="1"/>
    <col min="1802" max="1802" width="14.140625" bestFit="1" customWidth="1"/>
    <col min="1803" max="1803" width="10.42578125" customWidth="1"/>
    <col min="1804" max="1804" width="11.140625" customWidth="1"/>
    <col min="1805" max="1805" width="10.28515625" customWidth="1"/>
    <col min="1806" max="1806" width="11.5703125" customWidth="1"/>
    <col min="2049" max="2049" width="36.5703125" bestFit="1" customWidth="1"/>
    <col min="2050" max="2050" width="13.28515625" customWidth="1"/>
    <col min="2051" max="2051" width="12" customWidth="1"/>
    <col min="2052" max="2052" width="11.85546875" customWidth="1"/>
    <col min="2053" max="2053" width="12.42578125" customWidth="1"/>
    <col min="2054" max="2054" width="15" customWidth="1"/>
    <col min="2055" max="2055" width="12.85546875" customWidth="1"/>
    <col min="2056" max="2056" width="12.7109375" customWidth="1"/>
    <col min="2057" max="2057" width="14.28515625" customWidth="1"/>
    <col min="2058" max="2058" width="14.140625" bestFit="1" customWidth="1"/>
    <col min="2059" max="2059" width="10.42578125" customWidth="1"/>
    <col min="2060" max="2060" width="11.140625" customWidth="1"/>
    <col min="2061" max="2061" width="10.28515625" customWidth="1"/>
    <col min="2062" max="2062" width="11.5703125" customWidth="1"/>
    <col min="2305" max="2305" width="36.5703125" bestFit="1" customWidth="1"/>
    <col min="2306" max="2306" width="13.28515625" customWidth="1"/>
    <col min="2307" max="2307" width="12" customWidth="1"/>
    <col min="2308" max="2308" width="11.85546875" customWidth="1"/>
    <col min="2309" max="2309" width="12.42578125" customWidth="1"/>
    <col min="2310" max="2310" width="15" customWidth="1"/>
    <col min="2311" max="2311" width="12.85546875" customWidth="1"/>
    <col min="2312" max="2312" width="12.7109375" customWidth="1"/>
    <col min="2313" max="2313" width="14.28515625" customWidth="1"/>
    <col min="2314" max="2314" width="14.140625" bestFit="1" customWidth="1"/>
    <col min="2315" max="2315" width="10.42578125" customWidth="1"/>
    <col min="2316" max="2316" width="11.140625" customWidth="1"/>
    <col min="2317" max="2317" width="10.28515625" customWidth="1"/>
    <col min="2318" max="2318" width="11.5703125" customWidth="1"/>
    <col min="2561" max="2561" width="36.5703125" bestFit="1" customWidth="1"/>
    <col min="2562" max="2562" width="13.28515625" customWidth="1"/>
    <col min="2563" max="2563" width="12" customWidth="1"/>
    <col min="2564" max="2564" width="11.85546875" customWidth="1"/>
    <col min="2565" max="2565" width="12.42578125" customWidth="1"/>
    <col min="2566" max="2566" width="15" customWidth="1"/>
    <col min="2567" max="2567" width="12.85546875" customWidth="1"/>
    <col min="2568" max="2568" width="12.7109375" customWidth="1"/>
    <col min="2569" max="2569" width="14.28515625" customWidth="1"/>
    <col min="2570" max="2570" width="14.140625" bestFit="1" customWidth="1"/>
    <col min="2571" max="2571" width="10.42578125" customWidth="1"/>
    <col min="2572" max="2572" width="11.140625" customWidth="1"/>
    <col min="2573" max="2573" width="10.28515625" customWidth="1"/>
    <col min="2574" max="2574" width="11.5703125" customWidth="1"/>
    <col min="2817" max="2817" width="36.5703125" bestFit="1" customWidth="1"/>
    <col min="2818" max="2818" width="13.28515625" customWidth="1"/>
    <col min="2819" max="2819" width="12" customWidth="1"/>
    <col min="2820" max="2820" width="11.85546875" customWidth="1"/>
    <col min="2821" max="2821" width="12.42578125" customWidth="1"/>
    <col min="2822" max="2822" width="15" customWidth="1"/>
    <col min="2823" max="2823" width="12.85546875" customWidth="1"/>
    <col min="2824" max="2824" width="12.7109375" customWidth="1"/>
    <col min="2825" max="2825" width="14.28515625" customWidth="1"/>
    <col min="2826" max="2826" width="14.140625" bestFit="1" customWidth="1"/>
    <col min="2827" max="2827" width="10.42578125" customWidth="1"/>
    <col min="2828" max="2828" width="11.140625" customWidth="1"/>
    <col min="2829" max="2829" width="10.28515625" customWidth="1"/>
    <col min="2830" max="2830" width="11.5703125" customWidth="1"/>
    <col min="3073" max="3073" width="36.5703125" bestFit="1" customWidth="1"/>
    <col min="3074" max="3074" width="13.28515625" customWidth="1"/>
    <col min="3075" max="3075" width="12" customWidth="1"/>
    <col min="3076" max="3076" width="11.85546875" customWidth="1"/>
    <col min="3077" max="3077" width="12.42578125" customWidth="1"/>
    <col min="3078" max="3078" width="15" customWidth="1"/>
    <col min="3079" max="3079" width="12.85546875" customWidth="1"/>
    <col min="3080" max="3080" width="12.7109375" customWidth="1"/>
    <col min="3081" max="3081" width="14.28515625" customWidth="1"/>
    <col min="3082" max="3082" width="14.140625" bestFit="1" customWidth="1"/>
    <col min="3083" max="3083" width="10.42578125" customWidth="1"/>
    <col min="3084" max="3084" width="11.140625" customWidth="1"/>
    <col min="3085" max="3085" width="10.28515625" customWidth="1"/>
    <col min="3086" max="3086" width="11.5703125" customWidth="1"/>
    <col min="3329" max="3329" width="36.5703125" bestFit="1" customWidth="1"/>
    <col min="3330" max="3330" width="13.28515625" customWidth="1"/>
    <col min="3331" max="3331" width="12" customWidth="1"/>
    <col min="3332" max="3332" width="11.85546875" customWidth="1"/>
    <col min="3333" max="3333" width="12.42578125" customWidth="1"/>
    <col min="3334" max="3334" width="15" customWidth="1"/>
    <col min="3335" max="3335" width="12.85546875" customWidth="1"/>
    <col min="3336" max="3336" width="12.7109375" customWidth="1"/>
    <col min="3337" max="3337" width="14.28515625" customWidth="1"/>
    <col min="3338" max="3338" width="14.140625" bestFit="1" customWidth="1"/>
    <col min="3339" max="3339" width="10.42578125" customWidth="1"/>
    <col min="3340" max="3340" width="11.140625" customWidth="1"/>
    <col min="3341" max="3341" width="10.28515625" customWidth="1"/>
    <col min="3342" max="3342" width="11.5703125" customWidth="1"/>
    <col min="3585" max="3585" width="36.5703125" bestFit="1" customWidth="1"/>
    <col min="3586" max="3586" width="13.28515625" customWidth="1"/>
    <col min="3587" max="3587" width="12" customWidth="1"/>
    <col min="3588" max="3588" width="11.85546875" customWidth="1"/>
    <col min="3589" max="3589" width="12.42578125" customWidth="1"/>
    <col min="3590" max="3590" width="15" customWidth="1"/>
    <col min="3591" max="3591" width="12.85546875" customWidth="1"/>
    <col min="3592" max="3592" width="12.7109375" customWidth="1"/>
    <col min="3593" max="3593" width="14.28515625" customWidth="1"/>
    <col min="3594" max="3594" width="14.140625" bestFit="1" customWidth="1"/>
    <col min="3595" max="3595" width="10.42578125" customWidth="1"/>
    <col min="3596" max="3596" width="11.140625" customWidth="1"/>
    <col min="3597" max="3597" width="10.28515625" customWidth="1"/>
    <col min="3598" max="3598" width="11.5703125" customWidth="1"/>
    <col min="3841" max="3841" width="36.5703125" bestFit="1" customWidth="1"/>
    <col min="3842" max="3842" width="13.28515625" customWidth="1"/>
    <col min="3843" max="3843" width="12" customWidth="1"/>
    <col min="3844" max="3844" width="11.85546875" customWidth="1"/>
    <col min="3845" max="3845" width="12.42578125" customWidth="1"/>
    <col min="3846" max="3846" width="15" customWidth="1"/>
    <col min="3847" max="3847" width="12.85546875" customWidth="1"/>
    <col min="3848" max="3848" width="12.7109375" customWidth="1"/>
    <col min="3849" max="3849" width="14.28515625" customWidth="1"/>
    <col min="3850" max="3850" width="14.140625" bestFit="1" customWidth="1"/>
    <col min="3851" max="3851" width="10.42578125" customWidth="1"/>
    <col min="3852" max="3852" width="11.140625" customWidth="1"/>
    <col min="3853" max="3853" width="10.28515625" customWidth="1"/>
    <col min="3854" max="3854" width="11.5703125" customWidth="1"/>
    <col min="4097" max="4097" width="36.5703125" bestFit="1" customWidth="1"/>
    <col min="4098" max="4098" width="13.28515625" customWidth="1"/>
    <col min="4099" max="4099" width="12" customWidth="1"/>
    <col min="4100" max="4100" width="11.85546875" customWidth="1"/>
    <col min="4101" max="4101" width="12.42578125" customWidth="1"/>
    <col min="4102" max="4102" width="15" customWidth="1"/>
    <col min="4103" max="4103" width="12.85546875" customWidth="1"/>
    <col min="4104" max="4104" width="12.7109375" customWidth="1"/>
    <col min="4105" max="4105" width="14.28515625" customWidth="1"/>
    <col min="4106" max="4106" width="14.140625" bestFit="1" customWidth="1"/>
    <col min="4107" max="4107" width="10.42578125" customWidth="1"/>
    <col min="4108" max="4108" width="11.140625" customWidth="1"/>
    <col min="4109" max="4109" width="10.28515625" customWidth="1"/>
    <col min="4110" max="4110" width="11.5703125" customWidth="1"/>
    <col min="4353" max="4353" width="36.5703125" bestFit="1" customWidth="1"/>
    <col min="4354" max="4354" width="13.28515625" customWidth="1"/>
    <col min="4355" max="4355" width="12" customWidth="1"/>
    <col min="4356" max="4356" width="11.85546875" customWidth="1"/>
    <col min="4357" max="4357" width="12.42578125" customWidth="1"/>
    <col min="4358" max="4358" width="15" customWidth="1"/>
    <col min="4359" max="4359" width="12.85546875" customWidth="1"/>
    <col min="4360" max="4360" width="12.7109375" customWidth="1"/>
    <col min="4361" max="4361" width="14.28515625" customWidth="1"/>
    <col min="4362" max="4362" width="14.140625" bestFit="1" customWidth="1"/>
    <col min="4363" max="4363" width="10.42578125" customWidth="1"/>
    <col min="4364" max="4364" width="11.140625" customWidth="1"/>
    <col min="4365" max="4365" width="10.28515625" customWidth="1"/>
    <col min="4366" max="4366" width="11.5703125" customWidth="1"/>
    <col min="4609" max="4609" width="36.5703125" bestFit="1" customWidth="1"/>
    <col min="4610" max="4610" width="13.28515625" customWidth="1"/>
    <col min="4611" max="4611" width="12" customWidth="1"/>
    <col min="4612" max="4612" width="11.85546875" customWidth="1"/>
    <col min="4613" max="4613" width="12.42578125" customWidth="1"/>
    <col min="4614" max="4614" width="15" customWidth="1"/>
    <col min="4615" max="4615" width="12.85546875" customWidth="1"/>
    <col min="4616" max="4616" width="12.7109375" customWidth="1"/>
    <col min="4617" max="4617" width="14.28515625" customWidth="1"/>
    <col min="4618" max="4618" width="14.140625" bestFit="1" customWidth="1"/>
    <col min="4619" max="4619" width="10.42578125" customWidth="1"/>
    <col min="4620" max="4620" width="11.140625" customWidth="1"/>
    <col min="4621" max="4621" width="10.28515625" customWidth="1"/>
    <col min="4622" max="4622" width="11.5703125" customWidth="1"/>
    <col min="4865" max="4865" width="36.5703125" bestFit="1" customWidth="1"/>
    <col min="4866" max="4866" width="13.28515625" customWidth="1"/>
    <col min="4867" max="4867" width="12" customWidth="1"/>
    <col min="4868" max="4868" width="11.85546875" customWidth="1"/>
    <col min="4869" max="4869" width="12.42578125" customWidth="1"/>
    <col min="4870" max="4870" width="15" customWidth="1"/>
    <col min="4871" max="4871" width="12.85546875" customWidth="1"/>
    <col min="4872" max="4872" width="12.7109375" customWidth="1"/>
    <col min="4873" max="4873" width="14.28515625" customWidth="1"/>
    <col min="4874" max="4874" width="14.140625" bestFit="1" customWidth="1"/>
    <col min="4875" max="4875" width="10.42578125" customWidth="1"/>
    <col min="4876" max="4876" width="11.140625" customWidth="1"/>
    <col min="4877" max="4877" width="10.28515625" customWidth="1"/>
    <col min="4878" max="4878" width="11.5703125" customWidth="1"/>
    <col min="5121" max="5121" width="36.5703125" bestFit="1" customWidth="1"/>
    <col min="5122" max="5122" width="13.28515625" customWidth="1"/>
    <col min="5123" max="5123" width="12" customWidth="1"/>
    <col min="5124" max="5124" width="11.85546875" customWidth="1"/>
    <col min="5125" max="5125" width="12.42578125" customWidth="1"/>
    <col min="5126" max="5126" width="15" customWidth="1"/>
    <col min="5127" max="5127" width="12.85546875" customWidth="1"/>
    <col min="5128" max="5128" width="12.7109375" customWidth="1"/>
    <col min="5129" max="5129" width="14.28515625" customWidth="1"/>
    <col min="5130" max="5130" width="14.140625" bestFit="1" customWidth="1"/>
    <col min="5131" max="5131" width="10.42578125" customWidth="1"/>
    <col min="5132" max="5132" width="11.140625" customWidth="1"/>
    <col min="5133" max="5133" width="10.28515625" customWidth="1"/>
    <col min="5134" max="5134" width="11.5703125" customWidth="1"/>
    <col min="5377" max="5377" width="36.5703125" bestFit="1" customWidth="1"/>
    <col min="5378" max="5378" width="13.28515625" customWidth="1"/>
    <col min="5379" max="5379" width="12" customWidth="1"/>
    <col min="5380" max="5380" width="11.85546875" customWidth="1"/>
    <col min="5381" max="5381" width="12.42578125" customWidth="1"/>
    <col min="5382" max="5382" width="15" customWidth="1"/>
    <col min="5383" max="5383" width="12.85546875" customWidth="1"/>
    <col min="5384" max="5384" width="12.7109375" customWidth="1"/>
    <col min="5385" max="5385" width="14.28515625" customWidth="1"/>
    <col min="5386" max="5386" width="14.140625" bestFit="1" customWidth="1"/>
    <col min="5387" max="5387" width="10.42578125" customWidth="1"/>
    <col min="5388" max="5388" width="11.140625" customWidth="1"/>
    <col min="5389" max="5389" width="10.28515625" customWidth="1"/>
    <col min="5390" max="5390" width="11.5703125" customWidth="1"/>
    <col min="5633" max="5633" width="36.5703125" bestFit="1" customWidth="1"/>
    <col min="5634" max="5634" width="13.28515625" customWidth="1"/>
    <col min="5635" max="5635" width="12" customWidth="1"/>
    <col min="5636" max="5636" width="11.85546875" customWidth="1"/>
    <col min="5637" max="5637" width="12.42578125" customWidth="1"/>
    <col min="5638" max="5638" width="15" customWidth="1"/>
    <col min="5639" max="5639" width="12.85546875" customWidth="1"/>
    <col min="5640" max="5640" width="12.7109375" customWidth="1"/>
    <col min="5641" max="5641" width="14.28515625" customWidth="1"/>
    <col min="5642" max="5642" width="14.140625" bestFit="1" customWidth="1"/>
    <col min="5643" max="5643" width="10.42578125" customWidth="1"/>
    <col min="5644" max="5644" width="11.140625" customWidth="1"/>
    <col min="5645" max="5645" width="10.28515625" customWidth="1"/>
    <col min="5646" max="5646" width="11.5703125" customWidth="1"/>
    <col min="5889" max="5889" width="36.5703125" bestFit="1" customWidth="1"/>
    <col min="5890" max="5890" width="13.28515625" customWidth="1"/>
    <col min="5891" max="5891" width="12" customWidth="1"/>
    <col min="5892" max="5892" width="11.85546875" customWidth="1"/>
    <col min="5893" max="5893" width="12.42578125" customWidth="1"/>
    <col min="5894" max="5894" width="15" customWidth="1"/>
    <col min="5895" max="5895" width="12.85546875" customWidth="1"/>
    <col min="5896" max="5896" width="12.7109375" customWidth="1"/>
    <col min="5897" max="5897" width="14.28515625" customWidth="1"/>
    <col min="5898" max="5898" width="14.140625" bestFit="1" customWidth="1"/>
    <col min="5899" max="5899" width="10.42578125" customWidth="1"/>
    <col min="5900" max="5900" width="11.140625" customWidth="1"/>
    <col min="5901" max="5901" width="10.28515625" customWidth="1"/>
    <col min="5902" max="5902" width="11.5703125" customWidth="1"/>
    <col min="6145" max="6145" width="36.5703125" bestFit="1" customWidth="1"/>
    <col min="6146" max="6146" width="13.28515625" customWidth="1"/>
    <col min="6147" max="6147" width="12" customWidth="1"/>
    <col min="6148" max="6148" width="11.85546875" customWidth="1"/>
    <col min="6149" max="6149" width="12.42578125" customWidth="1"/>
    <col min="6150" max="6150" width="15" customWidth="1"/>
    <col min="6151" max="6151" width="12.85546875" customWidth="1"/>
    <col min="6152" max="6152" width="12.7109375" customWidth="1"/>
    <col min="6153" max="6153" width="14.28515625" customWidth="1"/>
    <col min="6154" max="6154" width="14.140625" bestFit="1" customWidth="1"/>
    <col min="6155" max="6155" width="10.42578125" customWidth="1"/>
    <col min="6156" max="6156" width="11.140625" customWidth="1"/>
    <col min="6157" max="6157" width="10.28515625" customWidth="1"/>
    <col min="6158" max="6158" width="11.5703125" customWidth="1"/>
    <col min="6401" max="6401" width="36.5703125" bestFit="1" customWidth="1"/>
    <col min="6402" max="6402" width="13.28515625" customWidth="1"/>
    <col min="6403" max="6403" width="12" customWidth="1"/>
    <col min="6404" max="6404" width="11.85546875" customWidth="1"/>
    <col min="6405" max="6405" width="12.42578125" customWidth="1"/>
    <col min="6406" max="6406" width="15" customWidth="1"/>
    <col min="6407" max="6407" width="12.85546875" customWidth="1"/>
    <col min="6408" max="6408" width="12.7109375" customWidth="1"/>
    <col min="6409" max="6409" width="14.28515625" customWidth="1"/>
    <col min="6410" max="6410" width="14.140625" bestFit="1" customWidth="1"/>
    <col min="6411" max="6411" width="10.42578125" customWidth="1"/>
    <col min="6412" max="6412" width="11.140625" customWidth="1"/>
    <col min="6413" max="6413" width="10.28515625" customWidth="1"/>
    <col min="6414" max="6414" width="11.5703125" customWidth="1"/>
    <col min="6657" max="6657" width="36.5703125" bestFit="1" customWidth="1"/>
    <col min="6658" max="6658" width="13.28515625" customWidth="1"/>
    <col min="6659" max="6659" width="12" customWidth="1"/>
    <col min="6660" max="6660" width="11.85546875" customWidth="1"/>
    <col min="6661" max="6661" width="12.42578125" customWidth="1"/>
    <col min="6662" max="6662" width="15" customWidth="1"/>
    <col min="6663" max="6663" width="12.85546875" customWidth="1"/>
    <col min="6664" max="6664" width="12.7109375" customWidth="1"/>
    <col min="6665" max="6665" width="14.28515625" customWidth="1"/>
    <col min="6666" max="6666" width="14.140625" bestFit="1" customWidth="1"/>
    <col min="6667" max="6667" width="10.42578125" customWidth="1"/>
    <col min="6668" max="6668" width="11.140625" customWidth="1"/>
    <col min="6669" max="6669" width="10.28515625" customWidth="1"/>
    <col min="6670" max="6670" width="11.5703125" customWidth="1"/>
    <col min="6913" max="6913" width="36.5703125" bestFit="1" customWidth="1"/>
    <col min="6914" max="6914" width="13.28515625" customWidth="1"/>
    <col min="6915" max="6915" width="12" customWidth="1"/>
    <col min="6916" max="6916" width="11.85546875" customWidth="1"/>
    <col min="6917" max="6917" width="12.42578125" customWidth="1"/>
    <col min="6918" max="6918" width="15" customWidth="1"/>
    <col min="6919" max="6919" width="12.85546875" customWidth="1"/>
    <col min="6920" max="6920" width="12.7109375" customWidth="1"/>
    <col min="6921" max="6921" width="14.28515625" customWidth="1"/>
    <col min="6922" max="6922" width="14.140625" bestFit="1" customWidth="1"/>
    <col min="6923" max="6923" width="10.42578125" customWidth="1"/>
    <col min="6924" max="6924" width="11.140625" customWidth="1"/>
    <col min="6925" max="6925" width="10.28515625" customWidth="1"/>
    <col min="6926" max="6926" width="11.5703125" customWidth="1"/>
    <col min="7169" max="7169" width="36.5703125" bestFit="1" customWidth="1"/>
    <col min="7170" max="7170" width="13.28515625" customWidth="1"/>
    <col min="7171" max="7171" width="12" customWidth="1"/>
    <col min="7172" max="7172" width="11.85546875" customWidth="1"/>
    <col min="7173" max="7173" width="12.42578125" customWidth="1"/>
    <col min="7174" max="7174" width="15" customWidth="1"/>
    <col min="7175" max="7175" width="12.85546875" customWidth="1"/>
    <col min="7176" max="7176" width="12.7109375" customWidth="1"/>
    <col min="7177" max="7177" width="14.28515625" customWidth="1"/>
    <col min="7178" max="7178" width="14.140625" bestFit="1" customWidth="1"/>
    <col min="7179" max="7179" width="10.42578125" customWidth="1"/>
    <col min="7180" max="7180" width="11.140625" customWidth="1"/>
    <col min="7181" max="7181" width="10.28515625" customWidth="1"/>
    <col min="7182" max="7182" width="11.5703125" customWidth="1"/>
    <col min="7425" max="7425" width="36.5703125" bestFit="1" customWidth="1"/>
    <col min="7426" max="7426" width="13.28515625" customWidth="1"/>
    <col min="7427" max="7427" width="12" customWidth="1"/>
    <col min="7428" max="7428" width="11.85546875" customWidth="1"/>
    <col min="7429" max="7429" width="12.42578125" customWidth="1"/>
    <col min="7430" max="7430" width="15" customWidth="1"/>
    <col min="7431" max="7431" width="12.85546875" customWidth="1"/>
    <col min="7432" max="7432" width="12.7109375" customWidth="1"/>
    <col min="7433" max="7433" width="14.28515625" customWidth="1"/>
    <col min="7434" max="7434" width="14.140625" bestFit="1" customWidth="1"/>
    <col min="7435" max="7435" width="10.42578125" customWidth="1"/>
    <col min="7436" max="7436" width="11.140625" customWidth="1"/>
    <col min="7437" max="7437" width="10.28515625" customWidth="1"/>
    <col min="7438" max="7438" width="11.5703125" customWidth="1"/>
    <col min="7681" max="7681" width="36.5703125" bestFit="1" customWidth="1"/>
    <col min="7682" max="7682" width="13.28515625" customWidth="1"/>
    <col min="7683" max="7683" width="12" customWidth="1"/>
    <col min="7684" max="7684" width="11.85546875" customWidth="1"/>
    <col min="7685" max="7685" width="12.42578125" customWidth="1"/>
    <col min="7686" max="7686" width="15" customWidth="1"/>
    <col min="7687" max="7687" width="12.85546875" customWidth="1"/>
    <col min="7688" max="7688" width="12.7109375" customWidth="1"/>
    <col min="7689" max="7689" width="14.28515625" customWidth="1"/>
    <col min="7690" max="7690" width="14.140625" bestFit="1" customWidth="1"/>
    <col min="7691" max="7691" width="10.42578125" customWidth="1"/>
    <col min="7692" max="7692" width="11.140625" customWidth="1"/>
    <col min="7693" max="7693" width="10.28515625" customWidth="1"/>
    <col min="7694" max="7694" width="11.5703125" customWidth="1"/>
    <col min="7937" max="7937" width="36.5703125" bestFit="1" customWidth="1"/>
    <col min="7938" max="7938" width="13.28515625" customWidth="1"/>
    <col min="7939" max="7939" width="12" customWidth="1"/>
    <col min="7940" max="7940" width="11.85546875" customWidth="1"/>
    <col min="7941" max="7941" width="12.42578125" customWidth="1"/>
    <col min="7942" max="7942" width="15" customWidth="1"/>
    <col min="7943" max="7943" width="12.85546875" customWidth="1"/>
    <col min="7944" max="7944" width="12.7109375" customWidth="1"/>
    <col min="7945" max="7945" width="14.28515625" customWidth="1"/>
    <col min="7946" max="7946" width="14.140625" bestFit="1" customWidth="1"/>
    <col min="7947" max="7947" width="10.42578125" customWidth="1"/>
    <col min="7948" max="7948" width="11.140625" customWidth="1"/>
    <col min="7949" max="7949" width="10.28515625" customWidth="1"/>
    <col min="7950" max="7950" width="11.5703125" customWidth="1"/>
    <col min="8193" max="8193" width="36.5703125" bestFit="1" customWidth="1"/>
    <col min="8194" max="8194" width="13.28515625" customWidth="1"/>
    <col min="8195" max="8195" width="12" customWidth="1"/>
    <col min="8196" max="8196" width="11.85546875" customWidth="1"/>
    <col min="8197" max="8197" width="12.42578125" customWidth="1"/>
    <col min="8198" max="8198" width="15" customWidth="1"/>
    <col min="8199" max="8199" width="12.85546875" customWidth="1"/>
    <col min="8200" max="8200" width="12.7109375" customWidth="1"/>
    <col min="8201" max="8201" width="14.28515625" customWidth="1"/>
    <col min="8202" max="8202" width="14.140625" bestFit="1" customWidth="1"/>
    <col min="8203" max="8203" width="10.42578125" customWidth="1"/>
    <col min="8204" max="8204" width="11.140625" customWidth="1"/>
    <col min="8205" max="8205" width="10.28515625" customWidth="1"/>
    <col min="8206" max="8206" width="11.5703125" customWidth="1"/>
    <col min="8449" max="8449" width="36.5703125" bestFit="1" customWidth="1"/>
    <col min="8450" max="8450" width="13.28515625" customWidth="1"/>
    <col min="8451" max="8451" width="12" customWidth="1"/>
    <col min="8452" max="8452" width="11.85546875" customWidth="1"/>
    <col min="8453" max="8453" width="12.42578125" customWidth="1"/>
    <col min="8454" max="8454" width="15" customWidth="1"/>
    <col min="8455" max="8455" width="12.85546875" customWidth="1"/>
    <col min="8456" max="8456" width="12.7109375" customWidth="1"/>
    <col min="8457" max="8457" width="14.28515625" customWidth="1"/>
    <col min="8458" max="8458" width="14.140625" bestFit="1" customWidth="1"/>
    <col min="8459" max="8459" width="10.42578125" customWidth="1"/>
    <col min="8460" max="8460" width="11.140625" customWidth="1"/>
    <col min="8461" max="8461" width="10.28515625" customWidth="1"/>
    <col min="8462" max="8462" width="11.5703125" customWidth="1"/>
    <col min="8705" max="8705" width="36.5703125" bestFit="1" customWidth="1"/>
    <col min="8706" max="8706" width="13.28515625" customWidth="1"/>
    <col min="8707" max="8707" width="12" customWidth="1"/>
    <col min="8708" max="8708" width="11.85546875" customWidth="1"/>
    <col min="8709" max="8709" width="12.42578125" customWidth="1"/>
    <col min="8710" max="8710" width="15" customWidth="1"/>
    <col min="8711" max="8711" width="12.85546875" customWidth="1"/>
    <col min="8712" max="8712" width="12.7109375" customWidth="1"/>
    <col min="8713" max="8713" width="14.28515625" customWidth="1"/>
    <col min="8714" max="8714" width="14.140625" bestFit="1" customWidth="1"/>
    <col min="8715" max="8715" width="10.42578125" customWidth="1"/>
    <col min="8716" max="8716" width="11.140625" customWidth="1"/>
    <col min="8717" max="8717" width="10.28515625" customWidth="1"/>
    <col min="8718" max="8718" width="11.5703125" customWidth="1"/>
    <col min="8961" max="8961" width="36.5703125" bestFit="1" customWidth="1"/>
    <col min="8962" max="8962" width="13.28515625" customWidth="1"/>
    <col min="8963" max="8963" width="12" customWidth="1"/>
    <col min="8964" max="8964" width="11.85546875" customWidth="1"/>
    <col min="8965" max="8965" width="12.42578125" customWidth="1"/>
    <col min="8966" max="8966" width="15" customWidth="1"/>
    <col min="8967" max="8967" width="12.85546875" customWidth="1"/>
    <col min="8968" max="8968" width="12.7109375" customWidth="1"/>
    <col min="8969" max="8969" width="14.28515625" customWidth="1"/>
    <col min="8970" max="8970" width="14.140625" bestFit="1" customWidth="1"/>
    <col min="8971" max="8971" width="10.42578125" customWidth="1"/>
    <col min="8972" max="8972" width="11.140625" customWidth="1"/>
    <col min="8973" max="8973" width="10.28515625" customWidth="1"/>
    <col min="8974" max="8974" width="11.5703125" customWidth="1"/>
    <col min="9217" max="9217" width="36.5703125" bestFit="1" customWidth="1"/>
    <col min="9218" max="9218" width="13.28515625" customWidth="1"/>
    <col min="9219" max="9219" width="12" customWidth="1"/>
    <col min="9220" max="9220" width="11.85546875" customWidth="1"/>
    <col min="9221" max="9221" width="12.42578125" customWidth="1"/>
    <col min="9222" max="9222" width="15" customWidth="1"/>
    <col min="9223" max="9223" width="12.85546875" customWidth="1"/>
    <col min="9224" max="9224" width="12.7109375" customWidth="1"/>
    <col min="9225" max="9225" width="14.28515625" customWidth="1"/>
    <col min="9226" max="9226" width="14.140625" bestFit="1" customWidth="1"/>
    <col min="9227" max="9227" width="10.42578125" customWidth="1"/>
    <col min="9228" max="9228" width="11.140625" customWidth="1"/>
    <col min="9229" max="9229" width="10.28515625" customWidth="1"/>
    <col min="9230" max="9230" width="11.5703125" customWidth="1"/>
    <col min="9473" max="9473" width="36.5703125" bestFit="1" customWidth="1"/>
    <col min="9474" max="9474" width="13.28515625" customWidth="1"/>
    <col min="9475" max="9475" width="12" customWidth="1"/>
    <col min="9476" max="9476" width="11.85546875" customWidth="1"/>
    <col min="9477" max="9477" width="12.42578125" customWidth="1"/>
    <col min="9478" max="9478" width="15" customWidth="1"/>
    <col min="9479" max="9479" width="12.85546875" customWidth="1"/>
    <col min="9480" max="9480" width="12.7109375" customWidth="1"/>
    <col min="9481" max="9481" width="14.28515625" customWidth="1"/>
    <col min="9482" max="9482" width="14.140625" bestFit="1" customWidth="1"/>
    <col min="9483" max="9483" width="10.42578125" customWidth="1"/>
    <col min="9484" max="9484" width="11.140625" customWidth="1"/>
    <col min="9485" max="9485" width="10.28515625" customWidth="1"/>
    <col min="9486" max="9486" width="11.5703125" customWidth="1"/>
    <col min="9729" max="9729" width="36.5703125" bestFit="1" customWidth="1"/>
    <col min="9730" max="9730" width="13.28515625" customWidth="1"/>
    <col min="9731" max="9731" width="12" customWidth="1"/>
    <col min="9732" max="9732" width="11.85546875" customWidth="1"/>
    <col min="9733" max="9733" width="12.42578125" customWidth="1"/>
    <col min="9734" max="9734" width="15" customWidth="1"/>
    <col min="9735" max="9735" width="12.85546875" customWidth="1"/>
    <col min="9736" max="9736" width="12.7109375" customWidth="1"/>
    <col min="9737" max="9737" width="14.28515625" customWidth="1"/>
    <col min="9738" max="9738" width="14.140625" bestFit="1" customWidth="1"/>
    <col min="9739" max="9739" width="10.42578125" customWidth="1"/>
    <col min="9740" max="9740" width="11.140625" customWidth="1"/>
    <col min="9741" max="9741" width="10.28515625" customWidth="1"/>
    <col min="9742" max="9742" width="11.5703125" customWidth="1"/>
    <col min="9985" max="9985" width="36.5703125" bestFit="1" customWidth="1"/>
    <col min="9986" max="9986" width="13.28515625" customWidth="1"/>
    <col min="9987" max="9987" width="12" customWidth="1"/>
    <col min="9988" max="9988" width="11.85546875" customWidth="1"/>
    <col min="9989" max="9989" width="12.42578125" customWidth="1"/>
    <col min="9990" max="9990" width="15" customWidth="1"/>
    <col min="9991" max="9991" width="12.85546875" customWidth="1"/>
    <col min="9992" max="9992" width="12.7109375" customWidth="1"/>
    <col min="9993" max="9993" width="14.28515625" customWidth="1"/>
    <col min="9994" max="9994" width="14.140625" bestFit="1" customWidth="1"/>
    <col min="9995" max="9995" width="10.42578125" customWidth="1"/>
    <col min="9996" max="9996" width="11.140625" customWidth="1"/>
    <col min="9997" max="9997" width="10.28515625" customWidth="1"/>
    <col min="9998" max="9998" width="11.5703125" customWidth="1"/>
    <col min="10241" max="10241" width="36.5703125" bestFit="1" customWidth="1"/>
    <col min="10242" max="10242" width="13.28515625" customWidth="1"/>
    <col min="10243" max="10243" width="12" customWidth="1"/>
    <col min="10244" max="10244" width="11.85546875" customWidth="1"/>
    <col min="10245" max="10245" width="12.42578125" customWidth="1"/>
    <col min="10246" max="10246" width="15" customWidth="1"/>
    <col min="10247" max="10247" width="12.85546875" customWidth="1"/>
    <col min="10248" max="10248" width="12.7109375" customWidth="1"/>
    <col min="10249" max="10249" width="14.28515625" customWidth="1"/>
    <col min="10250" max="10250" width="14.140625" bestFit="1" customWidth="1"/>
    <col min="10251" max="10251" width="10.42578125" customWidth="1"/>
    <col min="10252" max="10252" width="11.140625" customWidth="1"/>
    <col min="10253" max="10253" width="10.28515625" customWidth="1"/>
    <col min="10254" max="10254" width="11.5703125" customWidth="1"/>
    <col min="10497" max="10497" width="36.5703125" bestFit="1" customWidth="1"/>
    <col min="10498" max="10498" width="13.28515625" customWidth="1"/>
    <col min="10499" max="10499" width="12" customWidth="1"/>
    <col min="10500" max="10500" width="11.85546875" customWidth="1"/>
    <col min="10501" max="10501" width="12.42578125" customWidth="1"/>
    <col min="10502" max="10502" width="15" customWidth="1"/>
    <col min="10503" max="10503" width="12.85546875" customWidth="1"/>
    <col min="10504" max="10504" width="12.7109375" customWidth="1"/>
    <col min="10505" max="10505" width="14.28515625" customWidth="1"/>
    <col min="10506" max="10506" width="14.140625" bestFit="1" customWidth="1"/>
    <col min="10507" max="10507" width="10.42578125" customWidth="1"/>
    <col min="10508" max="10508" width="11.140625" customWidth="1"/>
    <col min="10509" max="10509" width="10.28515625" customWidth="1"/>
    <col min="10510" max="10510" width="11.5703125" customWidth="1"/>
    <col min="10753" max="10753" width="36.5703125" bestFit="1" customWidth="1"/>
    <col min="10754" max="10754" width="13.28515625" customWidth="1"/>
    <col min="10755" max="10755" width="12" customWidth="1"/>
    <col min="10756" max="10756" width="11.85546875" customWidth="1"/>
    <col min="10757" max="10757" width="12.42578125" customWidth="1"/>
    <col min="10758" max="10758" width="15" customWidth="1"/>
    <col min="10759" max="10759" width="12.85546875" customWidth="1"/>
    <col min="10760" max="10760" width="12.7109375" customWidth="1"/>
    <col min="10761" max="10761" width="14.28515625" customWidth="1"/>
    <col min="10762" max="10762" width="14.140625" bestFit="1" customWidth="1"/>
    <col min="10763" max="10763" width="10.42578125" customWidth="1"/>
    <col min="10764" max="10764" width="11.140625" customWidth="1"/>
    <col min="10765" max="10765" width="10.28515625" customWidth="1"/>
    <col min="10766" max="10766" width="11.5703125" customWidth="1"/>
    <col min="11009" max="11009" width="36.5703125" bestFit="1" customWidth="1"/>
    <col min="11010" max="11010" width="13.28515625" customWidth="1"/>
    <col min="11011" max="11011" width="12" customWidth="1"/>
    <col min="11012" max="11012" width="11.85546875" customWidth="1"/>
    <col min="11013" max="11013" width="12.42578125" customWidth="1"/>
    <col min="11014" max="11014" width="15" customWidth="1"/>
    <col min="11015" max="11015" width="12.85546875" customWidth="1"/>
    <col min="11016" max="11016" width="12.7109375" customWidth="1"/>
    <col min="11017" max="11017" width="14.28515625" customWidth="1"/>
    <col min="11018" max="11018" width="14.140625" bestFit="1" customWidth="1"/>
    <col min="11019" max="11019" width="10.42578125" customWidth="1"/>
    <col min="11020" max="11020" width="11.140625" customWidth="1"/>
    <col min="11021" max="11021" width="10.28515625" customWidth="1"/>
    <col min="11022" max="11022" width="11.5703125" customWidth="1"/>
    <col min="11265" max="11265" width="36.5703125" bestFit="1" customWidth="1"/>
    <col min="11266" max="11266" width="13.28515625" customWidth="1"/>
    <col min="11267" max="11267" width="12" customWidth="1"/>
    <col min="11268" max="11268" width="11.85546875" customWidth="1"/>
    <col min="11269" max="11269" width="12.42578125" customWidth="1"/>
    <col min="11270" max="11270" width="15" customWidth="1"/>
    <col min="11271" max="11271" width="12.85546875" customWidth="1"/>
    <col min="11272" max="11272" width="12.7109375" customWidth="1"/>
    <col min="11273" max="11273" width="14.28515625" customWidth="1"/>
    <col min="11274" max="11274" width="14.140625" bestFit="1" customWidth="1"/>
    <col min="11275" max="11275" width="10.42578125" customWidth="1"/>
    <col min="11276" max="11276" width="11.140625" customWidth="1"/>
    <col min="11277" max="11277" width="10.28515625" customWidth="1"/>
    <col min="11278" max="11278" width="11.5703125" customWidth="1"/>
    <col min="11521" max="11521" width="36.5703125" bestFit="1" customWidth="1"/>
    <col min="11522" max="11522" width="13.28515625" customWidth="1"/>
    <col min="11523" max="11523" width="12" customWidth="1"/>
    <col min="11524" max="11524" width="11.85546875" customWidth="1"/>
    <col min="11525" max="11525" width="12.42578125" customWidth="1"/>
    <col min="11526" max="11526" width="15" customWidth="1"/>
    <col min="11527" max="11527" width="12.85546875" customWidth="1"/>
    <col min="11528" max="11528" width="12.7109375" customWidth="1"/>
    <col min="11529" max="11529" width="14.28515625" customWidth="1"/>
    <col min="11530" max="11530" width="14.140625" bestFit="1" customWidth="1"/>
    <col min="11531" max="11531" width="10.42578125" customWidth="1"/>
    <col min="11532" max="11532" width="11.140625" customWidth="1"/>
    <col min="11533" max="11533" width="10.28515625" customWidth="1"/>
    <col min="11534" max="11534" width="11.5703125" customWidth="1"/>
    <col min="11777" max="11777" width="36.5703125" bestFit="1" customWidth="1"/>
    <col min="11778" max="11778" width="13.28515625" customWidth="1"/>
    <col min="11779" max="11779" width="12" customWidth="1"/>
    <col min="11780" max="11780" width="11.85546875" customWidth="1"/>
    <col min="11781" max="11781" width="12.42578125" customWidth="1"/>
    <col min="11782" max="11782" width="15" customWidth="1"/>
    <col min="11783" max="11783" width="12.85546875" customWidth="1"/>
    <col min="11784" max="11784" width="12.7109375" customWidth="1"/>
    <col min="11785" max="11785" width="14.28515625" customWidth="1"/>
    <col min="11786" max="11786" width="14.140625" bestFit="1" customWidth="1"/>
    <col min="11787" max="11787" width="10.42578125" customWidth="1"/>
    <col min="11788" max="11788" width="11.140625" customWidth="1"/>
    <col min="11789" max="11789" width="10.28515625" customWidth="1"/>
    <col min="11790" max="11790" width="11.5703125" customWidth="1"/>
    <col min="12033" max="12033" width="36.5703125" bestFit="1" customWidth="1"/>
    <col min="12034" max="12034" width="13.28515625" customWidth="1"/>
    <col min="12035" max="12035" width="12" customWidth="1"/>
    <col min="12036" max="12036" width="11.85546875" customWidth="1"/>
    <col min="12037" max="12037" width="12.42578125" customWidth="1"/>
    <col min="12038" max="12038" width="15" customWidth="1"/>
    <col min="12039" max="12039" width="12.85546875" customWidth="1"/>
    <col min="12040" max="12040" width="12.7109375" customWidth="1"/>
    <col min="12041" max="12041" width="14.28515625" customWidth="1"/>
    <col min="12042" max="12042" width="14.140625" bestFit="1" customWidth="1"/>
    <col min="12043" max="12043" width="10.42578125" customWidth="1"/>
    <col min="12044" max="12044" width="11.140625" customWidth="1"/>
    <col min="12045" max="12045" width="10.28515625" customWidth="1"/>
    <col min="12046" max="12046" width="11.5703125" customWidth="1"/>
    <col min="12289" max="12289" width="36.5703125" bestFit="1" customWidth="1"/>
    <col min="12290" max="12290" width="13.28515625" customWidth="1"/>
    <col min="12291" max="12291" width="12" customWidth="1"/>
    <col min="12292" max="12292" width="11.85546875" customWidth="1"/>
    <col min="12293" max="12293" width="12.42578125" customWidth="1"/>
    <col min="12294" max="12294" width="15" customWidth="1"/>
    <col min="12295" max="12295" width="12.85546875" customWidth="1"/>
    <col min="12296" max="12296" width="12.7109375" customWidth="1"/>
    <col min="12297" max="12297" width="14.28515625" customWidth="1"/>
    <col min="12298" max="12298" width="14.140625" bestFit="1" customWidth="1"/>
    <col min="12299" max="12299" width="10.42578125" customWidth="1"/>
    <col min="12300" max="12300" width="11.140625" customWidth="1"/>
    <col min="12301" max="12301" width="10.28515625" customWidth="1"/>
    <col min="12302" max="12302" width="11.5703125" customWidth="1"/>
    <col min="12545" max="12545" width="36.5703125" bestFit="1" customWidth="1"/>
    <col min="12546" max="12546" width="13.28515625" customWidth="1"/>
    <col min="12547" max="12547" width="12" customWidth="1"/>
    <col min="12548" max="12548" width="11.85546875" customWidth="1"/>
    <col min="12549" max="12549" width="12.42578125" customWidth="1"/>
    <col min="12550" max="12550" width="15" customWidth="1"/>
    <col min="12551" max="12551" width="12.85546875" customWidth="1"/>
    <col min="12552" max="12552" width="12.7109375" customWidth="1"/>
    <col min="12553" max="12553" width="14.28515625" customWidth="1"/>
    <col min="12554" max="12554" width="14.140625" bestFit="1" customWidth="1"/>
    <col min="12555" max="12555" width="10.42578125" customWidth="1"/>
    <col min="12556" max="12556" width="11.140625" customWidth="1"/>
    <col min="12557" max="12557" width="10.28515625" customWidth="1"/>
    <col min="12558" max="12558" width="11.5703125" customWidth="1"/>
    <col min="12801" max="12801" width="36.5703125" bestFit="1" customWidth="1"/>
    <col min="12802" max="12802" width="13.28515625" customWidth="1"/>
    <col min="12803" max="12803" width="12" customWidth="1"/>
    <col min="12804" max="12804" width="11.85546875" customWidth="1"/>
    <col min="12805" max="12805" width="12.42578125" customWidth="1"/>
    <col min="12806" max="12806" width="15" customWidth="1"/>
    <col min="12807" max="12807" width="12.85546875" customWidth="1"/>
    <col min="12808" max="12808" width="12.7109375" customWidth="1"/>
    <col min="12809" max="12809" width="14.28515625" customWidth="1"/>
    <col min="12810" max="12810" width="14.140625" bestFit="1" customWidth="1"/>
    <col min="12811" max="12811" width="10.42578125" customWidth="1"/>
    <col min="12812" max="12812" width="11.140625" customWidth="1"/>
    <col min="12813" max="12813" width="10.28515625" customWidth="1"/>
    <col min="12814" max="12814" width="11.5703125" customWidth="1"/>
    <col min="13057" max="13057" width="36.5703125" bestFit="1" customWidth="1"/>
    <col min="13058" max="13058" width="13.28515625" customWidth="1"/>
    <col min="13059" max="13059" width="12" customWidth="1"/>
    <col min="13060" max="13060" width="11.85546875" customWidth="1"/>
    <col min="13061" max="13061" width="12.42578125" customWidth="1"/>
    <col min="13062" max="13062" width="15" customWidth="1"/>
    <col min="13063" max="13063" width="12.85546875" customWidth="1"/>
    <col min="13064" max="13064" width="12.7109375" customWidth="1"/>
    <col min="13065" max="13065" width="14.28515625" customWidth="1"/>
    <col min="13066" max="13066" width="14.140625" bestFit="1" customWidth="1"/>
    <col min="13067" max="13067" width="10.42578125" customWidth="1"/>
    <col min="13068" max="13068" width="11.140625" customWidth="1"/>
    <col min="13069" max="13069" width="10.28515625" customWidth="1"/>
    <col min="13070" max="13070" width="11.5703125" customWidth="1"/>
    <col min="13313" max="13313" width="36.5703125" bestFit="1" customWidth="1"/>
    <col min="13314" max="13314" width="13.28515625" customWidth="1"/>
    <col min="13315" max="13315" width="12" customWidth="1"/>
    <col min="13316" max="13316" width="11.85546875" customWidth="1"/>
    <col min="13317" max="13317" width="12.42578125" customWidth="1"/>
    <col min="13318" max="13318" width="15" customWidth="1"/>
    <col min="13319" max="13319" width="12.85546875" customWidth="1"/>
    <col min="13320" max="13320" width="12.7109375" customWidth="1"/>
    <col min="13321" max="13321" width="14.28515625" customWidth="1"/>
    <col min="13322" max="13322" width="14.140625" bestFit="1" customWidth="1"/>
    <col min="13323" max="13323" width="10.42578125" customWidth="1"/>
    <col min="13324" max="13324" width="11.140625" customWidth="1"/>
    <col min="13325" max="13325" width="10.28515625" customWidth="1"/>
    <col min="13326" max="13326" width="11.5703125" customWidth="1"/>
    <col min="13569" max="13569" width="36.5703125" bestFit="1" customWidth="1"/>
    <col min="13570" max="13570" width="13.28515625" customWidth="1"/>
    <col min="13571" max="13571" width="12" customWidth="1"/>
    <col min="13572" max="13572" width="11.85546875" customWidth="1"/>
    <col min="13573" max="13573" width="12.42578125" customWidth="1"/>
    <col min="13574" max="13574" width="15" customWidth="1"/>
    <col min="13575" max="13575" width="12.85546875" customWidth="1"/>
    <col min="13576" max="13576" width="12.7109375" customWidth="1"/>
    <col min="13577" max="13577" width="14.28515625" customWidth="1"/>
    <col min="13578" max="13578" width="14.140625" bestFit="1" customWidth="1"/>
    <col min="13579" max="13579" width="10.42578125" customWidth="1"/>
    <col min="13580" max="13580" width="11.140625" customWidth="1"/>
    <col min="13581" max="13581" width="10.28515625" customWidth="1"/>
    <col min="13582" max="13582" width="11.5703125" customWidth="1"/>
    <col min="13825" max="13825" width="36.5703125" bestFit="1" customWidth="1"/>
    <col min="13826" max="13826" width="13.28515625" customWidth="1"/>
    <col min="13827" max="13827" width="12" customWidth="1"/>
    <col min="13828" max="13828" width="11.85546875" customWidth="1"/>
    <col min="13829" max="13829" width="12.42578125" customWidth="1"/>
    <col min="13830" max="13830" width="15" customWidth="1"/>
    <col min="13831" max="13831" width="12.85546875" customWidth="1"/>
    <col min="13832" max="13832" width="12.7109375" customWidth="1"/>
    <col min="13833" max="13833" width="14.28515625" customWidth="1"/>
    <col min="13834" max="13834" width="14.140625" bestFit="1" customWidth="1"/>
    <col min="13835" max="13835" width="10.42578125" customWidth="1"/>
    <col min="13836" max="13836" width="11.140625" customWidth="1"/>
    <col min="13837" max="13837" width="10.28515625" customWidth="1"/>
    <col min="13838" max="13838" width="11.5703125" customWidth="1"/>
    <col min="14081" max="14081" width="36.5703125" bestFit="1" customWidth="1"/>
    <col min="14082" max="14082" width="13.28515625" customWidth="1"/>
    <col min="14083" max="14083" width="12" customWidth="1"/>
    <col min="14084" max="14084" width="11.85546875" customWidth="1"/>
    <col min="14085" max="14085" width="12.42578125" customWidth="1"/>
    <col min="14086" max="14086" width="15" customWidth="1"/>
    <col min="14087" max="14087" width="12.85546875" customWidth="1"/>
    <col min="14088" max="14088" width="12.7109375" customWidth="1"/>
    <col min="14089" max="14089" width="14.28515625" customWidth="1"/>
    <col min="14090" max="14090" width="14.140625" bestFit="1" customWidth="1"/>
    <col min="14091" max="14091" width="10.42578125" customWidth="1"/>
    <col min="14092" max="14092" width="11.140625" customWidth="1"/>
    <col min="14093" max="14093" width="10.28515625" customWidth="1"/>
    <col min="14094" max="14094" width="11.5703125" customWidth="1"/>
    <col min="14337" max="14337" width="36.5703125" bestFit="1" customWidth="1"/>
    <col min="14338" max="14338" width="13.28515625" customWidth="1"/>
    <col min="14339" max="14339" width="12" customWidth="1"/>
    <col min="14340" max="14340" width="11.85546875" customWidth="1"/>
    <col min="14341" max="14341" width="12.42578125" customWidth="1"/>
    <col min="14342" max="14342" width="15" customWidth="1"/>
    <col min="14343" max="14343" width="12.85546875" customWidth="1"/>
    <col min="14344" max="14344" width="12.7109375" customWidth="1"/>
    <col min="14345" max="14345" width="14.28515625" customWidth="1"/>
    <col min="14346" max="14346" width="14.140625" bestFit="1" customWidth="1"/>
    <col min="14347" max="14347" width="10.42578125" customWidth="1"/>
    <col min="14348" max="14348" width="11.140625" customWidth="1"/>
    <col min="14349" max="14349" width="10.28515625" customWidth="1"/>
    <col min="14350" max="14350" width="11.5703125" customWidth="1"/>
    <col min="14593" max="14593" width="36.5703125" bestFit="1" customWidth="1"/>
    <col min="14594" max="14594" width="13.28515625" customWidth="1"/>
    <col min="14595" max="14595" width="12" customWidth="1"/>
    <col min="14596" max="14596" width="11.85546875" customWidth="1"/>
    <col min="14597" max="14597" width="12.42578125" customWidth="1"/>
    <col min="14598" max="14598" width="15" customWidth="1"/>
    <col min="14599" max="14599" width="12.85546875" customWidth="1"/>
    <col min="14600" max="14600" width="12.7109375" customWidth="1"/>
    <col min="14601" max="14601" width="14.28515625" customWidth="1"/>
    <col min="14602" max="14602" width="14.140625" bestFit="1" customWidth="1"/>
    <col min="14603" max="14603" width="10.42578125" customWidth="1"/>
    <col min="14604" max="14604" width="11.140625" customWidth="1"/>
    <col min="14605" max="14605" width="10.28515625" customWidth="1"/>
    <col min="14606" max="14606" width="11.5703125" customWidth="1"/>
    <col min="14849" max="14849" width="36.5703125" bestFit="1" customWidth="1"/>
    <col min="14850" max="14850" width="13.28515625" customWidth="1"/>
    <col min="14851" max="14851" width="12" customWidth="1"/>
    <col min="14852" max="14852" width="11.85546875" customWidth="1"/>
    <col min="14853" max="14853" width="12.42578125" customWidth="1"/>
    <col min="14854" max="14854" width="15" customWidth="1"/>
    <col min="14855" max="14855" width="12.85546875" customWidth="1"/>
    <col min="14856" max="14856" width="12.7109375" customWidth="1"/>
    <col min="14857" max="14857" width="14.28515625" customWidth="1"/>
    <col min="14858" max="14858" width="14.140625" bestFit="1" customWidth="1"/>
    <col min="14859" max="14859" width="10.42578125" customWidth="1"/>
    <col min="14860" max="14860" width="11.140625" customWidth="1"/>
    <col min="14861" max="14861" width="10.28515625" customWidth="1"/>
    <col min="14862" max="14862" width="11.5703125" customWidth="1"/>
    <col min="15105" max="15105" width="36.5703125" bestFit="1" customWidth="1"/>
    <col min="15106" max="15106" width="13.28515625" customWidth="1"/>
    <col min="15107" max="15107" width="12" customWidth="1"/>
    <col min="15108" max="15108" width="11.85546875" customWidth="1"/>
    <col min="15109" max="15109" width="12.42578125" customWidth="1"/>
    <col min="15110" max="15110" width="15" customWidth="1"/>
    <col min="15111" max="15111" width="12.85546875" customWidth="1"/>
    <col min="15112" max="15112" width="12.7109375" customWidth="1"/>
    <col min="15113" max="15113" width="14.28515625" customWidth="1"/>
    <col min="15114" max="15114" width="14.140625" bestFit="1" customWidth="1"/>
    <col min="15115" max="15115" width="10.42578125" customWidth="1"/>
    <col min="15116" max="15116" width="11.140625" customWidth="1"/>
    <col min="15117" max="15117" width="10.28515625" customWidth="1"/>
    <col min="15118" max="15118" width="11.5703125" customWidth="1"/>
    <col min="15361" max="15361" width="36.5703125" bestFit="1" customWidth="1"/>
    <col min="15362" max="15362" width="13.28515625" customWidth="1"/>
    <col min="15363" max="15363" width="12" customWidth="1"/>
    <col min="15364" max="15364" width="11.85546875" customWidth="1"/>
    <col min="15365" max="15365" width="12.42578125" customWidth="1"/>
    <col min="15366" max="15366" width="15" customWidth="1"/>
    <col min="15367" max="15367" width="12.85546875" customWidth="1"/>
    <col min="15368" max="15368" width="12.7109375" customWidth="1"/>
    <col min="15369" max="15369" width="14.28515625" customWidth="1"/>
    <col min="15370" max="15370" width="14.140625" bestFit="1" customWidth="1"/>
    <col min="15371" max="15371" width="10.42578125" customWidth="1"/>
    <col min="15372" max="15372" width="11.140625" customWidth="1"/>
    <col min="15373" max="15373" width="10.28515625" customWidth="1"/>
    <col min="15374" max="15374" width="11.5703125" customWidth="1"/>
    <col min="15617" max="15617" width="36.5703125" bestFit="1" customWidth="1"/>
    <col min="15618" max="15618" width="13.28515625" customWidth="1"/>
    <col min="15619" max="15619" width="12" customWidth="1"/>
    <col min="15620" max="15620" width="11.85546875" customWidth="1"/>
    <col min="15621" max="15621" width="12.42578125" customWidth="1"/>
    <col min="15622" max="15622" width="15" customWidth="1"/>
    <col min="15623" max="15623" width="12.85546875" customWidth="1"/>
    <col min="15624" max="15624" width="12.7109375" customWidth="1"/>
    <col min="15625" max="15625" width="14.28515625" customWidth="1"/>
    <col min="15626" max="15626" width="14.140625" bestFit="1" customWidth="1"/>
    <col min="15627" max="15627" width="10.42578125" customWidth="1"/>
    <col min="15628" max="15628" width="11.140625" customWidth="1"/>
    <col min="15629" max="15629" width="10.28515625" customWidth="1"/>
    <col min="15630" max="15630" width="11.5703125" customWidth="1"/>
    <col min="15873" max="15873" width="36.5703125" bestFit="1" customWidth="1"/>
    <col min="15874" max="15874" width="13.28515625" customWidth="1"/>
    <col min="15875" max="15875" width="12" customWidth="1"/>
    <col min="15876" max="15876" width="11.85546875" customWidth="1"/>
    <col min="15877" max="15877" width="12.42578125" customWidth="1"/>
    <col min="15878" max="15878" width="15" customWidth="1"/>
    <col min="15879" max="15879" width="12.85546875" customWidth="1"/>
    <col min="15880" max="15880" width="12.7109375" customWidth="1"/>
    <col min="15881" max="15881" width="14.28515625" customWidth="1"/>
    <col min="15882" max="15882" width="14.140625" bestFit="1" customWidth="1"/>
    <col min="15883" max="15883" width="10.42578125" customWidth="1"/>
    <col min="15884" max="15884" width="11.140625" customWidth="1"/>
    <col min="15885" max="15885" width="10.28515625" customWidth="1"/>
    <col min="15886" max="15886" width="11.5703125" customWidth="1"/>
    <col min="16129" max="16129" width="36.5703125" bestFit="1" customWidth="1"/>
    <col min="16130" max="16130" width="13.28515625" customWidth="1"/>
    <col min="16131" max="16131" width="12" customWidth="1"/>
    <col min="16132" max="16132" width="11.85546875" customWidth="1"/>
    <col min="16133" max="16133" width="12.42578125" customWidth="1"/>
    <col min="16134" max="16134" width="15" customWidth="1"/>
    <col min="16135" max="16135" width="12.85546875" customWidth="1"/>
    <col min="16136" max="16136" width="12.7109375" customWidth="1"/>
    <col min="16137" max="16137" width="14.28515625" customWidth="1"/>
    <col min="16138" max="16138" width="14.140625" bestFit="1" customWidth="1"/>
    <col min="16139" max="16139" width="10.42578125" customWidth="1"/>
    <col min="16140" max="16140" width="11.140625" customWidth="1"/>
    <col min="16141" max="16141" width="10.28515625" customWidth="1"/>
    <col min="16142" max="16142" width="11.5703125" customWidth="1"/>
  </cols>
  <sheetData>
    <row r="1" spans="1:14" ht="18">
      <c r="A1" s="1597" t="s">
        <v>167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</row>
    <row r="2" spans="1:14" ht="15.75">
      <c r="A2" s="1598" t="s">
        <v>168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</row>
    <row r="3" spans="1:14" ht="15.75">
      <c r="A3" s="808" t="s">
        <v>4176</v>
      </c>
      <c r="B3" s="808"/>
      <c r="C3" s="808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8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</row>
    <row r="5" spans="1:14" ht="21.75" customHeight="1">
      <c r="A5" s="326" t="s">
        <v>3214</v>
      </c>
      <c r="B5" s="1593" t="s">
        <v>3911</v>
      </c>
      <c r="C5" s="1594"/>
      <c r="D5" s="1594"/>
      <c r="E5" s="1595"/>
      <c r="F5" s="326" t="s">
        <v>171</v>
      </c>
      <c r="G5" s="326"/>
      <c r="H5" s="1651" t="s">
        <v>3910</v>
      </c>
      <c r="I5" s="1600"/>
      <c r="J5" s="326" t="s">
        <v>172</v>
      </c>
      <c r="K5" s="631">
        <v>500</v>
      </c>
      <c r="L5" s="326" t="s">
        <v>436</v>
      </c>
      <c r="M5" s="326"/>
      <c r="N5" s="631">
        <v>80</v>
      </c>
    </row>
    <row r="6" spans="1:14" ht="21.75" customHeight="1">
      <c r="A6" s="326"/>
      <c r="B6" s="637"/>
      <c r="C6" s="637"/>
      <c r="D6" s="637"/>
      <c r="E6" s="637"/>
      <c r="F6" s="326"/>
      <c r="G6" s="326"/>
      <c r="H6" s="326"/>
      <c r="I6" s="326"/>
      <c r="J6" s="326"/>
      <c r="K6" s="326"/>
      <c r="L6" s="326"/>
      <c r="M6" s="326"/>
      <c r="N6" s="326"/>
    </row>
    <row r="7" spans="1:14" ht="21.75" customHeight="1">
      <c r="A7" s="326" t="s">
        <v>174</v>
      </c>
      <c r="B7" s="1593" t="s">
        <v>3909</v>
      </c>
      <c r="C7" s="1594"/>
      <c r="D7" s="1594"/>
      <c r="E7" s="1595"/>
      <c r="F7" s="1596" t="s">
        <v>3208</v>
      </c>
      <c r="G7" s="1596"/>
      <c r="H7" s="1593" t="s">
        <v>3908</v>
      </c>
      <c r="I7" s="1594"/>
      <c r="J7" s="1595"/>
      <c r="K7" s="326"/>
      <c r="L7" s="326"/>
      <c r="M7" s="326"/>
      <c r="N7" s="326"/>
    </row>
    <row r="8" spans="1:14" ht="21.75" customHeight="1">
      <c r="A8" s="326"/>
      <c r="B8" s="637"/>
      <c r="C8" s="637"/>
      <c r="D8" s="637"/>
      <c r="E8" s="637"/>
      <c r="F8" s="628"/>
      <c r="G8" s="628"/>
      <c r="H8" s="637"/>
      <c r="I8" s="637"/>
      <c r="J8" s="637"/>
      <c r="K8" s="326"/>
      <c r="L8" s="326"/>
      <c r="M8" s="326"/>
      <c r="N8" s="326"/>
    </row>
    <row r="9" spans="1:14" ht="21.75" customHeight="1">
      <c r="A9" s="326" t="s">
        <v>178</v>
      </c>
      <c r="B9" s="1593" t="s">
        <v>3907</v>
      </c>
      <c r="C9" s="1594"/>
      <c r="D9" s="1594"/>
      <c r="E9" s="1595"/>
      <c r="F9" s="1601" t="s">
        <v>3205</v>
      </c>
      <c r="G9" s="1602"/>
      <c r="H9" s="1603" t="s">
        <v>3906</v>
      </c>
      <c r="I9" s="1604"/>
      <c r="J9" s="1604"/>
      <c r="K9" s="1605"/>
      <c r="L9" s="326"/>
      <c r="M9" s="326"/>
      <c r="N9" s="326"/>
    </row>
    <row r="10" spans="1:14">
      <c r="A10" s="326"/>
      <c r="B10" s="637"/>
      <c r="C10" s="637"/>
      <c r="D10" s="637"/>
      <c r="E10" s="637"/>
      <c r="F10" s="1601"/>
      <c r="G10" s="1602"/>
      <c r="H10" s="1606"/>
      <c r="I10" s="1607"/>
      <c r="J10" s="1607"/>
      <c r="K10" s="1608"/>
      <c r="L10" s="326"/>
      <c r="M10" s="326"/>
      <c r="N10" s="326"/>
    </row>
    <row r="11" spans="1:14">
      <c r="A11" s="326"/>
      <c r="B11" s="637"/>
      <c r="C11" s="637"/>
      <c r="D11" s="637"/>
      <c r="E11" s="637"/>
      <c r="F11" s="1601"/>
      <c r="G11" s="1602"/>
      <c r="H11" s="1609"/>
      <c r="I11" s="1610"/>
      <c r="J11" s="1610"/>
      <c r="K11" s="1611"/>
      <c r="L11" s="326"/>
      <c r="M11" s="326"/>
      <c r="N11" s="326"/>
    </row>
    <row r="12" spans="1:14">
      <c r="A12" s="326"/>
      <c r="B12" s="637"/>
      <c r="C12" s="637"/>
      <c r="D12" s="637"/>
      <c r="E12" s="637"/>
      <c r="F12" s="326"/>
      <c r="G12" s="326"/>
      <c r="H12" s="637"/>
      <c r="I12" s="637"/>
      <c r="J12" s="637"/>
      <c r="K12" s="637"/>
      <c r="L12" s="326"/>
      <c r="M12" s="326"/>
      <c r="N12" s="326"/>
    </row>
    <row r="13" spans="1:14" ht="31.5" customHeight="1">
      <c r="A13" s="631" t="s">
        <v>838</v>
      </c>
      <c r="B13" s="1612" t="s">
        <v>3905</v>
      </c>
      <c r="C13" s="1612"/>
      <c r="D13" s="1612" t="s">
        <v>3904</v>
      </c>
      <c r="E13" s="1612"/>
      <c r="F13" s="1612"/>
      <c r="G13" s="1612" t="s">
        <v>3903</v>
      </c>
      <c r="H13" s="1612"/>
      <c r="I13" s="1612"/>
      <c r="J13" s="1612"/>
      <c r="K13" s="1612"/>
      <c r="L13" s="1612"/>
      <c r="M13" s="1612"/>
      <c r="N13" s="326"/>
    </row>
    <row r="14" spans="1:14" ht="31.5" customHeight="1">
      <c r="A14" s="631" t="s">
        <v>187</v>
      </c>
      <c r="B14" s="1612" t="s">
        <v>3897</v>
      </c>
      <c r="C14" s="1612"/>
      <c r="D14" s="1612" t="s">
        <v>3902</v>
      </c>
      <c r="E14" s="1612"/>
      <c r="F14" s="1612"/>
      <c r="G14" s="1612" t="s">
        <v>3901</v>
      </c>
      <c r="H14" s="1612"/>
      <c r="I14" s="1612"/>
      <c r="J14" s="1612"/>
      <c r="K14" s="1612"/>
      <c r="L14" s="1612"/>
      <c r="M14" s="1612"/>
      <c r="N14" s="326"/>
    </row>
    <row r="15" spans="1:14" ht="31.5" customHeight="1">
      <c r="A15" s="631" t="s">
        <v>192</v>
      </c>
      <c r="B15" s="1612" t="s">
        <v>3900</v>
      </c>
      <c r="C15" s="1612"/>
      <c r="D15" s="1612" t="s">
        <v>3899</v>
      </c>
      <c r="E15" s="1612"/>
      <c r="F15" s="1612"/>
      <c r="G15" s="1612" t="s">
        <v>3898</v>
      </c>
      <c r="H15" s="1612"/>
      <c r="I15" s="1612"/>
      <c r="J15" s="1612"/>
      <c r="K15" s="1612"/>
      <c r="L15" s="1612"/>
      <c r="M15" s="1612"/>
      <c r="N15" s="326"/>
    </row>
    <row r="16" spans="1:14" ht="31.5" customHeight="1">
      <c r="A16" s="631" t="s">
        <v>197</v>
      </c>
      <c r="B16" s="1612" t="s">
        <v>3897</v>
      </c>
      <c r="C16" s="1612"/>
      <c r="D16" s="1612" t="s">
        <v>2438</v>
      </c>
      <c r="E16" s="1612"/>
      <c r="F16" s="1612"/>
      <c r="G16" s="1612" t="s">
        <v>2438</v>
      </c>
      <c r="H16" s="1612"/>
      <c r="I16" s="1612"/>
      <c r="J16" s="1612"/>
      <c r="K16" s="1612"/>
      <c r="L16" s="1612"/>
      <c r="M16" s="1612"/>
      <c r="N16" s="326"/>
    </row>
    <row r="17" spans="1:14" ht="17.25" customHeight="1">
      <c r="A17" s="326"/>
      <c r="B17" s="637"/>
      <c r="C17" s="637"/>
      <c r="D17" s="637"/>
      <c r="E17" s="637"/>
      <c r="F17" s="637"/>
      <c r="G17" s="637"/>
      <c r="H17" s="637"/>
      <c r="I17" s="637"/>
      <c r="J17" s="637"/>
      <c r="K17" s="637"/>
      <c r="L17" s="637"/>
      <c r="M17" s="637"/>
      <c r="N17" s="326"/>
    </row>
    <row r="18" spans="1:14" ht="19.5" customHeight="1">
      <c r="A18" s="326" t="s">
        <v>198</v>
      </c>
      <c r="B18" s="631">
        <v>3</v>
      </c>
      <c r="C18" s="326" t="s">
        <v>199</v>
      </c>
      <c r="D18" s="326"/>
      <c r="E18" s="326"/>
      <c r="F18" s="631">
        <v>2</v>
      </c>
      <c r="G18" s="326" t="s">
        <v>200</v>
      </c>
      <c r="H18" s="632">
        <v>7</v>
      </c>
      <c r="I18" s="326" t="s">
        <v>201</v>
      </c>
      <c r="J18" s="632">
        <v>2</v>
      </c>
      <c r="K18" s="326" t="s">
        <v>202</v>
      </c>
      <c r="L18" s="631">
        <v>5</v>
      </c>
      <c r="M18" s="326"/>
      <c r="N18" s="326"/>
    </row>
    <row r="19" spans="1:14" ht="15" customHeight="1">
      <c r="A19" s="326"/>
      <c r="B19" s="326"/>
      <c r="C19" s="326"/>
      <c r="D19" s="326"/>
      <c r="E19" s="326"/>
      <c r="F19" s="326"/>
      <c r="G19" s="326"/>
      <c r="H19" s="644"/>
      <c r="I19" s="644"/>
      <c r="J19" s="644"/>
      <c r="K19" s="637"/>
      <c r="L19" s="637"/>
      <c r="M19" s="637"/>
      <c r="N19" s="326"/>
    </row>
    <row r="20" spans="1:14">
      <c r="A20" s="326"/>
      <c r="C20" s="326"/>
      <c r="D20" s="326"/>
      <c r="E20" s="326"/>
      <c r="G20" s="326"/>
      <c r="I20" s="326"/>
      <c r="J20" s="326"/>
      <c r="K20" s="326"/>
      <c r="L20" s="326"/>
      <c r="M20" s="326"/>
      <c r="N20" s="326"/>
    </row>
    <row r="21" spans="1:14" ht="21.75" customHeight="1">
      <c r="A21" s="326" t="s">
        <v>203</v>
      </c>
      <c r="B21" s="326" t="s">
        <v>204</v>
      </c>
      <c r="C21" s="631">
        <v>57</v>
      </c>
      <c r="D21" s="326" t="s">
        <v>205</v>
      </c>
      <c r="E21" s="631">
        <v>4</v>
      </c>
      <c r="F21" s="326" t="s">
        <v>206</v>
      </c>
      <c r="G21" s="80">
        <v>0</v>
      </c>
      <c r="H21" s="326" t="s">
        <v>230</v>
      </c>
      <c r="I21" s="631">
        <v>61</v>
      </c>
      <c r="J21" s="326" t="s">
        <v>207</v>
      </c>
      <c r="K21" s="631">
        <v>0</v>
      </c>
      <c r="L21" s="326" t="s">
        <v>3187</v>
      </c>
      <c r="M21" s="326"/>
      <c r="N21" s="631">
        <v>6</v>
      </c>
    </row>
    <row r="22" spans="1:14" ht="21.75" customHeight="1">
      <c r="A22" s="326" t="s">
        <v>209</v>
      </c>
      <c r="B22" s="326" t="s">
        <v>210</v>
      </c>
      <c r="C22" s="631">
        <v>173</v>
      </c>
      <c r="D22" s="326" t="s">
        <v>211</v>
      </c>
      <c r="E22" s="631">
        <v>10</v>
      </c>
      <c r="F22" s="326" t="s">
        <v>212</v>
      </c>
      <c r="G22" s="80">
        <v>0</v>
      </c>
      <c r="H22" s="326" t="s">
        <v>411</v>
      </c>
      <c r="I22" s="631">
        <v>183</v>
      </c>
      <c r="J22" s="326"/>
      <c r="K22" s="326"/>
      <c r="L22" s="326"/>
      <c r="M22" s="326"/>
      <c r="N22" s="326"/>
    </row>
    <row r="23" spans="1:14" ht="21.75" customHeight="1">
      <c r="A23" s="326"/>
      <c r="B23" s="326" t="s">
        <v>213</v>
      </c>
      <c r="C23" s="631">
        <v>134</v>
      </c>
      <c r="D23" s="326" t="s">
        <v>214</v>
      </c>
      <c r="E23" s="631">
        <v>9</v>
      </c>
      <c r="F23" s="326" t="s">
        <v>215</v>
      </c>
      <c r="G23" s="80">
        <v>0</v>
      </c>
      <c r="H23" s="326" t="s">
        <v>410</v>
      </c>
      <c r="I23" s="631">
        <v>143</v>
      </c>
      <c r="J23" s="326"/>
      <c r="K23" s="326"/>
      <c r="L23" s="326"/>
      <c r="M23" s="326"/>
      <c r="N23" s="326"/>
    </row>
    <row r="24" spans="1:14">
      <c r="A24" s="326"/>
      <c r="B24" s="326"/>
      <c r="C24" s="326"/>
      <c r="D24" s="326"/>
      <c r="E24" s="326"/>
      <c r="F24" s="326"/>
      <c r="G24" s="326"/>
      <c r="H24" s="326"/>
      <c r="I24" s="295"/>
      <c r="J24" s="326"/>
      <c r="K24" s="326"/>
      <c r="L24" s="326"/>
      <c r="M24" s="326"/>
      <c r="N24" s="326"/>
    </row>
    <row r="25" spans="1:14">
      <c r="A25" s="327" t="s">
        <v>216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</row>
    <row r="26" spans="1:14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</row>
    <row r="27" spans="1:14" ht="18.75" customHeight="1">
      <c r="A27" s="1615" t="s">
        <v>217</v>
      </c>
      <c r="B27" s="1616" t="s">
        <v>218</v>
      </c>
      <c r="C27" s="1616" t="s">
        <v>219</v>
      </c>
      <c r="D27" s="1616" t="s">
        <v>1363</v>
      </c>
      <c r="E27" s="1616" t="s">
        <v>653</v>
      </c>
      <c r="F27" s="1593" t="s">
        <v>5677</v>
      </c>
      <c r="G27" s="1594"/>
      <c r="H27" s="1594"/>
      <c r="I27" s="1594"/>
      <c r="J27" s="1594"/>
      <c r="K27" s="1594"/>
      <c r="L27" s="1594"/>
      <c r="M27" s="1594"/>
      <c r="N27" s="1595"/>
    </row>
    <row r="28" spans="1:14" ht="18.75" customHeight="1">
      <c r="A28" s="1615"/>
      <c r="B28" s="1616"/>
      <c r="C28" s="1616"/>
      <c r="D28" s="1616"/>
      <c r="E28" s="1616"/>
      <c r="F28" s="325" t="s">
        <v>3186</v>
      </c>
      <c r="G28" s="623" t="s">
        <v>3185</v>
      </c>
      <c r="H28" s="623">
        <v>3</v>
      </c>
      <c r="I28" s="623">
        <f>H28+1</f>
        <v>4</v>
      </c>
      <c r="J28" s="623">
        <f>I28+1</f>
        <v>5</v>
      </c>
      <c r="K28" s="623">
        <f>J28+1</f>
        <v>6</v>
      </c>
      <c r="L28" s="623">
        <f>K28+1</f>
        <v>7</v>
      </c>
      <c r="M28" s="623" t="s">
        <v>230</v>
      </c>
      <c r="N28" s="623" t="s">
        <v>231</v>
      </c>
    </row>
    <row r="29" spans="1:14" ht="18.75" customHeight="1">
      <c r="A29" s="322" t="s">
        <v>232</v>
      </c>
      <c r="B29" s="322">
        <v>8000</v>
      </c>
      <c r="C29" s="322" t="s">
        <v>233</v>
      </c>
      <c r="D29" s="323">
        <f>B29*$K$5/100000</f>
        <v>40</v>
      </c>
      <c r="E29" s="322">
        <v>663700</v>
      </c>
      <c r="F29" s="322">
        <v>0</v>
      </c>
      <c r="G29" s="335">
        <v>163700</v>
      </c>
      <c r="H29" s="322">
        <v>0</v>
      </c>
      <c r="I29" s="322"/>
      <c r="J29" s="322"/>
      <c r="K29" s="322"/>
      <c r="L29" s="322"/>
      <c r="M29" s="322">
        <f t="shared" ref="M29:M38" si="0">SUM(F29:L29)</f>
        <v>163700</v>
      </c>
      <c r="N29" s="323">
        <f>+M29/E29%</f>
        <v>24.664758173873739</v>
      </c>
    </row>
    <row r="30" spans="1:14" ht="18.75" customHeight="1">
      <c r="A30" s="322" t="s">
        <v>234</v>
      </c>
      <c r="B30" s="322">
        <v>7000</v>
      </c>
      <c r="C30" s="322" t="s">
        <v>233</v>
      </c>
      <c r="D30" s="323">
        <f>B30*N5/100000</f>
        <v>5.6</v>
      </c>
      <c r="E30" s="322"/>
      <c r="F30" s="322">
        <v>0</v>
      </c>
      <c r="G30" s="335">
        <v>0</v>
      </c>
      <c r="H30" s="322">
        <v>0</v>
      </c>
      <c r="I30" s="322"/>
      <c r="J30" s="322"/>
      <c r="K30" s="322"/>
      <c r="L30" s="322"/>
      <c r="M30" s="322">
        <f t="shared" si="0"/>
        <v>0</v>
      </c>
      <c r="N30" s="323">
        <v>0</v>
      </c>
    </row>
    <row r="31" spans="1:14" ht="18.75" customHeight="1">
      <c r="A31" s="322" t="s">
        <v>235</v>
      </c>
      <c r="B31" s="322">
        <v>43000</v>
      </c>
      <c r="C31" s="322" t="s">
        <v>236</v>
      </c>
      <c r="D31" s="323">
        <f>B31/100000</f>
        <v>0.43</v>
      </c>
      <c r="E31" s="322">
        <v>18000</v>
      </c>
      <c r="F31" s="322">
        <v>0</v>
      </c>
      <c r="G31" s="335">
        <v>18000</v>
      </c>
      <c r="H31" s="322">
        <v>0</v>
      </c>
      <c r="I31" s="322"/>
      <c r="J31" s="322"/>
      <c r="K31" s="322"/>
      <c r="L31" s="322"/>
      <c r="M31" s="322">
        <f t="shared" si="0"/>
        <v>18000</v>
      </c>
      <c r="N31" s="323">
        <f>+M31/E31%</f>
        <v>100</v>
      </c>
    </row>
    <row r="32" spans="1:14" ht="18.75" customHeight="1">
      <c r="A32" s="322" t="s">
        <v>237</v>
      </c>
      <c r="B32" s="322">
        <v>37000</v>
      </c>
      <c r="C32" s="322" t="s">
        <v>236</v>
      </c>
      <c r="D32" s="323">
        <f>B32/100000</f>
        <v>0.37</v>
      </c>
      <c r="E32" s="322">
        <v>16000</v>
      </c>
      <c r="F32" s="322">
        <v>0</v>
      </c>
      <c r="G32" s="335">
        <v>16000</v>
      </c>
      <c r="H32" s="322">
        <v>0</v>
      </c>
      <c r="I32" s="322"/>
      <c r="J32" s="322"/>
      <c r="K32" s="322"/>
      <c r="L32" s="322"/>
      <c r="M32" s="322">
        <f t="shared" si="0"/>
        <v>16000</v>
      </c>
      <c r="N32" s="323">
        <f>+M32/E32%</f>
        <v>100</v>
      </c>
    </row>
    <row r="33" spans="1:14" ht="18.75" customHeight="1">
      <c r="A33" s="322" t="s">
        <v>238</v>
      </c>
      <c r="B33" s="322">
        <v>1200</v>
      </c>
      <c r="C33" s="322" t="s">
        <v>233</v>
      </c>
      <c r="D33" s="323">
        <f>B33*$K$5/100000</f>
        <v>6</v>
      </c>
      <c r="E33" s="322">
        <v>200000</v>
      </c>
      <c r="F33" s="322">
        <v>0</v>
      </c>
      <c r="G33" s="335">
        <v>126078</v>
      </c>
      <c r="H33" s="322">
        <v>0</v>
      </c>
      <c r="I33" s="322"/>
      <c r="J33" s="322"/>
      <c r="K33" s="322"/>
      <c r="L33" s="322"/>
      <c r="M33" s="322">
        <f t="shared" si="0"/>
        <v>126078</v>
      </c>
      <c r="N33" s="323">
        <f>+M33/E33%</f>
        <v>63.039000000000001</v>
      </c>
    </row>
    <row r="34" spans="1:14" ht="18.75" customHeight="1">
      <c r="A34" s="322" t="s">
        <v>667</v>
      </c>
      <c r="B34" s="322">
        <v>565</v>
      </c>
      <c r="C34" s="322" t="s">
        <v>233</v>
      </c>
      <c r="D34" s="323">
        <f>B34*$K$5/100000</f>
        <v>2.8250000000000002</v>
      </c>
      <c r="E34" s="322">
        <v>150000</v>
      </c>
      <c r="F34" s="322">
        <v>0</v>
      </c>
      <c r="G34" s="335">
        <v>27500</v>
      </c>
      <c r="H34" s="322"/>
      <c r="I34" s="322"/>
      <c r="J34" s="322"/>
      <c r="K34" s="322"/>
      <c r="L34" s="322"/>
      <c r="M34" s="322">
        <f t="shared" si="0"/>
        <v>27500</v>
      </c>
      <c r="N34" s="323">
        <f>+M34/E34%</f>
        <v>18.333333333333332</v>
      </c>
    </row>
    <row r="35" spans="1:14" ht="18.75" customHeight="1">
      <c r="A35" s="322" t="s">
        <v>240</v>
      </c>
      <c r="B35" s="322">
        <v>1000</v>
      </c>
      <c r="C35" s="322" t="s">
        <v>233</v>
      </c>
      <c r="D35" s="323">
        <f>B35*$K$5/100000</f>
        <v>5</v>
      </c>
      <c r="E35" s="322"/>
      <c r="F35" s="322">
        <v>0</v>
      </c>
      <c r="G35" s="335">
        <v>0</v>
      </c>
      <c r="H35" s="322">
        <v>0</v>
      </c>
      <c r="I35" s="322"/>
      <c r="J35" s="322"/>
      <c r="K35" s="322"/>
      <c r="L35" s="322"/>
      <c r="M35" s="322">
        <f t="shared" si="0"/>
        <v>0</v>
      </c>
      <c r="N35" s="323">
        <v>0</v>
      </c>
    </row>
    <row r="36" spans="1:14" ht="18.75" customHeight="1">
      <c r="A36" s="322" t="s">
        <v>394</v>
      </c>
      <c r="B36" s="322">
        <v>2750</v>
      </c>
      <c r="C36" s="322" t="s">
        <v>242</v>
      </c>
      <c r="D36" s="323">
        <f>B36*12*7/100000</f>
        <v>2.31</v>
      </c>
      <c r="E36" s="322">
        <v>30250</v>
      </c>
      <c r="F36" s="322">
        <v>0</v>
      </c>
      <c r="G36" s="335">
        <v>22000</v>
      </c>
      <c r="H36" s="322">
        <v>0</v>
      </c>
      <c r="I36" s="322"/>
      <c r="J36" s="322"/>
      <c r="K36" s="322"/>
      <c r="L36" s="322"/>
      <c r="M36" s="322">
        <f t="shared" si="0"/>
        <v>22000</v>
      </c>
      <c r="N36" s="323">
        <f>+M36/E36%</f>
        <v>72.727272727272734</v>
      </c>
    </row>
    <row r="37" spans="1:14" ht="18.75" customHeight="1">
      <c r="A37" s="324" t="s">
        <v>670</v>
      </c>
      <c r="B37" s="322">
        <v>10000</v>
      </c>
      <c r="C37" s="324" t="s">
        <v>244</v>
      </c>
      <c r="D37" s="323">
        <f>B37/100000</f>
        <v>0.1</v>
      </c>
      <c r="E37" s="338">
        <v>0</v>
      </c>
      <c r="F37" s="322">
        <v>0</v>
      </c>
      <c r="G37" s="335">
        <v>0</v>
      </c>
      <c r="H37" s="322">
        <v>0</v>
      </c>
      <c r="I37" s="322"/>
      <c r="J37" s="322"/>
      <c r="K37" s="322"/>
      <c r="L37" s="322"/>
      <c r="M37" s="322">
        <f t="shared" si="0"/>
        <v>0</v>
      </c>
      <c r="N37" s="323">
        <v>0</v>
      </c>
    </row>
    <row r="38" spans="1:14" ht="18.75" customHeight="1">
      <c r="A38" s="631" t="s">
        <v>245</v>
      </c>
      <c r="B38" s="322"/>
      <c r="C38" s="322"/>
      <c r="D38" s="321">
        <f t="shared" ref="D38:L38" si="1">SUM(D29:D37)</f>
        <v>62.635000000000005</v>
      </c>
      <c r="E38" s="321">
        <f t="shared" si="1"/>
        <v>1077950</v>
      </c>
      <c r="F38" s="321">
        <f t="shared" si="1"/>
        <v>0</v>
      </c>
      <c r="G38" s="321">
        <f t="shared" si="1"/>
        <v>373278</v>
      </c>
      <c r="H38" s="321">
        <f t="shared" si="1"/>
        <v>0</v>
      </c>
      <c r="I38" s="321">
        <f t="shared" si="1"/>
        <v>0</v>
      </c>
      <c r="J38" s="321">
        <f t="shared" si="1"/>
        <v>0</v>
      </c>
      <c r="K38" s="321">
        <f t="shared" si="1"/>
        <v>0</v>
      </c>
      <c r="L38" s="321">
        <f t="shared" si="1"/>
        <v>0</v>
      </c>
      <c r="M38" s="631">
        <f t="shared" si="0"/>
        <v>373278</v>
      </c>
      <c r="N38" s="334">
        <f>+M38/E38%</f>
        <v>34.628507815761402</v>
      </c>
    </row>
    <row r="40" spans="1:14">
      <c r="A40" t="s">
        <v>5678</v>
      </c>
      <c r="D40" t="s">
        <v>5679</v>
      </c>
    </row>
    <row r="42" spans="1:14">
      <c r="A42" s="320" t="s">
        <v>5680</v>
      </c>
      <c r="B42" s="320"/>
      <c r="C42" s="320"/>
      <c r="D42" s="320" t="s">
        <v>5681</v>
      </c>
    </row>
  </sheetData>
  <mergeCells count="33">
    <mergeCell ref="B16:C16"/>
    <mergeCell ref="D16:F16"/>
    <mergeCell ref="G16:I16"/>
    <mergeCell ref="J16:M16"/>
    <mergeCell ref="A27:A28"/>
    <mergeCell ref="B27:B28"/>
    <mergeCell ref="C27:C28"/>
    <mergeCell ref="D27:D28"/>
    <mergeCell ref="E27:E28"/>
    <mergeCell ref="F27:N27"/>
    <mergeCell ref="B14:C14"/>
    <mergeCell ref="D14:F14"/>
    <mergeCell ref="G14:I14"/>
    <mergeCell ref="J14:M14"/>
    <mergeCell ref="B15:C15"/>
    <mergeCell ref="D15:F15"/>
    <mergeCell ref="G15:I15"/>
    <mergeCell ref="J15:M15"/>
    <mergeCell ref="B9:E9"/>
    <mergeCell ref="F9:G11"/>
    <mergeCell ref="H9:K11"/>
    <mergeCell ref="B13:C13"/>
    <mergeCell ref="D13:F13"/>
    <mergeCell ref="G13:I13"/>
    <mergeCell ref="J13:M13"/>
    <mergeCell ref="B7:E7"/>
    <mergeCell ref="F7:G7"/>
    <mergeCell ref="H7:J7"/>
    <mergeCell ref="A1:N1"/>
    <mergeCell ref="A2:N2"/>
    <mergeCell ref="A3:C3"/>
    <mergeCell ref="B5:E5"/>
    <mergeCell ref="H5:I5"/>
  </mergeCells>
  <hyperlinks>
    <hyperlink ref="A3" location="'Fact Sheet of VDC'!A1" display="&lt;&lt;Back"/>
  </hyperlinks>
  <printOptions horizontalCentered="1" verticalCentered="1"/>
  <pageMargins left="0.23622047244094491" right="0.15748031496062992" top="0.31" bottom="0.27" header="0.39" footer="0.31496062992125984"/>
  <pageSetup paperSize="9" scale="7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5"/>
  <sheetViews>
    <sheetView workbookViewId="0">
      <selection activeCell="K2" sqref="K2:M2"/>
    </sheetView>
  </sheetViews>
  <sheetFormatPr defaultRowHeight="15"/>
  <sheetData>
    <row r="1" spans="1:15">
      <c r="A1" t="s">
        <v>608</v>
      </c>
    </row>
    <row r="2" spans="1:15">
      <c r="A2" t="s">
        <v>609</v>
      </c>
      <c r="B2" t="s">
        <v>818</v>
      </c>
      <c r="C2" t="s">
        <v>611</v>
      </c>
      <c r="D2" t="s">
        <v>5733</v>
      </c>
      <c r="F2" t="s">
        <v>612</v>
      </c>
      <c r="G2">
        <v>217</v>
      </c>
      <c r="H2" t="s">
        <v>613</v>
      </c>
      <c r="I2">
        <v>80</v>
      </c>
      <c r="K2" s="808" t="s">
        <v>4176</v>
      </c>
      <c r="L2" s="808"/>
      <c r="M2" s="808"/>
    </row>
    <row r="3" spans="1:15">
      <c r="A3" t="s">
        <v>614</v>
      </c>
      <c r="B3" t="s">
        <v>819</v>
      </c>
      <c r="E3" t="s">
        <v>616</v>
      </c>
      <c r="G3" t="s">
        <v>820</v>
      </c>
    </row>
    <row r="4" spans="1:15">
      <c r="A4" t="s">
        <v>618</v>
      </c>
      <c r="G4" t="s">
        <v>620</v>
      </c>
    </row>
    <row r="5" spans="1:15">
      <c r="A5" t="s">
        <v>622</v>
      </c>
      <c r="B5" t="s">
        <v>821</v>
      </c>
      <c r="E5" t="s">
        <v>822</v>
      </c>
    </row>
    <row r="6" spans="1:15">
      <c r="A6" t="s">
        <v>628</v>
      </c>
      <c r="B6" t="s">
        <v>823</v>
      </c>
      <c r="E6" t="s">
        <v>824</v>
      </c>
    </row>
    <row r="7" spans="1:15">
      <c r="A7" t="s">
        <v>634</v>
      </c>
      <c r="B7" t="s">
        <v>825</v>
      </c>
    </row>
    <row r="8" spans="1:15">
      <c r="A8" t="s">
        <v>639</v>
      </c>
    </row>
    <row r="9" spans="1:15">
      <c r="A9" t="s">
        <v>641</v>
      </c>
      <c r="B9">
        <v>2</v>
      </c>
      <c r="C9" t="s">
        <v>642</v>
      </c>
      <c r="D9">
        <v>2</v>
      </c>
      <c r="E9" t="s">
        <v>643</v>
      </c>
      <c r="F9">
        <v>5</v>
      </c>
      <c r="G9" t="s">
        <v>644</v>
      </c>
      <c r="H9">
        <v>1</v>
      </c>
      <c r="I9" t="s">
        <v>645</v>
      </c>
      <c r="J9">
        <v>4</v>
      </c>
    </row>
    <row r="10" spans="1:15">
      <c r="A10" t="s">
        <v>646</v>
      </c>
      <c r="B10" t="s">
        <v>204</v>
      </c>
      <c r="C10">
        <v>16</v>
      </c>
      <c r="D10" t="s">
        <v>205</v>
      </c>
      <c r="E10">
        <v>23</v>
      </c>
      <c r="F10" t="s">
        <v>206</v>
      </c>
      <c r="G10">
        <v>29</v>
      </c>
      <c r="H10" t="s">
        <v>230</v>
      </c>
      <c r="I10">
        <v>68</v>
      </c>
      <c r="J10" t="s">
        <v>647</v>
      </c>
      <c r="K10">
        <v>26</v>
      </c>
      <c r="L10" t="s">
        <v>648</v>
      </c>
      <c r="M10">
        <v>32</v>
      </c>
    </row>
    <row r="11" spans="1:15">
      <c r="A11" t="s">
        <v>209</v>
      </c>
      <c r="B11" t="s">
        <v>210</v>
      </c>
      <c r="C11">
        <v>37</v>
      </c>
      <c r="D11" t="s">
        <v>649</v>
      </c>
      <c r="E11">
        <v>57</v>
      </c>
      <c r="F11" t="s">
        <v>212</v>
      </c>
      <c r="G11">
        <v>69</v>
      </c>
      <c r="H11" t="s">
        <v>411</v>
      </c>
      <c r="I11">
        <v>163</v>
      </c>
    </row>
    <row r="12" spans="1:15">
      <c r="B12" t="s">
        <v>213</v>
      </c>
      <c r="C12">
        <v>40</v>
      </c>
      <c r="D12" t="s">
        <v>650</v>
      </c>
      <c r="E12">
        <v>59</v>
      </c>
      <c r="F12" t="s">
        <v>215</v>
      </c>
      <c r="G12">
        <v>60</v>
      </c>
      <c r="H12" t="s">
        <v>410</v>
      </c>
      <c r="I12">
        <v>159</v>
      </c>
    </row>
    <row r="13" spans="1:15">
      <c r="A13" t="s">
        <v>216</v>
      </c>
    </row>
    <row r="14" spans="1:15">
      <c r="A14" t="s">
        <v>217</v>
      </c>
      <c r="C14" t="s">
        <v>651</v>
      </c>
      <c r="D14" t="s">
        <v>219</v>
      </c>
      <c r="E14" t="s">
        <v>652</v>
      </c>
      <c r="F14" t="s">
        <v>653</v>
      </c>
      <c r="G14" t="s">
        <v>654</v>
      </c>
    </row>
    <row r="15" spans="1:15">
      <c r="G15" t="s">
        <v>655</v>
      </c>
      <c r="H15" t="s">
        <v>656</v>
      </c>
      <c r="I15" t="s">
        <v>657</v>
      </c>
      <c r="J15" t="s">
        <v>658</v>
      </c>
      <c r="K15" t="s">
        <v>659</v>
      </c>
      <c r="L15" t="s">
        <v>660</v>
      </c>
      <c r="M15" t="s">
        <v>661</v>
      </c>
      <c r="N15" t="s">
        <v>230</v>
      </c>
      <c r="O15" t="s">
        <v>662</v>
      </c>
    </row>
    <row r="16" spans="1:15">
      <c r="A16" t="s">
        <v>663</v>
      </c>
      <c r="C16">
        <v>8000</v>
      </c>
      <c r="D16" t="s">
        <v>664</v>
      </c>
      <c r="E16">
        <v>17.36</v>
      </c>
      <c r="F16">
        <v>1000000</v>
      </c>
      <c r="G16">
        <v>0</v>
      </c>
      <c r="H16">
        <v>67238</v>
      </c>
      <c r="I16">
        <v>504794</v>
      </c>
      <c r="J16">
        <v>287026</v>
      </c>
      <c r="K16">
        <v>0</v>
      </c>
      <c r="L16">
        <v>0</v>
      </c>
      <c r="N16">
        <f>G16+H16+I16+J16+K16+L16+M16</f>
        <v>859058</v>
      </c>
    </row>
    <row r="17" spans="1:15">
      <c r="A17" t="s">
        <v>665</v>
      </c>
      <c r="C17">
        <v>7000</v>
      </c>
      <c r="D17" t="s">
        <v>664</v>
      </c>
      <c r="E17">
        <v>5.6</v>
      </c>
      <c r="F17">
        <v>400000</v>
      </c>
      <c r="G17">
        <v>0</v>
      </c>
      <c r="H17">
        <v>10846</v>
      </c>
      <c r="I17">
        <v>109785</v>
      </c>
      <c r="J17">
        <v>0</v>
      </c>
      <c r="K17">
        <v>37311</v>
      </c>
      <c r="L17">
        <v>198568</v>
      </c>
      <c r="N17">
        <f t="shared" ref="N17:N23" si="0">G17+H17+I17+J17+K17+L17+M17</f>
        <v>356510</v>
      </c>
    </row>
    <row r="18" spans="1:15">
      <c r="A18" t="s">
        <v>235</v>
      </c>
      <c r="C18">
        <v>86</v>
      </c>
      <c r="D18" t="s">
        <v>664</v>
      </c>
      <c r="E18">
        <v>0.19</v>
      </c>
      <c r="F18">
        <v>25400</v>
      </c>
      <c r="G18">
        <v>0</v>
      </c>
      <c r="H18">
        <v>0</v>
      </c>
      <c r="I18">
        <v>0</v>
      </c>
      <c r="J18">
        <v>2285</v>
      </c>
      <c r="K18">
        <v>1500</v>
      </c>
      <c r="L18">
        <v>18000</v>
      </c>
      <c r="N18">
        <f t="shared" si="0"/>
        <v>21785</v>
      </c>
    </row>
    <row r="19" spans="1:15">
      <c r="A19" t="s">
        <v>666</v>
      </c>
      <c r="C19">
        <v>68</v>
      </c>
      <c r="D19" t="s">
        <v>664</v>
      </c>
      <c r="E19">
        <v>0.15</v>
      </c>
      <c r="F19">
        <v>23330</v>
      </c>
      <c r="G19">
        <v>0</v>
      </c>
      <c r="H19">
        <v>0</v>
      </c>
      <c r="I19">
        <v>0</v>
      </c>
      <c r="J19">
        <v>12630</v>
      </c>
      <c r="K19">
        <v>14437</v>
      </c>
      <c r="L19">
        <v>0</v>
      </c>
      <c r="N19">
        <f t="shared" si="0"/>
        <v>27067</v>
      </c>
    </row>
    <row r="20" spans="1:15">
      <c r="A20" t="s">
        <v>238</v>
      </c>
      <c r="C20">
        <v>1200</v>
      </c>
      <c r="D20" t="s">
        <v>664</v>
      </c>
      <c r="E20">
        <v>2.6</v>
      </c>
      <c r="F20">
        <v>60000</v>
      </c>
      <c r="G20">
        <v>0</v>
      </c>
      <c r="H20">
        <v>0</v>
      </c>
      <c r="I20">
        <v>0</v>
      </c>
      <c r="J20">
        <v>0</v>
      </c>
      <c r="K20">
        <v>50000</v>
      </c>
      <c r="L20">
        <v>125000</v>
      </c>
      <c r="N20">
        <f t="shared" si="0"/>
        <v>175000</v>
      </c>
    </row>
    <row r="21" spans="1:15">
      <c r="A21" t="s">
        <v>667</v>
      </c>
      <c r="C21">
        <v>565</v>
      </c>
      <c r="D21" t="s">
        <v>664</v>
      </c>
      <c r="E21">
        <v>0.85</v>
      </c>
      <c r="F21">
        <v>62500</v>
      </c>
      <c r="G21">
        <v>0</v>
      </c>
      <c r="H21">
        <v>0</v>
      </c>
      <c r="I21">
        <v>0</v>
      </c>
      <c r="J21">
        <v>0</v>
      </c>
      <c r="K21">
        <v>62500</v>
      </c>
      <c r="L21">
        <v>0</v>
      </c>
      <c r="N21">
        <f t="shared" si="0"/>
        <v>62500</v>
      </c>
    </row>
    <row r="22" spans="1:15">
      <c r="A22" t="s">
        <v>668</v>
      </c>
      <c r="C22">
        <v>1000</v>
      </c>
      <c r="D22" t="s">
        <v>664</v>
      </c>
      <c r="E22">
        <v>2.17</v>
      </c>
      <c r="F22">
        <v>217000</v>
      </c>
      <c r="G22">
        <v>0</v>
      </c>
      <c r="H22">
        <v>0</v>
      </c>
      <c r="I22">
        <v>0</v>
      </c>
      <c r="J22">
        <v>0</v>
      </c>
      <c r="K22">
        <v>0</v>
      </c>
      <c r="L22">
        <v>40000</v>
      </c>
      <c r="N22">
        <f t="shared" si="0"/>
        <v>40000</v>
      </c>
    </row>
    <row r="23" spans="1:15">
      <c r="A23" t="s">
        <v>669</v>
      </c>
      <c r="C23">
        <v>2750</v>
      </c>
      <c r="D23" t="s">
        <v>242</v>
      </c>
      <c r="E23">
        <v>2.31</v>
      </c>
      <c r="F23">
        <v>0.99</v>
      </c>
      <c r="G23">
        <v>0</v>
      </c>
      <c r="H23">
        <v>33382</v>
      </c>
      <c r="I23">
        <v>16315</v>
      </c>
      <c r="J23">
        <v>10112</v>
      </c>
      <c r="K23">
        <v>0</v>
      </c>
      <c r="L23">
        <v>0</v>
      </c>
      <c r="N23">
        <f t="shared" si="0"/>
        <v>59809</v>
      </c>
    </row>
    <row r="24" spans="1:15">
      <c r="A24" t="s">
        <v>670</v>
      </c>
      <c r="C24">
        <v>10000</v>
      </c>
      <c r="D24" t="s">
        <v>244</v>
      </c>
      <c r="E24">
        <v>0.1</v>
      </c>
    </row>
    <row r="25" spans="1:15">
      <c r="A25" t="s">
        <v>230</v>
      </c>
      <c r="E25">
        <f>SUM(E16:E24)</f>
        <v>31.330000000000002</v>
      </c>
      <c r="F25">
        <f t="shared" ref="F25:O25" si="1">SUM(F16:F24)</f>
        <v>1788230.99</v>
      </c>
      <c r="G25">
        <f t="shared" si="1"/>
        <v>0</v>
      </c>
      <c r="H25">
        <f t="shared" si="1"/>
        <v>111466</v>
      </c>
      <c r="I25">
        <f t="shared" si="1"/>
        <v>630894</v>
      </c>
      <c r="J25">
        <f t="shared" si="1"/>
        <v>312053</v>
      </c>
      <c r="K25">
        <f t="shared" si="1"/>
        <v>165748</v>
      </c>
      <c r="L25">
        <f t="shared" si="1"/>
        <v>381568</v>
      </c>
      <c r="M25">
        <f t="shared" si="1"/>
        <v>0</v>
      </c>
      <c r="N25">
        <f t="shared" si="1"/>
        <v>1601729</v>
      </c>
      <c r="O25">
        <f t="shared" si="1"/>
        <v>0</v>
      </c>
    </row>
  </sheetData>
  <mergeCells count="1">
    <mergeCell ref="K2:M2"/>
  </mergeCells>
  <hyperlinks>
    <hyperlink ref="K2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94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3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3913</v>
      </c>
      <c r="E4" t="s">
        <v>3914</v>
      </c>
      <c r="G4" t="s">
        <v>3915</v>
      </c>
      <c r="J4" t="s">
        <v>2456</v>
      </c>
      <c r="K4">
        <v>685</v>
      </c>
      <c r="L4" t="s">
        <v>173</v>
      </c>
      <c r="N4">
        <v>80</v>
      </c>
    </row>
    <row r="6" spans="1:14">
      <c r="A6" t="s">
        <v>174</v>
      </c>
      <c r="B6" t="s">
        <v>5734</v>
      </c>
      <c r="E6" t="s">
        <v>176</v>
      </c>
      <c r="G6" t="s">
        <v>5735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3918</v>
      </c>
      <c r="D12" t="s">
        <v>3919</v>
      </c>
    </row>
    <row r="13" spans="1:14">
      <c r="A13" t="s">
        <v>187</v>
      </c>
      <c r="B13" t="s">
        <v>3920</v>
      </c>
      <c r="C13" t="s">
        <v>3921</v>
      </c>
      <c r="D13" t="s">
        <v>3922</v>
      </c>
      <c r="E13" t="s">
        <v>3921</v>
      </c>
    </row>
    <row r="14" spans="1:14">
      <c r="B14" t="s">
        <v>3923</v>
      </c>
      <c r="C14" t="s">
        <v>3924</v>
      </c>
      <c r="D14" t="s">
        <v>3925</v>
      </c>
      <c r="E14" t="s">
        <v>3924</v>
      </c>
    </row>
    <row r="15" spans="1:14">
      <c r="A15" t="s">
        <v>192</v>
      </c>
      <c r="B15" t="s">
        <v>3926</v>
      </c>
      <c r="C15" t="s">
        <v>3927</v>
      </c>
    </row>
    <row r="16" spans="1:14">
      <c r="B16" t="s">
        <v>3928</v>
      </c>
      <c r="C16" t="s">
        <v>3929</v>
      </c>
    </row>
    <row r="17" spans="1:14">
      <c r="B17" t="s">
        <v>3930</v>
      </c>
      <c r="C17" t="s">
        <v>3931</v>
      </c>
    </row>
    <row r="18" spans="1:14">
      <c r="B18" t="s">
        <v>3932</v>
      </c>
      <c r="C18" t="s">
        <v>3933</v>
      </c>
    </row>
    <row r="19" spans="1:14">
      <c r="B19" t="s">
        <v>3934</v>
      </c>
      <c r="C19" t="s">
        <v>3935</v>
      </c>
    </row>
    <row r="20" spans="1:14">
      <c r="A20" t="s">
        <v>197</v>
      </c>
    </row>
    <row r="22" spans="1:14">
      <c r="A22" t="s">
        <v>3936</v>
      </c>
      <c r="B22">
        <v>2</v>
      </c>
      <c r="C22" t="s">
        <v>199</v>
      </c>
      <c r="F22">
        <v>2</v>
      </c>
      <c r="G22" t="s">
        <v>200</v>
      </c>
      <c r="H22">
        <v>9</v>
      </c>
      <c r="I22" t="s">
        <v>201</v>
      </c>
      <c r="J22">
        <v>0</v>
      </c>
      <c r="K22" t="s">
        <v>202</v>
      </c>
      <c r="L22">
        <v>18</v>
      </c>
    </row>
    <row r="25" spans="1:14">
      <c r="A25" t="s">
        <v>203</v>
      </c>
      <c r="B25" t="s">
        <v>204</v>
      </c>
      <c r="C25">
        <v>104</v>
      </c>
      <c r="D25" t="s">
        <v>205</v>
      </c>
      <c r="E25">
        <v>56</v>
      </c>
      <c r="F25" t="s">
        <v>206</v>
      </c>
      <c r="G25">
        <v>20</v>
      </c>
      <c r="H25" t="s">
        <v>230</v>
      </c>
      <c r="I25">
        <f>G25+E25+C25</f>
        <v>180</v>
      </c>
      <c r="J25" t="s">
        <v>207</v>
      </c>
      <c r="K25">
        <v>45</v>
      </c>
      <c r="L25" t="s">
        <v>3187</v>
      </c>
      <c r="N25">
        <v>23</v>
      </c>
    </row>
    <row r="26" spans="1:14">
      <c r="A26" t="s">
        <v>1029</v>
      </c>
      <c r="B26" t="s">
        <v>210</v>
      </c>
      <c r="C26">
        <v>243</v>
      </c>
      <c r="D26" t="s">
        <v>211</v>
      </c>
      <c r="E26">
        <v>132</v>
      </c>
      <c r="F26" t="s">
        <v>212</v>
      </c>
      <c r="G26">
        <v>38</v>
      </c>
      <c r="H26" t="s">
        <v>411</v>
      </c>
      <c r="I26">
        <f>G26+E26+C26</f>
        <v>413</v>
      </c>
    </row>
    <row r="27" spans="1:14">
      <c r="B27" t="s">
        <v>213</v>
      </c>
      <c r="C27">
        <v>245</v>
      </c>
      <c r="D27" t="s">
        <v>214</v>
      </c>
      <c r="E27">
        <v>134</v>
      </c>
      <c r="F27" t="s">
        <v>215</v>
      </c>
      <c r="G27">
        <v>39</v>
      </c>
      <c r="H27" t="s">
        <v>410</v>
      </c>
      <c r="I27">
        <f>G27+E27+C27</f>
        <v>418</v>
      </c>
    </row>
    <row r="29" spans="1:14">
      <c r="A29" t="s">
        <v>216</v>
      </c>
    </row>
    <row r="31" spans="1:14">
      <c r="A31" t="s">
        <v>217</v>
      </c>
      <c r="B31" t="s">
        <v>3937</v>
      </c>
      <c r="C31" t="s">
        <v>219</v>
      </c>
      <c r="D31" t="s">
        <v>1363</v>
      </c>
      <c r="E31" t="s">
        <v>1713</v>
      </c>
      <c r="F31" t="s">
        <v>222</v>
      </c>
    </row>
    <row r="32" spans="1:14">
      <c r="F32" t="s">
        <v>1181</v>
      </c>
      <c r="G32" t="s">
        <v>1180</v>
      </c>
      <c r="H32" t="s">
        <v>1179</v>
      </c>
      <c r="I32" t="s">
        <v>1178</v>
      </c>
      <c r="J32" t="s">
        <v>3938</v>
      </c>
      <c r="K32" t="s">
        <v>3939</v>
      </c>
      <c r="L32" t="s">
        <v>3940</v>
      </c>
    </row>
    <row r="33" spans="1:14">
      <c r="F33">
        <v>1</v>
      </c>
      <c r="G33">
        <v>2</v>
      </c>
      <c r="H33">
        <v>3</v>
      </c>
      <c r="I33">
        <v>4</v>
      </c>
      <c r="J33">
        <v>5</v>
      </c>
      <c r="K33">
        <v>6</v>
      </c>
      <c r="L33">
        <v>7</v>
      </c>
      <c r="M33" t="s">
        <v>230</v>
      </c>
      <c r="N33" t="s">
        <v>231</v>
      </c>
    </row>
    <row r="34" spans="1:14">
      <c r="A34" t="s">
        <v>232</v>
      </c>
      <c r="B34">
        <v>8000</v>
      </c>
      <c r="C34" t="s">
        <v>233</v>
      </c>
      <c r="D34">
        <v>54.8</v>
      </c>
      <c r="E34">
        <f>3082500/100000</f>
        <v>30.824999999999999</v>
      </c>
      <c r="F34">
        <f t="shared" ref="F34:H42" si="0">0/100000</f>
        <v>0</v>
      </c>
      <c r="G34">
        <f t="shared" si="0"/>
        <v>0</v>
      </c>
      <c r="H34">
        <f t="shared" si="0"/>
        <v>0</v>
      </c>
      <c r="I34">
        <f>1195519/100000</f>
        <v>11.95519</v>
      </c>
      <c r="J34">
        <f t="shared" ref="J34:L42" si="1">0/100000</f>
        <v>0</v>
      </c>
      <c r="K34">
        <f t="shared" si="1"/>
        <v>0</v>
      </c>
      <c r="L34">
        <f t="shared" si="1"/>
        <v>0</v>
      </c>
      <c r="M34">
        <f t="shared" ref="M34:M42" si="2">L34+K34+J34+I34+H34+G34</f>
        <v>11.95519</v>
      </c>
      <c r="N34">
        <f>M34*100/E34</f>
        <v>38.784071370640717</v>
      </c>
    </row>
    <row r="35" spans="1:14">
      <c r="A35" t="s">
        <v>234</v>
      </c>
      <c r="B35">
        <v>7000</v>
      </c>
      <c r="C35" t="s">
        <v>233</v>
      </c>
      <c r="D35">
        <v>5.6</v>
      </c>
      <c r="E35">
        <f>0/100000</f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>0/100000</f>
        <v>0</v>
      </c>
      <c r="J35">
        <f t="shared" si="1"/>
        <v>0</v>
      </c>
      <c r="K35">
        <f t="shared" si="1"/>
        <v>0</v>
      </c>
      <c r="L35">
        <f t="shared" si="1"/>
        <v>0</v>
      </c>
      <c r="M35">
        <f t="shared" si="2"/>
        <v>0</v>
      </c>
      <c r="N35">
        <v>0</v>
      </c>
    </row>
    <row r="36" spans="1:14">
      <c r="A36" t="s">
        <v>235</v>
      </c>
      <c r="B36">
        <v>86</v>
      </c>
      <c r="C36" t="s">
        <v>233</v>
      </c>
      <c r="D36">
        <v>0.59</v>
      </c>
      <c r="E36">
        <f>40250/100000</f>
        <v>0.40250000000000002</v>
      </c>
      <c r="F36">
        <f t="shared" si="0"/>
        <v>0</v>
      </c>
      <c r="G36">
        <f t="shared" si="0"/>
        <v>0</v>
      </c>
      <c r="H36">
        <f t="shared" si="0"/>
        <v>0</v>
      </c>
      <c r="I36">
        <f>18837/100000</f>
        <v>0.18837000000000001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0.18837000000000001</v>
      </c>
      <c r="N36">
        <f>M36*100/E36</f>
        <v>46.8</v>
      </c>
    </row>
    <row r="37" spans="1:14">
      <c r="A37" t="s">
        <v>396</v>
      </c>
      <c r="B37">
        <v>68</v>
      </c>
      <c r="C37" t="s">
        <v>233</v>
      </c>
      <c r="D37">
        <v>0.47</v>
      </c>
      <c r="E37">
        <f>30000/100000</f>
        <v>0.3</v>
      </c>
      <c r="F37">
        <f t="shared" si="0"/>
        <v>0</v>
      </c>
      <c r="G37">
        <f t="shared" si="0"/>
        <v>0</v>
      </c>
      <c r="H37">
        <f t="shared" si="0"/>
        <v>0</v>
      </c>
      <c r="I37">
        <f>28937/100000</f>
        <v>0.28937000000000002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0.28937000000000002</v>
      </c>
      <c r="N37">
        <f>M37*100/E37</f>
        <v>96.456666666666678</v>
      </c>
    </row>
    <row r="38" spans="1:14">
      <c r="A38" t="s">
        <v>238</v>
      </c>
      <c r="B38">
        <v>1200</v>
      </c>
      <c r="C38" t="s">
        <v>233</v>
      </c>
      <c r="D38">
        <v>8.2200000000000006</v>
      </c>
      <c r="E38">
        <f>200000/100000</f>
        <v>2</v>
      </c>
      <c r="F38">
        <f t="shared" si="0"/>
        <v>0</v>
      </c>
      <c r="G38">
        <f t="shared" si="0"/>
        <v>0</v>
      </c>
      <c r="H38">
        <f t="shared" si="0"/>
        <v>0</v>
      </c>
      <c r="I38">
        <f>28200/100000</f>
        <v>0.28199999999999997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0.28199999999999997</v>
      </c>
      <c r="N38">
        <f>M38*100/E38</f>
        <v>14.099999999999998</v>
      </c>
    </row>
    <row r="39" spans="1:14">
      <c r="A39" t="s">
        <v>667</v>
      </c>
      <c r="B39">
        <v>565</v>
      </c>
      <c r="C39" t="s">
        <v>233</v>
      </c>
      <c r="D39">
        <v>3.77</v>
      </c>
      <c r="E39">
        <f>376750/100000</f>
        <v>3.7675000000000001</v>
      </c>
      <c r="F39">
        <f t="shared" si="0"/>
        <v>0</v>
      </c>
      <c r="G39">
        <f t="shared" si="0"/>
        <v>0</v>
      </c>
      <c r="H39">
        <f t="shared" si="0"/>
        <v>0</v>
      </c>
      <c r="I39">
        <f>376750/100000</f>
        <v>3.7675000000000001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3.7675000000000001</v>
      </c>
      <c r="N39">
        <f>M39*100/E39</f>
        <v>100</v>
      </c>
    </row>
    <row r="40" spans="1:14">
      <c r="A40" t="s">
        <v>240</v>
      </c>
      <c r="B40">
        <v>1000</v>
      </c>
      <c r="C40" t="s">
        <v>233</v>
      </c>
      <c r="D40">
        <v>6.85</v>
      </c>
      <c r="E40">
        <v>0</v>
      </c>
      <c r="F40">
        <f t="shared" si="0"/>
        <v>0</v>
      </c>
      <c r="G40">
        <f t="shared" si="0"/>
        <v>0</v>
      </c>
      <c r="H40">
        <f t="shared" si="0"/>
        <v>0</v>
      </c>
      <c r="I40"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0</v>
      </c>
      <c r="N40">
        <v>0</v>
      </c>
    </row>
    <row r="41" spans="1:14">
      <c r="A41" t="s">
        <v>394</v>
      </c>
      <c r="B41">
        <v>2750</v>
      </c>
      <c r="C41" t="s">
        <v>242</v>
      </c>
      <c r="D41">
        <v>2.31</v>
      </c>
      <c r="E41">
        <f>92500/100000</f>
        <v>0.92500000000000004</v>
      </c>
      <c r="F41">
        <f t="shared" si="0"/>
        <v>0</v>
      </c>
      <c r="G41">
        <f t="shared" si="0"/>
        <v>0</v>
      </c>
      <c r="H41">
        <f t="shared" si="0"/>
        <v>0</v>
      </c>
      <c r="I41">
        <f>57074/100000</f>
        <v>0.57074000000000003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0.57074000000000003</v>
      </c>
      <c r="N41">
        <f>M41*100/E41</f>
        <v>61.701621621621626</v>
      </c>
    </row>
    <row r="42" spans="1:14">
      <c r="A42" t="s">
        <v>670</v>
      </c>
      <c r="B42">
        <v>10000</v>
      </c>
      <c r="C42" t="s">
        <v>244</v>
      </c>
      <c r="D42">
        <v>0.1</v>
      </c>
      <c r="E42">
        <v>0</v>
      </c>
      <c r="F42">
        <f t="shared" si="0"/>
        <v>0</v>
      </c>
      <c r="G42">
        <f t="shared" si="0"/>
        <v>0</v>
      </c>
      <c r="H42">
        <f t="shared" si="0"/>
        <v>0</v>
      </c>
      <c r="I42">
        <v>0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</v>
      </c>
      <c r="N42">
        <v>0</v>
      </c>
    </row>
    <row r="43" spans="1:14">
      <c r="A43" t="s">
        <v>3941</v>
      </c>
      <c r="D43">
        <f t="shared" ref="D43:M43" si="3">SUM(D34:D42)</f>
        <v>82.71</v>
      </c>
      <c r="E43">
        <f t="shared" si="3"/>
        <v>38.22</v>
      </c>
      <c r="F43">
        <f t="shared" si="3"/>
        <v>0</v>
      </c>
      <c r="G43">
        <f t="shared" si="3"/>
        <v>0</v>
      </c>
      <c r="H43">
        <f t="shared" si="3"/>
        <v>0</v>
      </c>
      <c r="I43">
        <f t="shared" si="3"/>
        <v>17.053170000000001</v>
      </c>
      <c r="J43">
        <f t="shared" si="3"/>
        <v>0</v>
      </c>
      <c r="K43">
        <f t="shared" si="3"/>
        <v>0</v>
      </c>
      <c r="L43">
        <f t="shared" si="3"/>
        <v>0</v>
      </c>
      <c r="M43">
        <f t="shared" si="3"/>
        <v>17.053170000000001</v>
      </c>
      <c r="N43">
        <f>M43*100/E43</f>
        <v>44.618445839874418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2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3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3942</v>
      </c>
      <c r="E4" t="s">
        <v>3914</v>
      </c>
      <c r="G4" t="s">
        <v>3943</v>
      </c>
      <c r="J4" t="s">
        <v>2456</v>
      </c>
      <c r="K4">
        <v>402</v>
      </c>
      <c r="L4" t="s">
        <v>173</v>
      </c>
      <c r="N4">
        <v>80</v>
      </c>
    </row>
    <row r="6" spans="1:14">
      <c r="A6" t="s">
        <v>174</v>
      </c>
      <c r="B6" t="s">
        <v>5736</v>
      </c>
      <c r="E6" t="s">
        <v>176</v>
      </c>
      <c r="G6" t="s">
        <v>5737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3944</v>
      </c>
      <c r="D12" t="s">
        <v>3945</v>
      </c>
      <c r="G12" t="s">
        <v>3946</v>
      </c>
      <c r="J12" t="s">
        <v>3947</v>
      </c>
      <c r="L12" t="s">
        <v>3948</v>
      </c>
    </row>
    <row r="13" spans="1:14">
      <c r="A13" t="s">
        <v>187</v>
      </c>
      <c r="B13" t="s">
        <v>3949</v>
      </c>
      <c r="C13" t="s">
        <v>3921</v>
      </c>
      <c r="D13" t="s">
        <v>3950</v>
      </c>
      <c r="E13" t="s">
        <v>3921</v>
      </c>
      <c r="G13" t="s">
        <v>3951</v>
      </c>
      <c r="H13" t="s">
        <v>3921</v>
      </c>
      <c r="J13" t="s">
        <v>3952</v>
      </c>
      <c r="K13" t="s">
        <v>3921</v>
      </c>
      <c r="L13" t="s">
        <v>3953</v>
      </c>
      <c r="M13" t="s">
        <v>3921</v>
      </c>
    </row>
    <row r="14" spans="1:14">
      <c r="B14" t="s">
        <v>3954</v>
      </c>
      <c r="C14" t="s">
        <v>3924</v>
      </c>
      <c r="D14" t="s">
        <v>3746</v>
      </c>
      <c r="E14" t="s">
        <v>3924</v>
      </c>
      <c r="G14" t="s">
        <v>3955</v>
      </c>
      <c r="H14" t="s">
        <v>3924</v>
      </c>
      <c r="J14" t="s">
        <v>3956</v>
      </c>
      <c r="K14" t="s">
        <v>3924</v>
      </c>
      <c r="L14" t="s">
        <v>3957</v>
      </c>
      <c r="M14" t="s">
        <v>3924</v>
      </c>
    </row>
    <row r="15" spans="1:14">
      <c r="A15" t="s">
        <v>192</v>
      </c>
      <c r="B15" t="s">
        <v>3958</v>
      </c>
      <c r="C15" t="s">
        <v>3927</v>
      </c>
    </row>
    <row r="16" spans="1:14">
      <c r="B16" t="s">
        <v>3752</v>
      </c>
      <c r="C16" t="s">
        <v>3929</v>
      </c>
    </row>
    <row r="17" spans="1:14">
      <c r="B17" t="s">
        <v>3959</v>
      </c>
      <c r="C17" t="s">
        <v>3931</v>
      </c>
    </row>
    <row r="18" spans="1:14">
      <c r="B18" t="s">
        <v>3960</v>
      </c>
      <c r="C18" t="s">
        <v>3933</v>
      </c>
    </row>
    <row r="19" spans="1:14">
      <c r="B19" t="s">
        <v>3961</v>
      </c>
      <c r="C19" t="s">
        <v>3935</v>
      </c>
    </row>
    <row r="20" spans="1:14">
      <c r="A20" t="s">
        <v>197</v>
      </c>
    </row>
    <row r="22" spans="1:14">
      <c r="A22" t="s">
        <v>3936</v>
      </c>
      <c r="B22">
        <v>5</v>
      </c>
      <c r="C22" t="s">
        <v>199</v>
      </c>
      <c r="F22">
        <v>5</v>
      </c>
      <c r="G22" t="s">
        <v>200</v>
      </c>
      <c r="H22">
        <v>7</v>
      </c>
      <c r="I22" t="s">
        <v>201</v>
      </c>
      <c r="J22">
        <v>0</v>
      </c>
      <c r="K22" t="s">
        <v>202</v>
      </c>
      <c r="L22">
        <v>9</v>
      </c>
    </row>
    <row r="25" spans="1:14">
      <c r="A25" t="s">
        <v>203</v>
      </c>
      <c r="B25" t="s">
        <v>204</v>
      </c>
      <c r="C25">
        <v>63</v>
      </c>
      <c r="D25" t="s">
        <v>205</v>
      </c>
      <c r="E25">
        <v>18</v>
      </c>
      <c r="F25" t="s">
        <v>206</v>
      </c>
      <c r="G25">
        <v>0</v>
      </c>
      <c r="H25" t="s">
        <v>230</v>
      </c>
      <c r="I25">
        <f>G25+E25+C25</f>
        <v>81</v>
      </c>
      <c r="J25" t="s">
        <v>207</v>
      </c>
      <c r="K25">
        <v>15</v>
      </c>
      <c r="L25" t="s">
        <v>3187</v>
      </c>
      <c r="N25">
        <v>14</v>
      </c>
    </row>
    <row r="26" spans="1:14">
      <c r="A26" t="s">
        <v>1029</v>
      </c>
      <c r="B26" t="s">
        <v>210</v>
      </c>
      <c r="C26">
        <v>135</v>
      </c>
      <c r="D26" t="s">
        <v>211</v>
      </c>
      <c r="E26">
        <v>56</v>
      </c>
      <c r="F26" t="s">
        <v>212</v>
      </c>
      <c r="G26">
        <v>0</v>
      </c>
      <c r="H26" t="s">
        <v>411</v>
      </c>
      <c r="I26">
        <f>G26+E26+C26</f>
        <v>191</v>
      </c>
    </row>
    <row r="27" spans="1:14">
      <c r="B27" t="s">
        <v>213</v>
      </c>
      <c r="C27">
        <v>161</v>
      </c>
      <c r="D27" t="s">
        <v>214</v>
      </c>
      <c r="E27">
        <v>55</v>
      </c>
      <c r="F27" t="s">
        <v>215</v>
      </c>
      <c r="G27">
        <v>0</v>
      </c>
      <c r="H27" t="s">
        <v>410</v>
      </c>
      <c r="I27">
        <f>G27+E27+C27</f>
        <v>216</v>
      </c>
    </row>
    <row r="29" spans="1:14">
      <c r="A29" t="s">
        <v>216</v>
      </c>
    </row>
    <row r="31" spans="1:14">
      <c r="A31" t="s">
        <v>217</v>
      </c>
      <c r="B31" t="s">
        <v>3937</v>
      </c>
      <c r="C31" t="s">
        <v>219</v>
      </c>
      <c r="D31" t="s">
        <v>1363</v>
      </c>
      <c r="E31" t="s">
        <v>1713</v>
      </c>
      <c r="F31" t="s">
        <v>222</v>
      </c>
    </row>
    <row r="32" spans="1:14">
      <c r="F32" t="s">
        <v>1181</v>
      </c>
      <c r="G32" t="s">
        <v>1180</v>
      </c>
      <c r="H32" t="s">
        <v>1179</v>
      </c>
      <c r="I32" t="s">
        <v>1178</v>
      </c>
      <c r="J32" t="s">
        <v>3938</v>
      </c>
      <c r="K32" t="s">
        <v>3939</v>
      </c>
      <c r="L32" t="s">
        <v>3940</v>
      </c>
    </row>
    <row r="33" spans="1:14">
      <c r="F33">
        <v>1</v>
      </c>
      <c r="G33">
        <v>2</v>
      </c>
      <c r="H33">
        <v>3</v>
      </c>
      <c r="I33">
        <v>4</v>
      </c>
      <c r="J33">
        <v>5</v>
      </c>
      <c r="K33">
        <v>6</v>
      </c>
      <c r="L33">
        <v>7</v>
      </c>
      <c r="M33" t="s">
        <v>230</v>
      </c>
      <c r="N33" t="s">
        <v>231</v>
      </c>
    </row>
    <row r="34" spans="1:14">
      <c r="A34" t="s">
        <v>232</v>
      </c>
      <c r="B34">
        <v>8000</v>
      </c>
      <c r="C34" t="s">
        <v>233</v>
      </c>
      <c r="D34">
        <v>32.159999999999997</v>
      </c>
      <c r="E34">
        <f>1809000/100000</f>
        <v>18.09</v>
      </c>
      <c r="F34">
        <f t="shared" ref="F34:H42" si="0">0/100000</f>
        <v>0</v>
      </c>
      <c r="G34">
        <f t="shared" si="0"/>
        <v>0</v>
      </c>
      <c r="H34">
        <f t="shared" si="0"/>
        <v>0</v>
      </c>
      <c r="I34">
        <f>271659.5/100000</f>
        <v>2.7165949999999999</v>
      </c>
      <c r="J34">
        <f t="shared" ref="J34:L42" si="1">0/100000</f>
        <v>0</v>
      </c>
      <c r="K34">
        <f t="shared" si="1"/>
        <v>0</v>
      </c>
      <c r="L34">
        <f t="shared" si="1"/>
        <v>0</v>
      </c>
      <c r="M34">
        <f t="shared" ref="M34:M42" si="2">L34+K34+J34+I34+H34+G34</f>
        <v>2.7165949999999999</v>
      </c>
      <c r="N34">
        <f>M34*100/E34</f>
        <v>15.01710889994472</v>
      </c>
    </row>
    <row r="35" spans="1:14">
      <c r="A35" t="s">
        <v>234</v>
      </c>
      <c r="B35">
        <v>7000</v>
      </c>
      <c r="C35" t="s">
        <v>233</v>
      </c>
      <c r="D35">
        <v>5.6</v>
      </c>
      <c r="E35">
        <f>0/100000</f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>0/100000</f>
        <v>0</v>
      </c>
      <c r="J35">
        <f t="shared" si="1"/>
        <v>0</v>
      </c>
      <c r="K35">
        <f t="shared" si="1"/>
        <v>0</v>
      </c>
      <c r="L35">
        <f t="shared" si="1"/>
        <v>0</v>
      </c>
      <c r="M35">
        <f t="shared" si="2"/>
        <v>0</v>
      </c>
      <c r="N35">
        <v>0</v>
      </c>
    </row>
    <row r="36" spans="1:14">
      <c r="A36" t="s">
        <v>235</v>
      </c>
      <c r="B36">
        <v>86</v>
      </c>
      <c r="C36" t="s">
        <v>233</v>
      </c>
      <c r="D36">
        <v>0.35</v>
      </c>
      <c r="E36">
        <f>40250/100000</f>
        <v>0.40250000000000002</v>
      </c>
      <c r="F36">
        <f t="shared" si="0"/>
        <v>0</v>
      </c>
      <c r="G36">
        <f t="shared" si="0"/>
        <v>0</v>
      </c>
      <c r="H36">
        <f>18000/100000</f>
        <v>0.18</v>
      </c>
      <c r="I36">
        <f>0/100000</f>
        <v>0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0.18</v>
      </c>
      <c r="N36">
        <f>M36*100/E36</f>
        <v>44.720496894409933</v>
      </c>
    </row>
    <row r="37" spans="1:14">
      <c r="A37" t="s">
        <v>396</v>
      </c>
      <c r="B37">
        <v>68</v>
      </c>
      <c r="C37" t="s">
        <v>233</v>
      </c>
      <c r="D37">
        <v>0.27</v>
      </c>
      <c r="E37">
        <f>30000/100000</f>
        <v>0.3</v>
      </c>
      <c r="F37">
        <f t="shared" si="0"/>
        <v>0</v>
      </c>
      <c r="G37">
        <f t="shared" si="0"/>
        <v>0</v>
      </c>
      <c r="H37">
        <f>16000/100000</f>
        <v>0.16</v>
      </c>
      <c r="I37">
        <f>12937/100000</f>
        <v>0.12937000000000001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0.28937000000000002</v>
      </c>
      <c r="N37">
        <f>M37*100/E37</f>
        <v>96.456666666666678</v>
      </c>
    </row>
    <row r="38" spans="1:14">
      <c r="A38" t="s">
        <v>238</v>
      </c>
      <c r="B38">
        <v>1200</v>
      </c>
      <c r="C38" t="s">
        <v>233</v>
      </c>
      <c r="D38">
        <v>4.82</v>
      </c>
      <c r="E38">
        <f>200000/100000</f>
        <v>2</v>
      </c>
      <c r="F38">
        <f t="shared" si="0"/>
        <v>0</v>
      </c>
      <c r="G38">
        <f t="shared" si="0"/>
        <v>0</v>
      </c>
      <c r="H38">
        <v>0</v>
      </c>
      <c r="I38">
        <v>0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</v>
      </c>
      <c r="N38">
        <f>M38*100/E38</f>
        <v>0</v>
      </c>
    </row>
    <row r="39" spans="1:14">
      <c r="A39" t="s">
        <v>667</v>
      </c>
      <c r="B39">
        <v>565</v>
      </c>
      <c r="C39" t="s">
        <v>233</v>
      </c>
      <c r="D39">
        <v>2.21</v>
      </c>
      <c r="E39">
        <f>221100/100000</f>
        <v>2.2109999999999999</v>
      </c>
      <c r="F39">
        <f t="shared" si="0"/>
        <v>0</v>
      </c>
      <c r="G39">
        <f t="shared" si="0"/>
        <v>0</v>
      </c>
      <c r="H39">
        <f>0/100000</f>
        <v>0</v>
      </c>
      <c r="I39">
        <f>221100/100000</f>
        <v>2.2109999999999999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2.2109999999999999</v>
      </c>
      <c r="N39">
        <f>M39*100/E39</f>
        <v>100</v>
      </c>
    </row>
    <row r="40" spans="1:14">
      <c r="A40" t="s">
        <v>240</v>
      </c>
      <c r="B40">
        <v>1000</v>
      </c>
      <c r="C40" t="s">
        <v>233</v>
      </c>
      <c r="D40">
        <v>4.0199999999999996</v>
      </c>
      <c r="E40">
        <v>0</v>
      </c>
      <c r="F40">
        <f t="shared" si="0"/>
        <v>0</v>
      </c>
      <c r="G40">
        <f t="shared" si="0"/>
        <v>0</v>
      </c>
      <c r="H40">
        <v>0</v>
      </c>
      <c r="I40"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0</v>
      </c>
      <c r="N40">
        <v>0</v>
      </c>
    </row>
    <row r="41" spans="1:14">
      <c r="A41" t="s">
        <v>394</v>
      </c>
      <c r="B41">
        <v>2750</v>
      </c>
      <c r="C41" t="s">
        <v>242</v>
      </c>
      <c r="D41">
        <v>2.31</v>
      </c>
      <c r="E41">
        <f>92500/100000</f>
        <v>0.92500000000000004</v>
      </c>
      <c r="F41">
        <f t="shared" si="0"/>
        <v>0</v>
      </c>
      <c r="G41">
        <f t="shared" si="0"/>
        <v>0</v>
      </c>
      <c r="H41">
        <f>9000/100000</f>
        <v>0.09</v>
      </c>
      <c r="I41">
        <f>39723/100000</f>
        <v>0.39723000000000003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0.48723000000000005</v>
      </c>
      <c r="N41">
        <f>M41*100/E41</f>
        <v>52.67351351351352</v>
      </c>
    </row>
    <row r="42" spans="1:14">
      <c r="A42" t="s">
        <v>670</v>
      </c>
      <c r="B42">
        <v>10000</v>
      </c>
      <c r="C42" t="s">
        <v>244</v>
      </c>
      <c r="D42">
        <v>0.1</v>
      </c>
      <c r="E42">
        <v>0</v>
      </c>
      <c r="F42">
        <f t="shared" si="0"/>
        <v>0</v>
      </c>
      <c r="G42">
        <f t="shared" si="0"/>
        <v>0</v>
      </c>
      <c r="H42">
        <v>0</v>
      </c>
      <c r="I42">
        <v>0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</v>
      </c>
      <c r="N42">
        <v>0</v>
      </c>
    </row>
    <row r="43" spans="1:14">
      <c r="A43" t="s">
        <v>3941</v>
      </c>
      <c r="D43">
        <f t="shared" ref="D43:M43" si="3">SUM(D34:D42)</f>
        <v>51.840000000000011</v>
      </c>
      <c r="E43">
        <f t="shared" si="3"/>
        <v>23.9285</v>
      </c>
      <c r="F43">
        <f t="shared" si="3"/>
        <v>0</v>
      </c>
      <c r="G43">
        <f t="shared" si="3"/>
        <v>0</v>
      </c>
      <c r="H43">
        <f t="shared" si="3"/>
        <v>0.42999999999999994</v>
      </c>
      <c r="I43">
        <f t="shared" si="3"/>
        <v>5.4541950000000003</v>
      </c>
      <c r="J43">
        <f t="shared" si="3"/>
        <v>0</v>
      </c>
      <c r="K43">
        <f t="shared" si="3"/>
        <v>0</v>
      </c>
      <c r="L43">
        <f t="shared" si="3"/>
        <v>0</v>
      </c>
      <c r="M43">
        <f t="shared" si="3"/>
        <v>5.8841950000000001</v>
      </c>
      <c r="N43">
        <f>M43*100/E43</f>
        <v>24.590739076833064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170</v>
      </c>
      <c r="F4" t="s">
        <v>171</v>
      </c>
      <c r="H4" t="s">
        <v>5697</v>
      </c>
      <c r="J4" t="s">
        <v>172</v>
      </c>
      <c r="K4">
        <v>451</v>
      </c>
      <c r="L4" t="s">
        <v>173</v>
      </c>
      <c r="N4">
        <v>80</v>
      </c>
    </row>
    <row r="6" spans="1:14">
      <c r="A6" t="s">
        <v>174</v>
      </c>
      <c r="B6" t="s">
        <v>175</v>
      </c>
      <c r="F6" t="s">
        <v>176</v>
      </c>
      <c r="H6" t="s">
        <v>177</v>
      </c>
    </row>
    <row r="8" spans="1:14">
      <c r="A8" t="s">
        <v>178</v>
      </c>
      <c r="B8" t="s">
        <v>179</v>
      </c>
      <c r="F8" t="s">
        <v>180</v>
      </c>
      <c r="H8" t="s">
        <v>181</v>
      </c>
    </row>
    <row r="11" spans="1:14">
      <c r="A11" t="s">
        <v>182</v>
      </c>
      <c r="B11" t="s">
        <v>183</v>
      </c>
      <c r="E11" t="s">
        <v>184</v>
      </c>
      <c r="H11" t="s">
        <v>185</v>
      </c>
      <c r="K11" t="s">
        <v>186</v>
      </c>
    </row>
    <row r="12" spans="1:14">
      <c r="A12" t="s">
        <v>187</v>
      </c>
      <c r="B12" t="s">
        <v>188</v>
      </c>
      <c r="E12" t="s">
        <v>189</v>
      </c>
      <c r="H12" t="s">
        <v>190</v>
      </c>
      <c r="K12" t="s">
        <v>191</v>
      </c>
    </row>
    <row r="13" spans="1:14">
      <c r="A13" t="s">
        <v>192</v>
      </c>
      <c r="B13" t="s">
        <v>193</v>
      </c>
      <c r="E13" t="s">
        <v>194</v>
      </c>
      <c r="H13" t="s">
        <v>195</v>
      </c>
      <c r="K13" t="s">
        <v>196</v>
      </c>
    </row>
    <row r="14" spans="1:14">
      <c r="A14" t="s">
        <v>197</v>
      </c>
    </row>
    <row r="16" spans="1:14">
      <c r="A16" t="s">
        <v>198</v>
      </c>
      <c r="B16">
        <v>4</v>
      </c>
      <c r="C16" t="s">
        <v>199</v>
      </c>
      <c r="F16">
        <v>4</v>
      </c>
      <c r="G16" t="s">
        <v>200</v>
      </c>
      <c r="H16">
        <v>9</v>
      </c>
      <c r="I16" t="s">
        <v>201</v>
      </c>
      <c r="J16">
        <v>1</v>
      </c>
      <c r="K16" t="s">
        <v>202</v>
      </c>
      <c r="L16">
        <v>12</v>
      </c>
    </row>
    <row r="18" spans="1:14">
      <c r="A18" t="s">
        <v>203</v>
      </c>
      <c r="B18" t="s">
        <v>204</v>
      </c>
      <c r="C18">
        <f>15+25+9+25+13</f>
        <v>87</v>
      </c>
      <c r="D18" t="s">
        <v>205</v>
      </c>
      <c r="E18">
        <f>16+11+11+1</f>
        <v>39</v>
      </c>
      <c r="F18" t="s">
        <v>206</v>
      </c>
      <c r="G18">
        <f>11+1</f>
        <v>12</v>
      </c>
      <c r="H18" t="s">
        <v>207</v>
      </c>
      <c r="I18">
        <v>6</v>
      </c>
      <c r="J18" t="s">
        <v>208</v>
      </c>
    </row>
    <row r="19" spans="1:14">
      <c r="A19" t="s">
        <v>209</v>
      </c>
      <c r="B19" t="s">
        <v>210</v>
      </c>
      <c r="C19">
        <f>30+61+15+61+14</f>
        <v>181</v>
      </c>
      <c r="D19" t="s">
        <v>211</v>
      </c>
      <c r="E19">
        <f>35+34+34+18</f>
        <v>121</v>
      </c>
      <c r="F19" t="s">
        <v>212</v>
      </c>
      <c r="G19">
        <f>17+2</f>
        <v>19</v>
      </c>
    </row>
    <row r="20" spans="1:14">
      <c r="B20" t="s">
        <v>213</v>
      </c>
      <c r="C20">
        <f>37+69+36+69+24</f>
        <v>235</v>
      </c>
      <c r="D20" t="s">
        <v>214</v>
      </c>
      <c r="E20">
        <f>37+32+32+18</f>
        <v>119</v>
      </c>
      <c r="F20" t="s">
        <v>215</v>
      </c>
      <c r="G20">
        <f>17+2</f>
        <v>19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36.08</v>
      </c>
      <c r="E26">
        <f>3608000/100000</f>
        <v>36.08</v>
      </c>
      <c r="H26">
        <v>3.3766500000000002</v>
      </c>
      <c r="I26">
        <v>15.889200000000001</v>
      </c>
      <c r="J26">
        <v>9.7813499999999998</v>
      </c>
      <c r="K26">
        <v>2.5194200000000002</v>
      </c>
      <c r="L26">
        <v>3.56914</v>
      </c>
      <c r="M26">
        <f t="shared" ref="M26:M34" si="0">+F26+G26+H26+I26+J26+K26+L26</f>
        <v>35.135759999999998</v>
      </c>
      <c r="N26">
        <f t="shared" ref="N26:N33" si="1">+M26/E26*100</f>
        <v>97.382926829268285</v>
      </c>
    </row>
    <row r="27" spans="1:14">
      <c r="A27" t="s">
        <v>234</v>
      </c>
      <c r="B27">
        <v>7000</v>
      </c>
      <c r="C27" t="s">
        <v>233</v>
      </c>
      <c r="D27">
        <f>+B27*N4/100000</f>
        <v>5.6</v>
      </c>
      <c r="E27">
        <v>5</v>
      </c>
      <c r="H27">
        <v>0.246</v>
      </c>
      <c r="I27">
        <v>1.2722599999999999</v>
      </c>
      <c r="J27">
        <v>0.52492000000000005</v>
      </c>
      <c r="K27">
        <v>0.84255999999999998</v>
      </c>
      <c r="L27">
        <v>1.0499700000000001</v>
      </c>
      <c r="M27">
        <f t="shared" si="0"/>
        <v>3.9357100000000003</v>
      </c>
      <c r="N27">
        <f t="shared" si="1"/>
        <v>78.714200000000005</v>
      </c>
    </row>
    <row r="28" spans="1:14">
      <c r="A28" t="s">
        <v>235</v>
      </c>
      <c r="B28">
        <v>86</v>
      </c>
      <c r="C28" t="s">
        <v>233</v>
      </c>
      <c r="D28">
        <v>0.39</v>
      </c>
      <c r="E28">
        <v>0.43</v>
      </c>
      <c r="J28">
        <v>0.18</v>
      </c>
      <c r="K28">
        <v>0.12967999999999999</v>
      </c>
      <c r="L28">
        <v>0.21171999999999999</v>
      </c>
      <c r="M28">
        <f t="shared" si="0"/>
        <v>0.52139999999999997</v>
      </c>
      <c r="N28">
        <f t="shared" si="1"/>
        <v>121.25581395348837</v>
      </c>
    </row>
    <row r="29" spans="1:14">
      <c r="A29" t="s">
        <v>237</v>
      </c>
      <c r="B29">
        <v>68</v>
      </c>
      <c r="C29" t="s">
        <v>233</v>
      </c>
      <c r="D29">
        <v>0.31</v>
      </c>
      <c r="E29">
        <f>34000/100000</f>
        <v>0.34</v>
      </c>
      <c r="J29">
        <v>0.16284000000000001</v>
      </c>
      <c r="K29">
        <v>0.13117000000000001</v>
      </c>
      <c r="M29">
        <f t="shared" si="0"/>
        <v>0.29400999999999999</v>
      </c>
      <c r="N29">
        <f t="shared" si="1"/>
        <v>86.473529411764687</v>
      </c>
    </row>
    <row r="30" spans="1:14">
      <c r="A30" t="s">
        <v>238</v>
      </c>
      <c r="B30">
        <v>1200</v>
      </c>
      <c r="C30" t="s">
        <v>233</v>
      </c>
      <c r="D30">
        <f>+K4*B30/100000</f>
        <v>5.4119999999999999</v>
      </c>
      <c r="E30">
        <f>541200/100000</f>
        <v>5.4119999999999999</v>
      </c>
      <c r="I30">
        <f>0.3265+1.1845</f>
        <v>1.5110000000000001</v>
      </c>
      <c r="J30">
        <f>0.4946+2.5343</f>
        <v>3.0289000000000001</v>
      </c>
      <c r="K30">
        <f>0.0225+1.87566</f>
        <v>1.8981600000000001</v>
      </c>
      <c r="L30">
        <v>-1.9232800000000001</v>
      </c>
      <c r="M30">
        <f t="shared" si="0"/>
        <v>4.51478</v>
      </c>
      <c r="N30">
        <f t="shared" si="1"/>
        <v>83.421655580192166</v>
      </c>
    </row>
    <row r="31" spans="1:14">
      <c r="A31" t="s">
        <v>239</v>
      </c>
      <c r="B31">
        <v>565</v>
      </c>
      <c r="C31" t="s">
        <v>233</v>
      </c>
      <c r="D31">
        <v>2.2599999999999998</v>
      </c>
      <c r="E31">
        <f>190000/100000</f>
        <v>1.9</v>
      </c>
      <c r="J31">
        <v>5.0000000000000001E-3</v>
      </c>
      <c r="K31">
        <v>1.9</v>
      </c>
      <c r="L31">
        <v>-5.0000000000000001E-3</v>
      </c>
      <c r="M31">
        <f t="shared" si="0"/>
        <v>1.9</v>
      </c>
      <c r="N31">
        <f t="shared" si="1"/>
        <v>100</v>
      </c>
    </row>
    <row r="32" spans="1:14">
      <c r="A32" t="s">
        <v>240</v>
      </c>
      <c r="B32">
        <v>1000</v>
      </c>
      <c r="C32" t="s">
        <v>233</v>
      </c>
      <c r="D32">
        <f>+K4*B32/100000</f>
        <v>4.51</v>
      </c>
      <c r="E32">
        <f>451000/100000</f>
        <v>4.51</v>
      </c>
      <c r="H32">
        <v>9.8860000000000003E-2</v>
      </c>
      <c r="I32">
        <v>6.234E-2</v>
      </c>
      <c r="J32">
        <v>0.13338</v>
      </c>
      <c r="K32">
        <v>9.8720000000000002E-2</v>
      </c>
      <c r="L32">
        <f>0.0055-0.10122</f>
        <v>-9.572E-2</v>
      </c>
      <c r="M32">
        <f t="shared" si="0"/>
        <v>0.29757999999999996</v>
      </c>
      <c r="N32">
        <f t="shared" si="1"/>
        <v>6.5982261640798221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f>134750/100000</f>
        <v>1.3474999999999999</v>
      </c>
      <c r="H33">
        <v>0.22370000000000001</v>
      </c>
      <c r="I33">
        <v>0.25040000000000001</v>
      </c>
      <c r="J33">
        <v>0.2712</v>
      </c>
      <c r="K33">
        <v>0.22420000000000001</v>
      </c>
      <c r="L33">
        <v>0.11452</v>
      </c>
      <c r="M33">
        <f t="shared" si="0"/>
        <v>1.08402</v>
      </c>
      <c r="N33">
        <f t="shared" si="1"/>
        <v>80.446753246753261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 t="shared" ref="D35:M35" si="2">SUM(D26:D34)</f>
        <v>56.972000000000001</v>
      </c>
      <c r="E35">
        <f t="shared" si="2"/>
        <v>55.019499999999994</v>
      </c>
      <c r="F35">
        <f t="shared" si="2"/>
        <v>0</v>
      </c>
      <c r="G35">
        <f t="shared" si="2"/>
        <v>0</v>
      </c>
      <c r="H35">
        <f t="shared" si="2"/>
        <v>3.9452100000000003</v>
      </c>
      <c r="I35">
        <f t="shared" si="2"/>
        <v>18.985199999999999</v>
      </c>
      <c r="J35">
        <f t="shared" si="2"/>
        <v>14.087590000000001</v>
      </c>
      <c r="K35">
        <f t="shared" si="2"/>
        <v>7.7439099999999996</v>
      </c>
      <c r="L35">
        <f t="shared" si="2"/>
        <v>2.9213499999999999</v>
      </c>
      <c r="M35">
        <f t="shared" si="2"/>
        <v>47.683259999999997</v>
      </c>
      <c r="N35">
        <f>+M35/E35*100</f>
        <v>86.666109288524979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4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3092</v>
      </c>
      <c r="E4" t="s">
        <v>3914</v>
      </c>
      <c r="G4" t="s">
        <v>3962</v>
      </c>
      <c r="J4" t="s">
        <v>2456</v>
      </c>
      <c r="K4">
        <v>280</v>
      </c>
      <c r="L4" t="s">
        <v>173</v>
      </c>
      <c r="N4">
        <v>80</v>
      </c>
    </row>
    <row r="6" spans="1:14">
      <c r="A6" t="s">
        <v>174</v>
      </c>
      <c r="B6" t="s">
        <v>5738</v>
      </c>
      <c r="E6" t="s">
        <v>176</v>
      </c>
      <c r="G6" t="s">
        <v>5739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3963</v>
      </c>
      <c r="D12" t="s">
        <v>3964</v>
      </c>
      <c r="G12" t="s">
        <v>3965</v>
      </c>
    </row>
    <row r="13" spans="1:14">
      <c r="A13" t="s">
        <v>187</v>
      </c>
      <c r="B13" t="s">
        <v>797</v>
      </c>
      <c r="C13" t="s">
        <v>3921</v>
      </c>
      <c r="D13" t="s">
        <v>3966</v>
      </c>
      <c r="E13" t="s">
        <v>3921</v>
      </c>
      <c r="G13" t="s">
        <v>3752</v>
      </c>
      <c r="H13" t="s">
        <v>3921</v>
      </c>
    </row>
    <row r="14" spans="1:14">
      <c r="B14" t="s">
        <v>811</v>
      </c>
      <c r="C14" t="s">
        <v>3924</v>
      </c>
      <c r="D14" t="s">
        <v>2714</v>
      </c>
      <c r="E14" t="s">
        <v>3924</v>
      </c>
      <c r="G14" t="s">
        <v>3967</v>
      </c>
      <c r="H14" t="s">
        <v>3924</v>
      </c>
    </row>
    <row r="15" spans="1:14">
      <c r="A15" t="s">
        <v>192</v>
      </c>
      <c r="B15" t="s">
        <v>3968</v>
      </c>
      <c r="C15" t="s">
        <v>3935</v>
      </c>
    </row>
    <row r="16" spans="1:14">
      <c r="B16" t="s">
        <v>3969</v>
      </c>
      <c r="C16" t="s">
        <v>3929</v>
      </c>
    </row>
    <row r="17" spans="1:14">
      <c r="B17" t="s">
        <v>819</v>
      </c>
      <c r="C17" t="s">
        <v>3933</v>
      </c>
    </row>
    <row r="18" spans="1:14">
      <c r="B18" t="s">
        <v>3970</v>
      </c>
      <c r="C18" t="s">
        <v>3927</v>
      </c>
    </row>
    <row r="19" spans="1:14">
      <c r="B19" t="s">
        <v>3971</v>
      </c>
      <c r="C19" t="s">
        <v>3931</v>
      </c>
    </row>
    <row r="20" spans="1:14">
      <c r="B20" t="s">
        <v>787</v>
      </c>
      <c r="C20" t="s">
        <v>3927</v>
      </c>
    </row>
    <row r="21" spans="1:14">
      <c r="A21" t="s">
        <v>197</v>
      </c>
    </row>
    <row r="23" spans="1:14">
      <c r="A23" t="s">
        <v>3936</v>
      </c>
      <c r="B23">
        <v>3</v>
      </c>
      <c r="C23" t="s">
        <v>199</v>
      </c>
      <c r="F23">
        <v>3</v>
      </c>
      <c r="G23" t="s">
        <v>200</v>
      </c>
      <c r="H23">
        <v>6</v>
      </c>
      <c r="I23" t="s">
        <v>201</v>
      </c>
      <c r="J23">
        <v>1</v>
      </c>
      <c r="K23" t="s">
        <v>202</v>
      </c>
      <c r="L23">
        <v>7</v>
      </c>
    </row>
    <row r="26" spans="1:14">
      <c r="A26" t="s">
        <v>203</v>
      </c>
      <c r="B26" t="s">
        <v>204</v>
      </c>
      <c r="C26">
        <v>44</v>
      </c>
      <c r="D26" t="s">
        <v>205</v>
      </c>
      <c r="E26">
        <v>7</v>
      </c>
      <c r="F26" t="s">
        <v>206</v>
      </c>
      <c r="G26">
        <v>19</v>
      </c>
      <c r="H26" t="s">
        <v>230</v>
      </c>
      <c r="I26">
        <f>G26+E26+C26</f>
        <v>70</v>
      </c>
      <c r="J26" t="s">
        <v>207</v>
      </c>
      <c r="K26">
        <v>19</v>
      </c>
      <c r="L26" t="s">
        <v>3187</v>
      </c>
      <c r="N26">
        <v>18</v>
      </c>
    </row>
    <row r="27" spans="1:14">
      <c r="A27" t="s">
        <v>1029</v>
      </c>
      <c r="B27" t="s">
        <v>210</v>
      </c>
      <c r="C27">
        <v>102</v>
      </c>
      <c r="D27" t="s">
        <v>211</v>
      </c>
      <c r="E27">
        <v>19</v>
      </c>
      <c r="F27" t="s">
        <v>212</v>
      </c>
      <c r="G27">
        <v>44</v>
      </c>
      <c r="H27" t="s">
        <v>411</v>
      </c>
      <c r="I27">
        <f>G27+E27+C27</f>
        <v>165</v>
      </c>
    </row>
    <row r="28" spans="1:14">
      <c r="B28" t="s">
        <v>213</v>
      </c>
      <c r="C28">
        <v>106</v>
      </c>
      <c r="D28" t="s">
        <v>214</v>
      </c>
      <c r="E28">
        <v>17</v>
      </c>
      <c r="F28" t="s">
        <v>215</v>
      </c>
      <c r="G28">
        <v>44</v>
      </c>
      <c r="H28" t="s">
        <v>410</v>
      </c>
      <c r="I28">
        <f>G28+E28+C28</f>
        <v>167</v>
      </c>
    </row>
    <row r="30" spans="1:14">
      <c r="A30" t="s">
        <v>216</v>
      </c>
    </row>
    <row r="32" spans="1:14">
      <c r="A32" t="s">
        <v>217</v>
      </c>
      <c r="B32" t="s">
        <v>3937</v>
      </c>
      <c r="C32" t="s">
        <v>219</v>
      </c>
      <c r="D32" t="s">
        <v>1363</v>
      </c>
      <c r="E32" t="s">
        <v>1713</v>
      </c>
      <c r="F32" t="s">
        <v>222</v>
      </c>
    </row>
    <row r="33" spans="1:14">
      <c r="F33" t="s">
        <v>1181</v>
      </c>
      <c r="G33" t="s">
        <v>1180</v>
      </c>
      <c r="H33" t="s">
        <v>1179</v>
      </c>
      <c r="I33" t="s">
        <v>1178</v>
      </c>
      <c r="J33" t="s">
        <v>3938</v>
      </c>
      <c r="K33" t="s">
        <v>3939</v>
      </c>
      <c r="L33" t="s">
        <v>3940</v>
      </c>
    </row>
    <row r="34" spans="1:14">
      <c r="F34">
        <v>1</v>
      </c>
      <c r="G34">
        <v>2</v>
      </c>
      <c r="H34">
        <v>3</v>
      </c>
      <c r="I34">
        <v>4</v>
      </c>
      <c r="J34">
        <v>5</v>
      </c>
      <c r="K34">
        <v>6</v>
      </c>
      <c r="L34">
        <v>7</v>
      </c>
      <c r="M34" t="s">
        <v>230</v>
      </c>
      <c r="N34" t="s">
        <v>231</v>
      </c>
    </row>
    <row r="35" spans="1:14">
      <c r="A35" t="s">
        <v>232</v>
      </c>
      <c r="B35">
        <v>8000</v>
      </c>
      <c r="C35" t="s">
        <v>233</v>
      </c>
      <c r="D35">
        <v>22.4</v>
      </c>
      <c r="E35">
        <f>1260000/100000</f>
        <v>12.6</v>
      </c>
      <c r="F35">
        <f t="shared" ref="F35:G43" si="0">0/100000</f>
        <v>0</v>
      </c>
      <c r="G35">
        <f t="shared" si="0"/>
        <v>0</v>
      </c>
      <c r="H35">
        <f>19188/100000</f>
        <v>0.19188</v>
      </c>
      <c r="I35">
        <f>131818/100000</f>
        <v>1.3181799999999999</v>
      </c>
      <c r="J35">
        <f t="shared" ref="J35:L43" si="1">0/100000</f>
        <v>0</v>
      </c>
      <c r="K35">
        <f t="shared" si="1"/>
        <v>0</v>
      </c>
      <c r="L35">
        <f t="shared" si="1"/>
        <v>0</v>
      </c>
      <c r="M35">
        <f t="shared" ref="M35:M43" si="2">L35+K35+J35+I35+H35+G35</f>
        <v>1.51006</v>
      </c>
      <c r="N35">
        <f>M35*100/E35</f>
        <v>11.984603174603174</v>
      </c>
    </row>
    <row r="36" spans="1:14">
      <c r="A36" t="s">
        <v>234</v>
      </c>
      <c r="B36">
        <v>7000</v>
      </c>
      <c r="C36" t="s">
        <v>233</v>
      </c>
      <c r="D36">
        <v>5.6</v>
      </c>
      <c r="E36">
        <f>0/100000</f>
        <v>0</v>
      </c>
      <c r="F36">
        <f t="shared" si="0"/>
        <v>0</v>
      </c>
      <c r="G36">
        <f t="shared" si="0"/>
        <v>0</v>
      </c>
      <c r="H36">
        <f>0/100000</f>
        <v>0</v>
      </c>
      <c r="I36">
        <f>0/100000</f>
        <v>0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</v>
      </c>
      <c r="N36">
        <v>0</v>
      </c>
    </row>
    <row r="37" spans="1:14">
      <c r="A37" t="s">
        <v>235</v>
      </c>
      <c r="B37">
        <v>86</v>
      </c>
      <c r="C37" t="s">
        <v>233</v>
      </c>
      <c r="D37">
        <v>0.24</v>
      </c>
      <c r="E37">
        <f>40250/100000</f>
        <v>0.40250000000000002</v>
      </c>
      <c r="F37">
        <f t="shared" si="0"/>
        <v>0</v>
      </c>
      <c r="G37">
        <f t="shared" si="0"/>
        <v>0</v>
      </c>
      <c r="H37">
        <f>18000/100000</f>
        <v>0.18</v>
      </c>
      <c r="I37">
        <f>857/100000</f>
        <v>8.5699999999999995E-3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0.18856999999999999</v>
      </c>
      <c r="N37">
        <f>M37*100/E37</f>
        <v>46.849689440993785</v>
      </c>
    </row>
    <row r="38" spans="1:14">
      <c r="A38" t="s">
        <v>396</v>
      </c>
      <c r="B38">
        <v>68</v>
      </c>
      <c r="C38" t="s">
        <v>233</v>
      </c>
      <c r="D38">
        <v>0.19</v>
      </c>
      <c r="E38">
        <f>30000/100000</f>
        <v>0.3</v>
      </c>
      <c r="F38">
        <f t="shared" si="0"/>
        <v>0</v>
      </c>
      <c r="G38">
        <f t="shared" si="0"/>
        <v>0</v>
      </c>
      <c r="H38">
        <f>16000/100000</f>
        <v>0.16</v>
      </c>
      <c r="I38">
        <f>12937/100000</f>
        <v>0.12937000000000001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0.28937000000000002</v>
      </c>
      <c r="N38">
        <f>M38*100/E38</f>
        <v>96.456666666666678</v>
      </c>
    </row>
    <row r="39" spans="1:14">
      <c r="A39" t="s">
        <v>238</v>
      </c>
      <c r="B39">
        <v>1200</v>
      </c>
      <c r="C39" t="s">
        <v>233</v>
      </c>
      <c r="D39">
        <v>3.36</v>
      </c>
      <c r="E39">
        <f>150000/100000</f>
        <v>1.5</v>
      </c>
      <c r="F39">
        <f t="shared" si="0"/>
        <v>0</v>
      </c>
      <c r="G39">
        <f t="shared" si="0"/>
        <v>0</v>
      </c>
      <c r="H39">
        <v>0</v>
      </c>
      <c r="I39">
        <v>0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0</v>
      </c>
      <c r="N39">
        <f>M39*100/E39</f>
        <v>0</v>
      </c>
    </row>
    <row r="40" spans="1:14">
      <c r="A40" t="s">
        <v>667</v>
      </c>
      <c r="B40">
        <v>565</v>
      </c>
      <c r="C40" t="s">
        <v>233</v>
      </c>
      <c r="D40">
        <v>1.54</v>
      </c>
      <c r="E40">
        <f>154000/100000</f>
        <v>1.54</v>
      </c>
      <c r="F40">
        <f t="shared" si="0"/>
        <v>0</v>
      </c>
      <c r="G40">
        <f t="shared" si="0"/>
        <v>0</v>
      </c>
      <c r="H40">
        <f>154000/100000</f>
        <v>1.54</v>
      </c>
      <c r="I40">
        <f>0/100000</f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1.54</v>
      </c>
      <c r="N40">
        <f>M40*100/E40</f>
        <v>100</v>
      </c>
    </row>
    <row r="41" spans="1:14">
      <c r="A41" t="s">
        <v>240</v>
      </c>
      <c r="B41">
        <v>1000</v>
      </c>
      <c r="C41" t="s">
        <v>233</v>
      </c>
      <c r="D41">
        <v>2.8</v>
      </c>
      <c r="E41">
        <v>0</v>
      </c>
      <c r="F41">
        <f t="shared" si="0"/>
        <v>0</v>
      </c>
      <c r="G41">
        <f t="shared" si="0"/>
        <v>0</v>
      </c>
      <c r="H41">
        <v>0</v>
      </c>
      <c r="I41">
        <v>0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</v>
      </c>
      <c r="N41">
        <v>0</v>
      </c>
    </row>
    <row r="42" spans="1:14">
      <c r="A42" t="s">
        <v>394</v>
      </c>
      <c r="B42">
        <v>2750</v>
      </c>
      <c r="C42" t="s">
        <v>242</v>
      </c>
      <c r="D42">
        <v>2.31</v>
      </c>
      <c r="E42">
        <f>92500/100000</f>
        <v>0.92500000000000004</v>
      </c>
      <c r="F42">
        <f t="shared" si="0"/>
        <v>0</v>
      </c>
      <c r="G42">
        <f t="shared" si="0"/>
        <v>0</v>
      </c>
      <c r="H42">
        <f>4083/100000</f>
        <v>4.0829999999999998E-2</v>
      </c>
      <c r="I42">
        <f>52471/100000</f>
        <v>0.52471000000000001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0.56554000000000004</v>
      </c>
      <c r="N42">
        <f>M42*100/E42</f>
        <v>61.139459459459459</v>
      </c>
    </row>
    <row r="43" spans="1:14">
      <c r="A43" t="s">
        <v>670</v>
      </c>
      <c r="B43">
        <v>10000</v>
      </c>
      <c r="C43" t="s">
        <v>244</v>
      </c>
      <c r="D43">
        <v>0.1</v>
      </c>
      <c r="E43">
        <v>0</v>
      </c>
      <c r="F43">
        <f t="shared" si="0"/>
        <v>0</v>
      </c>
      <c r="G43">
        <f t="shared" si="0"/>
        <v>0</v>
      </c>
      <c r="H43">
        <v>0</v>
      </c>
      <c r="I43">
        <v>0</v>
      </c>
      <c r="J43">
        <f t="shared" si="1"/>
        <v>0</v>
      </c>
      <c r="K43">
        <f t="shared" si="1"/>
        <v>0</v>
      </c>
      <c r="L43">
        <f t="shared" si="1"/>
        <v>0</v>
      </c>
      <c r="M43">
        <f t="shared" si="2"/>
        <v>0</v>
      </c>
      <c r="N43">
        <v>0</v>
      </c>
    </row>
    <row r="44" spans="1:14">
      <c r="A44" t="s">
        <v>3941</v>
      </c>
      <c r="D44">
        <f t="shared" ref="D44:M44" si="3">SUM(D35:D43)</f>
        <v>38.54</v>
      </c>
      <c r="E44">
        <f t="shared" si="3"/>
        <v>17.267500000000002</v>
      </c>
      <c r="F44">
        <f t="shared" si="3"/>
        <v>0</v>
      </c>
      <c r="G44">
        <f t="shared" si="3"/>
        <v>0</v>
      </c>
      <c r="H44">
        <f t="shared" si="3"/>
        <v>2.1127100000000003</v>
      </c>
      <c r="I44">
        <f t="shared" si="3"/>
        <v>1.9808299999999999</v>
      </c>
      <c r="J44">
        <f t="shared" si="3"/>
        <v>0</v>
      </c>
      <c r="K44">
        <f t="shared" si="3"/>
        <v>0</v>
      </c>
      <c r="L44">
        <f t="shared" si="3"/>
        <v>0</v>
      </c>
      <c r="M44">
        <f t="shared" si="3"/>
        <v>4.09354</v>
      </c>
      <c r="N44">
        <f>M44*100/E44</f>
        <v>23.706616476038796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3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3093</v>
      </c>
      <c r="E4" t="s">
        <v>3914</v>
      </c>
      <c r="G4" t="s">
        <v>3972</v>
      </c>
      <c r="J4" t="s">
        <v>2456</v>
      </c>
      <c r="K4">
        <v>395</v>
      </c>
      <c r="L4" t="s">
        <v>173</v>
      </c>
      <c r="N4">
        <v>80</v>
      </c>
    </row>
    <row r="6" spans="1:14">
      <c r="A6" t="s">
        <v>174</v>
      </c>
      <c r="B6" t="s">
        <v>5740</v>
      </c>
      <c r="E6" t="s">
        <v>176</v>
      </c>
      <c r="G6" t="s">
        <v>802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3973</v>
      </c>
      <c r="D12" t="s">
        <v>3974</v>
      </c>
    </row>
    <row r="13" spans="1:14">
      <c r="A13" t="s">
        <v>187</v>
      </c>
      <c r="B13" t="s">
        <v>3975</v>
      </c>
      <c r="C13" t="s">
        <v>3921</v>
      </c>
      <c r="D13" t="s">
        <v>3976</v>
      </c>
      <c r="E13" t="s">
        <v>3921</v>
      </c>
    </row>
    <row r="14" spans="1:14">
      <c r="B14" t="s">
        <v>3977</v>
      </c>
      <c r="C14" t="s">
        <v>3924</v>
      </c>
      <c r="D14" t="s">
        <v>3978</v>
      </c>
      <c r="E14" t="s">
        <v>3924</v>
      </c>
    </row>
    <row r="15" spans="1:14">
      <c r="A15" t="s">
        <v>192</v>
      </c>
      <c r="B15" t="s">
        <v>741</v>
      </c>
      <c r="C15" t="s">
        <v>3927</v>
      </c>
    </row>
    <row r="16" spans="1:14">
      <c r="B16" t="s">
        <v>3979</v>
      </c>
      <c r="C16" t="s">
        <v>3935</v>
      </c>
    </row>
    <row r="17" spans="1:14">
      <c r="B17" t="s">
        <v>3980</v>
      </c>
      <c r="C17" t="s">
        <v>3981</v>
      </c>
    </row>
    <row r="18" spans="1:14">
      <c r="B18" t="s">
        <v>3982</v>
      </c>
      <c r="C18" t="s">
        <v>3933</v>
      </c>
    </row>
    <row r="19" spans="1:14">
      <c r="B19" t="s">
        <v>3983</v>
      </c>
      <c r="C19" t="s">
        <v>3929</v>
      </c>
    </row>
    <row r="20" spans="1:14">
      <c r="A20" t="s">
        <v>197</v>
      </c>
    </row>
    <row r="22" spans="1:14">
      <c r="A22" t="s">
        <v>3936</v>
      </c>
      <c r="B22">
        <v>2</v>
      </c>
      <c r="C22" t="s">
        <v>199</v>
      </c>
      <c r="F22">
        <v>2</v>
      </c>
      <c r="G22" t="s">
        <v>200</v>
      </c>
      <c r="H22">
        <v>9</v>
      </c>
      <c r="I22" t="s">
        <v>201</v>
      </c>
      <c r="J22">
        <v>0</v>
      </c>
      <c r="K22" t="s">
        <v>202</v>
      </c>
      <c r="L22">
        <v>15</v>
      </c>
    </row>
    <row r="25" spans="1:14">
      <c r="A25" t="s">
        <v>203</v>
      </c>
      <c r="B25" t="s">
        <v>204</v>
      </c>
      <c r="C25">
        <v>88</v>
      </c>
      <c r="D25" t="s">
        <v>205</v>
      </c>
      <c r="E25">
        <v>46</v>
      </c>
      <c r="F25" t="s">
        <v>206</v>
      </c>
      <c r="G25">
        <v>13</v>
      </c>
      <c r="H25" t="s">
        <v>230</v>
      </c>
      <c r="I25">
        <f>G25+E25+C25</f>
        <v>147</v>
      </c>
      <c r="J25" t="s">
        <v>207</v>
      </c>
      <c r="K25">
        <v>36</v>
      </c>
      <c r="L25" t="s">
        <v>3187</v>
      </c>
      <c r="N25">
        <v>19</v>
      </c>
    </row>
    <row r="26" spans="1:14">
      <c r="A26" t="s">
        <v>1029</v>
      </c>
      <c r="B26" t="s">
        <v>210</v>
      </c>
      <c r="C26">
        <v>186</v>
      </c>
      <c r="D26" t="s">
        <v>211</v>
      </c>
      <c r="E26">
        <v>115</v>
      </c>
      <c r="F26" t="s">
        <v>212</v>
      </c>
      <c r="G26">
        <v>36</v>
      </c>
      <c r="H26" t="s">
        <v>411</v>
      </c>
      <c r="I26">
        <f>G26+E26+C26</f>
        <v>337</v>
      </c>
    </row>
    <row r="27" spans="1:14">
      <c r="B27" t="s">
        <v>213</v>
      </c>
      <c r="C27">
        <v>227</v>
      </c>
      <c r="D27" t="s">
        <v>214</v>
      </c>
      <c r="E27">
        <v>115</v>
      </c>
      <c r="F27" t="s">
        <v>215</v>
      </c>
      <c r="G27">
        <v>29</v>
      </c>
      <c r="H27" t="s">
        <v>410</v>
      </c>
      <c r="I27">
        <f>G27+E27+C27</f>
        <v>371</v>
      </c>
    </row>
    <row r="29" spans="1:14">
      <c r="A29" t="s">
        <v>216</v>
      </c>
    </row>
    <row r="31" spans="1:14">
      <c r="A31" t="s">
        <v>217</v>
      </c>
      <c r="B31" t="s">
        <v>3937</v>
      </c>
      <c r="C31" t="s">
        <v>219</v>
      </c>
      <c r="D31" t="s">
        <v>1363</v>
      </c>
      <c r="E31" t="s">
        <v>1713</v>
      </c>
      <c r="F31" t="s">
        <v>222</v>
      </c>
    </row>
    <row r="32" spans="1:14">
      <c r="F32" t="s">
        <v>1181</v>
      </c>
      <c r="G32" t="s">
        <v>1180</v>
      </c>
      <c r="H32" t="s">
        <v>1179</v>
      </c>
      <c r="I32" t="s">
        <v>1178</v>
      </c>
      <c r="J32" t="s">
        <v>3938</v>
      </c>
      <c r="K32" t="s">
        <v>3939</v>
      </c>
      <c r="L32" t="s">
        <v>3940</v>
      </c>
    </row>
    <row r="33" spans="1:14">
      <c r="F33">
        <v>1</v>
      </c>
      <c r="G33">
        <v>2</v>
      </c>
      <c r="H33">
        <v>3</v>
      </c>
      <c r="I33">
        <v>4</v>
      </c>
      <c r="J33">
        <v>5</v>
      </c>
      <c r="K33">
        <v>6</v>
      </c>
      <c r="L33">
        <v>7</v>
      </c>
      <c r="M33" t="s">
        <v>230</v>
      </c>
      <c r="N33" t="s">
        <v>231</v>
      </c>
    </row>
    <row r="34" spans="1:14">
      <c r="A34" t="s">
        <v>232</v>
      </c>
      <c r="B34">
        <v>8000</v>
      </c>
      <c r="C34" t="s">
        <v>233</v>
      </c>
      <c r="D34">
        <v>31.6</v>
      </c>
      <c r="E34">
        <f>1777500/100000</f>
        <v>17.774999999999999</v>
      </c>
      <c r="F34">
        <f t="shared" ref="F34:H42" si="0">0/100000</f>
        <v>0</v>
      </c>
      <c r="G34">
        <f t="shared" si="0"/>
        <v>0</v>
      </c>
      <c r="H34">
        <f t="shared" si="0"/>
        <v>0</v>
      </c>
      <c r="I34">
        <f>595904/100000</f>
        <v>5.9590399999999999</v>
      </c>
      <c r="J34">
        <f t="shared" ref="J34:L42" si="1">0/100000</f>
        <v>0</v>
      </c>
      <c r="K34">
        <f t="shared" si="1"/>
        <v>0</v>
      </c>
      <c r="L34">
        <f t="shared" si="1"/>
        <v>0</v>
      </c>
      <c r="M34">
        <f t="shared" ref="M34:M42" si="2">L34+K34+J34+I34+H34+G34</f>
        <v>5.9590399999999999</v>
      </c>
      <c r="N34">
        <f>M34*100/E34</f>
        <v>33.5248382559775</v>
      </c>
    </row>
    <row r="35" spans="1:14">
      <c r="A35" t="s">
        <v>234</v>
      </c>
      <c r="B35">
        <v>7000</v>
      </c>
      <c r="C35" t="s">
        <v>233</v>
      </c>
      <c r="D35">
        <v>5.6</v>
      </c>
      <c r="E35">
        <f>0/100000</f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>0/100000</f>
        <v>0</v>
      </c>
      <c r="J35">
        <f t="shared" si="1"/>
        <v>0</v>
      </c>
      <c r="K35">
        <f t="shared" si="1"/>
        <v>0</v>
      </c>
      <c r="L35">
        <f t="shared" si="1"/>
        <v>0</v>
      </c>
      <c r="M35">
        <f t="shared" si="2"/>
        <v>0</v>
      </c>
      <c r="N35">
        <v>0</v>
      </c>
    </row>
    <row r="36" spans="1:14">
      <c r="A36" t="s">
        <v>235</v>
      </c>
      <c r="B36">
        <v>43000</v>
      </c>
      <c r="C36" t="s">
        <v>233</v>
      </c>
      <c r="D36">
        <v>0.34</v>
      </c>
      <c r="E36">
        <f>40250/100000</f>
        <v>0.40250000000000002</v>
      </c>
      <c r="F36">
        <f t="shared" si="0"/>
        <v>0</v>
      </c>
      <c r="G36">
        <f t="shared" si="0"/>
        <v>0</v>
      </c>
      <c r="H36">
        <f>18000/100000</f>
        <v>0.18</v>
      </c>
      <c r="I36">
        <f>837/100000</f>
        <v>8.3700000000000007E-3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0.18836999999999998</v>
      </c>
      <c r="N36">
        <f>M36*100/E36</f>
        <v>46.8</v>
      </c>
    </row>
    <row r="37" spans="1:14">
      <c r="A37" t="s">
        <v>396</v>
      </c>
      <c r="B37">
        <v>37000</v>
      </c>
      <c r="C37" t="s">
        <v>233</v>
      </c>
      <c r="D37">
        <v>0.27</v>
      </c>
      <c r="E37">
        <f>30000/100000</f>
        <v>0.3</v>
      </c>
      <c r="F37">
        <f t="shared" si="0"/>
        <v>0</v>
      </c>
      <c r="G37">
        <f t="shared" si="0"/>
        <v>0</v>
      </c>
      <c r="H37">
        <f>16000/100000</f>
        <v>0.16</v>
      </c>
      <c r="I37">
        <f>12937/100000</f>
        <v>0.12937000000000001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0.28937000000000002</v>
      </c>
      <c r="N37">
        <f>M37*100/E37</f>
        <v>96.456666666666678</v>
      </c>
    </row>
    <row r="38" spans="1:14">
      <c r="A38" t="s">
        <v>238</v>
      </c>
      <c r="B38">
        <v>1200</v>
      </c>
      <c r="C38" t="s">
        <v>233</v>
      </c>
      <c r="D38">
        <v>4.74</v>
      </c>
      <c r="E38">
        <f>200000/100000</f>
        <v>2</v>
      </c>
      <c r="F38">
        <f t="shared" si="0"/>
        <v>0</v>
      </c>
      <c r="G38">
        <f t="shared" si="0"/>
        <v>0</v>
      </c>
      <c r="H38">
        <v>0</v>
      </c>
      <c r="I38">
        <v>0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</v>
      </c>
      <c r="N38">
        <f>M38*100/E38</f>
        <v>0</v>
      </c>
    </row>
    <row r="39" spans="1:14">
      <c r="A39" t="s">
        <v>667</v>
      </c>
      <c r="B39">
        <v>565</v>
      </c>
      <c r="C39" t="s">
        <v>233</v>
      </c>
      <c r="D39">
        <v>2.17</v>
      </c>
      <c r="E39">
        <f>217250/100000</f>
        <v>2.1724999999999999</v>
      </c>
      <c r="F39">
        <f t="shared" si="0"/>
        <v>0</v>
      </c>
      <c r="G39">
        <f t="shared" si="0"/>
        <v>0</v>
      </c>
      <c r="H39">
        <f>217250/100000</f>
        <v>2.1724999999999999</v>
      </c>
      <c r="I39">
        <f>0/100000</f>
        <v>0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2.1724999999999999</v>
      </c>
      <c r="N39">
        <f>M39*100/E39</f>
        <v>100</v>
      </c>
    </row>
    <row r="40" spans="1:14">
      <c r="A40" t="s">
        <v>240</v>
      </c>
      <c r="B40">
        <v>1000</v>
      </c>
      <c r="C40" t="s">
        <v>233</v>
      </c>
      <c r="D40">
        <v>3.95</v>
      </c>
      <c r="E40">
        <v>0</v>
      </c>
      <c r="F40">
        <f t="shared" si="0"/>
        <v>0</v>
      </c>
      <c r="G40">
        <f t="shared" si="0"/>
        <v>0</v>
      </c>
      <c r="H40">
        <v>0</v>
      </c>
      <c r="I40"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0</v>
      </c>
      <c r="N40">
        <v>0</v>
      </c>
    </row>
    <row r="41" spans="1:14">
      <c r="A41" t="s">
        <v>394</v>
      </c>
      <c r="B41">
        <v>2750</v>
      </c>
      <c r="C41" t="s">
        <v>242</v>
      </c>
      <c r="D41">
        <v>2.31</v>
      </c>
      <c r="E41">
        <f>92500/100000</f>
        <v>0.92500000000000004</v>
      </c>
      <c r="F41">
        <f t="shared" si="0"/>
        <v>0</v>
      </c>
      <c r="G41">
        <f t="shared" si="0"/>
        <v>0</v>
      </c>
      <c r="H41">
        <f>2250/100000</f>
        <v>2.2499999999999999E-2</v>
      </c>
      <c r="I41">
        <f>51708/100000</f>
        <v>0.51707999999999998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0.53957999999999995</v>
      </c>
      <c r="N41">
        <f>M41*100/E41</f>
        <v>58.332972972972968</v>
      </c>
    </row>
    <row r="42" spans="1:14">
      <c r="A42" t="s">
        <v>670</v>
      </c>
      <c r="B42">
        <v>10000</v>
      </c>
      <c r="C42" t="s">
        <v>244</v>
      </c>
      <c r="D42">
        <v>0.1</v>
      </c>
      <c r="E42">
        <v>0</v>
      </c>
      <c r="F42">
        <f t="shared" si="0"/>
        <v>0</v>
      </c>
      <c r="G42">
        <f t="shared" si="0"/>
        <v>0</v>
      </c>
      <c r="H42">
        <v>0</v>
      </c>
      <c r="I42">
        <v>0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</v>
      </c>
      <c r="N42">
        <v>0</v>
      </c>
    </row>
    <row r="43" spans="1:14">
      <c r="A43" t="s">
        <v>3941</v>
      </c>
      <c r="D43">
        <f t="shared" ref="D43:M43" si="3">SUM(D34:D42)</f>
        <v>51.08000000000002</v>
      </c>
      <c r="E43">
        <f t="shared" si="3"/>
        <v>23.574999999999999</v>
      </c>
      <c r="F43">
        <f t="shared" si="3"/>
        <v>0</v>
      </c>
      <c r="G43">
        <f t="shared" si="3"/>
        <v>0</v>
      </c>
      <c r="H43">
        <f t="shared" si="3"/>
        <v>2.5349999999999997</v>
      </c>
      <c r="I43">
        <f t="shared" si="3"/>
        <v>6.6138599999999999</v>
      </c>
      <c r="J43">
        <f t="shared" si="3"/>
        <v>0</v>
      </c>
      <c r="K43">
        <f t="shared" si="3"/>
        <v>0</v>
      </c>
      <c r="L43">
        <f t="shared" si="3"/>
        <v>0</v>
      </c>
      <c r="M43">
        <f t="shared" si="3"/>
        <v>9.1488599999999991</v>
      </c>
      <c r="N43">
        <f>M43*100/E43</f>
        <v>38.807465535524919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2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3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3984</v>
      </c>
      <c r="E4" t="s">
        <v>3914</v>
      </c>
      <c r="G4" t="s">
        <v>3985</v>
      </c>
      <c r="J4" t="s">
        <v>2456</v>
      </c>
      <c r="K4">
        <v>223</v>
      </c>
      <c r="L4" t="s">
        <v>173</v>
      </c>
      <c r="N4">
        <v>80</v>
      </c>
    </row>
    <row r="6" spans="1:14">
      <c r="A6" t="s">
        <v>174</v>
      </c>
      <c r="B6" t="s">
        <v>5741</v>
      </c>
      <c r="E6" t="s">
        <v>176</v>
      </c>
      <c r="G6" t="s">
        <v>5742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3986</v>
      </c>
      <c r="D12" t="s">
        <v>3987</v>
      </c>
      <c r="G12" t="s">
        <v>3988</v>
      </c>
      <c r="J12" t="s">
        <v>3457</v>
      </c>
    </row>
    <row r="13" spans="1:14">
      <c r="A13" t="s">
        <v>187</v>
      </c>
      <c r="B13" t="s">
        <v>3989</v>
      </c>
      <c r="C13" t="s">
        <v>3921</v>
      </c>
      <c r="D13" t="s">
        <v>3966</v>
      </c>
      <c r="E13" t="s">
        <v>3921</v>
      </c>
      <c r="G13" t="s">
        <v>3752</v>
      </c>
      <c r="H13" t="s">
        <v>3921</v>
      </c>
      <c r="J13" t="s">
        <v>3990</v>
      </c>
      <c r="K13" t="s">
        <v>3921</v>
      </c>
    </row>
    <row r="14" spans="1:14">
      <c r="B14" t="s">
        <v>3991</v>
      </c>
      <c r="C14" t="s">
        <v>3924</v>
      </c>
      <c r="D14" t="s">
        <v>2714</v>
      </c>
      <c r="E14" t="s">
        <v>3924</v>
      </c>
      <c r="G14" t="s">
        <v>3967</v>
      </c>
      <c r="H14" t="s">
        <v>3924</v>
      </c>
      <c r="J14" t="s">
        <v>3992</v>
      </c>
      <c r="K14" t="s">
        <v>3924</v>
      </c>
    </row>
    <row r="15" spans="1:14">
      <c r="A15" t="s">
        <v>192</v>
      </c>
      <c r="B15" t="s">
        <v>3989</v>
      </c>
      <c r="C15" t="s">
        <v>3935</v>
      </c>
    </row>
    <row r="16" spans="1:14">
      <c r="B16" t="s">
        <v>3993</v>
      </c>
      <c r="C16" t="s">
        <v>3931</v>
      </c>
    </row>
    <row r="17" spans="1:14">
      <c r="B17" t="s">
        <v>3994</v>
      </c>
      <c r="C17" t="s">
        <v>3929</v>
      </c>
    </row>
    <row r="18" spans="1:14">
      <c r="B18" t="s">
        <v>3995</v>
      </c>
      <c r="C18" t="s">
        <v>3933</v>
      </c>
    </row>
    <row r="19" spans="1:14">
      <c r="B19" t="s">
        <v>3996</v>
      </c>
      <c r="C19" t="s">
        <v>3927</v>
      </c>
    </row>
    <row r="20" spans="1:14">
      <c r="A20" t="s">
        <v>197</v>
      </c>
    </row>
    <row r="22" spans="1:14">
      <c r="A22" t="s">
        <v>3936</v>
      </c>
      <c r="B22">
        <v>4</v>
      </c>
      <c r="C22" t="s">
        <v>199</v>
      </c>
      <c r="F22">
        <v>4</v>
      </c>
      <c r="G22" t="s">
        <v>200</v>
      </c>
      <c r="H22">
        <v>7</v>
      </c>
      <c r="I22" t="s">
        <v>201</v>
      </c>
      <c r="J22">
        <v>1</v>
      </c>
      <c r="K22" t="s">
        <v>202</v>
      </c>
      <c r="L22">
        <v>7</v>
      </c>
    </row>
    <row r="25" spans="1:14">
      <c r="A25" t="s">
        <v>203</v>
      </c>
      <c r="B25" t="s">
        <v>204</v>
      </c>
      <c r="C25">
        <v>38</v>
      </c>
      <c r="D25" t="s">
        <v>205</v>
      </c>
      <c r="E25">
        <v>26</v>
      </c>
      <c r="F25" t="s">
        <v>206</v>
      </c>
      <c r="G25">
        <v>13</v>
      </c>
      <c r="H25" t="s">
        <v>230</v>
      </c>
      <c r="I25">
        <f>G25+E25+C25</f>
        <v>77</v>
      </c>
      <c r="J25" t="s">
        <v>207</v>
      </c>
      <c r="K25">
        <v>26</v>
      </c>
      <c r="L25" t="s">
        <v>3187</v>
      </c>
      <c r="N25">
        <v>15</v>
      </c>
    </row>
    <row r="26" spans="1:14">
      <c r="A26" t="s">
        <v>1029</v>
      </c>
      <c r="B26" t="s">
        <v>210</v>
      </c>
      <c r="C26">
        <v>98</v>
      </c>
      <c r="D26" t="s">
        <v>211</v>
      </c>
      <c r="E26">
        <v>58</v>
      </c>
      <c r="F26" t="s">
        <v>212</v>
      </c>
      <c r="G26">
        <v>27</v>
      </c>
      <c r="H26" t="s">
        <v>411</v>
      </c>
      <c r="I26">
        <f>G26+E26+C26</f>
        <v>183</v>
      </c>
    </row>
    <row r="27" spans="1:14">
      <c r="B27" t="s">
        <v>213</v>
      </c>
      <c r="C27">
        <v>89</v>
      </c>
      <c r="D27" t="s">
        <v>214</v>
      </c>
      <c r="E27">
        <v>65</v>
      </c>
      <c r="F27" t="s">
        <v>215</v>
      </c>
      <c r="G27">
        <v>19</v>
      </c>
      <c r="H27" t="s">
        <v>410</v>
      </c>
      <c r="I27">
        <f>G27+E27+C27</f>
        <v>173</v>
      </c>
    </row>
    <row r="29" spans="1:14">
      <c r="A29" t="s">
        <v>216</v>
      </c>
    </row>
    <row r="31" spans="1:14">
      <c r="A31" t="s">
        <v>217</v>
      </c>
      <c r="B31" t="s">
        <v>3937</v>
      </c>
      <c r="C31" t="s">
        <v>219</v>
      </c>
      <c r="D31" t="s">
        <v>1363</v>
      </c>
      <c r="E31" t="s">
        <v>1713</v>
      </c>
      <c r="F31" t="s">
        <v>222</v>
      </c>
    </row>
    <row r="32" spans="1:14">
      <c r="F32" t="s">
        <v>1181</v>
      </c>
      <c r="G32" t="s">
        <v>1180</v>
      </c>
      <c r="H32" t="s">
        <v>1179</v>
      </c>
      <c r="I32" t="s">
        <v>1178</v>
      </c>
      <c r="J32" t="s">
        <v>3938</v>
      </c>
      <c r="K32" t="s">
        <v>3939</v>
      </c>
      <c r="L32" t="s">
        <v>3940</v>
      </c>
    </row>
    <row r="33" spans="1:14">
      <c r="F33">
        <v>1</v>
      </c>
      <c r="G33">
        <v>2</v>
      </c>
      <c r="H33">
        <v>3</v>
      </c>
      <c r="I33">
        <v>4</v>
      </c>
      <c r="J33">
        <v>5</v>
      </c>
      <c r="K33">
        <v>6</v>
      </c>
      <c r="L33">
        <v>7</v>
      </c>
      <c r="M33" t="s">
        <v>230</v>
      </c>
      <c r="N33" t="s">
        <v>231</v>
      </c>
    </row>
    <row r="34" spans="1:14">
      <c r="A34" t="s">
        <v>232</v>
      </c>
      <c r="B34">
        <v>8000</v>
      </c>
      <c r="C34" t="s">
        <v>233</v>
      </c>
      <c r="D34">
        <v>17.84</v>
      </c>
      <c r="E34">
        <f>1003500/100000</f>
        <v>10.035</v>
      </c>
      <c r="F34">
        <f t="shared" ref="F34:H42" si="0">0/100000</f>
        <v>0</v>
      </c>
      <c r="G34">
        <f t="shared" si="0"/>
        <v>0</v>
      </c>
      <c r="H34">
        <f t="shared" si="0"/>
        <v>0</v>
      </c>
      <c r="I34">
        <f>204487.5/100000</f>
        <v>2.0448750000000002</v>
      </c>
      <c r="J34">
        <f t="shared" ref="J34:L42" si="1">0/100000</f>
        <v>0</v>
      </c>
      <c r="K34">
        <f t="shared" si="1"/>
        <v>0</v>
      </c>
      <c r="L34">
        <f t="shared" si="1"/>
        <v>0</v>
      </c>
      <c r="M34">
        <f t="shared" ref="M34:M42" si="2">L34+K34+J34+I34+H34+G34</f>
        <v>2.0448750000000002</v>
      </c>
      <c r="N34">
        <f>M34*100/E34</f>
        <v>20.377428998505234</v>
      </c>
    </row>
    <row r="35" spans="1:14">
      <c r="A35" t="s">
        <v>234</v>
      </c>
      <c r="B35">
        <v>7000</v>
      </c>
      <c r="C35" t="s">
        <v>233</v>
      </c>
      <c r="D35">
        <v>5.6</v>
      </c>
      <c r="E35">
        <f>0/100000</f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>0/100000</f>
        <v>0</v>
      </c>
      <c r="J35">
        <f t="shared" si="1"/>
        <v>0</v>
      </c>
      <c r="K35">
        <f t="shared" si="1"/>
        <v>0</v>
      </c>
      <c r="L35">
        <f t="shared" si="1"/>
        <v>0</v>
      </c>
      <c r="M35">
        <f t="shared" si="2"/>
        <v>0</v>
      </c>
      <c r="N35">
        <v>0</v>
      </c>
    </row>
    <row r="36" spans="1:14">
      <c r="A36" t="s">
        <v>235</v>
      </c>
      <c r="B36">
        <v>86</v>
      </c>
      <c r="C36" t="s">
        <v>233</v>
      </c>
      <c r="D36">
        <v>0.19</v>
      </c>
      <c r="E36">
        <f>40250/100000</f>
        <v>0.40250000000000002</v>
      </c>
      <c r="F36">
        <f t="shared" si="0"/>
        <v>0</v>
      </c>
      <c r="G36">
        <f t="shared" si="0"/>
        <v>0</v>
      </c>
      <c r="H36">
        <f>18000/100000</f>
        <v>0.18</v>
      </c>
      <c r="I36">
        <f>927/100000</f>
        <v>9.2700000000000005E-3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0.18926999999999999</v>
      </c>
      <c r="N36">
        <f>M36*100/E36</f>
        <v>47.023602484472043</v>
      </c>
    </row>
    <row r="37" spans="1:14">
      <c r="A37" t="s">
        <v>396</v>
      </c>
      <c r="B37">
        <v>68</v>
      </c>
      <c r="C37" t="s">
        <v>233</v>
      </c>
      <c r="D37">
        <v>0.15</v>
      </c>
      <c r="E37">
        <f>30000/100000</f>
        <v>0.3</v>
      </c>
      <c r="F37">
        <f t="shared" si="0"/>
        <v>0</v>
      </c>
      <c r="G37">
        <f t="shared" si="0"/>
        <v>0</v>
      </c>
      <c r="H37">
        <f>16000/100000</f>
        <v>0.16</v>
      </c>
      <c r="I37">
        <f>12937/100000</f>
        <v>0.12937000000000001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0.28937000000000002</v>
      </c>
      <c r="N37">
        <f>M37*100/E37</f>
        <v>96.456666666666678</v>
      </c>
    </row>
    <row r="38" spans="1:14">
      <c r="A38" t="s">
        <v>238</v>
      </c>
      <c r="B38">
        <v>1200</v>
      </c>
      <c r="C38" t="s">
        <v>233</v>
      </c>
      <c r="D38">
        <v>2.68</v>
      </c>
      <c r="E38">
        <f>150000/100000</f>
        <v>1.5</v>
      </c>
      <c r="F38">
        <f t="shared" si="0"/>
        <v>0</v>
      </c>
      <c r="G38">
        <f t="shared" si="0"/>
        <v>0</v>
      </c>
      <c r="H38">
        <v>0</v>
      </c>
      <c r="I38">
        <v>0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</v>
      </c>
      <c r="N38">
        <f>M38*100/E38</f>
        <v>0</v>
      </c>
    </row>
    <row r="39" spans="1:14">
      <c r="A39" t="s">
        <v>667</v>
      </c>
      <c r="B39">
        <v>565</v>
      </c>
      <c r="C39" t="s">
        <v>233</v>
      </c>
      <c r="D39">
        <v>1.23</v>
      </c>
      <c r="E39">
        <f>122650/100000</f>
        <v>1.2264999999999999</v>
      </c>
      <c r="F39">
        <f t="shared" si="0"/>
        <v>0</v>
      </c>
      <c r="G39">
        <f t="shared" si="0"/>
        <v>0</v>
      </c>
      <c r="H39">
        <v>0</v>
      </c>
      <c r="I39">
        <f>122650/100000</f>
        <v>1.2264999999999999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1.2264999999999999</v>
      </c>
      <c r="N39">
        <f>M39*100/E39</f>
        <v>100</v>
      </c>
    </row>
    <row r="40" spans="1:14">
      <c r="A40" t="s">
        <v>240</v>
      </c>
      <c r="B40">
        <v>1000</v>
      </c>
      <c r="C40" t="s">
        <v>233</v>
      </c>
      <c r="D40">
        <v>2.23</v>
      </c>
      <c r="E40">
        <v>0</v>
      </c>
      <c r="F40">
        <f t="shared" si="0"/>
        <v>0</v>
      </c>
      <c r="G40">
        <f t="shared" si="0"/>
        <v>0</v>
      </c>
      <c r="H40">
        <v>0</v>
      </c>
      <c r="I40"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0</v>
      </c>
      <c r="N40">
        <v>0</v>
      </c>
    </row>
    <row r="41" spans="1:14">
      <c r="A41" t="s">
        <v>394</v>
      </c>
      <c r="B41">
        <v>2750</v>
      </c>
      <c r="C41" t="s">
        <v>242</v>
      </c>
      <c r="D41">
        <v>2.31</v>
      </c>
      <c r="E41">
        <f>92500/100000</f>
        <v>0.92500000000000004</v>
      </c>
      <c r="F41">
        <f t="shared" si="0"/>
        <v>0</v>
      </c>
      <c r="G41">
        <f t="shared" si="0"/>
        <v>0</v>
      </c>
      <c r="H41">
        <f>2250/100000</f>
        <v>2.2499999999999999E-2</v>
      </c>
      <c r="I41">
        <f>46916/100000</f>
        <v>0.46916000000000002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0.49166000000000004</v>
      </c>
      <c r="N41">
        <f>M41*100/E41</f>
        <v>53.152432432432434</v>
      </c>
    </row>
    <row r="42" spans="1:14">
      <c r="A42" t="s">
        <v>670</v>
      </c>
      <c r="B42">
        <v>10000</v>
      </c>
      <c r="C42" t="s">
        <v>244</v>
      </c>
      <c r="D42">
        <v>0.1</v>
      </c>
      <c r="E42">
        <v>0</v>
      </c>
      <c r="F42">
        <f t="shared" si="0"/>
        <v>0</v>
      </c>
      <c r="G42">
        <f t="shared" si="0"/>
        <v>0</v>
      </c>
      <c r="H42">
        <v>0</v>
      </c>
      <c r="I42">
        <v>0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</v>
      </c>
      <c r="N42">
        <v>0</v>
      </c>
    </row>
    <row r="43" spans="1:14">
      <c r="A43" t="s">
        <v>3941</v>
      </c>
      <c r="D43">
        <f t="shared" ref="D43:M43" si="3">SUM(D34:D42)</f>
        <v>32.33</v>
      </c>
      <c r="E43">
        <f t="shared" si="3"/>
        <v>14.389000000000001</v>
      </c>
      <c r="F43">
        <f t="shared" si="3"/>
        <v>0</v>
      </c>
      <c r="G43">
        <f t="shared" si="3"/>
        <v>0</v>
      </c>
      <c r="H43">
        <f t="shared" si="3"/>
        <v>0.36249999999999999</v>
      </c>
      <c r="I43">
        <f t="shared" si="3"/>
        <v>3.8791750000000005</v>
      </c>
      <c r="J43">
        <f t="shared" si="3"/>
        <v>0</v>
      </c>
      <c r="K43">
        <f t="shared" si="3"/>
        <v>0</v>
      </c>
      <c r="L43">
        <f t="shared" si="3"/>
        <v>0</v>
      </c>
      <c r="M43">
        <f t="shared" si="3"/>
        <v>4.2416750000000008</v>
      </c>
      <c r="N43">
        <f>M43*100/E43</f>
        <v>29.478594759886025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2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3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3997</v>
      </c>
      <c r="E4" t="s">
        <v>3914</v>
      </c>
      <c r="G4" t="s">
        <v>5743</v>
      </c>
      <c r="J4" t="s">
        <v>2456</v>
      </c>
      <c r="K4">
        <v>333</v>
      </c>
      <c r="L4" t="s">
        <v>173</v>
      </c>
      <c r="N4">
        <v>80</v>
      </c>
    </row>
    <row r="6" spans="1:14">
      <c r="A6" t="s">
        <v>174</v>
      </c>
      <c r="B6" t="s">
        <v>5744</v>
      </c>
      <c r="E6" t="s">
        <v>176</v>
      </c>
      <c r="G6" t="s">
        <v>5745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3998</v>
      </c>
      <c r="D12" t="s">
        <v>3999</v>
      </c>
    </row>
    <row r="13" spans="1:14">
      <c r="A13" t="s">
        <v>187</v>
      </c>
      <c r="B13" t="s">
        <v>3752</v>
      </c>
      <c r="C13" t="s">
        <v>3921</v>
      </c>
      <c r="D13" t="s">
        <v>4000</v>
      </c>
      <c r="E13" t="s">
        <v>3921</v>
      </c>
    </row>
    <row r="14" spans="1:14">
      <c r="B14" t="s">
        <v>4001</v>
      </c>
      <c r="C14" t="s">
        <v>3924</v>
      </c>
      <c r="D14" t="s">
        <v>4002</v>
      </c>
      <c r="E14" t="s">
        <v>3924</v>
      </c>
    </row>
    <row r="15" spans="1:14">
      <c r="A15" t="s">
        <v>192</v>
      </c>
      <c r="B15" t="s">
        <v>4003</v>
      </c>
      <c r="C15" t="s">
        <v>3935</v>
      </c>
    </row>
    <row r="16" spans="1:14">
      <c r="B16" t="s">
        <v>4004</v>
      </c>
      <c r="C16" t="s">
        <v>3927</v>
      </c>
    </row>
    <row r="17" spans="1:14">
      <c r="B17" t="s">
        <v>4005</v>
      </c>
      <c r="C17" t="s">
        <v>3933</v>
      </c>
    </row>
    <row r="18" spans="1:14">
      <c r="B18" t="s">
        <v>4006</v>
      </c>
      <c r="C18" t="s">
        <v>3929</v>
      </c>
    </row>
    <row r="19" spans="1:14">
      <c r="B19" t="s">
        <v>4007</v>
      </c>
      <c r="C19" t="s">
        <v>3931</v>
      </c>
    </row>
    <row r="20" spans="1:14">
      <c r="A20" t="s">
        <v>197</v>
      </c>
    </row>
    <row r="22" spans="1:14">
      <c r="A22" t="s">
        <v>3936</v>
      </c>
      <c r="B22">
        <v>2</v>
      </c>
      <c r="C22" t="s">
        <v>199</v>
      </c>
      <c r="F22">
        <v>2</v>
      </c>
      <c r="G22" t="s">
        <v>200</v>
      </c>
      <c r="H22">
        <v>6</v>
      </c>
      <c r="I22" t="s">
        <v>201</v>
      </c>
      <c r="J22">
        <v>1</v>
      </c>
      <c r="K22" t="s">
        <v>202</v>
      </c>
      <c r="L22">
        <v>4</v>
      </c>
    </row>
    <row r="25" spans="1:14">
      <c r="A25" t="s">
        <v>203</v>
      </c>
      <c r="B25" t="s">
        <v>204</v>
      </c>
      <c r="C25">
        <v>56</v>
      </c>
      <c r="D25" t="s">
        <v>205</v>
      </c>
      <c r="E25">
        <v>13</v>
      </c>
      <c r="F25" t="s">
        <v>206</v>
      </c>
      <c r="G25">
        <v>4</v>
      </c>
      <c r="H25" t="s">
        <v>230</v>
      </c>
      <c r="I25">
        <f>G25+E25+C25</f>
        <v>73</v>
      </c>
      <c r="J25" t="s">
        <v>207</v>
      </c>
      <c r="K25">
        <v>17</v>
      </c>
      <c r="L25" t="s">
        <v>3187</v>
      </c>
      <c r="N25">
        <v>9</v>
      </c>
    </row>
    <row r="26" spans="1:14">
      <c r="A26" t="s">
        <v>1029</v>
      </c>
      <c r="B26" t="s">
        <v>210</v>
      </c>
      <c r="C26">
        <v>141</v>
      </c>
      <c r="D26" t="s">
        <v>211</v>
      </c>
      <c r="E26">
        <v>32</v>
      </c>
      <c r="F26" t="s">
        <v>212</v>
      </c>
      <c r="G26">
        <v>9</v>
      </c>
      <c r="H26" t="s">
        <v>411</v>
      </c>
      <c r="I26">
        <f>G26+E26+C26</f>
        <v>182</v>
      </c>
    </row>
    <row r="27" spans="1:14">
      <c r="B27" t="s">
        <v>213</v>
      </c>
      <c r="C27">
        <v>196</v>
      </c>
      <c r="D27" t="s">
        <v>214</v>
      </c>
      <c r="E27">
        <v>41</v>
      </c>
      <c r="F27" t="s">
        <v>215</v>
      </c>
      <c r="G27">
        <v>18</v>
      </c>
      <c r="H27" t="s">
        <v>410</v>
      </c>
      <c r="I27">
        <f>G27+E27+C27</f>
        <v>255</v>
      </c>
    </row>
    <row r="29" spans="1:14">
      <c r="A29" t="s">
        <v>216</v>
      </c>
    </row>
    <row r="31" spans="1:14">
      <c r="A31" t="s">
        <v>217</v>
      </c>
      <c r="B31" t="s">
        <v>3937</v>
      </c>
      <c r="C31" t="s">
        <v>219</v>
      </c>
      <c r="D31" t="s">
        <v>1363</v>
      </c>
      <c r="E31" t="s">
        <v>1713</v>
      </c>
      <c r="F31" t="s">
        <v>222</v>
      </c>
    </row>
    <row r="32" spans="1:14">
      <c r="F32" t="s">
        <v>1181</v>
      </c>
      <c r="G32" t="s">
        <v>1180</v>
      </c>
      <c r="H32" t="s">
        <v>1179</v>
      </c>
      <c r="I32" t="s">
        <v>1178</v>
      </c>
      <c r="J32" t="s">
        <v>3938</v>
      </c>
      <c r="K32" t="s">
        <v>3939</v>
      </c>
      <c r="L32" t="s">
        <v>3940</v>
      </c>
    </row>
    <row r="33" spans="1:14">
      <c r="F33">
        <v>1</v>
      </c>
      <c r="G33">
        <v>2</v>
      </c>
      <c r="H33">
        <v>3</v>
      </c>
      <c r="I33">
        <v>4</v>
      </c>
      <c r="J33">
        <v>5</v>
      </c>
      <c r="K33">
        <v>6</v>
      </c>
      <c r="L33">
        <v>7</v>
      </c>
      <c r="M33" t="s">
        <v>230</v>
      </c>
      <c r="N33" t="s">
        <v>231</v>
      </c>
    </row>
    <row r="34" spans="1:14">
      <c r="A34" t="s">
        <v>232</v>
      </c>
      <c r="B34">
        <v>8000</v>
      </c>
      <c r="C34" t="s">
        <v>233</v>
      </c>
      <c r="D34">
        <v>26.64</v>
      </c>
      <c r="E34">
        <f>1498500/100000</f>
        <v>14.984999999999999</v>
      </c>
      <c r="F34">
        <f t="shared" ref="F34:H42" si="0">0/100000</f>
        <v>0</v>
      </c>
      <c r="G34">
        <f t="shared" si="0"/>
        <v>0</v>
      </c>
      <c r="H34">
        <f t="shared" si="0"/>
        <v>0</v>
      </c>
      <c r="I34">
        <f>180110/100000</f>
        <v>1.8010999999999999</v>
      </c>
      <c r="J34">
        <f t="shared" ref="J34:L42" si="1">0/100000</f>
        <v>0</v>
      </c>
      <c r="K34">
        <f t="shared" si="1"/>
        <v>0</v>
      </c>
      <c r="L34">
        <f t="shared" si="1"/>
        <v>0</v>
      </c>
      <c r="M34">
        <f t="shared" ref="M34:M42" si="2">L34+K34+J34+I34+H34+G34</f>
        <v>1.8010999999999999</v>
      </c>
      <c r="N34">
        <f>M34*100/E34</f>
        <v>12.019352686019353</v>
      </c>
    </row>
    <row r="35" spans="1:14">
      <c r="A35" t="s">
        <v>234</v>
      </c>
      <c r="B35">
        <v>7000</v>
      </c>
      <c r="C35" t="s">
        <v>233</v>
      </c>
      <c r="D35">
        <v>5.6</v>
      </c>
      <c r="E35">
        <f>0/100000</f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>0/100000</f>
        <v>0</v>
      </c>
      <c r="J35">
        <f t="shared" si="1"/>
        <v>0</v>
      </c>
      <c r="K35">
        <f t="shared" si="1"/>
        <v>0</v>
      </c>
      <c r="L35">
        <f t="shared" si="1"/>
        <v>0</v>
      </c>
      <c r="M35">
        <f t="shared" si="2"/>
        <v>0</v>
      </c>
      <c r="N35">
        <v>0</v>
      </c>
    </row>
    <row r="36" spans="1:14">
      <c r="A36" t="s">
        <v>235</v>
      </c>
      <c r="B36">
        <v>86</v>
      </c>
      <c r="C36" t="s">
        <v>233</v>
      </c>
      <c r="D36">
        <v>0.28999999999999998</v>
      </c>
      <c r="E36">
        <f>40250/100000</f>
        <v>0.40250000000000002</v>
      </c>
      <c r="F36">
        <f t="shared" si="0"/>
        <v>0</v>
      </c>
      <c r="G36">
        <f t="shared" si="0"/>
        <v>0</v>
      </c>
      <c r="H36">
        <f>18000/100000</f>
        <v>0.18</v>
      </c>
      <c r="I36">
        <f>887/100000</f>
        <v>8.8699999999999994E-3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0.18886999999999998</v>
      </c>
      <c r="N36">
        <f>M36*100/E36</f>
        <v>46.92422360248446</v>
      </c>
    </row>
    <row r="37" spans="1:14">
      <c r="A37" t="s">
        <v>396</v>
      </c>
      <c r="B37">
        <v>68</v>
      </c>
      <c r="C37" t="s">
        <v>233</v>
      </c>
      <c r="D37">
        <v>0.23</v>
      </c>
      <c r="E37">
        <f>30000/100000</f>
        <v>0.3</v>
      </c>
      <c r="F37">
        <f t="shared" si="0"/>
        <v>0</v>
      </c>
      <c r="G37">
        <f t="shared" si="0"/>
        <v>0</v>
      </c>
      <c r="H37">
        <f>16000/100000</f>
        <v>0.16</v>
      </c>
      <c r="I37">
        <f>28937/100000-H37</f>
        <v>0.12937000000000001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0.28937000000000002</v>
      </c>
      <c r="N37">
        <f>M37*100/E37</f>
        <v>96.456666666666678</v>
      </c>
    </row>
    <row r="38" spans="1:14">
      <c r="A38" t="s">
        <v>238</v>
      </c>
      <c r="B38">
        <v>1200</v>
      </c>
      <c r="C38" t="s">
        <v>233</v>
      </c>
      <c r="D38">
        <v>4</v>
      </c>
      <c r="E38">
        <f>150000/100000</f>
        <v>1.5</v>
      </c>
      <c r="F38">
        <f t="shared" si="0"/>
        <v>0</v>
      </c>
      <c r="G38">
        <f t="shared" si="0"/>
        <v>0</v>
      </c>
      <c r="H38">
        <v>0</v>
      </c>
      <c r="I38">
        <v>0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</v>
      </c>
      <c r="N38">
        <f>M38*100/E38</f>
        <v>0</v>
      </c>
    </row>
    <row r="39" spans="1:14">
      <c r="A39" t="s">
        <v>667</v>
      </c>
      <c r="B39">
        <v>565</v>
      </c>
      <c r="C39" t="s">
        <v>233</v>
      </c>
      <c r="D39">
        <v>1.83</v>
      </c>
      <c r="E39">
        <f>183150/100000</f>
        <v>1.8314999999999999</v>
      </c>
      <c r="F39">
        <f t="shared" si="0"/>
        <v>0</v>
      </c>
      <c r="G39">
        <f t="shared" si="0"/>
        <v>0</v>
      </c>
      <c r="H39">
        <v>0</v>
      </c>
      <c r="I39">
        <f>183150/100000</f>
        <v>1.8314999999999999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1.8314999999999999</v>
      </c>
      <c r="N39">
        <f>M39*100/E39</f>
        <v>99.999999999999986</v>
      </c>
    </row>
    <row r="40" spans="1:14">
      <c r="A40" t="s">
        <v>240</v>
      </c>
      <c r="B40">
        <v>1000</v>
      </c>
      <c r="C40" t="s">
        <v>233</v>
      </c>
      <c r="D40">
        <v>3.33</v>
      </c>
      <c r="E40">
        <v>0</v>
      </c>
      <c r="F40">
        <f t="shared" si="0"/>
        <v>0</v>
      </c>
      <c r="G40">
        <f t="shared" si="0"/>
        <v>0</v>
      </c>
      <c r="H40">
        <v>0</v>
      </c>
      <c r="I40"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0</v>
      </c>
      <c r="N40">
        <v>0</v>
      </c>
    </row>
    <row r="41" spans="1:14">
      <c r="A41" t="s">
        <v>394</v>
      </c>
      <c r="B41">
        <v>2750</v>
      </c>
      <c r="C41" t="s">
        <v>242</v>
      </c>
      <c r="D41">
        <v>2.31</v>
      </c>
      <c r="E41">
        <f>92500/100000</f>
        <v>0.92500000000000004</v>
      </c>
      <c r="F41">
        <f t="shared" si="0"/>
        <v>0</v>
      </c>
      <c r="G41">
        <f t="shared" si="0"/>
        <v>0</v>
      </c>
      <c r="H41">
        <f>9000/100000</f>
        <v>0.09</v>
      </c>
      <c r="I41">
        <f>56476/100000-H41</f>
        <v>0.47476000000000007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0.56476000000000004</v>
      </c>
      <c r="N41">
        <f>M41*100/E41</f>
        <v>61.055135135135139</v>
      </c>
    </row>
    <row r="42" spans="1:14">
      <c r="A42" t="s">
        <v>670</v>
      </c>
      <c r="B42">
        <v>10000</v>
      </c>
      <c r="C42" t="s">
        <v>244</v>
      </c>
      <c r="D42">
        <v>0.1</v>
      </c>
      <c r="E42">
        <v>0</v>
      </c>
      <c r="F42">
        <f t="shared" si="0"/>
        <v>0</v>
      </c>
      <c r="G42">
        <f t="shared" si="0"/>
        <v>0</v>
      </c>
      <c r="H42">
        <v>0</v>
      </c>
      <c r="I42">
        <v>0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</v>
      </c>
      <c r="N42">
        <v>0</v>
      </c>
    </row>
    <row r="43" spans="1:14">
      <c r="A43" t="s">
        <v>3941</v>
      </c>
      <c r="D43">
        <f t="shared" ref="D43:M43" si="3">SUM(D34:D42)</f>
        <v>44.33</v>
      </c>
      <c r="E43">
        <f t="shared" si="3"/>
        <v>19.943999999999999</v>
      </c>
      <c r="F43">
        <f t="shared" si="3"/>
        <v>0</v>
      </c>
      <c r="G43">
        <f t="shared" si="3"/>
        <v>0</v>
      </c>
      <c r="H43">
        <f t="shared" si="3"/>
        <v>0.42999999999999994</v>
      </c>
      <c r="I43">
        <f t="shared" si="3"/>
        <v>4.2455999999999996</v>
      </c>
      <c r="J43">
        <f t="shared" si="3"/>
        <v>0</v>
      </c>
      <c r="K43">
        <f t="shared" si="3"/>
        <v>0</v>
      </c>
      <c r="L43">
        <f t="shared" si="3"/>
        <v>0</v>
      </c>
      <c r="M43">
        <f t="shared" si="3"/>
        <v>4.6755999999999993</v>
      </c>
      <c r="N43">
        <f>M43*100/E43</f>
        <v>23.443642198154834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2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4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4008</v>
      </c>
      <c r="E4" t="s">
        <v>3914</v>
      </c>
      <c r="G4" t="s">
        <v>4009</v>
      </c>
      <c r="J4" t="s">
        <v>2456</v>
      </c>
      <c r="K4">
        <v>197</v>
      </c>
      <c r="L4" t="s">
        <v>173</v>
      </c>
      <c r="N4">
        <v>80</v>
      </c>
    </row>
    <row r="6" spans="1:14">
      <c r="A6" t="s">
        <v>174</v>
      </c>
      <c r="B6" t="s">
        <v>4000</v>
      </c>
      <c r="E6" t="s">
        <v>176</v>
      </c>
      <c r="G6" t="s">
        <v>5746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4010</v>
      </c>
    </row>
    <row r="13" spans="1:14">
      <c r="A13" t="s">
        <v>187</v>
      </c>
      <c r="B13" t="s">
        <v>4000</v>
      </c>
      <c r="C13" t="s">
        <v>4011</v>
      </c>
    </row>
    <row r="14" spans="1:14">
      <c r="B14" t="s">
        <v>4012</v>
      </c>
      <c r="C14" t="s">
        <v>4013</v>
      </c>
    </row>
    <row r="15" spans="1:14">
      <c r="A15" t="s">
        <v>192</v>
      </c>
      <c r="B15" t="s">
        <v>4014</v>
      </c>
      <c r="C15" t="s">
        <v>3935</v>
      </c>
    </row>
    <row r="16" spans="1:14">
      <c r="B16" t="s">
        <v>4015</v>
      </c>
      <c r="C16" t="s">
        <v>3927</v>
      </c>
    </row>
    <row r="17" spans="1:14">
      <c r="B17" t="s">
        <v>4016</v>
      </c>
      <c r="C17" t="s">
        <v>4017</v>
      </c>
    </row>
    <row r="18" spans="1:14">
      <c r="B18" t="s">
        <v>4018</v>
      </c>
      <c r="C18" t="s">
        <v>3929</v>
      </c>
    </row>
    <row r="19" spans="1:14">
      <c r="B19" t="s">
        <v>4019</v>
      </c>
      <c r="C19" t="s">
        <v>3981</v>
      </c>
    </row>
    <row r="20" spans="1:14">
      <c r="B20" t="s">
        <v>4020</v>
      </c>
      <c r="C20" t="s">
        <v>4021</v>
      </c>
    </row>
    <row r="21" spans="1:14">
      <c r="A21" t="s">
        <v>197</v>
      </c>
    </row>
    <row r="23" spans="1:14">
      <c r="A23" t="s">
        <v>3936</v>
      </c>
      <c r="B23">
        <v>1</v>
      </c>
      <c r="C23" t="s">
        <v>199</v>
      </c>
      <c r="F23">
        <v>1</v>
      </c>
      <c r="G23" t="s">
        <v>200</v>
      </c>
      <c r="H23">
        <v>4</v>
      </c>
      <c r="I23" t="s">
        <v>201</v>
      </c>
      <c r="J23">
        <v>0</v>
      </c>
      <c r="K23" t="s">
        <v>202</v>
      </c>
      <c r="L23">
        <v>3</v>
      </c>
    </row>
    <row r="26" spans="1:14">
      <c r="A26" t="s">
        <v>203</v>
      </c>
      <c r="B26" t="s">
        <v>204</v>
      </c>
      <c r="C26">
        <v>46</v>
      </c>
      <c r="D26" t="s">
        <v>205</v>
      </c>
      <c r="E26">
        <v>0</v>
      </c>
      <c r="F26" t="s">
        <v>206</v>
      </c>
      <c r="G26">
        <v>0</v>
      </c>
      <c r="H26" t="s">
        <v>230</v>
      </c>
      <c r="I26">
        <f>G26+E26+C26</f>
        <v>46</v>
      </c>
      <c r="J26" t="s">
        <v>207</v>
      </c>
      <c r="K26">
        <v>32</v>
      </c>
      <c r="L26" t="s">
        <v>3187</v>
      </c>
      <c r="N26">
        <v>9</v>
      </c>
    </row>
    <row r="27" spans="1:14">
      <c r="A27" t="s">
        <v>1029</v>
      </c>
      <c r="B27" t="s">
        <v>210</v>
      </c>
      <c r="C27">
        <v>118</v>
      </c>
      <c r="D27" t="s">
        <v>211</v>
      </c>
      <c r="E27">
        <v>0</v>
      </c>
      <c r="F27" t="s">
        <v>212</v>
      </c>
      <c r="G27">
        <v>0</v>
      </c>
      <c r="H27" t="s">
        <v>411</v>
      </c>
      <c r="I27">
        <f>G27+E27+C27</f>
        <v>118</v>
      </c>
    </row>
    <row r="28" spans="1:14">
      <c r="B28" t="s">
        <v>213</v>
      </c>
      <c r="C28">
        <v>111</v>
      </c>
      <c r="D28" t="s">
        <v>214</v>
      </c>
      <c r="E28">
        <v>0</v>
      </c>
      <c r="F28" t="s">
        <v>215</v>
      </c>
      <c r="G28">
        <v>0</v>
      </c>
      <c r="H28" t="s">
        <v>410</v>
      </c>
      <c r="I28">
        <f>G28+E28+C28</f>
        <v>111</v>
      </c>
    </row>
    <row r="30" spans="1:14">
      <c r="A30" t="s">
        <v>216</v>
      </c>
    </row>
    <row r="32" spans="1:14">
      <c r="A32" t="s">
        <v>217</v>
      </c>
      <c r="B32" t="s">
        <v>3937</v>
      </c>
      <c r="C32" t="s">
        <v>219</v>
      </c>
      <c r="D32" t="s">
        <v>1363</v>
      </c>
      <c r="E32" t="s">
        <v>1713</v>
      </c>
      <c r="F32" t="s">
        <v>222</v>
      </c>
    </row>
    <row r="33" spans="1:14">
      <c r="F33" t="s">
        <v>1181</v>
      </c>
      <c r="G33" t="s">
        <v>1180</v>
      </c>
      <c r="H33" t="s">
        <v>1179</v>
      </c>
      <c r="I33" t="s">
        <v>1178</v>
      </c>
      <c r="J33" t="s">
        <v>3938</v>
      </c>
      <c r="K33" t="s">
        <v>3939</v>
      </c>
      <c r="L33" t="s">
        <v>3940</v>
      </c>
    </row>
    <row r="34" spans="1:14">
      <c r="F34">
        <v>1</v>
      </c>
      <c r="G34">
        <v>2</v>
      </c>
      <c r="H34">
        <v>3</v>
      </c>
      <c r="I34">
        <v>4</v>
      </c>
      <c r="J34">
        <v>5</v>
      </c>
      <c r="K34">
        <v>6</v>
      </c>
      <c r="L34">
        <v>7</v>
      </c>
      <c r="M34" t="s">
        <v>230</v>
      </c>
      <c r="N34" t="s">
        <v>231</v>
      </c>
    </row>
    <row r="35" spans="1:14">
      <c r="A35" t="s">
        <v>232</v>
      </c>
      <c r="B35">
        <v>8000</v>
      </c>
      <c r="C35" t="s">
        <v>233</v>
      </c>
      <c r="D35">
        <v>15.76</v>
      </c>
      <c r="E35">
        <f>886500/100000</f>
        <v>8.8650000000000002</v>
      </c>
      <c r="F35">
        <f t="shared" ref="F35:H43" si="0">0/100000</f>
        <v>0</v>
      </c>
      <c r="G35">
        <f t="shared" si="0"/>
        <v>0</v>
      </c>
      <c r="H35">
        <f>0/100000</f>
        <v>0</v>
      </c>
      <c r="I35">
        <f>144477/100000</f>
        <v>1.4447700000000001</v>
      </c>
      <c r="J35">
        <f t="shared" ref="J35:L43" si="1">0/100000</f>
        <v>0</v>
      </c>
      <c r="K35">
        <f t="shared" si="1"/>
        <v>0</v>
      </c>
      <c r="L35">
        <f t="shared" si="1"/>
        <v>0</v>
      </c>
      <c r="M35">
        <f t="shared" ref="M35:M43" si="2">L35+K35+J35+I35+H35+G35</f>
        <v>1.4447700000000001</v>
      </c>
      <c r="N35">
        <f>M35*100/E35</f>
        <v>16.297461928934009</v>
      </c>
    </row>
    <row r="36" spans="1:14">
      <c r="A36" t="s">
        <v>234</v>
      </c>
      <c r="B36">
        <v>7000</v>
      </c>
      <c r="C36" t="s">
        <v>233</v>
      </c>
      <c r="D36">
        <v>5.6</v>
      </c>
      <c r="E36">
        <f>0/100000</f>
        <v>0</v>
      </c>
      <c r="F36">
        <f t="shared" si="0"/>
        <v>0</v>
      </c>
      <c r="G36">
        <f t="shared" si="0"/>
        <v>0</v>
      </c>
      <c r="H36">
        <f t="shared" si="0"/>
        <v>0</v>
      </c>
      <c r="I36">
        <f>0/100000</f>
        <v>0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</v>
      </c>
      <c r="N36">
        <v>0</v>
      </c>
    </row>
    <row r="37" spans="1:14">
      <c r="A37" t="s">
        <v>235</v>
      </c>
      <c r="B37">
        <v>86</v>
      </c>
      <c r="C37" t="s">
        <v>233</v>
      </c>
      <c r="D37">
        <v>0.17</v>
      </c>
      <c r="E37">
        <f>40250/100000</f>
        <v>0.40250000000000002</v>
      </c>
      <c r="F37">
        <f t="shared" si="0"/>
        <v>0</v>
      </c>
      <c r="G37">
        <f t="shared" si="0"/>
        <v>0</v>
      </c>
      <c r="H37">
        <f t="shared" si="0"/>
        <v>0</v>
      </c>
      <c r="I37">
        <f>18837/100000</f>
        <v>0.18837000000000001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0.18837000000000001</v>
      </c>
      <c r="N37">
        <f>M37*100/E37</f>
        <v>46.8</v>
      </c>
    </row>
    <row r="38" spans="1:14">
      <c r="A38" t="s">
        <v>396</v>
      </c>
      <c r="B38">
        <v>68</v>
      </c>
      <c r="C38" t="s">
        <v>233</v>
      </c>
      <c r="D38">
        <v>0.13</v>
      </c>
      <c r="E38">
        <f>30000/100000</f>
        <v>0.3</v>
      </c>
      <c r="F38">
        <f t="shared" si="0"/>
        <v>0</v>
      </c>
      <c r="G38">
        <f t="shared" si="0"/>
        <v>0</v>
      </c>
      <c r="H38">
        <f t="shared" si="0"/>
        <v>0</v>
      </c>
      <c r="I38">
        <f>28937/100000</f>
        <v>0.28937000000000002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0.28937000000000002</v>
      </c>
      <c r="N38">
        <f>M38*100/E38</f>
        <v>96.456666666666678</v>
      </c>
    </row>
    <row r="39" spans="1:14">
      <c r="A39" t="s">
        <v>238</v>
      </c>
      <c r="B39">
        <v>1200</v>
      </c>
      <c r="C39" t="s">
        <v>233</v>
      </c>
      <c r="D39">
        <v>2.36</v>
      </c>
      <c r="E39">
        <f>150000/100000</f>
        <v>1.5</v>
      </c>
      <c r="F39">
        <f t="shared" si="0"/>
        <v>0</v>
      </c>
      <c r="G39">
        <f t="shared" si="0"/>
        <v>0</v>
      </c>
      <c r="H39">
        <f t="shared" si="0"/>
        <v>0</v>
      </c>
      <c r="I39">
        <f>0/100000</f>
        <v>0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0</v>
      </c>
      <c r="N39">
        <f>M39*100/E39</f>
        <v>0</v>
      </c>
    </row>
    <row r="40" spans="1:14">
      <c r="A40" t="s">
        <v>667</v>
      </c>
      <c r="B40">
        <v>565</v>
      </c>
      <c r="C40" t="s">
        <v>233</v>
      </c>
      <c r="D40">
        <v>1.08</v>
      </c>
      <c r="E40">
        <f>108350/100000</f>
        <v>1.0834999999999999</v>
      </c>
      <c r="F40">
        <f t="shared" si="0"/>
        <v>0</v>
      </c>
      <c r="G40">
        <f t="shared" si="0"/>
        <v>0</v>
      </c>
      <c r="H40">
        <f t="shared" si="0"/>
        <v>0</v>
      </c>
      <c r="I40">
        <f>108350/100000</f>
        <v>1.0834999999999999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1.0834999999999999</v>
      </c>
      <c r="N40">
        <f>M40*100/E40</f>
        <v>100</v>
      </c>
    </row>
    <row r="41" spans="1:14">
      <c r="A41" t="s">
        <v>240</v>
      </c>
      <c r="B41">
        <v>1000</v>
      </c>
      <c r="C41" t="s">
        <v>233</v>
      </c>
      <c r="D41">
        <v>1.97</v>
      </c>
      <c r="E41">
        <v>0</v>
      </c>
      <c r="F41">
        <f t="shared" si="0"/>
        <v>0</v>
      </c>
      <c r="G41">
        <f t="shared" si="0"/>
        <v>0</v>
      </c>
      <c r="H41">
        <f t="shared" si="0"/>
        <v>0</v>
      </c>
      <c r="I41">
        <v>0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</v>
      </c>
      <c r="N41">
        <v>0</v>
      </c>
    </row>
    <row r="42" spans="1:14">
      <c r="A42" t="s">
        <v>394</v>
      </c>
      <c r="B42">
        <v>2750</v>
      </c>
      <c r="C42" t="s">
        <v>242</v>
      </c>
      <c r="D42">
        <v>2.31</v>
      </c>
      <c r="E42">
        <f>92500/100000</f>
        <v>0.92500000000000004</v>
      </c>
      <c r="F42">
        <f t="shared" si="0"/>
        <v>0</v>
      </c>
      <c r="G42">
        <f t="shared" si="0"/>
        <v>0</v>
      </c>
      <c r="H42">
        <f t="shared" si="0"/>
        <v>0</v>
      </c>
      <c r="I42">
        <f>54343/100000</f>
        <v>0.54342999999999997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0.54342999999999997</v>
      </c>
      <c r="N42">
        <f>M42*100/E42</f>
        <v>58.749189189189181</v>
      </c>
    </row>
    <row r="43" spans="1:14">
      <c r="A43" t="s">
        <v>670</v>
      </c>
      <c r="B43">
        <v>10000</v>
      </c>
      <c r="C43" t="s">
        <v>244</v>
      </c>
      <c r="D43">
        <v>0.1</v>
      </c>
      <c r="E43">
        <v>0</v>
      </c>
      <c r="F43">
        <f t="shared" si="0"/>
        <v>0</v>
      </c>
      <c r="G43">
        <f t="shared" si="0"/>
        <v>0</v>
      </c>
      <c r="H43">
        <f t="shared" si="0"/>
        <v>0</v>
      </c>
      <c r="I43">
        <v>0</v>
      </c>
      <c r="J43">
        <f t="shared" si="1"/>
        <v>0</v>
      </c>
      <c r="K43">
        <f t="shared" si="1"/>
        <v>0</v>
      </c>
      <c r="L43">
        <f t="shared" si="1"/>
        <v>0</v>
      </c>
      <c r="M43">
        <f t="shared" si="2"/>
        <v>0</v>
      </c>
      <c r="N43">
        <v>0</v>
      </c>
    </row>
    <row r="44" spans="1:14">
      <c r="A44" t="s">
        <v>3941</v>
      </c>
      <c r="D44">
        <f t="shared" ref="D44:M44" si="3">SUM(D35:D43)</f>
        <v>29.48</v>
      </c>
      <c r="E44">
        <f t="shared" si="3"/>
        <v>13.076000000000001</v>
      </c>
      <c r="F44">
        <f t="shared" si="3"/>
        <v>0</v>
      </c>
      <c r="G44">
        <f t="shared" si="3"/>
        <v>0</v>
      </c>
      <c r="H44">
        <f t="shared" si="3"/>
        <v>0</v>
      </c>
      <c r="I44">
        <f t="shared" si="3"/>
        <v>3.5494399999999997</v>
      </c>
      <c r="J44">
        <f t="shared" si="3"/>
        <v>0</v>
      </c>
      <c r="K44">
        <f t="shared" si="3"/>
        <v>0</v>
      </c>
      <c r="L44">
        <f t="shared" si="3"/>
        <v>0</v>
      </c>
      <c r="M44">
        <f t="shared" si="3"/>
        <v>3.5494399999999997</v>
      </c>
      <c r="N44">
        <f>M44*100/E44</f>
        <v>27.144692566534104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3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4022</v>
      </c>
      <c r="E4" t="s">
        <v>3914</v>
      </c>
      <c r="G4" t="s">
        <v>4023</v>
      </c>
      <c r="J4" t="s">
        <v>2456</v>
      </c>
      <c r="K4">
        <v>608</v>
      </c>
      <c r="L4" t="s">
        <v>173</v>
      </c>
      <c r="N4">
        <v>80</v>
      </c>
    </row>
    <row r="6" spans="1:14">
      <c r="A6" t="s">
        <v>174</v>
      </c>
      <c r="B6" t="s">
        <v>4024</v>
      </c>
      <c r="E6" t="s">
        <v>176</v>
      </c>
      <c r="G6" t="s">
        <v>4000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4010</v>
      </c>
    </row>
    <row r="13" spans="1:14">
      <c r="A13" t="s">
        <v>187</v>
      </c>
      <c r="B13" t="s">
        <v>4024</v>
      </c>
      <c r="C13" t="s">
        <v>4011</v>
      </c>
    </row>
    <row r="14" spans="1:14">
      <c r="B14" t="s">
        <v>2776</v>
      </c>
      <c r="C14" t="s">
        <v>4013</v>
      </c>
    </row>
    <row r="15" spans="1:14">
      <c r="A15" t="s">
        <v>192</v>
      </c>
      <c r="B15" t="s">
        <v>4025</v>
      </c>
      <c r="C15" t="s">
        <v>3981</v>
      </c>
    </row>
    <row r="16" spans="1:14">
      <c r="B16" t="s">
        <v>4026</v>
      </c>
      <c r="C16" t="s">
        <v>3927</v>
      </c>
    </row>
    <row r="17" spans="1:14">
      <c r="B17" t="s">
        <v>4027</v>
      </c>
      <c r="C17" t="s">
        <v>4028</v>
      </c>
    </row>
    <row r="18" spans="1:14">
      <c r="B18" t="s">
        <v>2776</v>
      </c>
      <c r="C18" t="s">
        <v>3933</v>
      </c>
    </row>
    <row r="19" spans="1:14">
      <c r="B19" t="s">
        <v>4029</v>
      </c>
      <c r="C19" t="s">
        <v>3935</v>
      </c>
    </row>
    <row r="20" spans="1:14">
      <c r="A20" t="s">
        <v>197</v>
      </c>
    </row>
    <row r="22" spans="1:14">
      <c r="A22" t="s">
        <v>3936</v>
      </c>
      <c r="B22">
        <v>1</v>
      </c>
      <c r="C22" t="s">
        <v>199</v>
      </c>
      <c r="F22">
        <v>1</v>
      </c>
      <c r="G22" t="s">
        <v>200</v>
      </c>
      <c r="H22">
        <v>3</v>
      </c>
      <c r="I22" t="s">
        <v>201</v>
      </c>
      <c r="J22">
        <v>0</v>
      </c>
      <c r="K22" t="s">
        <v>202</v>
      </c>
      <c r="L22">
        <v>3</v>
      </c>
    </row>
    <row r="25" spans="1:14">
      <c r="A25" t="s">
        <v>203</v>
      </c>
      <c r="B25" t="s">
        <v>204</v>
      </c>
      <c r="C25">
        <v>35</v>
      </c>
      <c r="D25" t="s">
        <v>205</v>
      </c>
      <c r="E25">
        <v>9</v>
      </c>
      <c r="F25" t="s">
        <v>206</v>
      </c>
      <c r="G25">
        <v>0</v>
      </c>
      <c r="H25" t="s">
        <v>230</v>
      </c>
      <c r="I25">
        <f>G25+E25+C25</f>
        <v>44</v>
      </c>
      <c r="J25" t="s">
        <v>207</v>
      </c>
      <c r="K25">
        <v>16</v>
      </c>
      <c r="L25" t="s">
        <v>3187</v>
      </c>
      <c r="N25">
        <v>8</v>
      </c>
    </row>
    <row r="26" spans="1:14">
      <c r="A26" t="s">
        <v>1029</v>
      </c>
      <c r="B26" t="s">
        <v>210</v>
      </c>
      <c r="C26">
        <v>78</v>
      </c>
      <c r="D26" t="s">
        <v>211</v>
      </c>
      <c r="E26">
        <v>24</v>
      </c>
      <c r="F26" t="s">
        <v>212</v>
      </c>
      <c r="G26">
        <v>0</v>
      </c>
      <c r="H26" t="s">
        <v>411</v>
      </c>
      <c r="I26">
        <f>G26+E26+C26</f>
        <v>102</v>
      </c>
    </row>
    <row r="27" spans="1:14">
      <c r="B27" t="s">
        <v>213</v>
      </c>
      <c r="C27">
        <v>88</v>
      </c>
      <c r="D27" t="s">
        <v>214</v>
      </c>
      <c r="E27">
        <v>16</v>
      </c>
      <c r="F27" t="s">
        <v>215</v>
      </c>
      <c r="G27">
        <v>0</v>
      </c>
      <c r="H27" t="s">
        <v>410</v>
      </c>
      <c r="I27">
        <f>G27+E27+C27</f>
        <v>104</v>
      </c>
    </row>
    <row r="29" spans="1:14">
      <c r="A29" t="s">
        <v>216</v>
      </c>
    </row>
    <row r="31" spans="1:14">
      <c r="A31" t="s">
        <v>217</v>
      </c>
      <c r="B31" t="s">
        <v>3937</v>
      </c>
      <c r="C31" t="s">
        <v>219</v>
      </c>
      <c r="D31" t="s">
        <v>1363</v>
      </c>
      <c r="E31" t="s">
        <v>1713</v>
      </c>
      <c r="F31" t="s">
        <v>222</v>
      </c>
    </row>
    <row r="32" spans="1:14">
      <c r="F32" t="s">
        <v>1181</v>
      </c>
      <c r="G32" t="s">
        <v>1180</v>
      </c>
      <c r="H32" t="s">
        <v>1179</v>
      </c>
      <c r="I32" t="s">
        <v>1178</v>
      </c>
      <c r="J32" t="s">
        <v>3938</v>
      </c>
      <c r="K32" t="s">
        <v>3939</v>
      </c>
      <c r="L32" t="s">
        <v>3940</v>
      </c>
    </row>
    <row r="33" spans="1:14">
      <c r="F33">
        <v>1</v>
      </c>
      <c r="G33">
        <v>2</v>
      </c>
      <c r="H33">
        <v>3</v>
      </c>
      <c r="I33">
        <v>4</v>
      </c>
      <c r="J33">
        <v>5</v>
      </c>
      <c r="K33">
        <v>6</v>
      </c>
      <c r="L33">
        <v>7</v>
      </c>
      <c r="M33" t="s">
        <v>230</v>
      </c>
      <c r="N33" t="s">
        <v>231</v>
      </c>
    </row>
    <row r="34" spans="1:14">
      <c r="A34" t="s">
        <v>232</v>
      </c>
      <c r="B34">
        <v>8000</v>
      </c>
      <c r="C34" t="s">
        <v>233</v>
      </c>
      <c r="D34">
        <v>48.64</v>
      </c>
      <c r="E34">
        <f>2736000/100000</f>
        <v>27.36</v>
      </c>
      <c r="F34">
        <f t="shared" ref="F34:H42" si="0">0/100000</f>
        <v>0</v>
      </c>
      <c r="G34">
        <f t="shared" si="0"/>
        <v>0</v>
      </c>
      <c r="H34">
        <f>32261/100000</f>
        <v>0.32261000000000001</v>
      </c>
      <c r="I34">
        <f>941942/100000</f>
        <v>9.4194200000000006</v>
      </c>
      <c r="J34">
        <f t="shared" ref="J34:L42" si="1">0/100000</f>
        <v>0</v>
      </c>
      <c r="K34">
        <f t="shared" si="1"/>
        <v>0</v>
      </c>
      <c r="L34">
        <f t="shared" si="1"/>
        <v>0</v>
      </c>
      <c r="M34">
        <f t="shared" ref="M34:M42" si="2">L34+K34+J34+I34+H34+G34</f>
        <v>9.7420299999999997</v>
      </c>
      <c r="N34">
        <f>M34*100/E34</f>
        <v>35.606834795321639</v>
      </c>
    </row>
    <row r="35" spans="1:14">
      <c r="A35" t="s">
        <v>234</v>
      </c>
      <c r="B35">
        <v>7000</v>
      </c>
      <c r="C35" t="s">
        <v>233</v>
      </c>
      <c r="D35">
        <v>5.6</v>
      </c>
      <c r="E35">
        <f>0/100000</f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>0/100000</f>
        <v>0</v>
      </c>
      <c r="J35">
        <f t="shared" si="1"/>
        <v>0</v>
      </c>
      <c r="K35">
        <f t="shared" si="1"/>
        <v>0</v>
      </c>
      <c r="L35">
        <f t="shared" si="1"/>
        <v>0</v>
      </c>
      <c r="M35">
        <f t="shared" si="2"/>
        <v>0</v>
      </c>
      <c r="N35">
        <v>0</v>
      </c>
    </row>
    <row r="36" spans="1:14">
      <c r="A36" t="s">
        <v>235</v>
      </c>
      <c r="B36">
        <v>86</v>
      </c>
      <c r="C36" t="s">
        <v>233</v>
      </c>
      <c r="D36">
        <v>0.52</v>
      </c>
      <c r="E36">
        <f>40250/100000</f>
        <v>0.40250000000000002</v>
      </c>
      <c r="F36">
        <f t="shared" si="0"/>
        <v>0</v>
      </c>
      <c r="G36">
        <f t="shared" si="0"/>
        <v>0</v>
      </c>
      <c r="H36">
        <f>18000/100000</f>
        <v>0.18</v>
      </c>
      <c r="I36">
        <f>937/100000</f>
        <v>9.3699999999999999E-3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0.18936999999999998</v>
      </c>
      <c r="N36">
        <f>M36*100/E36</f>
        <v>47.048447204968937</v>
      </c>
    </row>
    <row r="37" spans="1:14">
      <c r="A37" t="s">
        <v>396</v>
      </c>
      <c r="B37">
        <v>68</v>
      </c>
      <c r="C37" t="s">
        <v>233</v>
      </c>
      <c r="D37">
        <v>0.41</v>
      </c>
      <c r="E37">
        <f>30000/100000</f>
        <v>0.3</v>
      </c>
      <c r="F37">
        <f t="shared" si="0"/>
        <v>0</v>
      </c>
      <c r="G37">
        <f t="shared" si="0"/>
        <v>0</v>
      </c>
      <c r="H37">
        <f>16000/100000</f>
        <v>0.16</v>
      </c>
      <c r="I37">
        <f>12937/100000</f>
        <v>0.12937000000000001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0.28937000000000002</v>
      </c>
      <c r="N37">
        <f>M37*100/E37</f>
        <v>96.456666666666678</v>
      </c>
    </row>
    <row r="38" spans="1:14">
      <c r="A38" t="s">
        <v>238</v>
      </c>
      <c r="B38">
        <v>1200</v>
      </c>
      <c r="C38" t="s">
        <v>233</v>
      </c>
      <c r="D38">
        <v>7.3</v>
      </c>
      <c r="E38">
        <f>200000/100000</f>
        <v>2</v>
      </c>
      <c r="F38">
        <f t="shared" si="0"/>
        <v>0</v>
      </c>
      <c r="G38">
        <f t="shared" si="0"/>
        <v>0</v>
      </c>
      <c r="H38">
        <f>0/100000</f>
        <v>0</v>
      </c>
      <c r="I38">
        <f>11800/100000</f>
        <v>0.11799999999999999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0.11799999999999999</v>
      </c>
      <c r="N38">
        <f>M38*100/E38</f>
        <v>5.8999999999999995</v>
      </c>
    </row>
    <row r="39" spans="1:14">
      <c r="A39" t="s">
        <v>667</v>
      </c>
      <c r="B39">
        <v>565</v>
      </c>
      <c r="C39" t="s">
        <v>233</v>
      </c>
      <c r="D39">
        <v>3.34</v>
      </c>
      <c r="E39">
        <f>334400/100000</f>
        <v>3.3439999999999999</v>
      </c>
      <c r="F39">
        <f t="shared" si="0"/>
        <v>0</v>
      </c>
      <c r="G39">
        <f t="shared" si="0"/>
        <v>0</v>
      </c>
      <c r="H39">
        <f>334400/100000</f>
        <v>3.3439999999999999</v>
      </c>
      <c r="I39">
        <v>0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3.3439999999999999</v>
      </c>
      <c r="N39">
        <f>M39*100/E39</f>
        <v>100</v>
      </c>
    </row>
    <row r="40" spans="1:14">
      <c r="A40" t="s">
        <v>240</v>
      </c>
      <c r="B40">
        <v>1000</v>
      </c>
      <c r="C40" t="s">
        <v>233</v>
      </c>
      <c r="D40">
        <v>6.08</v>
      </c>
      <c r="E40">
        <v>0</v>
      </c>
      <c r="F40">
        <f t="shared" si="0"/>
        <v>0</v>
      </c>
      <c r="G40">
        <f t="shared" si="0"/>
        <v>0</v>
      </c>
      <c r="H40">
        <f>0/100000</f>
        <v>0</v>
      </c>
      <c r="I40"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0</v>
      </c>
      <c r="N40">
        <v>0</v>
      </c>
    </row>
    <row r="41" spans="1:14">
      <c r="A41" t="s">
        <v>394</v>
      </c>
      <c r="B41">
        <v>2750</v>
      </c>
      <c r="C41" t="s">
        <v>242</v>
      </c>
      <c r="D41">
        <v>2.31</v>
      </c>
      <c r="E41">
        <f>92500/100000</f>
        <v>0.92500000000000004</v>
      </c>
      <c r="F41">
        <f t="shared" si="0"/>
        <v>0</v>
      </c>
      <c r="G41">
        <f t="shared" si="0"/>
        <v>0</v>
      </c>
      <c r="H41">
        <f>12750/100000</f>
        <v>0.1275</v>
      </c>
      <c r="I41">
        <f>45483/100000</f>
        <v>0.45483000000000001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0.58233000000000001</v>
      </c>
      <c r="N41">
        <f>M41*100/E41</f>
        <v>62.954594594594596</v>
      </c>
    </row>
    <row r="42" spans="1:14">
      <c r="A42" t="s">
        <v>670</v>
      </c>
      <c r="B42">
        <v>10000</v>
      </c>
      <c r="C42" t="s">
        <v>244</v>
      </c>
      <c r="D42">
        <v>0.1</v>
      </c>
      <c r="E42">
        <v>0</v>
      </c>
      <c r="F42">
        <f t="shared" si="0"/>
        <v>0</v>
      </c>
      <c r="G42">
        <f t="shared" si="0"/>
        <v>0</v>
      </c>
      <c r="H42">
        <f>0/100000</f>
        <v>0</v>
      </c>
      <c r="I42">
        <v>0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</v>
      </c>
      <c r="N42">
        <v>0</v>
      </c>
    </row>
    <row r="43" spans="1:14">
      <c r="A43" t="s">
        <v>3941</v>
      </c>
      <c r="D43">
        <f t="shared" ref="D43:M43" si="3">SUM(D34:D42)</f>
        <v>74.3</v>
      </c>
      <c r="E43">
        <f t="shared" si="3"/>
        <v>34.331499999999998</v>
      </c>
      <c r="F43">
        <f t="shared" si="3"/>
        <v>0</v>
      </c>
      <c r="G43">
        <f t="shared" si="3"/>
        <v>0</v>
      </c>
      <c r="H43">
        <f t="shared" si="3"/>
        <v>4.1341100000000006</v>
      </c>
      <c r="I43">
        <f t="shared" si="3"/>
        <v>10.130990000000001</v>
      </c>
      <c r="J43">
        <f t="shared" si="3"/>
        <v>0</v>
      </c>
      <c r="K43">
        <f t="shared" si="3"/>
        <v>0</v>
      </c>
      <c r="L43">
        <f t="shared" si="3"/>
        <v>0</v>
      </c>
      <c r="M43">
        <f t="shared" si="3"/>
        <v>14.2651</v>
      </c>
      <c r="N43">
        <f>M43*100/E43</f>
        <v>41.551053697042079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2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4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4030</v>
      </c>
      <c r="E4" t="s">
        <v>3914</v>
      </c>
      <c r="G4" t="s">
        <v>4023</v>
      </c>
      <c r="J4" t="s">
        <v>2456</v>
      </c>
      <c r="K4">
        <v>387</v>
      </c>
      <c r="L4" t="s">
        <v>173</v>
      </c>
      <c r="N4">
        <v>80</v>
      </c>
    </row>
    <row r="6" spans="1:14">
      <c r="A6" t="s">
        <v>174</v>
      </c>
      <c r="B6" t="s">
        <v>1524</v>
      </c>
      <c r="E6" t="s">
        <v>176</v>
      </c>
      <c r="G6" t="s">
        <v>5747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4031</v>
      </c>
    </row>
    <row r="13" spans="1:14">
      <c r="A13" t="s">
        <v>187</v>
      </c>
      <c r="B13" t="s">
        <v>1524</v>
      </c>
      <c r="C13" t="s">
        <v>4011</v>
      </c>
    </row>
    <row r="14" spans="1:14">
      <c r="B14" t="s">
        <v>4032</v>
      </c>
      <c r="C14" t="s">
        <v>4013</v>
      </c>
    </row>
    <row r="15" spans="1:14">
      <c r="A15" t="s">
        <v>192</v>
      </c>
      <c r="B15" t="s">
        <v>4033</v>
      </c>
      <c r="C15" t="s">
        <v>3935</v>
      </c>
    </row>
    <row r="16" spans="1:14">
      <c r="B16" t="s">
        <v>4034</v>
      </c>
      <c r="C16" t="s">
        <v>4017</v>
      </c>
    </row>
    <row r="17" spans="1:14">
      <c r="B17" t="s">
        <v>4035</v>
      </c>
      <c r="C17" t="s">
        <v>3981</v>
      </c>
    </row>
    <row r="18" spans="1:14">
      <c r="B18" t="s">
        <v>4036</v>
      </c>
      <c r="C18" t="s">
        <v>4021</v>
      </c>
    </row>
    <row r="19" spans="1:14">
      <c r="B19" t="s">
        <v>4003</v>
      </c>
      <c r="C19" t="s">
        <v>3929</v>
      </c>
    </row>
    <row r="20" spans="1:14">
      <c r="B20" t="s">
        <v>4037</v>
      </c>
      <c r="C20" t="s">
        <v>3927</v>
      </c>
    </row>
    <row r="21" spans="1:14">
      <c r="A21" t="s">
        <v>197</v>
      </c>
    </row>
    <row r="23" spans="1:14">
      <c r="A23" t="s">
        <v>3936</v>
      </c>
      <c r="B23">
        <v>1</v>
      </c>
      <c r="C23" t="s">
        <v>199</v>
      </c>
      <c r="F23">
        <v>1</v>
      </c>
      <c r="G23" t="s">
        <v>200</v>
      </c>
      <c r="H23">
        <v>1</v>
      </c>
      <c r="I23" t="s">
        <v>201</v>
      </c>
      <c r="J23">
        <v>0</v>
      </c>
      <c r="K23" t="s">
        <v>202</v>
      </c>
      <c r="L23">
        <v>5</v>
      </c>
    </row>
    <row r="26" spans="1:14">
      <c r="A26" t="s">
        <v>203</v>
      </c>
      <c r="B26" t="s">
        <v>204</v>
      </c>
      <c r="C26">
        <v>44</v>
      </c>
      <c r="D26" t="s">
        <v>205</v>
      </c>
      <c r="E26">
        <v>25</v>
      </c>
      <c r="F26" t="s">
        <v>206</v>
      </c>
      <c r="G26">
        <v>0</v>
      </c>
      <c r="H26" t="s">
        <v>230</v>
      </c>
      <c r="I26">
        <f>G26+E26+C26</f>
        <v>69</v>
      </c>
      <c r="J26" t="s">
        <v>207</v>
      </c>
      <c r="K26">
        <v>44</v>
      </c>
      <c r="L26" t="s">
        <v>3187</v>
      </c>
      <c r="N26">
        <v>23</v>
      </c>
    </row>
    <row r="27" spans="1:14">
      <c r="A27" t="s">
        <v>1029</v>
      </c>
      <c r="B27" t="s">
        <v>210</v>
      </c>
      <c r="C27">
        <v>91</v>
      </c>
      <c r="D27" t="s">
        <v>211</v>
      </c>
      <c r="E27">
        <v>36</v>
      </c>
      <c r="F27" t="s">
        <v>212</v>
      </c>
      <c r="G27">
        <v>0</v>
      </c>
      <c r="H27" t="s">
        <v>411</v>
      </c>
      <c r="I27">
        <f>G27+E27+C27</f>
        <v>127</v>
      </c>
    </row>
    <row r="28" spans="1:14">
      <c r="B28" t="s">
        <v>213</v>
      </c>
      <c r="C28">
        <v>90</v>
      </c>
      <c r="D28" t="s">
        <v>214</v>
      </c>
      <c r="E28">
        <v>57</v>
      </c>
      <c r="F28" t="s">
        <v>215</v>
      </c>
      <c r="G28">
        <v>0</v>
      </c>
      <c r="H28" t="s">
        <v>410</v>
      </c>
      <c r="I28">
        <f>G28+E28+C28</f>
        <v>147</v>
      </c>
    </row>
    <row r="30" spans="1:14">
      <c r="A30" t="s">
        <v>216</v>
      </c>
    </row>
    <row r="32" spans="1:14">
      <c r="A32" t="s">
        <v>217</v>
      </c>
      <c r="B32" t="s">
        <v>3937</v>
      </c>
      <c r="C32" t="s">
        <v>219</v>
      </c>
      <c r="D32" t="s">
        <v>1363</v>
      </c>
      <c r="E32" t="s">
        <v>1713</v>
      </c>
      <c r="F32" t="s">
        <v>222</v>
      </c>
    </row>
    <row r="33" spans="1:14">
      <c r="F33" t="s">
        <v>1181</v>
      </c>
      <c r="G33" t="s">
        <v>1180</v>
      </c>
      <c r="H33" t="s">
        <v>1179</v>
      </c>
      <c r="I33" t="s">
        <v>1178</v>
      </c>
      <c r="J33" t="s">
        <v>3938</v>
      </c>
      <c r="K33" t="s">
        <v>3939</v>
      </c>
      <c r="L33" t="s">
        <v>3940</v>
      </c>
    </row>
    <row r="34" spans="1:14">
      <c r="F34">
        <v>1</v>
      </c>
      <c r="G34">
        <v>2</v>
      </c>
      <c r="H34">
        <v>3</v>
      </c>
      <c r="I34">
        <v>4</v>
      </c>
      <c r="J34">
        <v>5</v>
      </c>
      <c r="K34">
        <v>6</v>
      </c>
      <c r="L34">
        <v>7</v>
      </c>
      <c r="M34" t="s">
        <v>230</v>
      </c>
      <c r="N34" t="s">
        <v>231</v>
      </c>
    </row>
    <row r="35" spans="1:14">
      <c r="A35" t="s">
        <v>232</v>
      </c>
      <c r="B35">
        <v>8000</v>
      </c>
      <c r="C35" t="s">
        <v>233</v>
      </c>
      <c r="D35">
        <v>30.96</v>
      </c>
      <c r="E35">
        <f>1741500/100000</f>
        <v>17.414999999999999</v>
      </c>
      <c r="F35">
        <f t="shared" ref="F35:H43" si="0">0/100000</f>
        <v>0</v>
      </c>
      <c r="G35">
        <f t="shared" si="0"/>
        <v>0</v>
      </c>
      <c r="H35">
        <f>2059/100000</f>
        <v>2.0590000000000001E-2</v>
      </c>
      <c r="I35">
        <f>441974/100000</f>
        <v>4.41974</v>
      </c>
      <c r="J35">
        <f t="shared" ref="J35:L43" si="1">0/100000</f>
        <v>0</v>
      </c>
      <c r="K35">
        <f t="shared" si="1"/>
        <v>0</v>
      </c>
      <c r="L35">
        <f t="shared" si="1"/>
        <v>0</v>
      </c>
      <c r="M35">
        <f t="shared" ref="M35:M43" si="2">L35+K35+J35+I35+H35+G35</f>
        <v>4.4403300000000003</v>
      </c>
      <c r="N35">
        <f>M35*100/E35</f>
        <v>25.497157622739021</v>
      </c>
    </row>
    <row r="36" spans="1:14">
      <c r="A36" t="s">
        <v>234</v>
      </c>
      <c r="B36">
        <v>7000</v>
      </c>
      <c r="C36" t="s">
        <v>233</v>
      </c>
      <c r="D36">
        <v>5.6</v>
      </c>
      <c r="E36">
        <f>0/100000</f>
        <v>0</v>
      </c>
      <c r="F36">
        <f t="shared" si="0"/>
        <v>0</v>
      </c>
      <c r="G36">
        <f t="shared" si="0"/>
        <v>0</v>
      </c>
      <c r="H36">
        <f t="shared" si="0"/>
        <v>0</v>
      </c>
      <c r="I36">
        <f>0/100000</f>
        <v>0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</v>
      </c>
      <c r="N36">
        <v>0</v>
      </c>
    </row>
    <row r="37" spans="1:14">
      <c r="A37" t="s">
        <v>235</v>
      </c>
      <c r="B37">
        <v>86</v>
      </c>
      <c r="C37" t="s">
        <v>233</v>
      </c>
      <c r="D37">
        <v>0.33</v>
      </c>
      <c r="E37">
        <f>40250/100000</f>
        <v>0.40250000000000002</v>
      </c>
      <c r="F37">
        <f t="shared" si="0"/>
        <v>0</v>
      </c>
      <c r="G37">
        <f t="shared" si="0"/>
        <v>0</v>
      </c>
      <c r="H37">
        <f>18000/100000</f>
        <v>0.18</v>
      </c>
      <c r="I37">
        <f>837/100000</f>
        <v>8.3700000000000007E-3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0.18836999999999998</v>
      </c>
      <c r="N37">
        <f>M37*100/E37</f>
        <v>46.8</v>
      </c>
    </row>
    <row r="38" spans="1:14">
      <c r="A38" t="s">
        <v>396</v>
      </c>
      <c r="B38">
        <v>68</v>
      </c>
      <c r="C38" t="s">
        <v>233</v>
      </c>
      <c r="D38">
        <v>0.26</v>
      </c>
      <c r="E38">
        <f>30000/100000</f>
        <v>0.3</v>
      </c>
      <c r="F38">
        <f t="shared" si="0"/>
        <v>0</v>
      </c>
      <c r="G38">
        <f t="shared" si="0"/>
        <v>0</v>
      </c>
      <c r="H38">
        <f>16000/100000</f>
        <v>0.16</v>
      </c>
      <c r="I38">
        <f>12937/100000</f>
        <v>0.12937000000000001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0.28937000000000002</v>
      </c>
      <c r="N38">
        <f>M38*100/E38</f>
        <v>96.456666666666678</v>
      </c>
    </row>
    <row r="39" spans="1:14">
      <c r="A39" t="s">
        <v>238</v>
      </c>
      <c r="B39">
        <v>1200</v>
      </c>
      <c r="C39" t="s">
        <v>233</v>
      </c>
      <c r="D39">
        <v>4.6399999999999997</v>
      </c>
      <c r="E39">
        <f>150000/100000</f>
        <v>1.5</v>
      </c>
      <c r="F39">
        <f t="shared" si="0"/>
        <v>0</v>
      </c>
      <c r="G39">
        <f t="shared" si="0"/>
        <v>0</v>
      </c>
      <c r="H39">
        <f>0/100000</f>
        <v>0</v>
      </c>
      <c r="I39">
        <v>0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0</v>
      </c>
      <c r="N39">
        <f>M39*100/E39</f>
        <v>0</v>
      </c>
    </row>
    <row r="40" spans="1:14">
      <c r="A40" t="s">
        <v>667</v>
      </c>
      <c r="B40">
        <v>565</v>
      </c>
      <c r="C40" t="s">
        <v>233</v>
      </c>
      <c r="D40">
        <v>2.13</v>
      </c>
      <c r="E40">
        <f>212850/100000</f>
        <v>2.1284999999999998</v>
      </c>
      <c r="F40">
        <f t="shared" si="0"/>
        <v>0</v>
      </c>
      <c r="G40">
        <f t="shared" si="0"/>
        <v>0</v>
      </c>
      <c r="H40">
        <f>0/100000</f>
        <v>0</v>
      </c>
      <c r="I40">
        <f>212850/100000</f>
        <v>2.1284999999999998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2.1284999999999998</v>
      </c>
      <c r="N40">
        <f>M40*100/E40</f>
        <v>100</v>
      </c>
    </row>
    <row r="41" spans="1:14">
      <c r="A41" t="s">
        <v>240</v>
      </c>
      <c r="B41">
        <v>1000</v>
      </c>
      <c r="C41" t="s">
        <v>233</v>
      </c>
      <c r="D41">
        <v>3.87</v>
      </c>
      <c r="E41">
        <v>0</v>
      </c>
      <c r="F41">
        <f t="shared" si="0"/>
        <v>0</v>
      </c>
      <c r="G41">
        <f t="shared" si="0"/>
        <v>0</v>
      </c>
      <c r="H41">
        <f>0/100000</f>
        <v>0</v>
      </c>
      <c r="I41">
        <v>0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</v>
      </c>
      <c r="N41">
        <v>0</v>
      </c>
    </row>
    <row r="42" spans="1:14">
      <c r="A42" t="s">
        <v>394</v>
      </c>
      <c r="B42">
        <v>2750</v>
      </c>
      <c r="C42" t="s">
        <v>242</v>
      </c>
      <c r="D42">
        <v>2.31</v>
      </c>
      <c r="E42">
        <f>92500/100000</f>
        <v>0.92500000000000004</v>
      </c>
      <c r="F42">
        <f t="shared" si="0"/>
        <v>0</v>
      </c>
      <c r="G42">
        <f t="shared" si="0"/>
        <v>0</v>
      </c>
      <c r="H42">
        <f>9000/100000</f>
        <v>0.09</v>
      </c>
      <c r="I42">
        <f>46801/100000</f>
        <v>0.46800999999999998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0.55801000000000001</v>
      </c>
      <c r="N42">
        <f>M42*100/E42</f>
        <v>60.325405405405405</v>
      </c>
    </row>
    <row r="43" spans="1:14">
      <c r="A43" t="s">
        <v>670</v>
      </c>
      <c r="B43">
        <v>10000</v>
      </c>
      <c r="C43" t="s">
        <v>244</v>
      </c>
      <c r="D43">
        <v>0.1</v>
      </c>
      <c r="E43">
        <v>0</v>
      </c>
      <c r="F43">
        <f t="shared" si="0"/>
        <v>0</v>
      </c>
      <c r="G43">
        <f t="shared" si="0"/>
        <v>0</v>
      </c>
      <c r="H43">
        <f>0/100000</f>
        <v>0</v>
      </c>
      <c r="I43">
        <v>0</v>
      </c>
      <c r="J43">
        <f t="shared" si="1"/>
        <v>0</v>
      </c>
      <c r="K43">
        <f t="shared" si="1"/>
        <v>0</v>
      </c>
      <c r="L43">
        <f t="shared" si="1"/>
        <v>0</v>
      </c>
      <c r="M43">
        <f t="shared" si="2"/>
        <v>0</v>
      </c>
      <c r="N43">
        <v>0</v>
      </c>
    </row>
    <row r="44" spans="1:14">
      <c r="A44" t="s">
        <v>3941</v>
      </c>
      <c r="D44">
        <f t="shared" ref="D44:M44" si="3">SUM(D35:D43)</f>
        <v>50.2</v>
      </c>
      <c r="E44">
        <f t="shared" si="3"/>
        <v>22.670999999999999</v>
      </c>
      <c r="F44">
        <f t="shared" si="3"/>
        <v>0</v>
      </c>
      <c r="G44">
        <f t="shared" si="3"/>
        <v>0</v>
      </c>
      <c r="H44">
        <f t="shared" si="3"/>
        <v>0.45058999999999994</v>
      </c>
      <c r="I44">
        <f t="shared" si="3"/>
        <v>7.1539899999999994</v>
      </c>
      <c r="J44">
        <f t="shared" si="3"/>
        <v>0</v>
      </c>
      <c r="K44">
        <f t="shared" si="3"/>
        <v>0</v>
      </c>
      <c r="L44">
        <f t="shared" si="3"/>
        <v>0</v>
      </c>
      <c r="M44">
        <f t="shared" si="3"/>
        <v>7.6045800000000003</v>
      </c>
      <c r="N44">
        <f>M44*100/E44</f>
        <v>33.543204975519387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3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3099</v>
      </c>
      <c r="E4" t="s">
        <v>3914</v>
      </c>
      <c r="G4" t="s">
        <v>4038</v>
      </c>
      <c r="J4" t="s">
        <v>2456</v>
      </c>
      <c r="K4">
        <v>560</v>
      </c>
      <c r="L4" t="s">
        <v>173</v>
      </c>
      <c r="N4">
        <v>80</v>
      </c>
    </row>
    <row r="6" spans="1:14">
      <c r="A6" t="s">
        <v>174</v>
      </c>
      <c r="B6" t="s">
        <v>5748</v>
      </c>
      <c r="E6" t="s">
        <v>176</v>
      </c>
      <c r="G6" t="s">
        <v>797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4039</v>
      </c>
      <c r="D12" t="s">
        <v>4040</v>
      </c>
    </row>
    <row r="13" spans="1:14">
      <c r="A13" t="s">
        <v>187</v>
      </c>
      <c r="B13" t="s">
        <v>4041</v>
      </c>
      <c r="C13" t="s">
        <v>3921</v>
      </c>
      <c r="D13" t="s">
        <v>4042</v>
      </c>
      <c r="E13" t="s">
        <v>3921</v>
      </c>
    </row>
    <row r="14" spans="1:14">
      <c r="B14" t="s">
        <v>4043</v>
      </c>
      <c r="C14" t="s">
        <v>3924</v>
      </c>
      <c r="D14" t="s">
        <v>4044</v>
      </c>
      <c r="E14" t="s">
        <v>3924</v>
      </c>
    </row>
    <row r="15" spans="1:14">
      <c r="A15" t="s">
        <v>192</v>
      </c>
      <c r="B15" t="s">
        <v>4045</v>
      </c>
      <c r="C15" t="s">
        <v>3929</v>
      </c>
    </row>
    <row r="16" spans="1:14">
      <c r="B16" t="s">
        <v>4046</v>
      </c>
      <c r="C16" t="s">
        <v>3935</v>
      </c>
    </row>
    <row r="17" spans="1:14">
      <c r="B17" t="s">
        <v>4047</v>
      </c>
      <c r="C17" t="s">
        <v>3933</v>
      </c>
    </row>
    <row r="18" spans="1:14">
      <c r="B18" t="s">
        <v>4048</v>
      </c>
      <c r="C18" t="s">
        <v>3981</v>
      </c>
    </row>
    <row r="19" spans="1:14">
      <c r="B19" t="s">
        <v>4049</v>
      </c>
      <c r="C19" t="s">
        <v>3927</v>
      </c>
    </row>
    <row r="20" spans="1:14">
      <c r="A20" t="s">
        <v>197</v>
      </c>
    </row>
    <row r="22" spans="1:14">
      <c r="A22" t="s">
        <v>3936</v>
      </c>
      <c r="B22">
        <v>2</v>
      </c>
      <c r="C22" t="s">
        <v>199</v>
      </c>
      <c r="F22">
        <v>2</v>
      </c>
      <c r="G22" t="s">
        <v>200</v>
      </c>
      <c r="H22">
        <v>2</v>
      </c>
      <c r="I22" t="s">
        <v>201</v>
      </c>
      <c r="J22">
        <v>0</v>
      </c>
      <c r="K22" t="s">
        <v>202</v>
      </c>
      <c r="L22">
        <v>4</v>
      </c>
    </row>
    <row r="25" spans="1:14">
      <c r="A25" t="s">
        <v>203</v>
      </c>
      <c r="B25" t="s">
        <v>204</v>
      </c>
      <c r="C25">
        <v>31</v>
      </c>
      <c r="D25" t="s">
        <v>205</v>
      </c>
      <c r="E25">
        <v>9</v>
      </c>
      <c r="F25" t="s">
        <v>206</v>
      </c>
      <c r="G25">
        <v>1</v>
      </c>
      <c r="H25" t="s">
        <v>230</v>
      </c>
      <c r="I25">
        <f>G25+E25+C25</f>
        <v>41</v>
      </c>
      <c r="J25" t="s">
        <v>207</v>
      </c>
      <c r="K25">
        <v>24</v>
      </c>
      <c r="L25" t="s">
        <v>3187</v>
      </c>
      <c r="N25">
        <v>8</v>
      </c>
    </row>
    <row r="26" spans="1:14">
      <c r="A26" t="s">
        <v>1029</v>
      </c>
      <c r="B26" t="s">
        <v>210</v>
      </c>
      <c r="C26">
        <v>66</v>
      </c>
      <c r="D26" t="s">
        <v>211</v>
      </c>
      <c r="E26">
        <v>12</v>
      </c>
      <c r="F26" t="s">
        <v>212</v>
      </c>
      <c r="G26">
        <v>3</v>
      </c>
      <c r="H26" t="s">
        <v>411</v>
      </c>
      <c r="I26">
        <f>G26+E26+C26</f>
        <v>81</v>
      </c>
    </row>
    <row r="27" spans="1:14">
      <c r="B27" t="s">
        <v>213</v>
      </c>
      <c r="C27">
        <v>60</v>
      </c>
      <c r="D27" t="s">
        <v>214</v>
      </c>
      <c r="E27">
        <v>20</v>
      </c>
      <c r="F27" t="s">
        <v>215</v>
      </c>
      <c r="G27">
        <v>3</v>
      </c>
      <c r="H27" t="s">
        <v>410</v>
      </c>
      <c r="I27">
        <f>G27+E27+C27</f>
        <v>83</v>
      </c>
    </row>
    <row r="29" spans="1:14">
      <c r="A29" t="s">
        <v>216</v>
      </c>
    </row>
    <row r="31" spans="1:14">
      <c r="A31" t="s">
        <v>217</v>
      </c>
      <c r="B31" t="s">
        <v>3937</v>
      </c>
      <c r="C31" t="s">
        <v>219</v>
      </c>
      <c r="D31" t="s">
        <v>1363</v>
      </c>
      <c r="E31" t="s">
        <v>1713</v>
      </c>
      <c r="F31" t="s">
        <v>222</v>
      </c>
    </row>
    <row r="32" spans="1:14">
      <c r="F32" t="s">
        <v>1181</v>
      </c>
      <c r="G32" t="s">
        <v>1180</v>
      </c>
      <c r="H32" t="s">
        <v>1179</v>
      </c>
      <c r="I32" t="s">
        <v>1178</v>
      </c>
      <c r="J32" t="s">
        <v>3938</v>
      </c>
      <c r="K32" t="s">
        <v>3939</v>
      </c>
      <c r="L32" t="s">
        <v>3940</v>
      </c>
    </row>
    <row r="33" spans="1:14">
      <c r="F33">
        <v>1</v>
      </c>
      <c r="G33">
        <v>2</v>
      </c>
      <c r="H33">
        <v>3</v>
      </c>
      <c r="I33">
        <v>4</v>
      </c>
      <c r="J33">
        <v>5</v>
      </c>
      <c r="K33">
        <v>6</v>
      </c>
      <c r="L33">
        <v>7</v>
      </c>
      <c r="M33" t="s">
        <v>230</v>
      </c>
      <c r="N33" t="s">
        <v>231</v>
      </c>
    </row>
    <row r="34" spans="1:14">
      <c r="A34" t="s">
        <v>232</v>
      </c>
      <c r="B34">
        <v>8000</v>
      </c>
      <c r="C34" t="s">
        <v>233</v>
      </c>
      <c r="D34">
        <v>44.8</v>
      </c>
      <c r="E34">
        <f>2520000/100000</f>
        <v>25.2</v>
      </c>
      <c r="F34">
        <f t="shared" ref="F34:H42" si="0">0/100000</f>
        <v>0</v>
      </c>
      <c r="G34">
        <f t="shared" si="0"/>
        <v>0</v>
      </c>
      <c r="H34">
        <f t="shared" si="0"/>
        <v>0</v>
      </c>
      <c r="I34">
        <f>284342/100000</f>
        <v>2.8434200000000001</v>
      </c>
      <c r="J34">
        <f t="shared" ref="J34:L42" si="1">0/100000</f>
        <v>0</v>
      </c>
      <c r="K34">
        <f t="shared" si="1"/>
        <v>0</v>
      </c>
      <c r="L34">
        <f t="shared" si="1"/>
        <v>0</v>
      </c>
      <c r="M34">
        <f t="shared" ref="M34:M42" si="2">L34+K34+J34+I34+H34+G34</f>
        <v>2.8434200000000001</v>
      </c>
      <c r="N34">
        <f>M34*100/E34</f>
        <v>11.283412698412699</v>
      </c>
    </row>
    <row r="35" spans="1:14">
      <c r="A35" t="s">
        <v>234</v>
      </c>
      <c r="B35">
        <v>7000</v>
      </c>
      <c r="C35" t="s">
        <v>233</v>
      </c>
      <c r="D35">
        <v>5.6</v>
      </c>
      <c r="E35">
        <f>0/100000</f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>0/100000</f>
        <v>0</v>
      </c>
      <c r="J35">
        <f t="shared" si="1"/>
        <v>0</v>
      </c>
      <c r="K35">
        <f t="shared" si="1"/>
        <v>0</v>
      </c>
      <c r="L35">
        <f t="shared" si="1"/>
        <v>0</v>
      </c>
      <c r="M35">
        <f t="shared" si="2"/>
        <v>0</v>
      </c>
      <c r="N35">
        <v>0</v>
      </c>
    </row>
    <row r="36" spans="1:14">
      <c r="A36" t="s">
        <v>235</v>
      </c>
      <c r="B36">
        <v>86</v>
      </c>
      <c r="C36" t="s">
        <v>233</v>
      </c>
      <c r="D36">
        <v>0.48</v>
      </c>
      <c r="E36">
        <f>40250/100000</f>
        <v>0.40250000000000002</v>
      </c>
      <c r="F36">
        <f t="shared" si="0"/>
        <v>0</v>
      </c>
      <c r="G36">
        <f t="shared" si="0"/>
        <v>0</v>
      </c>
      <c r="H36">
        <f>18000/100000</f>
        <v>0.18</v>
      </c>
      <c r="I36">
        <f>837/100000</f>
        <v>8.3700000000000007E-3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0.18836999999999998</v>
      </c>
      <c r="N36">
        <f>M36*100/E36</f>
        <v>46.8</v>
      </c>
    </row>
    <row r="37" spans="1:14">
      <c r="A37" t="s">
        <v>396</v>
      </c>
      <c r="B37">
        <v>68</v>
      </c>
      <c r="C37" t="s">
        <v>233</v>
      </c>
      <c r="D37">
        <v>0.38</v>
      </c>
      <c r="E37">
        <f>30000/100000</f>
        <v>0.3</v>
      </c>
      <c r="F37">
        <f t="shared" si="0"/>
        <v>0</v>
      </c>
      <c r="G37">
        <f t="shared" si="0"/>
        <v>0</v>
      </c>
      <c r="H37">
        <f>16000/100000</f>
        <v>0.16</v>
      </c>
      <c r="I37">
        <f>12937/100000</f>
        <v>0.12937000000000001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0.28937000000000002</v>
      </c>
      <c r="N37">
        <f>M37*100/E37</f>
        <v>96.456666666666678</v>
      </c>
    </row>
    <row r="38" spans="1:14">
      <c r="A38" t="s">
        <v>238</v>
      </c>
      <c r="B38">
        <v>1200</v>
      </c>
      <c r="C38" t="s">
        <v>233</v>
      </c>
      <c r="D38">
        <v>6.72</v>
      </c>
      <c r="E38">
        <f>200000/100000</f>
        <v>2</v>
      </c>
      <c r="F38">
        <f t="shared" si="0"/>
        <v>0</v>
      </c>
      <c r="G38">
        <f t="shared" si="0"/>
        <v>0</v>
      </c>
      <c r="H38">
        <f>0/100000</f>
        <v>0</v>
      </c>
      <c r="I38">
        <v>0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</v>
      </c>
      <c r="N38">
        <f>M38*100/E38</f>
        <v>0</v>
      </c>
    </row>
    <row r="39" spans="1:14">
      <c r="A39" t="s">
        <v>667</v>
      </c>
      <c r="B39">
        <v>565</v>
      </c>
      <c r="C39" t="s">
        <v>233</v>
      </c>
      <c r="D39">
        <v>3.08</v>
      </c>
      <c r="E39">
        <f>308000/100000</f>
        <v>3.08</v>
      </c>
      <c r="F39">
        <f t="shared" si="0"/>
        <v>0</v>
      </c>
      <c r="G39">
        <f t="shared" si="0"/>
        <v>0</v>
      </c>
      <c r="H39">
        <f>0/100000</f>
        <v>0</v>
      </c>
      <c r="I39">
        <f>308000/100000</f>
        <v>3.08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3.08</v>
      </c>
      <c r="N39">
        <f>M39*100/E39</f>
        <v>100</v>
      </c>
    </row>
    <row r="40" spans="1:14">
      <c r="A40" t="s">
        <v>240</v>
      </c>
      <c r="B40">
        <v>1000</v>
      </c>
      <c r="C40" t="s">
        <v>233</v>
      </c>
      <c r="D40">
        <v>5.6</v>
      </c>
      <c r="E40">
        <v>0</v>
      </c>
      <c r="F40">
        <f t="shared" si="0"/>
        <v>0</v>
      </c>
      <c r="G40">
        <f t="shared" si="0"/>
        <v>0</v>
      </c>
      <c r="H40">
        <f>0/100000</f>
        <v>0</v>
      </c>
      <c r="I40"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0</v>
      </c>
      <c r="N40">
        <v>0</v>
      </c>
    </row>
    <row r="41" spans="1:14">
      <c r="A41" t="s">
        <v>394</v>
      </c>
      <c r="B41">
        <v>2750</v>
      </c>
      <c r="C41" t="s">
        <v>242</v>
      </c>
      <c r="D41">
        <v>2.31</v>
      </c>
      <c r="E41">
        <f>92500/100000</f>
        <v>0.92500000000000004</v>
      </c>
      <c r="F41">
        <f t="shared" si="0"/>
        <v>0</v>
      </c>
      <c r="G41">
        <f t="shared" si="0"/>
        <v>0</v>
      </c>
      <c r="H41">
        <f>9000/100000</f>
        <v>0.09</v>
      </c>
      <c r="I41">
        <f>48515/100000</f>
        <v>0.48515000000000003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0.57515000000000005</v>
      </c>
      <c r="N41">
        <f>M41*100/E41</f>
        <v>62.178378378378383</v>
      </c>
    </row>
    <row r="42" spans="1:14">
      <c r="A42" t="s">
        <v>670</v>
      </c>
      <c r="B42">
        <v>10000</v>
      </c>
      <c r="C42" t="s">
        <v>244</v>
      </c>
      <c r="D42">
        <v>0.1</v>
      </c>
      <c r="E42">
        <v>0</v>
      </c>
      <c r="F42">
        <f t="shared" si="0"/>
        <v>0</v>
      </c>
      <c r="G42">
        <f t="shared" si="0"/>
        <v>0</v>
      </c>
      <c r="H42">
        <f>0/100000</f>
        <v>0</v>
      </c>
      <c r="I42">
        <v>0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</v>
      </c>
      <c r="N42">
        <v>0</v>
      </c>
    </row>
    <row r="43" spans="1:14">
      <c r="A43" t="s">
        <v>3941</v>
      </c>
      <c r="D43">
        <f t="shared" ref="D43:M43" si="3">SUM(D34:D42)</f>
        <v>69.069999999999993</v>
      </c>
      <c r="E43">
        <f t="shared" si="3"/>
        <v>31.907500000000002</v>
      </c>
      <c r="F43">
        <f t="shared" si="3"/>
        <v>0</v>
      </c>
      <c r="G43">
        <f t="shared" si="3"/>
        <v>0</v>
      </c>
      <c r="H43">
        <f t="shared" si="3"/>
        <v>0.42999999999999994</v>
      </c>
      <c r="I43">
        <f t="shared" si="3"/>
        <v>6.546310000000001</v>
      </c>
      <c r="J43">
        <f t="shared" si="3"/>
        <v>0</v>
      </c>
      <c r="K43">
        <f t="shared" si="3"/>
        <v>0</v>
      </c>
      <c r="L43">
        <f t="shared" si="3"/>
        <v>0</v>
      </c>
      <c r="M43">
        <f t="shared" si="3"/>
        <v>6.9763099999999998</v>
      </c>
      <c r="N43">
        <f>M43*100/E43</f>
        <v>21.864169866018958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2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3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3100</v>
      </c>
      <c r="E4" t="s">
        <v>3914</v>
      </c>
      <c r="G4" t="s">
        <v>4050</v>
      </c>
      <c r="J4" t="s">
        <v>2456</v>
      </c>
      <c r="K4">
        <v>228</v>
      </c>
      <c r="L4" t="s">
        <v>173</v>
      </c>
      <c r="N4">
        <v>80</v>
      </c>
    </row>
    <row r="6" spans="1:14">
      <c r="A6" t="s">
        <v>174</v>
      </c>
      <c r="B6" t="s">
        <v>4053</v>
      </c>
      <c r="E6" t="s">
        <v>176</v>
      </c>
      <c r="G6" t="s">
        <v>4054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4051</v>
      </c>
      <c r="D12" t="s">
        <v>4052</v>
      </c>
    </row>
    <row r="13" spans="1:14">
      <c r="A13" t="s">
        <v>187</v>
      </c>
      <c r="B13" t="s">
        <v>4053</v>
      </c>
      <c r="C13" t="s">
        <v>4011</v>
      </c>
    </row>
    <row r="14" spans="1:14">
      <c r="B14" t="s">
        <v>4054</v>
      </c>
      <c r="C14" t="s">
        <v>4013</v>
      </c>
    </row>
    <row r="15" spans="1:14">
      <c r="A15" t="s">
        <v>192</v>
      </c>
      <c r="B15" t="s">
        <v>631</v>
      </c>
      <c r="C15" t="s">
        <v>3935</v>
      </c>
    </row>
    <row r="16" spans="1:14">
      <c r="B16" t="s">
        <v>4055</v>
      </c>
      <c r="C16" t="s">
        <v>3929</v>
      </c>
    </row>
    <row r="17" spans="1:14">
      <c r="B17" t="s">
        <v>4056</v>
      </c>
      <c r="C17" t="s">
        <v>3927</v>
      </c>
    </row>
    <row r="18" spans="1:14">
      <c r="B18" t="s">
        <v>453</v>
      </c>
      <c r="C18" t="s">
        <v>4017</v>
      </c>
    </row>
    <row r="19" spans="1:14">
      <c r="B19" t="s">
        <v>454</v>
      </c>
      <c r="C19" t="s">
        <v>3981</v>
      </c>
    </row>
    <row r="20" spans="1:14">
      <c r="A20" t="s">
        <v>197</v>
      </c>
    </row>
    <row r="22" spans="1:14">
      <c r="A22" t="s">
        <v>3936</v>
      </c>
      <c r="B22">
        <v>2</v>
      </c>
      <c r="C22" t="s">
        <v>199</v>
      </c>
      <c r="F22">
        <v>1</v>
      </c>
      <c r="G22" t="s">
        <v>200</v>
      </c>
      <c r="H22">
        <v>3</v>
      </c>
      <c r="I22" t="s">
        <v>201</v>
      </c>
      <c r="J22">
        <v>0</v>
      </c>
      <c r="K22" t="s">
        <v>202</v>
      </c>
      <c r="L22">
        <v>3</v>
      </c>
    </row>
    <row r="25" spans="1:14">
      <c r="A25" t="s">
        <v>203</v>
      </c>
      <c r="B25" t="s">
        <v>204</v>
      </c>
      <c r="C25">
        <v>34</v>
      </c>
      <c r="D25" t="s">
        <v>205</v>
      </c>
      <c r="E25">
        <v>17</v>
      </c>
      <c r="F25" t="s">
        <v>206</v>
      </c>
      <c r="G25">
        <v>0</v>
      </c>
      <c r="H25" t="s">
        <v>230</v>
      </c>
      <c r="I25">
        <f>G25+E25+C25</f>
        <v>51</v>
      </c>
      <c r="J25" t="s">
        <v>207</v>
      </c>
      <c r="K25">
        <v>10</v>
      </c>
      <c r="L25" t="s">
        <v>3187</v>
      </c>
      <c r="N25">
        <v>9</v>
      </c>
    </row>
    <row r="26" spans="1:14">
      <c r="A26" t="s">
        <v>1029</v>
      </c>
      <c r="B26" t="s">
        <v>210</v>
      </c>
      <c r="C26">
        <v>69</v>
      </c>
      <c r="D26" t="s">
        <v>211</v>
      </c>
      <c r="E26">
        <v>50</v>
      </c>
      <c r="F26" t="s">
        <v>212</v>
      </c>
      <c r="G26">
        <v>0</v>
      </c>
      <c r="H26" t="s">
        <v>411</v>
      </c>
      <c r="I26">
        <f>G26+E26+C26</f>
        <v>119</v>
      </c>
      <c r="J26">
        <v>10</v>
      </c>
    </row>
    <row r="27" spans="1:14">
      <c r="B27" t="s">
        <v>213</v>
      </c>
      <c r="C27">
        <v>81</v>
      </c>
      <c r="D27" t="s">
        <v>214</v>
      </c>
      <c r="E27">
        <v>46</v>
      </c>
      <c r="F27" t="s">
        <v>215</v>
      </c>
      <c r="G27">
        <v>0</v>
      </c>
      <c r="H27" t="s">
        <v>410</v>
      </c>
      <c r="I27">
        <f>G27+E27+C27</f>
        <v>127</v>
      </c>
    </row>
    <row r="29" spans="1:14">
      <c r="A29" t="s">
        <v>216</v>
      </c>
    </row>
    <row r="31" spans="1:14">
      <c r="A31" t="s">
        <v>217</v>
      </c>
      <c r="B31" t="s">
        <v>3937</v>
      </c>
      <c r="C31" t="s">
        <v>219</v>
      </c>
      <c r="D31" t="s">
        <v>1363</v>
      </c>
      <c r="E31" t="s">
        <v>1713</v>
      </c>
      <c r="F31" t="s">
        <v>222</v>
      </c>
    </row>
    <row r="32" spans="1:14">
      <c r="F32" t="s">
        <v>1181</v>
      </c>
      <c r="G32" t="s">
        <v>1180</v>
      </c>
      <c r="H32" t="s">
        <v>1179</v>
      </c>
      <c r="I32" t="s">
        <v>1178</v>
      </c>
      <c r="J32" t="s">
        <v>3938</v>
      </c>
      <c r="K32" t="s">
        <v>3939</v>
      </c>
      <c r="L32" t="s">
        <v>3940</v>
      </c>
    </row>
    <row r="33" spans="1:14">
      <c r="F33">
        <v>1</v>
      </c>
      <c r="G33">
        <v>2</v>
      </c>
      <c r="H33">
        <v>3</v>
      </c>
      <c r="I33">
        <v>4</v>
      </c>
      <c r="J33">
        <v>5</v>
      </c>
      <c r="K33">
        <v>6</v>
      </c>
      <c r="L33">
        <v>7</v>
      </c>
      <c r="M33" t="s">
        <v>230</v>
      </c>
      <c r="N33" t="s">
        <v>231</v>
      </c>
    </row>
    <row r="34" spans="1:14">
      <c r="A34" t="s">
        <v>232</v>
      </c>
      <c r="B34">
        <v>8000</v>
      </c>
      <c r="C34" t="s">
        <v>233</v>
      </c>
      <c r="D34">
        <v>18.239999999999998</v>
      </c>
      <c r="E34">
        <f>1026000/100000</f>
        <v>10.26</v>
      </c>
      <c r="F34">
        <f t="shared" ref="F34:H42" si="0">0/100000</f>
        <v>0</v>
      </c>
      <c r="G34">
        <f t="shared" si="0"/>
        <v>0</v>
      </c>
      <c r="H34">
        <f>6304/100000</f>
        <v>6.3039999999999999E-2</v>
      </c>
      <c r="I34">
        <f>272650.5/100000</f>
        <v>2.726505</v>
      </c>
      <c r="J34">
        <f t="shared" ref="J34:L42" si="1">0/100000</f>
        <v>0</v>
      </c>
      <c r="K34">
        <f t="shared" si="1"/>
        <v>0</v>
      </c>
      <c r="L34">
        <f t="shared" si="1"/>
        <v>0</v>
      </c>
      <c r="M34">
        <f t="shared" ref="M34:M42" si="2">L34+K34+J34+I34+H34+G34</f>
        <v>2.7895449999999999</v>
      </c>
      <c r="N34">
        <f>M34*100/E34</f>
        <v>27.188547758284599</v>
      </c>
    </row>
    <row r="35" spans="1:14">
      <c r="A35" t="s">
        <v>234</v>
      </c>
      <c r="B35">
        <v>7000</v>
      </c>
      <c r="C35" t="s">
        <v>233</v>
      </c>
      <c r="D35">
        <v>5.6</v>
      </c>
      <c r="E35">
        <f>0/100000</f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>0/100000</f>
        <v>0</v>
      </c>
      <c r="J35">
        <f t="shared" si="1"/>
        <v>0</v>
      </c>
      <c r="K35">
        <f t="shared" si="1"/>
        <v>0</v>
      </c>
      <c r="L35">
        <f t="shared" si="1"/>
        <v>0</v>
      </c>
      <c r="M35">
        <f t="shared" si="2"/>
        <v>0</v>
      </c>
      <c r="N35">
        <v>0</v>
      </c>
    </row>
    <row r="36" spans="1:14">
      <c r="A36" t="s">
        <v>235</v>
      </c>
      <c r="B36">
        <v>86</v>
      </c>
      <c r="C36" t="s">
        <v>233</v>
      </c>
      <c r="D36">
        <v>0.2</v>
      </c>
      <c r="E36">
        <f>40250/100000</f>
        <v>0.40250000000000002</v>
      </c>
      <c r="F36">
        <f t="shared" si="0"/>
        <v>0</v>
      </c>
      <c r="G36">
        <f t="shared" si="0"/>
        <v>0</v>
      </c>
      <c r="H36">
        <f>18000/100000</f>
        <v>0.18</v>
      </c>
      <c r="I36">
        <f>877/100000</f>
        <v>8.77E-3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0.18876999999999999</v>
      </c>
      <c r="N36">
        <f>M36*100/E36</f>
        <v>46.899378881987573</v>
      </c>
    </row>
    <row r="37" spans="1:14">
      <c r="A37" t="s">
        <v>396</v>
      </c>
      <c r="B37">
        <v>68</v>
      </c>
      <c r="C37" t="s">
        <v>233</v>
      </c>
      <c r="D37">
        <v>0.16</v>
      </c>
      <c r="E37">
        <f>30000/100000</f>
        <v>0.3</v>
      </c>
      <c r="F37">
        <f t="shared" si="0"/>
        <v>0</v>
      </c>
      <c r="G37">
        <f t="shared" si="0"/>
        <v>0</v>
      </c>
      <c r="H37">
        <f>16000/100000</f>
        <v>0.16</v>
      </c>
      <c r="I37">
        <f>12937/100000</f>
        <v>0.12937000000000001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0.28937000000000002</v>
      </c>
      <c r="N37">
        <f>M37*100/E37</f>
        <v>96.456666666666678</v>
      </c>
    </row>
    <row r="38" spans="1:14">
      <c r="A38" t="s">
        <v>238</v>
      </c>
      <c r="B38">
        <v>1200</v>
      </c>
      <c r="C38" t="s">
        <v>233</v>
      </c>
      <c r="D38">
        <v>2.74</v>
      </c>
      <c r="E38">
        <f>150000/100000</f>
        <v>1.5</v>
      </c>
      <c r="F38">
        <f t="shared" si="0"/>
        <v>0</v>
      </c>
      <c r="G38">
        <f t="shared" si="0"/>
        <v>0</v>
      </c>
      <c r="H38">
        <f>0/100000</f>
        <v>0</v>
      </c>
      <c r="I38">
        <v>0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</v>
      </c>
      <c r="N38">
        <f>M38*100/E38</f>
        <v>0</v>
      </c>
    </row>
    <row r="39" spans="1:14">
      <c r="A39" t="s">
        <v>667</v>
      </c>
      <c r="B39">
        <v>565</v>
      </c>
      <c r="C39" t="s">
        <v>233</v>
      </c>
      <c r="D39">
        <v>1.25</v>
      </c>
      <c r="E39">
        <f>125400/100000</f>
        <v>1.254</v>
      </c>
      <c r="F39">
        <f t="shared" si="0"/>
        <v>0</v>
      </c>
      <c r="G39">
        <f t="shared" si="0"/>
        <v>0</v>
      </c>
      <c r="H39">
        <f>125400/100000</f>
        <v>1.254</v>
      </c>
      <c r="I39">
        <v>0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1.254</v>
      </c>
      <c r="N39">
        <f>M39*100/E39</f>
        <v>100</v>
      </c>
    </row>
    <row r="40" spans="1:14">
      <c r="A40" t="s">
        <v>240</v>
      </c>
      <c r="B40">
        <v>1000</v>
      </c>
      <c r="C40" t="s">
        <v>233</v>
      </c>
      <c r="D40">
        <v>2.2799999999999998</v>
      </c>
      <c r="E40">
        <v>0</v>
      </c>
      <c r="F40">
        <f t="shared" si="0"/>
        <v>0</v>
      </c>
      <c r="G40">
        <f t="shared" si="0"/>
        <v>0</v>
      </c>
      <c r="H40">
        <f t="shared" si="0"/>
        <v>0</v>
      </c>
      <c r="I40"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0</v>
      </c>
      <c r="N40">
        <v>0</v>
      </c>
    </row>
    <row r="41" spans="1:14">
      <c r="A41" t="s">
        <v>394</v>
      </c>
      <c r="B41">
        <v>2750</v>
      </c>
      <c r="C41" t="s">
        <v>242</v>
      </c>
      <c r="D41">
        <v>2.31</v>
      </c>
      <c r="E41">
        <f>92500/100000</f>
        <v>0.92500000000000004</v>
      </c>
      <c r="F41">
        <f t="shared" si="0"/>
        <v>0</v>
      </c>
      <c r="G41">
        <f t="shared" si="0"/>
        <v>0</v>
      </c>
      <c r="H41">
        <f>12750/100000</f>
        <v>0.1275</v>
      </c>
      <c r="I41">
        <f>44023/100000</f>
        <v>0.44023000000000001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0.56773000000000007</v>
      </c>
      <c r="N41">
        <f>M41*100/E41</f>
        <v>61.376216216216221</v>
      </c>
    </row>
    <row r="42" spans="1:14">
      <c r="A42" t="s">
        <v>670</v>
      </c>
      <c r="B42">
        <v>10000</v>
      </c>
      <c r="C42" t="s">
        <v>244</v>
      </c>
      <c r="D42">
        <v>0.1</v>
      </c>
      <c r="E42">
        <v>0</v>
      </c>
      <c r="F42">
        <f t="shared" si="0"/>
        <v>0</v>
      </c>
      <c r="G42">
        <f t="shared" si="0"/>
        <v>0</v>
      </c>
      <c r="H42">
        <f t="shared" si="0"/>
        <v>0</v>
      </c>
      <c r="I42">
        <v>0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</v>
      </c>
      <c r="N42">
        <v>0</v>
      </c>
    </row>
    <row r="43" spans="1:14">
      <c r="A43" t="s">
        <v>3941</v>
      </c>
      <c r="D43">
        <f t="shared" ref="D43:M43" si="3">SUM(D34:D42)</f>
        <v>32.880000000000003</v>
      </c>
      <c r="E43">
        <f t="shared" si="3"/>
        <v>14.641500000000001</v>
      </c>
      <c r="F43">
        <f t="shared" si="3"/>
        <v>0</v>
      </c>
      <c r="G43">
        <f t="shared" si="3"/>
        <v>0</v>
      </c>
      <c r="H43">
        <f t="shared" si="3"/>
        <v>1.7845399999999998</v>
      </c>
      <c r="I43">
        <f t="shared" si="3"/>
        <v>3.3048750000000005</v>
      </c>
      <c r="J43">
        <f t="shared" si="3"/>
        <v>0</v>
      </c>
      <c r="K43">
        <f t="shared" si="3"/>
        <v>0</v>
      </c>
      <c r="L43">
        <f t="shared" si="3"/>
        <v>0</v>
      </c>
      <c r="M43">
        <f t="shared" si="3"/>
        <v>5.0894149999999998</v>
      </c>
      <c r="N43">
        <f>M43*100/E43</f>
        <v>34.760202165078709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2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3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4057</v>
      </c>
      <c r="E4" t="s">
        <v>3914</v>
      </c>
      <c r="G4" t="s">
        <v>4058</v>
      </c>
      <c r="J4" t="s">
        <v>2456</v>
      </c>
      <c r="K4">
        <v>274</v>
      </c>
      <c r="L4" t="s">
        <v>173</v>
      </c>
      <c r="N4">
        <v>80</v>
      </c>
    </row>
    <row r="6" spans="1:14">
      <c r="A6" t="s">
        <v>174</v>
      </c>
      <c r="B6" t="s">
        <v>5749</v>
      </c>
      <c r="E6" t="s">
        <v>176</v>
      </c>
      <c r="G6" t="s">
        <v>5750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4059</v>
      </c>
      <c r="D12" t="s">
        <v>4060</v>
      </c>
    </row>
    <row r="13" spans="1:14">
      <c r="A13" t="s">
        <v>187</v>
      </c>
      <c r="B13" t="s">
        <v>4061</v>
      </c>
      <c r="C13" t="s">
        <v>3921</v>
      </c>
      <c r="D13" t="s">
        <v>4062</v>
      </c>
      <c r="E13" t="s">
        <v>3921</v>
      </c>
    </row>
    <row r="14" spans="1:14">
      <c r="B14" t="s">
        <v>777</v>
      </c>
      <c r="C14" t="s">
        <v>3924</v>
      </c>
      <c r="D14" t="s">
        <v>4063</v>
      </c>
      <c r="E14" t="s">
        <v>3924</v>
      </c>
    </row>
    <row r="15" spans="1:14">
      <c r="A15" t="s">
        <v>192</v>
      </c>
      <c r="B15" t="s">
        <v>4044</v>
      </c>
      <c r="C15" t="s">
        <v>3935</v>
      </c>
    </row>
    <row r="16" spans="1:14">
      <c r="B16" t="s">
        <v>4064</v>
      </c>
      <c r="C16" t="s">
        <v>3929</v>
      </c>
    </row>
    <row r="17" spans="1:14">
      <c r="B17" t="s">
        <v>4065</v>
      </c>
      <c r="C17" t="s">
        <v>3927</v>
      </c>
    </row>
    <row r="18" spans="1:14">
      <c r="B18" t="s">
        <v>4066</v>
      </c>
      <c r="C18" t="s">
        <v>3933</v>
      </c>
    </row>
    <row r="19" spans="1:14">
      <c r="B19" t="s">
        <v>631</v>
      </c>
      <c r="C19" t="s">
        <v>3931</v>
      </c>
    </row>
    <row r="20" spans="1:14">
      <c r="A20" t="s">
        <v>197</v>
      </c>
    </row>
    <row r="22" spans="1:14">
      <c r="A22" t="s">
        <v>3936</v>
      </c>
      <c r="B22">
        <v>2</v>
      </c>
      <c r="C22" t="s">
        <v>199</v>
      </c>
      <c r="F22">
        <v>2</v>
      </c>
      <c r="G22" t="s">
        <v>200</v>
      </c>
      <c r="H22">
        <v>2</v>
      </c>
      <c r="I22" t="s">
        <v>201</v>
      </c>
      <c r="J22">
        <v>0</v>
      </c>
      <c r="K22" t="s">
        <v>202</v>
      </c>
      <c r="L22">
        <v>2</v>
      </c>
    </row>
    <row r="25" spans="1:14">
      <c r="A25" t="s">
        <v>203</v>
      </c>
      <c r="B25" t="s">
        <v>204</v>
      </c>
      <c r="C25">
        <v>30</v>
      </c>
      <c r="D25" t="s">
        <v>205</v>
      </c>
      <c r="E25">
        <v>10</v>
      </c>
      <c r="F25" t="s">
        <v>206</v>
      </c>
      <c r="G25">
        <v>0</v>
      </c>
      <c r="H25" t="s">
        <v>230</v>
      </c>
      <c r="I25">
        <f>G25+E25+C25</f>
        <v>40</v>
      </c>
      <c r="J25" t="s">
        <v>207</v>
      </c>
      <c r="K25">
        <v>5</v>
      </c>
      <c r="L25" t="s">
        <v>3187</v>
      </c>
      <c r="N25">
        <v>4</v>
      </c>
    </row>
    <row r="26" spans="1:14">
      <c r="A26" t="s">
        <v>1029</v>
      </c>
      <c r="B26" t="s">
        <v>210</v>
      </c>
      <c r="C26">
        <v>96</v>
      </c>
      <c r="D26" t="s">
        <v>211</v>
      </c>
      <c r="E26">
        <v>23</v>
      </c>
      <c r="F26" t="s">
        <v>212</v>
      </c>
      <c r="G26">
        <v>0</v>
      </c>
      <c r="H26" t="s">
        <v>411</v>
      </c>
      <c r="I26">
        <f>G26+E26+C26</f>
        <v>119</v>
      </c>
      <c r="J26">
        <v>10</v>
      </c>
    </row>
    <row r="27" spans="1:14">
      <c r="B27" t="s">
        <v>213</v>
      </c>
      <c r="C27">
        <v>78</v>
      </c>
      <c r="D27" t="s">
        <v>214</v>
      </c>
      <c r="E27">
        <v>21</v>
      </c>
      <c r="F27" t="s">
        <v>215</v>
      </c>
      <c r="G27">
        <v>0</v>
      </c>
      <c r="H27" t="s">
        <v>410</v>
      </c>
      <c r="I27">
        <f>G27+E27+C27</f>
        <v>99</v>
      </c>
    </row>
    <row r="29" spans="1:14">
      <c r="A29" t="s">
        <v>216</v>
      </c>
    </row>
    <row r="31" spans="1:14">
      <c r="A31" t="s">
        <v>217</v>
      </c>
      <c r="B31" t="s">
        <v>3937</v>
      </c>
      <c r="C31" t="s">
        <v>219</v>
      </c>
      <c r="D31" t="s">
        <v>1363</v>
      </c>
      <c r="E31" t="s">
        <v>1713</v>
      </c>
      <c r="F31" t="s">
        <v>222</v>
      </c>
    </row>
    <row r="32" spans="1:14">
      <c r="F32" t="s">
        <v>1181</v>
      </c>
      <c r="G32" t="s">
        <v>1180</v>
      </c>
      <c r="H32" t="s">
        <v>1179</v>
      </c>
      <c r="I32" t="s">
        <v>1178</v>
      </c>
      <c r="J32" t="s">
        <v>3938</v>
      </c>
      <c r="K32" t="s">
        <v>3939</v>
      </c>
      <c r="L32" t="s">
        <v>3940</v>
      </c>
    </row>
    <row r="33" spans="1:14">
      <c r="F33">
        <v>1</v>
      </c>
      <c r="G33">
        <v>2</v>
      </c>
      <c r="H33">
        <v>3</v>
      </c>
      <c r="I33">
        <v>4</v>
      </c>
      <c r="J33">
        <v>5</v>
      </c>
      <c r="K33">
        <v>6</v>
      </c>
      <c r="L33">
        <v>7</v>
      </c>
      <c r="M33" t="s">
        <v>230</v>
      </c>
      <c r="N33" t="s">
        <v>231</v>
      </c>
    </row>
    <row r="34" spans="1:14">
      <c r="A34" t="s">
        <v>232</v>
      </c>
      <c r="B34">
        <v>8000</v>
      </c>
      <c r="C34" t="s">
        <v>233</v>
      </c>
      <c r="D34">
        <v>21.92</v>
      </c>
      <c r="E34">
        <f>1233000/100000</f>
        <v>12.33</v>
      </c>
      <c r="F34">
        <f t="shared" ref="F34:G42" si="0">0/100000</f>
        <v>0</v>
      </c>
      <c r="G34">
        <f t="shared" si="0"/>
        <v>0</v>
      </c>
      <c r="H34">
        <f>0/100000</f>
        <v>0</v>
      </c>
      <c r="I34">
        <f>37609/100000</f>
        <v>0.37608999999999998</v>
      </c>
      <c r="J34">
        <f t="shared" ref="J34:L42" si="1">0/100000</f>
        <v>0</v>
      </c>
      <c r="K34">
        <f t="shared" si="1"/>
        <v>0</v>
      </c>
      <c r="L34">
        <f t="shared" si="1"/>
        <v>0</v>
      </c>
      <c r="M34">
        <f t="shared" ref="M34:M42" si="2">L34+K34+J34+I34+H34+G34</f>
        <v>0.37608999999999998</v>
      </c>
      <c r="N34">
        <f>M34*100/E34</f>
        <v>3.050202757502027</v>
      </c>
    </row>
    <row r="35" spans="1:14">
      <c r="A35" t="s">
        <v>234</v>
      </c>
      <c r="B35">
        <v>7000</v>
      </c>
      <c r="C35" t="s">
        <v>233</v>
      </c>
      <c r="D35">
        <v>5.6</v>
      </c>
      <c r="E35">
        <f>0/100000</f>
        <v>0</v>
      </c>
      <c r="F35">
        <f t="shared" si="0"/>
        <v>0</v>
      </c>
      <c r="G35">
        <f t="shared" si="0"/>
        <v>0</v>
      </c>
      <c r="H35">
        <f>0/100000</f>
        <v>0</v>
      </c>
      <c r="I35">
        <f>0/100000</f>
        <v>0</v>
      </c>
      <c r="J35">
        <f t="shared" si="1"/>
        <v>0</v>
      </c>
      <c r="K35">
        <f t="shared" si="1"/>
        <v>0</v>
      </c>
      <c r="L35">
        <f t="shared" si="1"/>
        <v>0</v>
      </c>
      <c r="M35">
        <f t="shared" si="2"/>
        <v>0</v>
      </c>
      <c r="N35">
        <v>0</v>
      </c>
    </row>
    <row r="36" spans="1:14">
      <c r="A36" t="s">
        <v>235</v>
      </c>
      <c r="B36">
        <v>86</v>
      </c>
      <c r="C36" t="s">
        <v>233</v>
      </c>
      <c r="D36">
        <v>0.24</v>
      </c>
      <c r="E36">
        <f>23250/100000</f>
        <v>0.23250000000000001</v>
      </c>
      <c r="F36">
        <f t="shared" si="0"/>
        <v>0</v>
      </c>
      <c r="G36">
        <f t="shared" si="0"/>
        <v>0</v>
      </c>
      <c r="H36">
        <f>18000/100000</f>
        <v>0.18</v>
      </c>
      <c r="I36">
        <f>0/100000</f>
        <v>0</v>
      </c>
      <c r="J36">
        <f t="shared" si="1"/>
        <v>0</v>
      </c>
      <c r="K36">
        <f t="shared" si="1"/>
        <v>0</v>
      </c>
      <c r="L36">
        <f t="shared" si="1"/>
        <v>0</v>
      </c>
      <c r="M36">
        <f t="shared" si="2"/>
        <v>0.18</v>
      </c>
      <c r="N36">
        <f>M36*100/E36</f>
        <v>77.41935483870968</v>
      </c>
    </row>
    <row r="37" spans="1:14">
      <c r="A37" t="s">
        <v>396</v>
      </c>
      <c r="B37">
        <v>68</v>
      </c>
      <c r="C37" t="s">
        <v>233</v>
      </c>
      <c r="D37">
        <v>0.19</v>
      </c>
      <c r="E37">
        <v>0.16</v>
      </c>
      <c r="F37">
        <f t="shared" si="0"/>
        <v>0</v>
      </c>
      <c r="G37">
        <f t="shared" si="0"/>
        <v>0</v>
      </c>
      <c r="H37">
        <f>16000/100000</f>
        <v>0.16</v>
      </c>
      <c r="I37">
        <f>0/100000</f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2"/>
        <v>0.16</v>
      </c>
      <c r="N37">
        <f>M37*100/E37</f>
        <v>100</v>
      </c>
    </row>
    <row r="38" spans="1:14">
      <c r="A38" t="s">
        <v>238</v>
      </c>
      <c r="B38">
        <v>1200</v>
      </c>
      <c r="C38" t="s">
        <v>233</v>
      </c>
      <c r="D38">
        <v>3.29</v>
      </c>
      <c r="E38">
        <f>150000/100000</f>
        <v>1.5</v>
      </c>
      <c r="F38">
        <f t="shared" si="0"/>
        <v>0</v>
      </c>
      <c r="G38">
        <f t="shared" si="0"/>
        <v>0</v>
      </c>
      <c r="H38">
        <f>0/100000</f>
        <v>0</v>
      </c>
      <c r="I38">
        <v>0</v>
      </c>
      <c r="J38">
        <f t="shared" si="1"/>
        <v>0</v>
      </c>
      <c r="K38">
        <f t="shared" si="1"/>
        <v>0</v>
      </c>
      <c r="L38">
        <f t="shared" si="1"/>
        <v>0</v>
      </c>
      <c r="M38">
        <f t="shared" si="2"/>
        <v>0</v>
      </c>
      <c r="N38">
        <f>M38*100/E38</f>
        <v>0</v>
      </c>
    </row>
    <row r="39" spans="1:14">
      <c r="A39" t="s">
        <v>667</v>
      </c>
      <c r="B39">
        <v>565</v>
      </c>
      <c r="C39" t="s">
        <v>233</v>
      </c>
      <c r="D39">
        <v>1.51</v>
      </c>
      <c r="E39">
        <f>150700/100000</f>
        <v>1.5069999999999999</v>
      </c>
      <c r="F39">
        <f t="shared" si="0"/>
        <v>0</v>
      </c>
      <c r="G39">
        <f t="shared" si="0"/>
        <v>0</v>
      </c>
      <c r="H39">
        <f>150700/100000</f>
        <v>1.5069999999999999</v>
      </c>
      <c r="I39">
        <v>0</v>
      </c>
      <c r="J39">
        <f t="shared" si="1"/>
        <v>0</v>
      </c>
      <c r="K39">
        <f t="shared" si="1"/>
        <v>0</v>
      </c>
      <c r="L39">
        <f t="shared" si="1"/>
        <v>0</v>
      </c>
      <c r="M39">
        <f t="shared" si="2"/>
        <v>1.5069999999999999</v>
      </c>
      <c r="N39">
        <f>M39*100/E39</f>
        <v>100</v>
      </c>
    </row>
    <row r="40" spans="1:14">
      <c r="A40" t="s">
        <v>240</v>
      </c>
      <c r="B40">
        <v>1000</v>
      </c>
      <c r="C40" t="s">
        <v>233</v>
      </c>
      <c r="D40">
        <v>2.74</v>
      </c>
      <c r="E40">
        <v>0</v>
      </c>
      <c r="F40">
        <f t="shared" si="0"/>
        <v>0</v>
      </c>
      <c r="G40">
        <f t="shared" si="0"/>
        <v>0</v>
      </c>
      <c r="H40">
        <f>0/100000</f>
        <v>0</v>
      </c>
      <c r="I40">
        <v>0</v>
      </c>
      <c r="J40">
        <f t="shared" si="1"/>
        <v>0</v>
      </c>
      <c r="K40">
        <f t="shared" si="1"/>
        <v>0</v>
      </c>
      <c r="L40">
        <f t="shared" si="1"/>
        <v>0</v>
      </c>
      <c r="M40">
        <f t="shared" si="2"/>
        <v>0</v>
      </c>
      <c r="N40">
        <v>0</v>
      </c>
    </row>
    <row r="41" spans="1:14">
      <c r="A41" t="s">
        <v>394</v>
      </c>
      <c r="B41">
        <v>2750</v>
      </c>
      <c r="C41" t="s">
        <v>242</v>
      </c>
      <c r="D41">
        <v>2.31</v>
      </c>
      <c r="E41">
        <f>76000/100000</f>
        <v>0.76</v>
      </c>
      <c r="F41">
        <f t="shared" si="0"/>
        <v>0</v>
      </c>
      <c r="G41">
        <f t="shared" si="0"/>
        <v>0</v>
      </c>
      <c r="H41">
        <f>12309/100000</f>
        <v>0.12309</v>
      </c>
      <c r="I41">
        <f>25519/100000</f>
        <v>0.25518999999999997</v>
      </c>
      <c r="J41">
        <f t="shared" si="1"/>
        <v>0</v>
      </c>
      <c r="K41">
        <f t="shared" si="1"/>
        <v>0</v>
      </c>
      <c r="L41">
        <f t="shared" si="1"/>
        <v>0</v>
      </c>
      <c r="M41">
        <f t="shared" si="2"/>
        <v>0.37827999999999995</v>
      </c>
      <c r="N41">
        <f>M41*100/E41</f>
        <v>49.773684210526312</v>
      </c>
    </row>
    <row r="42" spans="1:14">
      <c r="A42" t="s">
        <v>670</v>
      </c>
      <c r="B42">
        <v>10000</v>
      </c>
      <c r="C42" t="s">
        <v>244</v>
      </c>
      <c r="D42">
        <v>0.1</v>
      </c>
      <c r="E42">
        <v>0</v>
      </c>
      <c r="F42">
        <f t="shared" si="0"/>
        <v>0</v>
      </c>
      <c r="G42">
        <f t="shared" si="0"/>
        <v>0</v>
      </c>
      <c r="H42">
        <f>0/100000</f>
        <v>0</v>
      </c>
      <c r="I42">
        <v>0</v>
      </c>
      <c r="J42">
        <f t="shared" si="1"/>
        <v>0</v>
      </c>
      <c r="K42">
        <f t="shared" si="1"/>
        <v>0</v>
      </c>
      <c r="L42">
        <f t="shared" si="1"/>
        <v>0</v>
      </c>
      <c r="M42">
        <f t="shared" si="2"/>
        <v>0</v>
      </c>
      <c r="N42">
        <v>0</v>
      </c>
    </row>
    <row r="43" spans="1:14">
      <c r="A43" t="s">
        <v>3941</v>
      </c>
      <c r="D43">
        <f t="shared" ref="D43:M43" si="3">SUM(D34:D42)</f>
        <v>37.900000000000006</v>
      </c>
      <c r="E43">
        <f t="shared" si="3"/>
        <v>16.4895</v>
      </c>
      <c r="F43">
        <f t="shared" si="3"/>
        <v>0</v>
      </c>
      <c r="G43">
        <f t="shared" si="3"/>
        <v>0</v>
      </c>
      <c r="H43">
        <f t="shared" si="3"/>
        <v>1.9700899999999999</v>
      </c>
      <c r="I43">
        <f t="shared" si="3"/>
        <v>0.63127999999999995</v>
      </c>
      <c r="J43">
        <f t="shared" si="3"/>
        <v>0</v>
      </c>
      <c r="K43">
        <f t="shared" si="3"/>
        <v>0</v>
      </c>
      <c r="L43">
        <f t="shared" si="3"/>
        <v>0</v>
      </c>
      <c r="M43">
        <f t="shared" si="3"/>
        <v>2.6013700000000002</v>
      </c>
      <c r="N43">
        <f>M43*100/E43</f>
        <v>15.775918008429608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380</v>
      </c>
      <c r="F4" t="s">
        <v>171</v>
      </c>
      <c r="H4" t="s">
        <v>5698</v>
      </c>
      <c r="J4" t="s">
        <v>172</v>
      </c>
      <c r="K4">
        <v>302</v>
      </c>
      <c r="L4" t="s">
        <v>173</v>
      </c>
      <c r="N4">
        <v>40</v>
      </c>
    </row>
    <row r="6" spans="1:14">
      <c r="A6" t="s">
        <v>174</v>
      </c>
      <c r="B6" t="s">
        <v>381</v>
      </c>
      <c r="F6" t="s">
        <v>176</v>
      </c>
      <c r="H6" t="s">
        <v>382</v>
      </c>
    </row>
    <row r="8" spans="1:14">
      <c r="A8" t="s">
        <v>178</v>
      </c>
      <c r="B8" t="s">
        <v>383</v>
      </c>
      <c r="F8" t="s">
        <v>180</v>
      </c>
      <c r="H8" t="s">
        <v>384</v>
      </c>
    </row>
    <row r="11" spans="1:14">
      <c r="A11" t="s">
        <v>182</v>
      </c>
      <c r="B11" t="s">
        <v>385</v>
      </c>
      <c r="E11" t="s">
        <v>386</v>
      </c>
    </row>
    <row r="12" spans="1:14">
      <c r="A12" t="s">
        <v>187</v>
      </c>
      <c r="B12" t="s">
        <v>387</v>
      </c>
      <c r="E12" t="s">
        <v>388</v>
      </c>
    </row>
    <row r="13" spans="1:14">
      <c r="A13" t="s">
        <v>192</v>
      </c>
      <c r="B13" t="s">
        <v>389</v>
      </c>
      <c r="E13" t="s">
        <v>390</v>
      </c>
      <c r="H13" t="s">
        <v>391</v>
      </c>
    </row>
    <row r="14" spans="1:14">
      <c r="A14" t="s">
        <v>197</v>
      </c>
    </row>
    <row r="16" spans="1:14">
      <c r="A16" t="s">
        <v>198</v>
      </c>
      <c r="B16">
        <v>2</v>
      </c>
      <c r="C16" t="s">
        <v>199</v>
      </c>
      <c r="F16">
        <v>2</v>
      </c>
      <c r="G16" t="s">
        <v>200</v>
      </c>
      <c r="H16">
        <v>5</v>
      </c>
      <c r="I16" t="s">
        <v>201</v>
      </c>
      <c r="J16">
        <v>1</v>
      </c>
      <c r="K16" t="s">
        <v>202</v>
      </c>
      <c r="L16">
        <v>8</v>
      </c>
    </row>
    <row r="18" spans="1:14">
      <c r="A18" t="s">
        <v>203</v>
      </c>
      <c r="B18" t="s">
        <v>204</v>
      </c>
      <c r="C18">
        <f>43+18</f>
        <v>61</v>
      </c>
      <c r="D18" t="s">
        <v>205</v>
      </c>
      <c r="E18">
        <f>7+2</f>
        <v>9</v>
      </c>
      <c r="F18" t="s">
        <v>206</v>
      </c>
      <c r="G18">
        <v>0</v>
      </c>
      <c r="H18" t="s">
        <v>207</v>
      </c>
      <c r="I18">
        <v>5</v>
      </c>
      <c r="J18" t="s">
        <v>208</v>
      </c>
    </row>
    <row r="19" spans="1:14">
      <c r="A19" t="s">
        <v>209</v>
      </c>
      <c r="B19" t="s">
        <v>210</v>
      </c>
      <c r="C19">
        <v>198</v>
      </c>
      <c r="D19" t="s">
        <v>211</v>
      </c>
      <c r="E19">
        <v>30</v>
      </c>
      <c r="F19" t="s">
        <v>212</v>
      </c>
      <c r="G19">
        <v>0</v>
      </c>
    </row>
    <row r="20" spans="1:14">
      <c r="B20" t="s">
        <v>213</v>
      </c>
      <c r="C20">
        <v>156</v>
      </c>
      <c r="D20" t="s">
        <v>214</v>
      </c>
      <c r="E20">
        <v>15</v>
      </c>
      <c r="F20" t="s">
        <v>215</v>
      </c>
      <c r="G20">
        <v>0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24.16</v>
      </c>
      <c r="E26">
        <v>24.16</v>
      </c>
      <c r="H26">
        <v>4.0791700000000004</v>
      </c>
      <c r="I26">
        <v>9.1533200000000008</v>
      </c>
      <c r="J26">
        <v>6.8563299999999998</v>
      </c>
      <c r="K26">
        <v>0.9516</v>
      </c>
      <c r="L26">
        <v>1.99756</v>
      </c>
      <c r="M26">
        <f>+F26+G26+H26+I26+J26+K26+L26</f>
        <v>23.037980000000001</v>
      </c>
      <c r="N26">
        <f>+M26/E26*100</f>
        <v>95.355877483443706</v>
      </c>
    </row>
    <row r="27" spans="1:14">
      <c r="A27" t="s">
        <v>234</v>
      </c>
      <c r="B27">
        <v>7000</v>
      </c>
      <c r="C27" t="s">
        <v>233</v>
      </c>
      <c r="D27">
        <f>+N4*B27/100000</f>
        <v>2.8</v>
      </c>
      <c r="E27">
        <v>2.75</v>
      </c>
      <c r="I27">
        <v>0.66661999999999999</v>
      </c>
      <c r="J27">
        <v>0.88790999999999998</v>
      </c>
      <c r="K27">
        <v>1.1106</v>
      </c>
      <c r="L27">
        <v>6.1199999999999997E-2</v>
      </c>
      <c r="M27">
        <f t="shared" ref="M27:M34" si="0">+F27+G27+H27+I27+J27+K27+L27</f>
        <v>2.7263299999999999</v>
      </c>
      <c r="N27">
        <f t="shared" ref="N27:N35" si="1">+M27/E27*100</f>
        <v>99.139272727272726</v>
      </c>
    </row>
    <row r="28" spans="1:14">
      <c r="A28" t="s">
        <v>235</v>
      </c>
      <c r="B28">
        <v>86</v>
      </c>
      <c r="C28" t="s">
        <v>233</v>
      </c>
      <c r="D28">
        <v>0.26</v>
      </c>
      <c r="E28">
        <v>0.43</v>
      </c>
      <c r="J28">
        <v>0.18</v>
      </c>
      <c r="K28">
        <v>7.1840000000000001E-2</v>
      </c>
      <c r="L28">
        <v>0.17691999999999999</v>
      </c>
      <c r="M28">
        <f t="shared" si="0"/>
        <v>0.42876000000000003</v>
      </c>
      <c r="N28">
        <f t="shared" si="1"/>
        <v>99.711627906976759</v>
      </c>
    </row>
    <row r="29" spans="1:14">
      <c r="A29" t="s">
        <v>237</v>
      </c>
      <c r="B29">
        <v>68</v>
      </c>
      <c r="C29" t="s">
        <v>233</v>
      </c>
      <c r="D29">
        <v>0.21</v>
      </c>
      <c r="E29">
        <v>0.34</v>
      </c>
      <c r="I29">
        <v>0.12784000000000001</v>
      </c>
      <c r="J29">
        <v>3.5000000000000003E-2</v>
      </c>
      <c r="K29">
        <v>0.13117000000000001</v>
      </c>
      <c r="M29">
        <f t="shared" si="0"/>
        <v>0.29400999999999999</v>
      </c>
      <c r="N29">
        <f t="shared" si="1"/>
        <v>86.473529411764687</v>
      </c>
    </row>
    <row r="30" spans="1:14">
      <c r="A30" t="s">
        <v>238</v>
      </c>
      <c r="B30">
        <v>1200</v>
      </c>
      <c r="C30" t="s">
        <v>233</v>
      </c>
      <c r="D30">
        <f>+K4*B30/100000</f>
        <v>3.6240000000000001</v>
      </c>
      <c r="E30">
        <v>3.6240000000000001</v>
      </c>
      <c r="I30">
        <v>1.49373</v>
      </c>
      <c r="J30">
        <f>0.28562+1.54369</f>
        <v>1.82931</v>
      </c>
      <c r="K30">
        <f>0.06975+0.12245</f>
        <v>0.19220000000000001</v>
      </c>
      <c r="L30">
        <f>0.2374-0.90267</f>
        <v>-0.66527000000000003</v>
      </c>
      <c r="M30">
        <f t="shared" si="0"/>
        <v>2.8499699999999999</v>
      </c>
      <c r="N30">
        <f t="shared" si="1"/>
        <v>78.641556291390728</v>
      </c>
    </row>
    <row r="31" spans="1:14">
      <c r="A31" t="s">
        <v>239</v>
      </c>
      <c r="B31">
        <v>565</v>
      </c>
      <c r="C31" t="s">
        <v>233</v>
      </c>
      <c r="D31">
        <f>+K4*B31/100000</f>
        <v>1.7062999999999999</v>
      </c>
      <c r="E31">
        <v>1.5</v>
      </c>
      <c r="J31">
        <v>5.0000000000000001E-3</v>
      </c>
      <c r="K31">
        <v>1.5</v>
      </c>
      <c r="L31">
        <v>-5.0000000000000001E-3</v>
      </c>
      <c r="M31">
        <f t="shared" si="0"/>
        <v>1.5</v>
      </c>
      <c r="N31">
        <f t="shared" si="1"/>
        <v>100</v>
      </c>
    </row>
    <row r="32" spans="1:14">
      <c r="A32" t="s">
        <v>240</v>
      </c>
      <c r="B32">
        <v>1000</v>
      </c>
      <c r="C32" t="s">
        <v>233</v>
      </c>
      <c r="D32">
        <f>+K4*B32/100000</f>
        <v>3.02</v>
      </c>
      <c r="E32">
        <v>3.02</v>
      </c>
      <c r="H32">
        <v>0.71980999999999995</v>
      </c>
      <c r="I32">
        <v>7.8619999999999995E-2</v>
      </c>
      <c r="J32">
        <f>1.12352+0.08125</f>
        <v>1.2047700000000001</v>
      </c>
      <c r="K32">
        <f>0.0491+0.00644</f>
        <v>5.5539999999999999E-2</v>
      </c>
      <c r="L32">
        <f>0.0063-0.04751</f>
        <v>-4.1209999999999997E-2</v>
      </c>
      <c r="M32">
        <f t="shared" si="0"/>
        <v>2.0175300000000003</v>
      </c>
      <c r="N32">
        <f t="shared" si="1"/>
        <v>66.805629139072849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v>1.3474999999999999</v>
      </c>
      <c r="H33">
        <v>0.22120000000000001</v>
      </c>
      <c r="I33">
        <v>0.2306</v>
      </c>
      <c r="J33">
        <v>0.22189999999999999</v>
      </c>
      <c r="K33">
        <v>0.21648000000000001</v>
      </c>
      <c r="L33">
        <v>0.1396</v>
      </c>
      <c r="M33">
        <f t="shared" si="0"/>
        <v>1.0297799999999999</v>
      </c>
      <c r="N33">
        <f t="shared" si="1"/>
        <v>76.421521335807057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38.190300000000008</v>
      </c>
      <c r="E35">
        <f t="shared" ref="E35:M35" si="2">SUM(E26:E34)</f>
        <v>37.171500000000002</v>
      </c>
      <c r="F35">
        <f t="shared" si="2"/>
        <v>0</v>
      </c>
      <c r="G35">
        <f t="shared" si="2"/>
        <v>0</v>
      </c>
      <c r="H35">
        <f t="shared" si="2"/>
        <v>5.0201799999999999</v>
      </c>
      <c r="I35">
        <f t="shared" si="2"/>
        <v>11.750730000000003</v>
      </c>
      <c r="J35">
        <f t="shared" si="2"/>
        <v>11.220219999999999</v>
      </c>
      <c r="K35">
        <f t="shared" si="2"/>
        <v>4.2294299999999998</v>
      </c>
      <c r="L35">
        <f t="shared" si="2"/>
        <v>1.6637999999999999</v>
      </c>
      <c r="M35">
        <f t="shared" si="2"/>
        <v>33.884360000000001</v>
      </c>
      <c r="N35">
        <f t="shared" si="1"/>
        <v>91.156827139071595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5751</v>
      </c>
      <c r="E4" t="s">
        <v>3914</v>
      </c>
      <c r="G4" t="s">
        <v>4077</v>
      </c>
      <c r="J4" t="s">
        <v>2456</v>
      </c>
      <c r="K4">
        <v>132</v>
      </c>
      <c r="L4" t="s">
        <v>173</v>
      </c>
      <c r="N4">
        <v>80</v>
      </c>
    </row>
    <row r="6" spans="1:14">
      <c r="A6" t="s">
        <v>174</v>
      </c>
      <c r="B6" t="s">
        <v>4076</v>
      </c>
      <c r="E6" t="s">
        <v>176</v>
      </c>
      <c r="G6" t="s">
        <v>4075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4074</v>
      </c>
      <c r="D12" t="s">
        <v>4073</v>
      </c>
    </row>
    <row r="13" spans="1:14">
      <c r="A13" t="s">
        <v>187</v>
      </c>
      <c r="B13" t="s">
        <v>4072</v>
      </c>
      <c r="D13" t="s">
        <v>4071</v>
      </c>
    </row>
    <row r="14" spans="1:14">
      <c r="A14" t="s">
        <v>192</v>
      </c>
      <c r="B14" t="s">
        <v>4070</v>
      </c>
      <c r="D14" t="s">
        <v>4069</v>
      </c>
      <c r="G14" t="s">
        <v>4068</v>
      </c>
      <c r="J14" t="s">
        <v>4067</v>
      </c>
    </row>
    <row r="15" spans="1:14">
      <c r="A15" t="s">
        <v>197</v>
      </c>
    </row>
    <row r="17" spans="1:14">
      <c r="A17" t="s">
        <v>3936</v>
      </c>
      <c r="B17">
        <v>1</v>
      </c>
      <c r="C17" t="s">
        <v>199</v>
      </c>
      <c r="F17">
        <v>2</v>
      </c>
      <c r="G17" t="s">
        <v>200</v>
      </c>
      <c r="H17">
        <v>4</v>
      </c>
      <c r="I17" t="s">
        <v>201</v>
      </c>
      <c r="J17">
        <v>1</v>
      </c>
      <c r="K17" t="s">
        <v>202</v>
      </c>
    </row>
    <row r="20" spans="1:14">
      <c r="A20" t="s">
        <v>203</v>
      </c>
      <c r="B20" t="s">
        <v>204</v>
      </c>
      <c r="C20">
        <v>37</v>
      </c>
      <c r="D20" t="s">
        <v>205</v>
      </c>
      <c r="E20">
        <v>5</v>
      </c>
      <c r="F20" t="s">
        <v>206</v>
      </c>
      <c r="G20">
        <v>0</v>
      </c>
      <c r="H20" t="s">
        <v>230</v>
      </c>
      <c r="I20">
        <v>42</v>
      </c>
      <c r="J20" t="s">
        <v>207</v>
      </c>
      <c r="K20">
        <v>7</v>
      </c>
      <c r="L20" t="s">
        <v>3187</v>
      </c>
      <c r="N20">
        <v>6</v>
      </c>
    </row>
    <row r="21" spans="1:14">
      <c r="A21" t="s">
        <v>1029</v>
      </c>
      <c r="B21" t="s">
        <v>210</v>
      </c>
      <c r="C21">
        <v>39</v>
      </c>
      <c r="D21" t="s">
        <v>211</v>
      </c>
      <c r="E21">
        <v>29</v>
      </c>
      <c r="F21" t="s">
        <v>212</v>
      </c>
      <c r="G21">
        <v>0</v>
      </c>
      <c r="H21" t="s">
        <v>411</v>
      </c>
      <c r="I21">
        <v>68</v>
      </c>
    </row>
    <row r="22" spans="1:14">
      <c r="B22" t="s">
        <v>213</v>
      </c>
      <c r="C22">
        <v>55</v>
      </c>
      <c r="D22" t="s">
        <v>214</v>
      </c>
      <c r="E22">
        <v>25</v>
      </c>
      <c r="F22" t="s">
        <v>215</v>
      </c>
      <c r="G22">
        <v>0</v>
      </c>
      <c r="H22" t="s">
        <v>410</v>
      </c>
      <c r="I22">
        <v>80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227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10.56</v>
      </c>
      <c r="E28">
        <v>9.94</v>
      </c>
      <c r="F28">
        <v>0</v>
      </c>
      <c r="G28">
        <f>43820+113500+3686+96544+6966</f>
        <v>264516</v>
      </c>
      <c r="H28">
        <f>1384+5310+21170+11250+215503+69641+129760+12870+800+4890</f>
        <v>472578</v>
      </c>
      <c r="M28">
        <f t="shared" ref="M28:M36" si="0">F28+G28+H28+I28+J28+K28+L28</f>
        <v>737094</v>
      </c>
    </row>
    <row r="29" spans="1:14">
      <c r="A29" t="s">
        <v>234</v>
      </c>
      <c r="B29">
        <v>7000</v>
      </c>
      <c r="C29" t="s">
        <v>233</v>
      </c>
      <c r="D29">
        <f>B29*N4/100000</f>
        <v>5.6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0.11</v>
      </c>
      <c r="E30">
        <v>0.4</v>
      </c>
      <c r="F30">
        <v>0</v>
      </c>
      <c r="G30">
        <v>18000</v>
      </c>
      <c r="H30">
        <f>6605+300+14350</f>
        <v>21255</v>
      </c>
      <c r="M30">
        <f t="shared" si="0"/>
        <v>39255</v>
      </c>
    </row>
    <row r="31" spans="1:14">
      <c r="A31" t="s">
        <v>396</v>
      </c>
      <c r="B31">
        <v>68</v>
      </c>
      <c r="C31" t="s">
        <v>233</v>
      </c>
      <c r="D31">
        <v>0.09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1.5840000000000001</v>
      </c>
      <c r="E32">
        <v>1.5</v>
      </c>
      <c r="F32">
        <v>0</v>
      </c>
      <c r="G32">
        <v>0</v>
      </c>
      <c r="H32">
        <v>3800</v>
      </c>
      <c r="M32">
        <f t="shared" si="0"/>
        <v>3800</v>
      </c>
    </row>
    <row r="33" spans="1:13">
      <c r="A33" t="s">
        <v>667</v>
      </c>
      <c r="B33">
        <v>565</v>
      </c>
      <c r="C33" t="s">
        <v>233</v>
      </c>
      <c r="D33">
        <v>0.73</v>
      </c>
      <c r="E33">
        <v>0.72599999999999998</v>
      </c>
      <c r="F33">
        <v>0</v>
      </c>
      <c r="G33">
        <v>0</v>
      </c>
      <c r="H33">
        <v>98000</v>
      </c>
      <c r="M33">
        <f t="shared" si="0"/>
        <v>98000</v>
      </c>
    </row>
    <row r="34" spans="1:13">
      <c r="A34" t="s">
        <v>240</v>
      </c>
      <c r="B34">
        <v>1000</v>
      </c>
      <c r="C34" t="s">
        <v>233</v>
      </c>
      <c r="D34">
        <f>B34*K4/100000</f>
        <v>1.32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0.92500000000000004</v>
      </c>
      <c r="F35">
        <v>0</v>
      </c>
      <c r="G35">
        <f>9750+7723+4500+3244</f>
        <v>25217</v>
      </c>
      <c r="H35">
        <f>2250+9984+4670+4715+2250+1000+500+6750+5150+2250</f>
        <v>39519</v>
      </c>
      <c r="M35">
        <f t="shared" si="0"/>
        <v>64736</v>
      </c>
    </row>
    <row r="36" spans="1:13">
      <c r="A36" t="s">
        <v>670</v>
      </c>
      <c r="B36">
        <v>10000</v>
      </c>
      <c r="C36" t="s">
        <v>244</v>
      </c>
      <c r="D36">
        <v>0.1</v>
      </c>
      <c r="F36">
        <v>2000</v>
      </c>
      <c r="G36">
        <v>20908</v>
      </c>
      <c r="H36">
        <v>0</v>
      </c>
      <c r="M36">
        <f t="shared" si="0"/>
        <v>22908</v>
      </c>
    </row>
    <row r="37" spans="1:13">
      <c r="A37" t="s">
        <v>3941</v>
      </c>
      <c r="D37">
        <f t="shared" ref="D37:M37" si="1">SUM(D28:D36)</f>
        <v>22.404</v>
      </c>
      <c r="E37">
        <f t="shared" si="1"/>
        <v>13.791</v>
      </c>
      <c r="F37">
        <f t="shared" si="1"/>
        <v>2000</v>
      </c>
      <c r="G37">
        <f t="shared" si="1"/>
        <v>344641</v>
      </c>
      <c r="H37">
        <f t="shared" si="1"/>
        <v>645614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992255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5752</v>
      </c>
      <c r="E4" t="s">
        <v>3914</v>
      </c>
      <c r="G4" t="s">
        <v>4090</v>
      </c>
      <c r="J4" t="s">
        <v>2456</v>
      </c>
      <c r="K4">
        <v>657</v>
      </c>
      <c r="L4" t="s">
        <v>173</v>
      </c>
      <c r="N4">
        <v>80</v>
      </c>
    </row>
    <row r="6" spans="1:14">
      <c r="A6" t="s">
        <v>174</v>
      </c>
      <c r="B6" t="s">
        <v>5753</v>
      </c>
      <c r="E6" t="s">
        <v>176</v>
      </c>
      <c r="G6" t="s">
        <v>4089</v>
      </c>
    </row>
    <row r="8" spans="1:14">
      <c r="A8" t="s">
        <v>3916</v>
      </c>
      <c r="B8" t="s">
        <v>4088</v>
      </c>
      <c r="E8" t="s">
        <v>3917</v>
      </c>
      <c r="G8" t="s">
        <v>4087</v>
      </c>
    </row>
    <row r="12" spans="1:14">
      <c r="A12" t="s">
        <v>838</v>
      </c>
      <c r="B12" t="s">
        <v>4087</v>
      </c>
      <c r="D12" t="s">
        <v>4086</v>
      </c>
    </row>
    <row r="13" spans="1:14">
      <c r="A13" t="s">
        <v>187</v>
      </c>
      <c r="B13" t="s">
        <v>4085</v>
      </c>
      <c r="D13" t="s">
        <v>4084</v>
      </c>
      <c r="G13" t="s">
        <v>4083</v>
      </c>
    </row>
    <row r="14" spans="1:14">
      <c r="A14" t="s">
        <v>192</v>
      </c>
      <c r="B14" t="s">
        <v>4082</v>
      </c>
      <c r="D14" t="s">
        <v>4081</v>
      </c>
      <c r="G14" t="s">
        <v>4080</v>
      </c>
      <c r="J14" t="s">
        <v>4079</v>
      </c>
    </row>
    <row r="15" spans="1:14">
      <c r="A15" t="s">
        <v>197</v>
      </c>
      <c r="B15" t="s">
        <v>4078</v>
      </c>
    </row>
    <row r="17" spans="1:14">
      <c r="A17" t="s">
        <v>3936</v>
      </c>
      <c r="B17">
        <v>2</v>
      </c>
      <c r="C17" t="s">
        <v>199</v>
      </c>
      <c r="F17">
        <v>2</v>
      </c>
      <c r="G17" t="s">
        <v>200</v>
      </c>
      <c r="H17">
        <v>8</v>
      </c>
      <c r="I17" t="s">
        <v>201</v>
      </c>
      <c r="J17">
        <v>2</v>
      </c>
      <c r="K17" t="s">
        <v>202</v>
      </c>
    </row>
    <row r="20" spans="1:14">
      <c r="A20" t="s">
        <v>203</v>
      </c>
      <c r="B20" t="s">
        <v>204</v>
      </c>
      <c r="C20">
        <v>73</v>
      </c>
      <c r="D20" t="s">
        <v>205</v>
      </c>
      <c r="E20">
        <v>6</v>
      </c>
      <c r="F20" t="s">
        <v>206</v>
      </c>
      <c r="G20">
        <v>13</v>
      </c>
      <c r="H20" t="s">
        <v>230</v>
      </c>
      <c r="I20">
        <v>92</v>
      </c>
      <c r="J20" t="s">
        <v>207</v>
      </c>
      <c r="K20">
        <v>11</v>
      </c>
      <c r="L20" t="s">
        <v>3187</v>
      </c>
      <c r="N20">
        <v>11</v>
      </c>
    </row>
    <row r="21" spans="1:14">
      <c r="A21" t="s">
        <v>1029</v>
      </c>
      <c r="B21" t="s">
        <v>210</v>
      </c>
      <c r="C21">
        <v>39</v>
      </c>
      <c r="D21" t="s">
        <v>211</v>
      </c>
      <c r="E21">
        <v>29</v>
      </c>
      <c r="F21" t="s">
        <v>212</v>
      </c>
      <c r="G21">
        <v>0</v>
      </c>
      <c r="H21" t="s">
        <v>411</v>
      </c>
      <c r="I21">
        <v>68</v>
      </c>
    </row>
    <row r="22" spans="1:14">
      <c r="B22" t="s">
        <v>213</v>
      </c>
      <c r="C22">
        <v>55</v>
      </c>
      <c r="D22" t="s">
        <v>214</v>
      </c>
      <c r="E22">
        <v>25</v>
      </c>
      <c r="F22" t="s">
        <v>215</v>
      </c>
      <c r="G22">
        <v>0</v>
      </c>
      <c r="H22" t="s">
        <v>410</v>
      </c>
      <c r="I22">
        <v>80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227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52.56</v>
      </c>
      <c r="E28">
        <v>29.57</v>
      </c>
      <c r="F28">
        <v>0</v>
      </c>
      <c r="G28">
        <f>153327+232637+32386+12960+15360+5044</f>
        <v>451714</v>
      </c>
      <c r="H28">
        <f>659676+211703+211923+323085+427101+291149+27910-10465</f>
        <v>2142082</v>
      </c>
      <c r="M28">
        <f t="shared" ref="M28:M36" si="0">F28+G28+H28+I28+J28+K28+L28</f>
        <v>2593796</v>
      </c>
    </row>
    <row r="29" spans="1:14">
      <c r="A29" t="s">
        <v>234</v>
      </c>
      <c r="B29">
        <v>7000</v>
      </c>
      <c r="C29" t="s">
        <v>233</v>
      </c>
      <c r="D29">
        <f>B29*N4/100000</f>
        <v>5.6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0.56999999999999995</v>
      </c>
      <c r="E30">
        <v>0.4</v>
      </c>
      <c r="F30">
        <v>0</v>
      </c>
      <c r="G30">
        <v>18000</v>
      </c>
      <c r="H30">
        <f>300+460+6300</f>
        <v>7060</v>
      </c>
      <c r="M30">
        <f t="shared" si="0"/>
        <v>25060</v>
      </c>
    </row>
    <row r="31" spans="1:14">
      <c r="A31" t="s">
        <v>396</v>
      </c>
      <c r="B31">
        <v>68</v>
      </c>
      <c r="C31" t="s">
        <v>233</v>
      </c>
      <c r="D31">
        <v>0.45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7.8840000000000003</v>
      </c>
      <c r="E32">
        <v>2</v>
      </c>
      <c r="F32">
        <v>0</v>
      </c>
      <c r="G32">
        <v>0</v>
      </c>
      <c r="H32">
        <v>0</v>
      </c>
      <c r="M32">
        <f t="shared" si="0"/>
        <v>0</v>
      </c>
    </row>
    <row r="33" spans="1:13">
      <c r="A33" t="s">
        <v>667</v>
      </c>
      <c r="B33">
        <v>565</v>
      </c>
      <c r="C33" t="s">
        <v>233</v>
      </c>
      <c r="D33">
        <f>550*K4/100000</f>
        <v>3.6135000000000002</v>
      </c>
      <c r="E33">
        <v>3.61</v>
      </c>
      <c r="F33">
        <v>0</v>
      </c>
      <c r="G33">
        <v>80000</v>
      </c>
      <c r="H33">
        <v>231140</v>
      </c>
      <c r="M33">
        <f t="shared" si="0"/>
        <v>311140</v>
      </c>
    </row>
    <row r="34" spans="1:13">
      <c r="A34" t="s">
        <v>240</v>
      </c>
      <c r="B34">
        <v>1000</v>
      </c>
      <c r="C34" t="s">
        <v>233</v>
      </c>
      <c r="D34">
        <f>B34*K4/100000</f>
        <v>6.57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0.92249999999999999</v>
      </c>
      <c r="F35">
        <v>0</v>
      </c>
      <c r="G35">
        <f>11250+3446+5225+3366+2594+2430</f>
        <v>28311</v>
      </c>
      <c r="H35">
        <f>2250+1000+9080+2250+2370</f>
        <v>16950</v>
      </c>
      <c r="M35">
        <f t="shared" si="0"/>
        <v>45261</v>
      </c>
    </row>
    <row r="36" spans="1:13">
      <c r="A36" t="s">
        <v>670</v>
      </c>
      <c r="B36">
        <v>10000</v>
      </c>
      <c r="C36" t="s">
        <v>244</v>
      </c>
      <c r="D36">
        <v>0.1</v>
      </c>
      <c r="E36">
        <v>0</v>
      </c>
      <c r="F36">
        <v>0</v>
      </c>
      <c r="G36">
        <v>0</v>
      </c>
      <c r="H36">
        <v>0</v>
      </c>
      <c r="M36">
        <f t="shared" si="0"/>
        <v>0</v>
      </c>
    </row>
    <row r="37" spans="1:13">
      <c r="A37" t="s">
        <v>3941</v>
      </c>
      <c r="D37">
        <f t="shared" ref="D37:M37" si="1">SUM(D28:D36)</f>
        <v>79.657499999999999</v>
      </c>
      <c r="E37">
        <f t="shared" si="1"/>
        <v>36.802499999999995</v>
      </c>
      <c r="F37">
        <f t="shared" si="1"/>
        <v>0</v>
      </c>
      <c r="G37">
        <f t="shared" si="1"/>
        <v>594025</v>
      </c>
      <c r="H37">
        <f t="shared" si="1"/>
        <v>2407694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3001719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3106</v>
      </c>
      <c r="E4" t="s">
        <v>3914</v>
      </c>
      <c r="G4" t="s">
        <v>5754</v>
      </c>
      <c r="J4" t="s">
        <v>2456</v>
      </c>
      <c r="K4">
        <v>542</v>
      </c>
      <c r="L4" t="s">
        <v>173</v>
      </c>
      <c r="N4">
        <v>80</v>
      </c>
    </row>
    <row r="6" spans="1:14">
      <c r="A6" t="s">
        <v>174</v>
      </c>
      <c r="B6" t="s">
        <v>4101</v>
      </c>
      <c r="E6" t="s">
        <v>176</v>
      </c>
      <c r="G6" t="s">
        <v>4100</v>
      </c>
    </row>
    <row r="8" spans="1:14">
      <c r="A8" t="s">
        <v>3916</v>
      </c>
      <c r="B8" t="s">
        <v>4099</v>
      </c>
      <c r="E8" t="s">
        <v>3917</v>
      </c>
      <c r="G8" t="s">
        <v>4098</v>
      </c>
    </row>
    <row r="12" spans="1:14">
      <c r="A12" t="s">
        <v>838</v>
      </c>
      <c r="B12" t="s">
        <v>4098</v>
      </c>
      <c r="D12" t="s">
        <v>4097</v>
      </c>
      <c r="G12" t="s">
        <v>4096</v>
      </c>
    </row>
    <row r="13" spans="1:14">
      <c r="A13" t="s">
        <v>187</v>
      </c>
      <c r="B13" t="s">
        <v>1524</v>
      </c>
      <c r="D13" t="s">
        <v>4095</v>
      </c>
    </row>
    <row r="14" spans="1:14">
      <c r="A14" t="s">
        <v>192</v>
      </c>
      <c r="B14" t="s">
        <v>4094</v>
      </c>
      <c r="D14" t="s">
        <v>4093</v>
      </c>
      <c r="G14" t="s">
        <v>4092</v>
      </c>
      <c r="J14" t="s">
        <v>4091</v>
      </c>
    </row>
    <row r="15" spans="1:14">
      <c r="A15" t="s">
        <v>197</v>
      </c>
    </row>
    <row r="17" spans="1:14">
      <c r="A17" t="s">
        <v>3936</v>
      </c>
      <c r="B17">
        <v>3</v>
      </c>
      <c r="C17" t="s">
        <v>199</v>
      </c>
      <c r="F17">
        <v>3</v>
      </c>
      <c r="G17" t="s">
        <v>200</v>
      </c>
      <c r="H17">
        <v>6</v>
      </c>
      <c r="I17" t="s">
        <v>201</v>
      </c>
      <c r="J17">
        <v>0</v>
      </c>
      <c r="K17" t="s">
        <v>202</v>
      </c>
    </row>
    <row r="20" spans="1:14">
      <c r="A20" t="s">
        <v>203</v>
      </c>
      <c r="B20" t="s">
        <v>204</v>
      </c>
      <c r="C20">
        <v>36</v>
      </c>
      <c r="D20" t="s">
        <v>205</v>
      </c>
      <c r="E20">
        <v>14</v>
      </c>
      <c r="F20" t="s">
        <v>206</v>
      </c>
      <c r="G20">
        <v>0</v>
      </c>
      <c r="H20" t="s">
        <v>230</v>
      </c>
      <c r="I20">
        <v>50</v>
      </c>
      <c r="J20" t="s">
        <v>207</v>
      </c>
      <c r="K20">
        <v>13</v>
      </c>
      <c r="L20" t="s">
        <v>3187</v>
      </c>
      <c r="N20">
        <v>13</v>
      </c>
    </row>
    <row r="21" spans="1:14">
      <c r="A21" t="s">
        <v>1029</v>
      </c>
      <c r="B21" t="s">
        <v>210</v>
      </c>
      <c r="C21">
        <v>39</v>
      </c>
      <c r="D21" t="s">
        <v>211</v>
      </c>
      <c r="E21">
        <v>29</v>
      </c>
      <c r="F21" t="s">
        <v>212</v>
      </c>
      <c r="G21">
        <v>0</v>
      </c>
      <c r="H21" t="s">
        <v>411</v>
      </c>
      <c r="I21">
        <v>68</v>
      </c>
    </row>
    <row r="22" spans="1:14">
      <c r="B22" t="s">
        <v>213</v>
      </c>
      <c r="C22">
        <v>55</v>
      </c>
      <c r="D22" t="s">
        <v>214</v>
      </c>
      <c r="E22">
        <v>25</v>
      </c>
      <c r="F22" t="s">
        <v>215</v>
      </c>
      <c r="G22">
        <v>0</v>
      </c>
      <c r="H22" t="s">
        <v>410</v>
      </c>
      <c r="I22">
        <v>80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227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43.36</v>
      </c>
      <c r="E28">
        <v>24.39</v>
      </c>
      <c r="F28">
        <v>0</v>
      </c>
      <c r="G28">
        <f>46270+146411+5720+20868+3498</f>
        <v>222767</v>
      </c>
      <c r="H28">
        <f>8820+6390+207490+66710+377020+39833+3780+2379</f>
        <v>712422</v>
      </c>
      <c r="M28">
        <f t="shared" ref="M28:M36" si="0">F28+G28+H28+I28+J28+K28+L28</f>
        <v>935189</v>
      </c>
    </row>
    <row r="29" spans="1:14">
      <c r="A29" t="s">
        <v>234</v>
      </c>
      <c r="B29">
        <v>7000</v>
      </c>
      <c r="C29" t="s">
        <v>233</v>
      </c>
      <c r="D29">
        <f>B29*N4/100000</f>
        <v>5.6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0.47</v>
      </c>
      <c r="E30">
        <v>0.4</v>
      </c>
      <c r="F30">
        <v>0</v>
      </c>
      <c r="G30">
        <v>18000</v>
      </c>
      <c r="H30">
        <v>0</v>
      </c>
      <c r="M30">
        <f t="shared" si="0"/>
        <v>18000</v>
      </c>
    </row>
    <row r="31" spans="1:14">
      <c r="A31" t="s">
        <v>396</v>
      </c>
      <c r="B31">
        <v>68</v>
      </c>
      <c r="C31" t="s">
        <v>233</v>
      </c>
      <c r="D31">
        <v>0.37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6.5039999999999996</v>
      </c>
      <c r="E32">
        <v>2</v>
      </c>
      <c r="F32">
        <v>0</v>
      </c>
      <c r="G32">
        <v>0</v>
      </c>
      <c r="H32">
        <v>0</v>
      </c>
      <c r="M32">
        <f t="shared" si="0"/>
        <v>0</v>
      </c>
    </row>
    <row r="33" spans="1:13">
      <c r="A33" t="s">
        <v>667</v>
      </c>
      <c r="B33">
        <v>565</v>
      </c>
      <c r="C33" t="s">
        <v>233</v>
      </c>
      <c r="D33">
        <v>2.98</v>
      </c>
      <c r="E33">
        <v>2.9809999999999999</v>
      </c>
      <c r="F33">
        <v>0</v>
      </c>
      <c r="G33">
        <v>0</v>
      </c>
      <c r="H33">
        <v>15500</v>
      </c>
      <c r="M33">
        <f t="shared" si="0"/>
        <v>15500</v>
      </c>
    </row>
    <row r="34" spans="1:13">
      <c r="A34" t="s">
        <v>240</v>
      </c>
      <c r="B34">
        <v>1000</v>
      </c>
      <c r="C34" t="s">
        <v>233</v>
      </c>
      <c r="D34">
        <f>B34*K4/100000</f>
        <v>5.42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0.92249999999999999</v>
      </c>
      <c r="F35">
        <v>0</v>
      </c>
      <c r="G35">
        <f>9550+6106+2215+1812+2030+2100</f>
        <v>23813</v>
      </c>
      <c r="H35">
        <f>1950+8800+6164</f>
        <v>16914</v>
      </c>
      <c r="M35">
        <f t="shared" si="0"/>
        <v>40727</v>
      </c>
    </row>
    <row r="36" spans="1:13">
      <c r="A36" t="s">
        <v>670</v>
      </c>
      <c r="B36">
        <v>10000</v>
      </c>
      <c r="C36" t="s">
        <v>244</v>
      </c>
      <c r="D36">
        <v>0.1</v>
      </c>
      <c r="F36">
        <v>2000</v>
      </c>
      <c r="G36">
        <v>0</v>
      </c>
      <c r="H36">
        <v>0</v>
      </c>
      <c r="M36">
        <f t="shared" si="0"/>
        <v>2000</v>
      </c>
    </row>
    <row r="37" spans="1:13">
      <c r="A37" t="s">
        <v>3941</v>
      </c>
      <c r="D37">
        <f t="shared" ref="D37:M37" si="1">SUM(D28:D36)</f>
        <v>67.11399999999999</v>
      </c>
      <c r="E37">
        <f t="shared" si="1"/>
        <v>30.993499999999997</v>
      </c>
      <c r="F37">
        <f t="shared" si="1"/>
        <v>2000</v>
      </c>
      <c r="G37">
        <f t="shared" si="1"/>
        <v>280580</v>
      </c>
      <c r="H37">
        <f t="shared" si="1"/>
        <v>755298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1037878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3107</v>
      </c>
      <c r="E4" t="s">
        <v>3914</v>
      </c>
      <c r="G4" t="s">
        <v>4113</v>
      </c>
      <c r="J4" t="s">
        <v>2456</v>
      </c>
      <c r="K4">
        <v>283</v>
      </c>
      <c r="L4" t="s">
        <v>173</v>
      </c>
      <c r="N4">
        <v>0</v>
      </c>
    </row>
    <row r="6" spans="1:14">
      <c r="A6" t="s">
        <v>174</v>
      </c>
      <c r="B6" t="s">
        <v>4112</v>
      </c>
      <c r="E6" t="s">
        <v>176</v>
      </c>
      <c r="G6" t="s">
        <v>4111</v>
      </c>
    </row>
    <row r="8" spans="1:14">
      <c r="A8" t="s">
        <v>3916</v>
      </c>
      <c r="B8" t="s">
        <v>4110</v>
      </c>
      <c r="E8" t="s">
        <v>3917</v>
      </c>
      <c r="G8" t="s">
        <v>4109</v>
      </c>
    </row>
    <row r="12" spans="1:14">
      <c r="A12" t="s">
        <v>838</v>
      </c>
      <c r="B12" t="s">
        <v>4109</v>
      </c>
      <c r="D12" t="s">
        <v>4108</v>
      </c>
    </row>
    <row r="13" spans="1:14">
      <c r="A13" t="s">
        <v>187</v>
      </c>
      <c r="B13" t="s">
        <v>4107</v>
      </c>
      <c r="D13" t="s">
        <v>4106</v>
      </c>
      <c r="G13" t="s">
        <v>489</v>
      </c>
      <c r="J13" t="s">
        <v>4085</v>
      </c>
    </row>
    <row r="14" spans="1:14">
      <c r="A14" t="s">
        <v>192</v>
      </c>
      <c r="B14" t="s">
        <v>4105</v>
      </c>
      <c r="D14" t="s">
        <v>4104</v>
      </c>
      <c r="G14" t="s">
        <v>4103</v>
      </c>
      <c r="J14" t="s">
        <v>4102</v>
      </c>
    </row>
    <row r="15" spans="1:14">
      <c r="A15" t="s">
        <v>197</v>
      </c>
    </row>
    <row r="17" spans="1:14">
      <c r="A17" t="s">
        <v>3936</v>
      </c>
      <c r="B17">
        <v>2</v>
      </c>
      <c r="C17" t="s">
        <v>199</v>
      </c>
      <c r="F17">
        <v>2</v>
      </c>
      <c r="G17" t="s">
        <v>200</v>
      </c>
      <c r="H17">
        <v>7</v>
      </c>
      <c r="I17" t="s">
        <v>201</v>
      </c>
      <c r="J17">
        <v>0</v>
      </c>
      <c r="K17" t="s">
        <v>202</v>
      </c>
    </row>
    <row r="20" spans="1:14">
      <c r="A20" t="s">
        <v>203</v>
      </c>
      <c r="B20" t="s">
        <v>204</v>
      </c>
      <c r="C20">
        <v>42</v>
      </c>
      <c r="D20" t="s">
        <v>205</v>
      </c>
      <c r="E20">
        <v>31</v>
      </c>
      <c r="F20" t="s">
        <v>206</v>
      </c>
      <c r="G20">
        <v>0</v>
      </c>
      <c r="H20" t="s">
        <v>230</v>
      </c>
      <c r="I20">
        <f>C20+E20</f>
        <v>73</v>
      </c>
      <c r="J20" t="s">
        <v>207</v>
      </c>
      <c r="K20">
        <v>6</v>
      </c>
      <c r="L20" t="s">
        <v>3187</v>
      </c>
      <c r="N20">
        <v>6</v>
      </c>
    </row>
    <row r="21" spans="1:14">
      <c r="A21" t="s">
        <v>1029</v>
      </c>
      <c r="B21" t="s">
        <v>210</v>
      </c>
      <c r="C21">
        <v>56</v>
      </c>
      <c r="D21" t="s">
        <v>211</v>
      </c>
      <c r="E21">
        <v>43</v>
      </c>
      <c r="F21" t="s">
        <v>212</v>
      </c>
      <c r="G21">
        <v>0</v>
      </c>
      <c r="H21" t="s">
        <v>411</v>
      </c>
      <c r="I21">
        <f>C21+E21</f>
        <v>99</v>
      </c>
    </row>
    <row r="22" spans="1:14">
      <c r="B22" t="s">
        <v>213</v>
      </c>
      <c r="C22">
        <v>63</v>
      </c>
      <c r="D22" t="s">
        <v>214</v>
      </c>
      <c r="E22">
        <v>49</v>
      </c>
      <c r="F22" t="s">
        <v>215</v>
      </c>
      <c r="G22">
        <v>0</v>
      </c>
      <c r="H22" t="s">
        <v>410</v>
      </c>
      <c r="I22">
        <f>C22+E22</f>
        <v>112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227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22.64</v>
      </c>
      <c r="E28">
        <v>19.234999999999999</v>
      </c>
      <c r="F28">
        <v>0</v>
      </c>
      <c r="G28">
        <f>49521+11547+5530+10320+5368</f>
        <v>82286</v>
      </c>
      <c r="H28">
        <f>100260+58320+103570+517600+305886+3907+158142+181555-2555</f>
        <v>1426685</v>
      </c>
      <c r="M28">
        <f t="shared" ref="M28:M36" si="0">F28+G28+H28+I28+J28+K28+L28</f>
        <v>1508971</v>
      </c>
    </row>
    <row r="29" spans="1:14">
      <c r="A29" t="s">
        <v>234</v>
      </c>
      <c r="B29">
        <v>7000</v>
      </c>
      <c r="C29" t="s">
        <v>233</v>
      </c>
      <c r="D29">
        <f>B29*N4/100000</f>
        <v>0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0.24</v>
      </c>
      <c r="E30">
        <v>0.40250000000000002</v>
      </c>
      <c r="F30">
        <v>0</v>
      </c>
      <c r="G30">
        <v>18000</v>
      </c>
      <c r="H30">
        <f>4325+600+13800</f>
        <v>18725</v>
      </c>
      <c r="M30">
        <f t="shared" si="0"/>
        <v>36725</v>
      </c>
    </row>
    <row r="31" spans="1:14">
      <c r="A31" t="s">
        <v>396</v>
      </c>
      <c r="B31">
        <v>68</v>
      </c>
      <c r="C31" t="s">
        <v>233</v>
      </c>
      <c r="D31">
        <v>0.19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3.3959999999999999</v>
      </c>
      <c r="E32">
        <v>1.5</v>
      </c>
      <c r="F32">
        <v>0</v>
      </c>
      <c r="G32">
        <v>0</v>
      </c>
      <c r="H32">
        <v>0</v>
      </c>
      <c r="M32">
        <f t="shared" si="0"/>
        <v>0</v>
      </c>
    </row>
    <row r="33" spans="1:13">
      <c r="A33" t="s">
        <v>667</v>
      </c>
      <c r="B33">
        <v>565</v>
      </c>
      <c r="C33" t="s">
        <v>233</v>
      </c>
      <c r="D33">
        <v>1.56</v>
      </c>
      <c r="E33">
        <v>1.56</v>
      </c>
      <c r="F33">
        <v>0</v>
      </c>
      <c r="G33">
        <v>0</v>
      </c>
      <c r="H33">
        <f>23734+17166</f>
        <v>40900</v>
      </c>
      <c r="M33">
        <f t="shared" si="0"/>
        <v>40900</v>
      </c>
    </row>
    <row r="34" spans="1:13">
      <c r="A34" t="s">
        <v>240</v>
      </c>
      <c r="B34">
        <v>1000</v>
      </c>
      <c r="C34" t="s">
        <v>233</v>
      </c>
      <c r="D34">
        <f>B34*K4/100000</f>
        <v>2.83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0.92249999999999999</v>
      </c>
      <c r="F35">
        <v>0</v>
      </c>
      <c r="G35">
        <f>15006+2240+3026+2347+1950</f>
        <v>24569</v>
      </c>
      <c r="H35">
        <f>1950+3850+2750+3050+2426</f>
        <v>14026</v>
      </c>
      <c r="M35">
        <f t="shared" si="0"/>
        <v>38595</v>
      </c>
    </row>
    <row r="36" spans="1:13">
      <c r="A36" t="s">
        <v>670</v>
      </c>
      <c r="B36">
        <v>10000</v>
      </c>
      <c r="C36" t="s">
        <v>244</v>
      </c>
      <c r="D36">
        <v>0.1</v>
      </c>
      <c r="F36">
        <v>2000</v>
      </c>
      <c r="G36">
        <v>0</v>
      </c>
      <c r="H36">
        <v>0</v>
      </c>
      <c r="M36">
        <f t="shared" si="0"/>
        <v>2000</v>
      </c>
    </row>
    <row r="37" spans="1:13">
      <c r="A37" t="s">
        <v>3941</v>
      </c>
      <c r="D37">
        <f t="shared" ref="D37:M37" si="1">SUM(D28:D36)</f>
        <v>33.266000000000005</v>
      </c>
      <c r="E37">
        <f t="shared" si="1"/>
        <v>23.919999999999998</v>
      </c>
      <c r="F37">
        <f t="shared" si="1"/>
        <v>2000</v>
      </c>
      <c r="G37">
        <f t="shared" si="1"/>
        <v>140855</v>
      </c>
      <c r="H37">
        <f t="shared" si="1"/>
        <v>1510798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1653653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5755</v>
      </c>
      <c r="E4" t="s">
        <v>3914</v>
      </c>
      <c r="G4" t="s">
        <v>5756</v>
      </c>
      <c r="J4" t="s">
        <v>2456</v>
      </c>
      <c r="K4">
        <v>146</v>
      </c>
      <c r="L4" t="s">
        <v>173</v>
      </c>
      <c r="N4">
        <v>80</v>
      </c>
    </row>
    <row r="6" spans="1:14">
      <c r="A6" t="s">
        <v>174</v>
      </c>
      <c r="B6" t="s">
        <v>4119</v>
      </c>
      <c r="E6" t="s">
        <v>176</v>
      </c>
      <c r="G6" t="s">
        <v>4122</v>
      </c>
    </row>
    <row r="8" spans="1:14">
      <c r="A8" t="s">
        <v>3916</v>
      </c>
      <c r="B8" t="s">
        <v>4114</v>
      </c>
      <c r="E8" t="s">
        <v>3917</v>
      </c>
      <c r="G8" t="s">
        <v>4121</v>
      </c>
    </row>
    <row r="12" spans="1:14">
      <c r="A12" t="s">
        <v>838</v>
      </c>
      <c r="B12" t="s">
        <v>4120</v>
      </c>
    </row>
    <row r="13" spans="1:14">
      <c r="A13" t="s">
        <v>187</v>
      </c>
      <c r="B13" t="s">
        <v>4119</v>
      </c>
      <c r="D13" t="s">
        <v>4118</v>
      </c>
    </row>
    <row r="14" spans="1:14">
      <c r="A14" t="s">
        <v>192</v>
      </c>
      <c r="B14" t="s">
        <v>4117</v>
      </c>
      <c r="D14" t="s">
        <v>1663</v>
      </c>
      <c r="G14" t="s">
        <v>4116</v>
      </c>
      <c r="J14" t="s">
        <v>4115</v>
      </c>
    </row>
    <row r="15" spans="1:14">
      <c r="A15" t="s">
        <v>197</v>
      </c>
      <c r="B15" t="s">
        <v>4114</v>
      </c>
    </row>
    <row r="17" spans="1:14">
      <c r="A17" t="s">
        <v>3936</v>
      </c>
      <c r="B17">
        <v>1</v>
      </c>
      <c r="C17" t="s">
        <v>199</v>
      </c>
      <c r="F17">
        <v>1</v>
      </c>
      <c r="G17" t="s">
        <v>200</v>
      </c>
      <c r="H17">
        <v>6</v>
      </c>
      <c r="I17" t="s">
        <v>201</v>
      </c>
      <c r="J17">
        <v>1</v>
      </c>
      <c r="K17" t="s">
        <v>202</v>
      </c>
    </row>
    <row r="20" spans="1:14">
      <c r="A20" t="s">
        <v>203</v>
      </c>
      <c r="B20" t="s">
        <v>204</v>
      </c>
      <c r="C20">
        <v>41</v>
      </c>
      <c r="D20" t="s">
        <v>205</v>
      </c>
      <c r="E20">
        <v>14</v>
      </c>
      <c r="G20">
        <v>5</v>
      </c>
      <c r="H20" t="s">
        <v>230</v>
      </c>
      <c r="I20">
        <v>60</v>
      </c>
      <c r="J20" t="s">
        <v>207</v>
      </c>
      <c r="K20">
        <v>7</v>
      </c>
      <c r="L20" t="s">
        <v>3187</v>
      </c>
      <c r="N20">
        <v>7</v>
      </c>
    </row>
    <row r="21" spans="1:14">
      <c r="A21" t="s">
        <v>1029</v>
      </c>
      <c r="B21" t="s">
        <v>210</v>
      </c>
      <c r="C21">
        <v>86</v>
      </c>
      <c r="D21" t="s">
        <v>211</v>
      </c>
      <c r="E21">
        <v>38</v>
      </c>
      <c r="F21" t="s">
        <v>212</v>
      </c>
      <c r="G21">
        <v>14</v>
      </c>
      <c r="H21" t="s">
        <v>411</v>
      </c>
      <c r="I21">
        <f>C21+E21+G21</f>
        <v>138</v>
      </c>
    </row>
    <row r="22" spans="1:14">
      <c r="B22" t="s">
        <v>213</v>
      </c>
      <c r="C22">
        <v>91</v>
      </c>
      <c r="D22" t="s">
        <v>214</v>
      </c>
      <c r="E22">
        <v>25</v>
      </c>
      <c r="F22" t="s">
        <v>215</v>
      </c>
      <c r="G22">
        <v>0</v>
      </c>
      <c r="H22" t="s">
        <v>410</v>
      </c>
      <c r="I22">
        <f>C22+E22</f>
        <v>116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227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11.68</v>
      </c>
      <c r="E28">
        <v>10.57</v>
      </c>
      <c r="F28">
        <v>0</v>
      </c>
      <c r="G28">
        <f>21140+46746+7839+80+7554+305</f>
        <v>83664</v>
      </c>
      <c r="H28">
        <f>2280+19070+20434+135741+26975+76030+69910+178300+43824+2360-2280</f>
        <v>572644</v>
      </c>
      <c r="M28">
        <f t="shared" ref="M28:M36" si="0">F28+G28+H28+I28+J28+K28+L28</f>
        <v>656308</v>
      </c>
    </row>
    <row r="29" spans="1:14">
      <c r="A29" t="s">
        <v>234</v>
      </c>
      <c r="B29">
        <v>7000</v>
      </c>
      <c r="C29" t="s">
        <v>233</v>
      </c>
      <c r="D29">
        <f>B29*N4/100000</f>
        <v>5.6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0.13</v>
      </c>
      <c r="E30">
        <v>0.40250000000000002</v>
      </c>
      <c r="F30">
        <v>0</v>
      </c>
      <c r="G30">
        <v>18000</v>
      </c>
      <c r="H30">
        <v>0</v>
      </c>
      <c r="M30">
        <f t="shared" si="0"/>
        <v>18000</v>
      </c>
    </row>
    <row r="31" spans="1:14">
      <c r="A31" t="s">
        <v>396</v>
      </c>
      <c r="B31">
        <v>68</v>
      </c>
      <c r="C31" t="s">
        <v>233</v>
      </c>
      <c r="D31">
        <v>0.1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1.752</v>
      </c>
      <c r="E32">
        <v>1.5</v>
      </c>
      <c r="F32">
        <v>0</v>
      </c>
      <c r="G32">
        <v>0</v>
      </c>
      <c r="H32">
        <v>0</v>
      </c>
      <c r="M32">
        <f t="shared" si="0"/>
        <v>0</v>
      </c>
    </row>
    <row r="33" spans="1:13">
      <c r="A33" t="s">
        <v>667</v>
      </c>
      <c r="B33">
        <v>565</v>
      </c>
      <c r="C33" t="s">
        <v>233</v>
      </c>
      <c r="D33">
        <v>0.8</v>
      </c>
      <c r="E33">
        <v>0.80300000000000005</v>
      </c>
      <c r="F33">
        <v>0</v>
      </c>
      <c r="G33">
        <v>0</v>
      </c>
      <c r="H33">
        <v>29201</v>
      </c>
      <c r="M33">
        <f t="shared" si="0"/>
        <v>29201</v>
      </c>
    </row>
    <row r="34" spans="1:13">
      <c r="A34" t="s">
        <v>240</v>
      </c>
      <c r="B34">
        <v>1000</v>
      </c>
      <c r="C34" t="s">
        <v>233</v>
      </c>
      <c r="D34">
        <f>B34*K4/100000</f>
        <v>1.46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0.92249999999999999</v>
      </c>
      <c r="F35">
        <v>0</v>
      </c>
      <c r="G35">
        <f>11250+6065+2250+2850+2637+750</f>
        <v>25802</v>
      </c>
      <c r="H35">
        <f>1047+3450+2150+471</f>
        <v>7118</v>
      </c>
      <c r="M35">
        <f t="shared" si="0"/>
        <v>32920</v>
      </c>
    </row>
    <row r="36" spans="1:13">
      <c r="A36" t="s">
        <v>670</v>
      </c>
      <c r="B36">
        <v>10000</v>
      </c>
      <c r="C36" t="s">
        <v>244</v>
      </c>
      <c r="D36">
        <v>0.1</v>
      </c>
      <c r="F36">
        <v>2000</v>
      </c>
      <c r="G36">
        <v>0</v>
      </c>
      <c r="H36">
        <v>0</v>
      </c>
      <c r="M36">
        <f t="shared" si="0"/>
        <v>2000</v>
      </c>
    </row>
    <row r="37" spans="1:13">
      <c r="A37" t="s">
        <v>3941</v>
      </c>
      <c r="D37">
        <f t="shared" ref="D37:M37" si="1">SUM(D28:D36)</f>
        <v>23.932000000000002</v>
      </c>
      <c r="E37">
        <f t="shared" si="1"/>
        <v>14.498000000000001</v>
      </c>
      <c r="F37">
        <f t="shared" si="1"/>
        <v>2000</v>
      </c>
      <c r="G37">
        <f t="shared" si="1"/>
        <v>143466</v>
      </c>
      <c r="H37">
        <f t="shared" si="1"/>
        <v>619425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764891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3109</v>
      </c>
      <c r="E4" t="s">
        <v>3914</v>
      </c>
      <c r="G4" t="s">
        <v>4133</v>
      </c>
      <c r="J4" t="s">
        <v>2456</v>
      </c>
      <c r="K4">
        <v>492</v>
      </c>
      <c r="L4" t="s">
        <v>173</v>
      </c>
      <c r="N4">
        <v>80</v>
      </c>
    </row>
    <row r="6" spans="1:14">
      <c r="A6" t="s">
        <v>174</v>
      </c>
      <c r="B6" t="s">
        <v>4132</v>
      </c>
      <c r="E6" t="s">
        <v>176</v>
      </c>
      <c r="G6" t="s">
        <v>4131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4130</v>
      </c>
      <c r="D12" t="s">
        <v>4129</v>
      </c>
      <c r="G12" t="s">
        <v>4128</v>
      </c>
    </row>
    <row r="13" spans="1:14">
      <c r="A13" t="s">
        <v>187</v>
      </c>
      <c r="B13" t="s">
        <v>4127</v>
      </c>
      <c r="D13" t="s">
        <v>4126</v>
      </c>
    </row>
    <row r="14" spans="1:14">
      <c r="A14" t="s">
        <v>192</v>
      </c>
      <c r="B14" t="s">
        <v>4125</v>
      </c>
      <c r="D14" t="s">
        <v>4124</v>
      </c>
      <c r="G14" t="s">
        <v>4123</v>
      </c>
      <c r="J14" t="s">
        <v>4092</v>
      </c>
    </row>
    <row r="15" spans="1:14">
      <c r="A15" t="s">
        <v>197</v>
      </c>
    </row>
    <row r="17" spans="1:14">
      <c r="A17" t="s">
        <v>3936</v>
      </c>
      <c r="B17">
        <v>3</v>
      </c>
      <c r="C17" t="s">
        <v>199</v>
      </c>
      <c r="F17">
        <v>3</v>
      </c>
      <c r="G17" t="s">
        <v>200</v>
      </c>
      <c r="H17">
        <v>6</v>
      </c>
      <c r="I17" t="s">
        <v>201</v>
      </c>
      <c r="J17">
        <v>1</v>
      </c>
      <c r="K17" t="s">
        <v>202</v>
      </c>
    </row>
    <row r="20" spans="1:14">
      <c r="A20" t="s">
        <v>203</v>
      </c>
      <c r="B20" t="s">
        <v>204</v>
      </c>
      <c r="C20">
        <v>68</v>
      </c>
      <c r="D20" t="s">
        <v>205</v>
      </c>
      <c r="E20">
        <v>0</v>
      </c>
      <c r="F20" t="s">
        <v>206</v>
      </c>
      <c r="G20">
        <v>1</v>
      </c>
      <c r="H20" t="s">
        <v>230</v>
      </c>
      <c r="I20">
        <f>C20+G20</f>
        <v>69</v>
      </c>
      <c r="J20" t="s">
        <v>207</v>
      </c>
      <c r="K20">
        <v>8</v>
      </c>
      <c r="L20" t="s">
        <v>3187</v>
      </c>
      <c r="N20">
        <v>8</v>
      </c>
    </row>
    <row r="21" spans="1:14">
      <c r="A21" t="s">
        <v>1029</v>
      </c>
      <c r="B21" t="s">
        <v>210</v>
      </c>
      <c r="C21">
        <v>96</v>
      </c>
      <c r="D21" t="s">
        <v>211</v>
      </c>
      <c r="E21">
        <v>0</v>
      </c>
      <c r="F21" t="s">
        <v>212</v>
      </c>
      <c r="G21">
        <v>3</v>
      </c>
      <c r="H21" t="s">
        <v>411</v>
      </c>
      <c r="I21">
        <f>C21+G21</f>
        <v>99</v>
      </c>
    </row>
    <row r="22" spans="1:14">
      <c r="B22" t="s">
        <v>213</v>
      </c>
      <c r="C22">
        <v>91</v>
      </c>
      <c r="D22" t="s">
        <v>214</v>
      </c>
      <c r="E22">
        <v>0</v>
      </c>
      <c r="F22" t="s">
        <v>215</v>
      </c>
      <c r="G22">
        <v>2</v>
      </c>
      <c r="H22" t="s">
        <v>410</v>
      </c>
      <c r="I22">
        <f>C22+G22</f>
        <v>93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1180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39.36</v>
      </c>
      <c r="E28">
        <v>22.14</v>
      </c>
      <c r="F28">
        <v>0</v>
      </c>
      <c r="G28">
        <f>17710+121213+3690+10939+3844+5850</f>
        <v>163246</v>
      </c>
      <c r="H28">
        <f>254971+102780+329420+198840+395267+122059+5420+11120+1400</f>
        <v>1421277</v>
      </c>
      <c r="M28">
        <f t="shared" ref="M28:M36" si="0">F28+G28+H28+I28+J28+K28+L28</f>
        <v>1584523</v>
      </c>
    </row>
    <row r="29" spans="1:14">
      <c r="A29" t="s">
        <v>234</v>
      </c>
      <c r="B29">
        <v>7000</v>
      </c>
      <c r="C29" t="s">
        <v>233</v>
      </c>
      <c r="D29">
        <f>B29*N4/100000</f>
        <v>5.6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0.42</v>
      </c>
      <c r="E30">
        <v>0.40250000000000002</v>
      </c>
      <c r="F30">
        <v>0</v>
      </c>
      <c r="G30">
        <v>18000</v>
      </c>
      <c r="H30">
        <v>0</v>
      </c>
      <c r="M30">
        <f t="shared" si="0"/>
        <v>18000</v>
      </c>
    </row>
    <row r="31" spans="1:14">
      <c r="A31" t="s">
        <v>396</v>
      </c>
      <c r="B31">
        <v>68</v>
      </c>
      <c r="C31" t="s">
        <v>233</v>
      </c>
      <c r="D31">
        <v>0.33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5.9039999999999999</v>
      </c>
      <c r="E32">
        <v>2</v>
      </c>
      <c r="F32">
        <v>0</v>
      </c>
      <c r="G32">
        <v>0</v>
      </c>
      <c r="H32">
        <v>0</v>
      </c>
      <c r="M32">
        <f t="shared" si="0"/>
        <v>0</v>
      </c>
    </row>
    <row r="33" spans="1:13">
      <c r="A33" t="s">
        <v>667</v>
      </c>
      <c r="B33">
        <v>565</v>
      </c>
      <c r="C33" t="s">
        <v>233</v>
      </c>
      <c r="D33">
        <v>2.71</v>
      </c>
      <c r="E33">
        <v>2.71</v>
      </c>
      <c r="F33">
        <v>0</v>
      </c>
      <c r="G33">
        <v>0</v>
      </c>
      <c r="H33">
        <f>29700+29350</f>
        <v>59050</v>
      </c>
      <c r="M33">
        <f t="shared" si="0"/>
        <v>59050</v>
      </c>
    </row>
    <row r="34" spans="1:13">
      <c r="A34" t="s">
        <v>240</v>
      </c>
      <c r="B34">
        <v>1000</v>
      </c>
      <c r="C34" t="s">
        <v>233</v>
      </c>
      <c r="D34">
        <f>B34*K4/100000</f>
        <v>4.92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0.92249999999999999</v>
      </c>
      <c r="F35">
        <v>0</v>
      </c>
      <c r="G35">
        <f>11250+3606+5814+348+4500+2250</f>
        <v>27768</v>
      </c>
      <c r="H35">
        <f>2250+1000+250+11815</f>
        <v>15315</v>
      </c>
      <c r="M35">
        <f t="shared" si="0"/>
        <v>43083</v>
      </c>
    </row>
    <row r="36" spans="1:13">
      <c r="A36" t="s">
        <v>670</v>
      </c>
      <c r="B36">
        <v>10000</v>
      </c>
      <c r="C36" t="s">
        <v>244</v>
      </c>
      <c r="D36">
        <v>0.1</v>
      </c>
      <c r="F36">
        <v>2000</v>
      </c>
      <c r="G36">
        <v>0</v>
      </c>
      <c r="H36">
        <v>0</v>
      </c>
      <c r="M36">
        <f t="shared" si="0"/>
        <v>2000</v>
      </c>
    </row>
    <row r="37" spans="1:13">
      <c r="A37" t="s">
        <v>3941</v>
      </c>
      <c r="D37">
        <f t="shared" ref="D37:M37" si="1">SUM(D28:D36)</f>
        <v>61.654000000000011</v>
      </c>
      <c r="E37">
        <f t="shared" si="1"/>
        <v>28.475000000000001</v>
      </c>
      <c r="F37">
        <f t="shared" si="1"/>
        <v>2000</v>
      </c>
      <c r="G37">
        <f t="shared" si="1"/>
        <v>225014</v>
      </c>
      <c r="H37">
        <f t="shared" si="1"/>
        <v>1506104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1733118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5757</v>
      </c>
      <c r="E4" t="s">
        <v>3914</v>
      </c>
      <c r="G4" t="s">
        <v>4142</v>
      </c>
      <c r="J4" t="s">
        <v>2456</v>
      </c>
      <c r="K4">
        <v>136</v>
      </c>
      <c r="L4" t="s">
        <v>173</v>
      </c>
      <c r="N4">
        <v>80</v>
      </c>
    </row>
    <row r="6" spans="1:14">
      <c r="A6" t="s">
        <v>174</v>
      </c>
      <c r="B6" t="s">
        <v>4141</v>
      </c>
      <c r="E6" t="s">
        <v>176</v>
      </c>
      <c r="G6" t="s">
        <v>4140</v>
      </c>
    </row>
    <row r="8" spans="1:14">
      <c r="A8" t="s">
        <v>3916</v>
      </c>
      <c r="E8" t="s">
        <v>3917</v>
      </c>
    </row>
    <row r="12" spans="1:14">
      <c r="A12" t="s">
        <v>838</v>
      </c>
      <c r="B12" t="s">
        <v>4139</v>
      </c>
      <c r="D12" t="s">
        <v>4138</v>
      </c>
    </row>
    <row r="13" spans="1:14">
      <c r="A13" t="s">
        <v>187</v>
      </c>
      <c r="B13" t="s">
        <v>4131</v>
      </c>
      <c r="D13" t="s">
        <v>4137</v>
      </c>
      <c r="G13" t="s">
        <v>4136</v>
      </c>
    </row>
    <row r="14" spans="1:14">
      <c r="A14" t="s">
        <v>192</v>
      </c>
      <c r="B14" t="s">
        <v>804</v>
      </c>
      <c r="D14" t="s">
        <v>4135</v>
      </c>
      <c r="G14" t="s">
        <v>4134</v>
      </c>
      <c r="J14" t="s">
        <v>4067</v>
      </c>
    </row>
    <row r="15" spans="1:14">
      <c r="A15" t="s">
        <v>197</v>
      </c>
    </row>
    <row r="17" spans="1:14">
      <c r="A17" t="s">
        <v>3936</v>
      </c>
      <c r="B17">
        <v>2</v>
      </c>
      <c r="C17" t="s">
        <v>199</v>
      </c>
      <c r="F17">
        <v>2</v>
      </c>
      <c r="G17" t="s">
        <v>200</v>
      </c>
      <c r="H17">
        <v>7</v>
      </c>
      <c r="I17" t="s">
        <v>201</v>
      </c>
      <c r="J17">
        <v>1</v>
      </c>
      <c r="K17" t="s">
        <v>202</v>
      </c>
    </row>
    <row r="20" spans="1:14">
      <c r="A20" t="s">
        <v>203</v>
      </c>
      <c r="B20" t="s">
        <v>204</v>
      </c>
      <c r="C20">
        <v>66</v>
      </c>
      <c r="D20" t="s">
        <v>205</v>
      </c>
      <c r="E20">
        <v>5</v>
      </c>
      <c r="F20" t="s">
        <v>206</v>
      </c>
      <c r="G20">
        <v>9</v>
      </c>
      <c r="H20" t="s">
        <v>230</v>
      </c>
      <c r="I20">
        <v>80</v>
      </c>
      <c r="J20" t="s">
        <v>207</v>
      </c>
      <c r="K20">
        <v>15</v>
      </c>
      <c r="L20" t="s">
        <v>3187</v>
      </c>
      <c r="N20">
        <v>15</v>
      </c>
    </row>
    <row r="21" spans="1:14">
      <c r="A21" t="s">
        <v>1029</v>
      </c>
      <c r="B21" t="s">
        <v>210</v>
      </c>
      <c r="C21">
        <v>135</v>
      </c>
      <c r="D21" t="s">
        <v>211</v>
      </c>
      <c r="E21">
        <v>36</v>
      </c>
      <c r="F21" t="s">
        <v>212</v>
      </c>
      <c r="G21">
        <v>0</v>
      </c>
      <c r="H21" t="s">
        <v>411</v>
      </c>
      <c r="I21">
        <v>171</v>
      </c>
    </row>
    <row r="22" spans="1:14">
      <c r="B22" t="s">
        <v>213</v>
      </c>
      <c r="C22">
        <v>55</v>
      </c>
      <c r="D22" t="s">
        <v>214</v>
      </c>
      <c r="E22">
        <v>25</v>
      </c>
      <c r="F22" t="s">
        <v>215</v>
      </c>
      <c r="G22">
        <v>0</v>
      </c>
      <c r="H22" t="s">
        <v>410</v>
      </c>
      <c r="I22">
        <v>80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227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10.88</v>
      </c>
      <c r="E28">
        <v>10.88</v>
      </c>
      <c r="F28">
        <v>0</v>
      </c>
      <c r="G28">
        <f>29190+74306+3691+10590</f>
        <v>117777</v>
      </c>
      <c r="H28">
        <f>17460+21100+410550+45032+5460+400+72730+140521</f>
        <v>713253</v>
      </c>
      <c r="M28">
        <f t="shared" ref="M28:M36" si="0">F28+G28+H28+I28+J28+K28+L28</f>
        <v>831030</v>
      </c>
    </row>
    <row r="29" spans="1:14">
      <c r="A29" t="s">
        <v>234</v>
      </c>
      <c r="B29">
        <v>7000</v>
      </c>
      <c r="C29" t="s">
        <v>233</v>
      </c>
      <c r="D29">
        <f>B29*N4/100000</f>
        <v>5.6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0.12</v>
      </c>
      <c r="E30">
        <v>0.4</v>
      </c>
      <c r="F30">
        <v>0</v>
      </c>
      <c r="G30">
        <v>18000</v>
      </c>
      <c r="H30">
        <v>0</v>
      </c>
      <c r="M30">
        <f t="shared" si="0"/>
        <v>18000</v>
      </c>
    </row>
    <row r="31" spans="1:14">
      <c r="A31" t="s">
        <v>396</v>
      </c>
      <c r="B31">
        <v>68</v>
      </c>
      <c r="C31" t="s">
        <v>233</v>
      </c>
      <c r="D31">
        <v>0.09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1.6319999999999999</v>
      </c>
      <c r="E32">
        <v>1.5</v>
      </c>
      <c r="F32">
        <v>0</v>
      </c>
      <c r="G32">
        <v>0</v>
      </c>
      <c r="H32">
        <v>0</v>
      </c>
      <c r="M32">
        <f t="shared" si="0"/>
        <v>0</v>
      </c>
    </row>
    <row r="33" spans="1:13">
      <c r="A33" t="s">
        <v>667</v>
      </c>
      <c r="B33">
        <v>565</v>
      </c>
      <c r="C33" t="s">
        <v>233</v>
      </c>
      <c r="D33">
        <v>0.75</v>
      </c>
      <c r="E33">
        <v>0.748</v>
      </c>
      <c r="F33">
        <v>0</v>
      </c>
      <c r="G33">
        <v>0</v>
      </c>
      <c r="H33">
        <v>0</v>
      </c>
      <c r="M33">
        <f t="shared" si="0"/>
        <v>0</v>
      </c>
    </row>
    <row r="34" spans="1:13">
      <c r="A34" t="s">
        <v>240</v>
      </c>
      <c r="B34">
        <v>1000</v>
      </c>
      <c r="C34" t="s">
        <v>233</v>
      </c>
      <c r="D34">
        <f>B34*K4/100000</f>
        <v>1.36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0.92249999999999999</v>
      </c>
      <c r="F35">
        <v>0</v>
      </c>
      <c r="G35">
        <f>17106+2540+2412+3384+2250</f>
        <v>27692</v>
      </c>
      <c r="H35">
        <f>2250+2500</f>
        <v>4750</v>
      </c>
      <c r="M35">
        <f t="shared" si="0"/>
        <v>32442</v>
      </c>
    </row>
    <row r="36" spans="1:13">
      <c r="A36" t="s">
        <v>670</v>
      </c>
      <c r="B36">
        <v>10000</v>
      </c>
      <c r="C36" t="s">
        <v>244</v>
      </c>
      <c r="D36">
        <v>0.1</v>
      </c>
      <c r="F36">
        <v>2000</v>
      </c>
      <c r="G36">
        <v>0</v>
      </c>
      <c r="H36">
        <v>0</v>
      </c>
      <c r="M36">
        <f t="shared" si="0"/>
        <v>2000</v>
      </c>
    </row>
    <row r="37" spans="1:13">
      <c r="A37" t="s">
        <v>3941</v>
      </c>
      <c r="D37">
        <f t="shared" ref="D37:M37" si="1">SUM(D28:D36)</f>
        <v>22.842000000000002</v>
      </c>
      <c r="E37">
        <f t="shared" si="1"/>
        <v>14.750500000000001</v>
      </c>
      <c r="F37">
        <f t="shared" si="1"/>
        <v>2000</v>
      </c>
      <c r="G37">
        <f t="shared" si="1"/>
        <v>179469</v>
      </c>
      <c r="H37">
        <f t="shared" si="1"/>
        <v>728465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909934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3111</v>
      </c>
      <c r="E4" t="s">
        <v>3914</v>
      </c>
      <c r="G4" t="s">
        <v>4153</v>
      </c>
      <c r="J4" t="s">
        <v>2456</v>
      </c>
      <c r="K4">
        <v>897</v>
      </c>
      <c r="L4" t="s">
        <v>173</v>
      </c>
      <c r="N4">
        <v>80</v>
      </c>
    </row>
    <row r="6" spans="1:14">
      <c r="A6" t="s">
        <v>174</v>
      </c>
      <c r="B6" t="s">
        <v>4152</v>
      </c>
      <c r="E6" t="s">
        <v>176</v>
      </c>
      <c r="G6" t="s">
        <v>4151</v>
      </c>
    </row>
    <row r="8" spans="1:14">
      <c r="A8" t="s">
        <v>3916</v>
      </c>
      <c r="B8" t="s">
        <v>4150</v>
      </c>
      <c r="E8" t="s">
        <v>3917</v>
      </c>
      <c r="G8" t="s">
        <v>4149</v>
      </c>
    </row>
    <row r="12" spans="1:14">
      <c r="A12" t="s">
        <v>838</v>
      </c>
      <c r="B12" t="s">
        <v>4149</v>
      </c>
      <c r="D12" t="s">
        <v>427</v>
      </c>
      <c r="G12" t="s">
        <v>4148</v>
      </c>
    </row>
    <row r="13" spans="1:14">
      <c r="A13" t="s">
        <v>187</v>
      </c>
      <c r="B13" t="s">
        <v>4147</v>
      </c>
      <c r="D13" t="s">
        <v>4146</v>
      </c>
      <c r="G13" t="s">
        <v>4145</v>
      </c>
    </row>
    <row r="14" spans="1:14">
      <c r="A14" t="s">
        <v>192</v>
      </c>
      <c r="B14" t="s">
        <v>4144</v>
      </c>
      <c r="D14" t="s">
        <v>4143</v>
      </c>
      <c r="G14" t="s">
        <v>727</v>
      </c>
      <c r="J14" t="s">
        <v>4115</v>
      </c>
    </row>
    <row r="15" spans="1:14">
      <c r="A15" t="s">
        <v>197</v>
      </c>
    </row>
    <row r="17" spans="1:14">
      <c r="A17" t="s">
        <v>3936</v>
      </c>
      <c r="B17">
        <v>3</v>
      </c>
      <c r="C17" t="s">
        <v>199</v>
      </c>
      <c r="F17">
        <v>3</v>
      </c>
      <c r="G17" t="s">
        <v>200</v>
      </c>
      <c r="H17">
        <v>17</v>
      </c>
      <c r="I17" t="s">
        <v>201</v>
      </c>
      <c r="J17">
        <v>2</v>
      </c>
      <c r="K17" t="s">
        <v>202</v>
      </c>
    </row>
    <row r="20" spans="1:14">
      <c r="A20" t="s">
        <v>203</v>
      </c>
      <c r="B20" t="s">
        <v>204</v>
      </c>
      <c r="C20">
        <v>142</v>
      </c>
      <c r="D20" t="s">
        <v>205</v>
      </c>
      <c r="E20">
        <v>55</v>
      </c>
      <c r="F20" t="s">
        <v>206</v>
      </c>
      <c r="G20">
        <v>27</v>
      </c>
      <c r="H20" t="s">
        <v>230</v>
      </c>
      <c r="I20">
        <f>C20+E20+G20</f>
        <v>224</v>
      </c>
      <c r="J20" t="s">
        <v>207</v>
      </c>
      <c r="K20">
        <v>21</v>
      </c>
      <c r="L20" t="s">
        <v>3187</v>
      </c>
      <c r="N20">
        <v>21</v>
      </c>
    </row>
    <row r="21" spans="1:14">
      <c r="A21" t="s">
        <v>1029</v>
      </c>
      <c r="B21" t="s">
        <v>210</v>
      </c>
      <c r="C21">
        <v>236</v>
      </c>
      <c r="D21" t="s">
        <v>211</v>
      </c>
      <c r="E21">
        <v>67</v>
      </c>
      <c r="F21" t="s">
        <v>212</v>
      </c>
      <c r="G21">
        <v>39</v>
      </c>
      <c r="H21" t="s">
        <v>411</v>
      </c>
      <c r="I21">
        <f>C21+E21+G21</f>
        <v>342</v>
      </c>
    </row>
    <row r="22" spans="1:14">
      <c r="B22" t="s">
        <v>213</v>
      </c>
      <c r="C22">
        <v>165</v>
      </c>
      <c r="D22" t="s">
        <v>214</v>
      </c>
      <c r="E22">
        <v>63</v>
      </c>
      <c r="F22" t="s">
        <v>215</v>
      </c>
      <c r="G22">
        <v>32</v>
      </c>
      <c r="H22" t="s">
        <v>410</v>
      </c>
      <c r="I22">
        <f>C22+E22+G22</f>
        <v>260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227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71.760000000000005</v>
      </c>
      <c r="E28">
        <v>40.365000000000002</v>
      </c>
      <c r="F28">
        <v>0</v>
      </c>
      <c r="G28">
        <f>373053+13228+9650+13835+12240</f>
        <v>422006</v>
      </c>
      <c r="H28">
        <f>28360+22680+214200+430725+561920+986056+118603+207630+457777+27263+375</f>
        <v>3055589</v>
      </c>
      <c r="M28">
        <f t="shared" ref="M28:M36" si="0">F28+G28+H28+I28+J28+K28+L28</f>
        <v>3477595</v>
      </c>
    </row>
    <row r="29" spans="1:14">
      <c r="A29" t="s">
        <v>234</v>
      </c>
      <c r="B29">
        <v>7000</v>
      </c>
      <c r="C29" t="s">
        <v>233</v>
      </c>
      <c r="D29">
        <f>B29*N4/100000</f>
        <v>5.6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0.77</v>
      </c>
      <c r="E30">
        <v>0.4</v>
      </c>
      <c r="F30">
        <v>0</v>
      </c>
      <c r="G30">
        <v>18000</v>
      </c>
      <c r="H30">
        <v>0</v>
      </c>
      <c r="M30">
        <f t="shared" si="0"/>
        <v>18000</v>
      </c>
    </row>
    <row r="31" spans="1:14">
      <c r="A31" t="s">
        <v>396</v>
      </c>
      <c r="B31">
        <v>68</v>
      </c>
      <c r="C31" t="s">
        <v>233</v>
      </c>
      <c r="D31">
        <v>0.61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10.763999999999999</v>
      </c>
      <c r="E32">
        <v>2</v>
      </c>
      <c r="F32">
        <v>0</v>
      </c>
      <c r="G32">
        <v>0</v>
      </c>
      <c r="M32">
        <f t="shared" si="0"/>
        <v>0</v>
      </c>
    </row>
    <row r="33" spans="1:13">
      <c r="A33" t="s">
        <v>667</v>
      </c>
      <c r="B33">
        <v>565</v>
      </c>
      <c r="C33" t="s">
        <v>233</v>
      </c>
      <c r="D33">
        <v>4.93</v>
      </c>
      <c r="E33">
        <v>4.93</v>
      </c>
      <c r="F33">
        <v>0</v>
      </c>
      <c r="G33">
        <v>0</v>
      </c>
      <c r="H33">
        <f>442794+50556</f>
        <v>493350</v>
      </c>
      <c r="M33">
        <f t="shared" si="0"/>
        <v>493350</v>
      </c>
    </row>
    <row r="34" spans="1:13">
      <c r="A34" t="s">
        <v>240</v>
      </c>
      <c r="B34">
        <v>1000</v>
      </c>
      <c r="C34" t="s">
        <v>233</v>
      </c>
      <c r="D34">
        <f>B34*K4/100000</f>
        <v>8.9700000000000006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0.92249999999999999</v>
      </c>
      <c r="F35">
        <v>0</v>
      </c>
      <c r="G35">
        <f>17106+2515+1650+2726+2250</f>
        <v>26247</v>
      </c>
      <c r="H35">
        <f>2250+2800+10699+650</f>
        <v>16399</v>
      </c>
      <c r="M35">
        <f t="shared" si="0"/>
        <v>42646</v>
      </c>
    </row>
    <row r="36" spans="1:13">
      <c r="A36" t="s">
        <v>670</v>
      </c>
      <c r="B36">
        <v>10000</v>
      </c>
      <c r="C36" t="s">
        <v>244</v>
      </c>
      <c r="D36">
        <v>0.1</v>
      </c>
      <c r="F36">
        <v>2000</v>
      </c>
      <c r="G36">
        <v>0</v>
      </c>
      <c r="H36">
        <v>0</v>
      </c>
      <c r="M36">
        <f t="shared" si="0"/>
        <v>2000</v>
      </c>
    </row>
    <row r="37" spans="1:13">
      <c r="A37" t="s">
        <v>3941</v>
      </c>
      <c r="D37">
        <f t="shared" ref="D37:M37" si="1">SUM(D28:D36)</f>
        <v>105.81399999999999</v>
      </c>
      <c r="E37">
        <f t="shared" si="1"/>
        <v>48.917499999999997</v>
      </c>
      <c r="F37">
        <f t="shared" si="1"/>
        <v>2000</v>
      </c>
      <c r="G37">
        <f t="shared" si="1"/>
        <v>482253</v>
      </c>
      <c r="H37">
        <f t="shared" si="1"/>
        <v>3575800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4060053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3112</v>
      </c>
      <c r="E4" t="s">
        <v>3914</v>
      </c>
      <c r="G4" t="s">
        <v>4163</v>
      </c>
      <c r="J4" t="s">
        <v>2456</v>
      </c>
      <c r="K4">
        <v>387</v>
      </c>
      <c r="L4" t="s">
        <v>173</v>
      </c>
      <c r="N4">
        <v>80</v>
      </c>
    </row>
    <row r="6" spans="1:14">
      <c r="A6" t="s">
        <v>174</v>
      </c>
      <c r="B6" t="s">
        <v>4162</v>
      </c>
      <c r="E6" t="s">
        <v>176</v>
      </c>
      <c r="G6" t="s">
        <v>4161</v>
      </c>
    </row>
    <row r="8" spans="1:14">
      <c r="A8" t="s">
        <v>3916</v>
      </c>
      <c r="B8" t="s">
        <v>4154</v>
      </c>
      <c r="E8" t="s">
        <v>3917</v>
      </c>
      <c r="G8" t="s">
        <v>754</v>
      </c>
    </row>
    <row r="12" spans="1:14">
      <c r="A12" t="s">
        <v>838</v>
      </c>
      <c r="B12" t="s">
        <v>754</v>
      </c>
      <c r="D12" t="s">
        <v>4160</v>
      </c>
    </row>
    <row r="13" spans="1:14">
      <c r="A13" t="s">
        <v>187</v>
      </c>
      <c r="B13" t="s">
        <v>4159</v>
      </c>
      <c r="D13" t="s">
        <v>501</v>
      </c>
      <c r="G13" t="s">
        <v>4158</v>
      </c>
      <c r="J13" t="s">
        <v>501</v>
      </c>
    </row>
    <row r="14" spans="1:14">
      <c r="A14" t="s">
        <v>192</v>
      </c>
      <c r="B14" t="s">
        <v>4157</v>
      </c>
      <c r="D14" t="s">
        <v>4156</v>
      </c>
      <c r="G14" t="s">
        <v>4155</v>
      </c>
      <c r="J14" t="s">
        <v>4094</v>
      </c>
    </row>
    <row r="15" spans="1:14">
      <c r="A15" t="s">
        <v>197</v>
      </c>
      <c r="B15" t="s">
        <v>4154</v>
      </c>
    </row>
    <row r="17" spans="1:14">
      <c r="A17" t="s">
        <v>3936</v>
      </c>
      <c r="B17">
        <v>2</v>
      </c>
      <c r="C17" t="s">
        <v>199</v>
      </c>
      <c r="F17">
        <v>2</v>
      </c>
      <c r="G17" t="s">
        <v>200</v>
      </c>
      <c r="H17">
        <v>7</v>
      </c>
      <c r="I17" t="s">
        <v>201</v>
      </c>
      <c r="J17">
        <v>1</v>
      </c>
      <c r="K17" t="s">
        <v>202</v>
      </c>
    </row>
    <row r="20" spans="1:14">
      <c r="A20" t="s">
        <v>203</v>
      </c>
      <c r="B20" t="s">
        <v>204</v>
      </c>
      <c r="C20">
        <v>55</v>
      </c>
      <c r="D20" t="s">
        <v>205</v>
      </c>
      <c r="E20">
        <v>32</v>
      </c>
      <c r="F20" t="s">
        <v>206</v>
      </c>
      <c r="G20">
        <v>4</v>
      </c>
      <c r="H20" t="s">
        <v>230</v>
      </c>
      <c r="I20">
        <f>C20+E20+G20</f>
        <v>91</v>
      </c>
      <c r="J20" t="s">
        <v>207</v>
      </c>
      <c r="K20">
        <v>8</v>
      </c>
      <c r="L20" t="s">
        <v>3187</v>
      </c>
      <c r="N20">
        <v>8</v>
      </c>
    </row>
    <row r="21" spans="1:14">
      <c r="A21" t="s">
        <v>1029</v>
      </c>
      <c r="B21" t="s">
        <v>210</v>
      </c>
      <c r="C21">
        <v>71</v>
      </c>
      <c r="D21" t="s">
        <v>211</v>
      </c>
      <c r="E21">
        <v>39</v>
      </c>
      <c r="F21" t="s">
        <v>212</v>
      </c>
      <c r="G21">
        <v>9</v>
      </c>
      <c r="H21" t="s">
        <v>411</v>
      </c>
      <c r="I21">
        <f>C21+E21+G21</f>
        <v>119</v>
      </c>
    </row>
    <row r="22" spans="1:14">
      <c r="B22" t="s">
        <v>213</v>
      </c>
      <c r="C22">
        <v>61</v>
      </c>
      <c r="D22" t="s">
        <v>214</v>
      </c>
      <c r="E22">
        <v>25</v>
      </c>
      <c r="F22" t="s">
        <v>215</v>
      </c>
      <c r="G22">
        <v>4</v>
      </c>
      <c r="H22" t="s">
        <v>410</v>
      </c>
      <c r="I22">
        <f>C22+E22+G22</f>
        <v>90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227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30.96</v>
      </c>
      <c r="E28">
        <v>17.414999999999999</v>
      </c>
      <c r="F28">
        <v>0</v>
      </c>
      <c r="G28">
        <f>141888+2475+12022+3572</f>
        <v>159957</v>
      </c>
      <c r="H28">
        <f>175860+10530+268290+481470+202233+82455+36450+22500+50238+108587+1328</f>
        <v>1439941</v>
      </c>
      <c r="M28">
        <f t="shared" ref="M28:M36" si="0">F28+G28+H28+I28+J28+K28+L28</f>
        <v>1599898</v>
      </c>
    </row>
    <row r="29" spans="1:14">
      <c r="A29" t="s">
        <v>234</v>
      </c>
      <c r="B29">
        <v>7000</v>
      </c>
      <c r="C29" t="s">
        <v>233</v>
      </c>
      <c r="D29">
        <f>B29*N4/100000</f>
        <v>5.6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0.33</v>
      </c>
      <c r="E30">
        <v>0.4</v>
      </c>
      <c r="F30">
        <v>0</v>
      </c>
      <c r="G30">
        <v>18000</v>
      </c>
      <c r="H30">
        <v>0</v>
      </c>
      <c r="M30">
        <f t="shared" si="0"/>
        <v>18000</v>
      </c>
    </row>
    <row r="31" spans="1:14">
      <c r="A31" t="s">
        <v>396</v>
      </c>
      <c r="B31">
        <v>68</v>
      </c>
      <c r="C31" t="s">
        <v>233</v>
      </c>
      <c r="D31">
        <v>0.26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4.6440000000000001</v>
      </c>
      <c r="E32">
        <v>1.5</v>
      </c>
      <c r="F32">
        <v>0</v>
      </c>
      <c r="G32">
        <v>0</v>
      </c>
      <c r="H32">
        <v>0</v>
      </c>
      <c r="M32">
        <f t="shared" si="0"/>
        <v>0</v>
      </c>
    </row>
    <row r="33" spans="1:13">
      <c r="A33" t="s">
        <v>667</v>
      </c>
      <c r="B33">
        <v>565</v>
      </c>
      <c r="C33" t="s">
        <v>233</v>
      </c>
      <c r="D33">
        <v>2.13</v>
      </c>
      <c r="E33">
        <v>2.1284999999999998</v>
      </c>
      <c r="F33">
        <v>0</v>
      </c>
      <c r="G33">
        <v>0</v>
      </c>
      <c r="H33">
        <f>19352+20876</f>
        <v>40228</v>
      </c>
      <c r="M33">
        <f t="shared" si="0"/>
        <v>40228</v>
      </c>
    </row>
    <row r="34" spans="1:13">
      <c r="A34" t="s">
        <v>240</v>
      </c>
      <c r="B34">
        <v>1000</v>
      </c>
      <c r="C34" t="s">
        <v>233</v>
      </c>
      <c r="D34">
        <f>B34*K4/100000</f>
        <v>3.87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0.92249999999999999</v>
      </c>
      <c r="F35">
        <v>0</v>
      </c>
      <c r="G35">
        <f>12606+6750+2077+2250</f>
        <v>23683</v>
      </c>
      <c r="H35">
        <f>4500+2650+750+2850+1800</f>
        <v>12550</v>
      </c>
      <c r="M35">
        <f t="shared" si="0"/>
        <v>36233</v>
      </c>
    </row>
    <row r="36" spans="1:13">
      <c r="A36" t="s">
        <v>670</v>
      </c>
      <c r="B36">
        <v>10000</v>
      </c>
      <c r="C36" t="s">
        <v>244</v>
      </c>
      <c r="D36">
        <v>0.1</v>
      </c>
      <c r="F36">
        <v>0</v>
      </c>
      <c r="G36">
        <v>0</v>
      </c>
      <c r="H36">
        <v>0</v>
      </c>
      <c r="M36">
        <f t="shared" si="0"/>
        <v>0</v>
      </c>
    </row>
    <row r="37" spans="1:13">
      <c r="A37" t="s">
        <v>3941</v>
      </c>
      <c r="D37">
        <f t="shared" ref="D37:M37" si="1">SUM(D28:D36)</f>
        <v>50.204000000000001</v>
      </c>
      <c r="E37">
        <f t="shared" si="1"/>
        <v>22.665999999999997</v>
      </c>
      <c r="F37">
        <f t="shared" si="1"/>
        <v>0</v>
      </c>
      <c r="G37">
        <f t="shared" si="1"/>
        <v>217640</v>
      </c>
      <c r="H37">
        <f t="shared" si="1"/>
        <v>1503181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1720821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A3" sqref="A3:C3"/>
    </sheetView>
  </sheetViews>
  <sheetFormatPr defaultRowHeight="15"/>
  <sheetData>
    <row r="1" spans="1:14">
      <c r="A1" t="s">
        <v>3912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3214</v>
      </c>
      <c r="B4" t="s">
        <v>3113</v>
      </c>
      <c r="E4" t="s">
        <v>3914</v>
      </c>
      <c r="G4" t="s">
        <v>4175</v>
      </c>
      <c r="J4" t="s">
        <v>2456</v>
      </c>
      <c r="K4">
        <v>874</v>
      </c>
      <c r="L4" t="s">
        <v>173</v>
      </c>
      <c r="N4">
        <v>80</v>
      </c>
    </row>
    <row r="6" spans="1:14">
      <c r="A6" t="s">
        <v>174</v>
      </c>
      <c r="B6" t="s">
        <v>4174</v>
      </c>
      <c r="E6" t="s">
        <v>176</v>
      </c>
      <c r="G6" t="s">
        <v>4140</v>
      </c>
    </row>
    <row r="8" spans="1:14">
      <c r="A8" t="s">
        <v>3916</v>
      </c>
      <c r="B8" t="s">
        <v>4164</v>
      </c>
      <c r="E8" t="s">
        <v>3917</v>
      </c>
      <c r="G8" t="s">
        <v>4173</v>
      </c>
    </row>
    <row r="12" spans="1:14">
      <c r="A12" t="s">
        <v>838</v>
      </c>
      <c r="B12" t="s">
        <v>4173</v>
      </c>
      <c r="D12" t="s">
        <v>4172</v>
      </c>
      <c r="G12" t="s">
        <v>4171</v>
      </c>
      <c r="J12" t="s">
        <v>4170</v>
      </c>
    </row>
    <row r="13" spans="1:14">
      <c r="A13" t="s">
        <v>187</v>
      </c>
      <c r="B13" t="s">
        <v>4169</v>
      </c>
      <c r="D13" t="s">
        <v>4168</v>
      </c>
      <c r="G13" t="s">
        <v>4167</v>
      </c>
      <c r="J13" t="s">
        <v>2776</v>
      </c>
    </row>
    <row r="14" spans="1:14">
      <c r="A14" t="s">
        <v>192</v>
      </c>
      <c r="B14" t="s">
        <v>4127</v>
      </c>
      <c r="D14" t="s">
        <v>4166</v>
      </c>
      <c r="G14" t="s">
        <v>4165</v>
      </c>
      <c r="J14" t="s">
        <v>4067</v>
      </c>
    </row>
    <row r="15" spans="1:14">
      <c r="A15" t="s">
        <v>197</v>
      </c>
      <c r="B15" t="s">
        <v>4164</v>
      </c>
    </row>
    <row r="17" spans="1:14">
      <c r="A17" t="s">
        <v>3936</v>
      </c>
      <c r="B17">
        <v>5</v>
      </c>
      <c r="C17" t="s">
        <v>199</v>
      </c>
      <c r="F17">
        <v>5</v>
      </c>
      <c r="G17" t="s">
        <v>200</v>
      </c>
      <c r="H17">
        <v>23</v>
      </c>
      <c r="I17" t="s">
        <v>201</v>
      </c>
      <c r="J17">
        <v>2</v>
      </c>
      <c r="K17" t="s">
        <v>202</v>
      </c>
    </row>
    <row r="20" spans="1:14">
      <c r="A20" t="s">
        <v>203</v>
      </c>
      <c r="B20" t="s">
        <v>204</v>
      </c>
      <c r="C20">
        <v>186</v>
      </c>
      <c r="D20" t="s">
        <v>205</v>
      </c>
      <c r="E20">
        <v>66</v>
      </c>
      <c r="F20" t="s">
        <v>206</v>
      </c>
      <c r="G20">
        <v>17</v>
      </c>
      <c r="H20" t="s">
        <v>230</v>
      </c>
      <c r="I20">
        <f>C20+E20+G20</f>
        <v>269</v>
      </c>
      <c r="J20" t="s">
        <v>207</v>
      </c>
      <c r="K20">
        <v>19</v>
      </c>
      <c r="L20" t="s">
        <v>3187</v>
      </c>
      <c r="N20">
        <v>19</v>
      </c>
    </row>
    <row r="21" spans="1:14">
      <c r="A21" t="s">
        <v>1029</v>
      </c>
      <c r="B21" t="s">
        <v>210</v>
      </c>
      <c r="C21">
        <v>214</v>
      </c>
      <c r="D21" t="s">
        <v>211</v>
      </c>
      <c r="E21">
        <v>56</v>
      </c>
      <c r="F21" t="s">
        <v>212</v>
      </c>
      <c r="G21">
        <v>33</v>
      </c>
      <c r="H21" t="s">
        <v>411</v>
      </c>
      <c r="I21">
        <f>C21+E21+G21</f>
        <v>303</v>
      </c>
    </row>
    <row r="22" spans="1:14">
      <c r="B22" t="s">
        <v>213</v>
      </c>
      <c r="C22">
        <v>217</v>
      </c>
      <c r="D22" t="s">
        <v>214</v>
      </c>
      <c r="E22">
        <v>64</v>
      </c>
      <c r="F22" t="s">
        <v>215</v>
      </c>
      <c r="G22">
        <v>39</v>
      </c>
      <c r="H22" t="s">
        <v>410</v>
      </c>
      <c r="I22">
        <f>C22+E22+G22</f>
        <v>320</v>
      </c>
    </row>
    <row r="24" spans="1:14">
      <c r="A24" t="s">
        <v>216</v>
      </c>
    </row>
    <row r="26" spans="1:14">
      <c r="A26" t="s">
        <v>217</v>
      </c>
      <c r="B26" t="s">
        <v>3937</v>
      </c>
      <c r="C26" t="s">
        <v>219</v>
      </c>
      <c r="D26" t="s">
        <v>1363</v>
      </c>
      <c r="E26" t="s">
        <v>1713</v>
      </c>
      <c r="F26" t="s">
        <v>222</v>
      </c>
    </row>
    <row r="27" spans="1:14">
      <c r="F27" t="s">
        <v>227</v>
      </c>
      <c r="G27" t="s">
        <v>228</v>
      </c>
      <c r="H27" t="s">
        <v>229</v>
      </c>
      <c r="I27" t="s">
        <v>1499</v>
      </c>
      <c r="J27">
        <v>5</v>
      </c>
      <c r="K27">
        <v>6</v>
      </c>
      <c r="L27">
        <v>7</v>
      </c>
      <c r="M27" t="s">
        <v>230</v>
      </c>
      <c r="N27" t="s">
        <v>231</v>
      </c>
    </row>
    <row r="28" spans="1:14">
      <c r="A28" t="s">
        <v>232</v>
      </c>
      <c r="B28">
        <v>8000</v>
      </c>
      <c r="C28" t="s">
        <v>233</v>
      </c>
      <c r="D28">
        <f>B28*K4/100000</f>
        <v>69.92</v>
      </c>
      <c r="E28">
        <v>39.33</v>
      </c>
      <c r="F28">
        <v>0</v>
      </c>
      <c r="G28">
        <f>128310+239529+25680+30465+7042+15265</f>
        <v>446291</v>
      </c>
      <c r="H28">
        <f>2964+334686+592468+669362+538956+47250+31757+57500+32490+9020</f>
        <v>2316453</v>
      </c>
      <c r="M28">
        <f t="shared" ref="M28:M36" si="0">F28+G28+H28+I28+J28+K28+L28</f>
        <v>2762744</v>
      </c>
    </row>
    <row r="29" spans="1:14">
      <c r="A29" t="s">
        <v>234</v>
      </c>
      <c r="B29">
        <v>7000</v>
      </c>
      <c r="C29" t="s">
        <v>233</v>
      </c>
      <c r="D29">
        <f>B29*N4/100000</f>
        <v>5.6</v>
      </c>
      <c r="E29">
        <v>0</v>
      </c>
      <c r="F29">
        <v>0</v>
      </c>
      <c r="G29">
        <v>0</v>
      </c>
      <c r="H29">
        <v>0</v>
      </c>
      <c r="M29">
        <f t="shared" si="0"/>
        <v>0</v>
      </c>
    </row>
    <row r="30" spans="1:14">
      <c r="A30" t="s">
        <v>235</v>
      </c>
      <c r="B30">
        <v>86</v>
      </c>
      <c r="C30" t="s">
        <v>233</v>
      </c>
      <c r="D30">
        <v>0.75</v>
      </c>
      <c r="E30">
        <v>0.4</v>
      </c>
      <c r="F30">
        <v>0</v>
      </c>
      <c r="G30">
        <v>18000</v>
      </c>
      <c r="H30">
        <f>4970+10800+1500</f>
        <v>17270</v>
      </c>
      <c r="M30">
        <f t="shared" si="0"/>
        <v>35270</v>
      </c>
    </row>
    <row r="31" spans="1:14">
      <c r="A31" t="s">
        <v>396</v>
      </c>
      <c r="B31">
        <v>68</v>
      </c>
      <c r="C31" t="s">
        <v>233</v>
      </c>
      <c r="D31">
        <v>0.59</v>
      </c>
      <c r="E31">
        <v>0.3</v>
      </c>
      <c r="F31">
        <v>0</v>
      </c>
      <c r="G31">
        <v>16000</v>
      </c>
      <c r="H31">
        <v>10462</v>
      </c>
      <c r="M31">
        <f t="shared" si="0"/>
        <v>26462</v>
      </c>
    </row>
    <row r="32" spans="1:14">
      <c r="A32" t="s">
        <v>238</v>
      </c>
      <c r="B32">
        <v>1200</v>
      </c>
      <c r="C32" t="s">
        <v>233</v>
      </c>
      <c r="D32">
        <f>B32*K4/100000</f>
        <v>10.488</v>
      </c>
      <c r="E32">
        <v>2</v>
      </c>
      <c r="F32">
        <v>0</v>
      </c>
      <c r="G32">
        <v>0</v>
      </c>
      <c r="H32">
        <v>0</v>
      </c>
      <c r="M32">
        <f t="shared" si="0"/>
        <v>0</v>
      </c>
    </row>
    <row r="33" spans="1:13">
      <c r="A33" t="s">
        <v>667</v>
      </c>
      <c r="B33">
        <v>565</v>
      </c>
      <c r="C33" t="s">
        <v>233</v>
      </c>
      <c r="D33">
        <v>4.8099999999999996</v>
      </c>
      <c r="E33">
        <v>4.8070000000000004</v>
      </c>
      <c r="F33">
        <v>0</v>
      </c>
      <c r="G33">
        <v>0</v>
      </c>
      <c r="H33">
        <f>53550+25700+20150+40300</f>
        <v>139700</v>
      </c>
      <c r="M33">
        <f t="shared" si="0"/>
        <v>139700</v>
      </c>
    </row>
    <row r="34" spans="1:13">
      <c r="A34" t="s">
        <v>240</v>
      </c>
      <c r="B34">
        <v>1000</v>
      </c>
      <c r="C34" t="s">
        <v>233</v>
      </c>
      <c r="D34">
        <f>B34*K4/100000</f>
        <v>8.74</v>
      </c>
      <c r="E34">
        <v>0</v>
      </c>
      <c r="F34">
        <v>0</v>
      </c>
      <c r="G34">
        <v>0</v>
      </c>
      <c r="H34">
        <v>0</v>
      </c>
      <c r="M34">
        <f t="shared" si="0"/>
        <v>0</v>
      </c>
    </row>
    <row r="35" spans="1:13">
      <c r="A35" t="s">
        <v>394</v>
      </c>
      <c r="B35">
        <v>2750</v>
      </c>
      <c r="C35" t="s">
        <v>242</v>
      </c>
      <c r="D35">
        <v>2.31</v>
      </c>
      <c r="E35">
        <v>0.92249999999999999</v>
      </c>
      <c r="F35">
        <v>0</v>
      </c>
      <c r="G35">
        <f>11250+5856+2655+6102+1160+1050</f>
        <v>28073</v>
      </c>
      <c r="H35">
        <f>1650+6950+1650+5049</f>
        <v>15299</v>
      </c>
      <c r="M35">
        <f t="shared" si="0"/>
        <v>43372</v>
      </c>
    </row>
    <row r="36" spans="1:13">
      <c r="A36" t="s">
        <v>670</v>
      </c>
      <c r="B36">
        <v>10000</v>
      </c>
      <c r="C36" t="s">
        <v>244</v>
      </c>
      <c r="D36">
        <v>0.1</v>
      </c>
      <c r="F36">
        <v>2000</v>
      </c>
      <c r="G36">
        <v>0</v>
      </c>
      <c r="H36">
        <v>0</v>
      </c>
      <c r="M36">
        <f t="shared" si="0"/>
        <v>2000</v>
      </c>
    </row>
    <row r="37" spans="1:13">
      <c r="A37" t="s">
        <v>3941</v>
      </c>
      <c r="D37">
        <f t="shared" ref="D37:M37" si="1">SUM(D28:D36)</f>
        <v>103.30799999999999</v>
      </c>
      <c r="E37">
        <f t="shared" si="1"/>
        <v>47.759499999999996</v>
      </c>
      <c r="F37">
        <f t="shared" si="1"/>
        <v>2000</v>
      </c>
      <c r="G37">
        <f t="shared" si="1"/>
        <v>508364</v>
      </c>
      <c r="H37">
        <f t="shared" si="1"/>
        <v>2499184</v>
      </c>
      <c r="I37">
        <f t="shared" si="1"/>
        <v>0</v>
      </c>
      <c r="J37">
        <f t="shared" si="1"/>
        <v>0</v>
      </c>
      <c r="K37">
        <f t="shared" si="1"/>
        <v>0</v>
      </c>
      <c r="L37">
        <f t="shared" si="1"/>
        <v>0</v>
      </c>
      <c r="M37">
        <f t="shared" si="1"/>
        <v>3009548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5699</v>
      </c>
      <c r="F4" t="s">
        <v>171</v>
      </c>
      <c r="H4" t="s">
        <v>5700</v>
      </c>
      <c r="J4" t="s">
        <v>172</v>
      </c>
      <c r="K4">
        <v>412</v>
      </c>
      <c r="L4" t="s">
        <v>173</v>
      </c>
      <c r="N4">
        <v>40</v>
      </c>
    </row>
    <row r="6" spans="1:14">
      <c r="A6" t="s">
        <v>174</v>
      </c>
      <c r="B6" t="s">
        <v>310</v>
      </c>
      <c r="F6" t="s">
        <v>176</v>
      </c>
      <c r="H6" t="s">
        <v>311</v>
      </c>
    </row>
    <row r="8" spans="1:14">
      <c r="A8" t="s">
        <v>178</v>
      </c>
      <c r="B8" t="s">
        <v>280</v>
      </c>
      <c r="F8" t="s">
        <v>180</v>
      </c>
      <c r="H8" t="s">
        <v>312</v>
      </c>
    </row>
    <row r="11" spans="1:14">
      <c r="A11" t="s">
        <v>182</v>
      </c>
      <c r="B11" t="s">
        <v>313</v>
      </c>
      <c r="E11" t="s">
        <v>314</v>
      </c>
      <c r="H11" t="s">
        <v>315</v>
      </c>
    </row>
    <row r="12" spans="1:14">
      <c r="A12" t="s">
        <v>187</v>
      </c>
      <c r="B12" t="s">
        <v>316</v>
      </c>
      <c r="E12" t="s">
        <v>311</v>
      </c>
      <c r="H12" t="s">
        <v>311</v>
      </c>
    </row>
    <row r="13" spans="1:14">
      <c r="A13" t="s">
        <v>192</v>
      </c>
      <c r="B13" t="s">
        <v>317</v>
      </c>
      <c r="E13" t="s">
        <v>318</v>
      </c>
      <c r="H13" t="s">
        <v>319</v>
      </c>
    </row>
    <row r="14" spans="1:14">
      <c r="A14" t="s">
        <v>197</v>
      </c>
    </row>
    <row r="16" spans="1:14">
      <c r="A16" t="s">
        <v>198</v>
      </c>
      <c r="B16">
        <v>3</v>
      </c>
      <c r="C16" t="s">
        <v>199</v>
      </c>
      <c r="F16">
        <v>3</v>
      </c>
      <c r="G16" t="s">
        <v>200</v>
      </c>
      <c r="H16">
        <v>8</v>
      </c>
      <c r="I16" t="s">
        <v>201</v>
      </c>
      <c r="J16">
        <v>1</v>
      </c>
      <c r="K16" t="s">
        <v>202</v>
      </c>
      <c r="L16">
        <v>6</v>
      </c>
    </row>
    <row r="18" spans="1:14">
      <c r="A18" t="s">
        <v>203</v>
      </c>
      <c r="B18" t="s">
        <v>204</v>
      </c>
      <c r="C18">
        <f>29+10+7</f>
        <v>46</v>
      </c>
      <c r="D18" t="s">
        <v>205</v>
      </c>
      <c r="E18">
        <f>10+6</f>
        <v>16</v>
      </c>
      <c r="F18" t="s">
        <v>206</v>
      </c>
      <c r="G18">
        <v>24</v>
      </c>
      <c r="H18" t="s">
        <v>207</v>
      </c>
      <c r="I18">
        <v>5</v>
      </c>
      <c r="J18" t="s">
        <v>208</v>
      </c>
    </row>
    <row r="19" spans="1:14">
      <c r="A19" t="s">
        <v>209</v>
      </c>
      <c r="B19" t="s">
        <v>210</v>
      </c>
      <c r="C19">
        <f>60+21+14</f>
        <v>95</v>
      </c>
      <c r="D19" t="s">
        <v>211</v>
      </c>
      <c r="E19">
        <f>30+12</f>
        <v>42</v>
      </c>
      <c r="F19" t="s">
        <v>212</v>
      </c>
      <c r="G19">
        <v>98</v>
      </c>
    </row>
    <row r="20" spans="1:14">
      <c r="B20" t="s">
        <v>213</v>
      </c>
      <c r="C20">
        <v>95</v>
      </c>
      <c r="D20" t="s">
        <v>214</v>
      </c>
      <c r="E20">
        <v>28</v>
      </c>
      <c r="F20" t="s">
        <v>215</v>
      </c>
      <c r="G20">
        <v>76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32.96</v>
      </c>
      <c r="E26">
        <v>32.96</v>
      </c>
      <c r="H26">
        <v>7.0772000000000004</v>
      </c>
      <c r="I26">
        <v>15.40042</v>
      </c>
      <c r="J26">
        <v>5.4822600000000001</v>
      </c>
      <c r="K26">
        <v>1.3789199999999999</v>
      </c>
      <c r="L26">
        <v>2.0080200000000001</v>
      </c>
      <c r="M26">
        <f>+F26+G26+H26+I26+J26+K26+L26</f>
        <v>31.346820000000001</v>
      </c>
      <c r="N26">
        <f>+M26/E26*100</f>
        <v>95.105643203883488</v>
      </c>
    </row>
    <row r="27" spans="1:14">
      <c r="A27" t="s">
        <v>234</v>
      </c>
      <c r="B27">
        <v>7000</v>
      </c>
      <c r="C27" t="s">
        <v>233</v>
      </c>
      <c r="D27">
        <f>+N4*B27/100000</f>
        <v>2.8</v>
      </c>
      <c r="E27">
        <v>2.75</v>
      </c>
      <c r="J27">
        <v>9.2840000000000006E-2</v>
      </c>
      <c r="K27">
        <v>0.97858000000000001</v>
      </c>
      <c r="L27">
        <v>1.5452900000000001</v>
      </c>
      <c r="M27">
        <f t="shared" ref="M27:M34" si="0">+F27+G27+H27+I27+J27+K27+L27</f>
        <v>2.6167100000000003</v>
      </c>
      <c r="N27">
        <f t="shared" ref="N27:N35" si="1">+M27/E27*100</f>
        <v>95.15309090909092</v>
      </c>
    </row>
    <row r="28" spans="1:14">
      <c r="A28" t="s">
        <v>235</v>
      </c>
      <c r="B28">
        <v>86</v>
      </c>
      <c r="C28" t="s">
        <v>233</v>
      </c>
      <c r="D28">
        <v>0.35</v>
      </c>
      <c r="E28">
        <v>0.43</v>
      </c>
      <c r="K28">
        <v>0.33787</v>
      </c>
      <c r="L28">
        <v>0.19928000000000001</v>
      </c>
      <c r="M28">
        <f t="shared" si="0"/>
        <v>0.53715000000000002</v>
      </c>
      <c r="N28">
        <f t="shared" si="1"/>
        <v>124.91860465116279</v>
      </c>
    </row>
    <row r="29" spans="1:14">
      <c r="A29" t="s">
        <v>237</v>
      </c>
      <c r="B29">
        <v>68</v>
      </c>
      <c r="C29" t="s">
        <v>233</v>
      </c>
      <c r="D29">
        <v>0.28000000000000003</v>
      </c>
      <c r="E29">
        <v>0.34</v>
      </c>
      <c r="I29">
        <v>0.12784000000000001</v>
      </c>
      <c r="J29">
        <v>3.5000000000000003E-2</v>
      </c>
      <c r="K29">
        <v>0.16597999999999999</v>
      </c>
      <c r="M29">
        <f t="shared" si="0"/>
        <v>0.32882</v>
      </c>
      <c r="N29">
        <f t="shared" si="1"/>
        <v>96.711764705882345</v>
      </c>
    </row>
    <row r="30" spans="1:14">
      <c r="A30" t="s">
        <v>238</v>
      </c>
      <c r="B30">
        <v>1200</v>
      </c>
      <c r="C30" t="s">
        <v>233</v>
      </c>
      <c r="D30">
        <f>+K4*B30/100000</f>
        <v>4.944</v>
      </c>
      <c r="E30">
        <v>4.944</v>
      </c>
      <c r="I30">
        <v>0.89851000000000003</v>
      </c>
      <c r="J30">
        <v>1.54192</v>
      </c>
      <c r="K30">
        <v>1.84883</v>
      </c>
      <c r="L30">
        <v>-1.6396599999999999</v>
      </c>
      <c r="M30">
        <f t="shared" si="0"/>
        <v>2.6496000000000004</v>
      </c>
      <c r="N30">
        <f t="shared" si="1"/>
        <v>53.592233009708742</v>
      </c>
    </row>
    <row r="31" spans="1:14">
      <c r="A31" t="s">
        <v>239</v>
      </c>
      <c r="B31">
        <v>565</v>
      </c>
      <c r="C31" t="s">
        <v>233</v>
      </c>
      <c r="D31">
        <v>1.98</v>
      </c>
      <c r="E31">
        <v>1.875</v>
      </c>
      <c r="I31">
        <v>0.25</v>
      </c>
      <c r="K31">
        <v>1.875</v>
      </c>
      <c r="L31">
        <v>-0.25</v>
      </c>
      <c r="M31">
        <f t="shared" si="0"/>
        <v>1.875</v>
      </c>
      <c r="N31">
        <f t="shared" si="1"/>
        <v>100</v>
      </c>
    </row>
    <row r="32" spans="1:14">
      <c r="A32" t="s">
        <v>240</v>
      </c>
      <c r="B32">
        <v>1000</v>
      </c>
      <c r="C32" t="s">
        <v>233</v>
      </c>
      <c r="D32">
        <f>+K4*B32/100000</f>
        <v>4.12</v>
      </c>
      <c r="E32">
        <v>4.12</v>
      </c>
      <c r="I32">
        <v>0.13161</v>
      </c>
      <c r="J32">
        <v>8.0149999999999999E-2</v>
      </c>
      <c r="K32">
        <v>9.7309999999999994E-2</v>
      </c>
      <c r="L32">
        <f>0.0035-0.0863</f>
        <v>-8.2799999999999999E-2</v>
      </c>
      <c r="M32">
        <f t="shared" si="0"/>
        <v>0.22627000000000003</v>
      </c>
      <c r="N32">
        <f t="shared" si="1"/>
        <v>5.4919902912621366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v>1.3474999999999999</v>
      </c>
      <c r="H33">
        <v>0.2122</v>
      </c>
      <c r="I33">
        <v>0.25263999999999998</v>
      </c>
      <c r="J33">
        <v>0.21329999999999999</v>
      </c>
      <c r="K33">
        <v>0.24745</v>
      </c>
      <c r="L33">
        <v>0.1532</v>
      </c>
      <c r="M33">
        <f t="shared" si="0"/>
        <v>1.0787899999999999</v>
      </c>
      <c r="N33">
        <f t="shared" si="1"/>
        <v>80.058627087198516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49.844000000000001</v>
      </c>
      <c r="E35">
        <f t="shared" ref="E35:M35" si="2">SUM(E26:E34)</f>
        <v>48.766500000000001</v>
      </c>
      <c r="F35">
        <f t="shared" si="2"/>
        <v>0</v>
      </c>
      <c r="G35">
        <f t="shared" si="2"/>
        <v>0</v>
      </c>
      <c r="H35">
        <f t="shared" si="2"/>
        <v>7.2894000000000005</v>
      </c>
      <c r="I35">
        <f t="shared" si="2"/>
        <v>17.061019999999999</v>
      </c>
      <c r="J35">
        <f t="shared" si="2"/>
        <v>7.4454700000000003</v>
      </c>
      <c r="K35">
        <f t="shared" si="2"/>
        <v>6.9299399999999993</v>
      </c>
      <c r="L35">
        <f t="shared" si="2"/>
        <v>1.9333300000000004</v>
      </c>
      <c r="M35">
        <f t="shared" si="2"/>
        <v>40.659159999999993</v>
      </c>
      <c r="N35">
        <f t="shared" si="1"/>
        <v>83.37518583453803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2.42578125" customWidth="1"/>
    <col min="6" max="6" width="7.42578125" customWidth="1"/>
    <col min="7" max="7" width="10.140625" bestFit="1" customWidth="1"/>
    <col min="8" max="8" width="7.5703125" customWidth="1"/>
    <col min="9" max="9" width="7.7109375" customWidth="1"/>
    <col min="10" max="10" width="8" customWidth="1"/>
    <col min="11" max="11" width="7.85546875" customWidth="1"/>
    <col min="12" max="12" width="3.7109375" customWidth="1"/>
    <col min="14" max="14" width="10" bestFit="1" customWidth="1"/>
  </cols>
  <sheetData>
    <row r="1" spans="1:14">
      <c r="A1" s="350" t="s">
        <v>4347</v>
      </c>
      <c r="B1" s="798" t="s">
        <v>4348</v>
      </c>
      <c r="C1" s="799"/>
      <c r="D1" s="350" t="s">
        <v>4349</v>
      </c>
      <c r="E1" s="350"/>
      <c r="F1" s="798" t="s">
        <v>4350</v>
      </c>
      <c r="G1" s="799"/>
      <c r="H1" s="806" t="s">
        <v>5</v>
      </c>
      <c r="I1" s="807"/>
      <c r="J1" s="351">
        <v>306.06</v>
      </c>
      <c r="K1" s="350" t="s">
        <v>436</v>
      </c>
      <c r="L1" s="350"/>
      <c r="M1" s="351">
        <v>140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798" t="s">
        <v>4351</v>
      </c>
      <c r="C3" s="799"/>
      <c r="D3" s="350" t="s">
        <v>1208</v>
      </c>
      <c r="E3" s="350"/>
      <c r="F3" s="798" t="s">
        <v>4352</v>
      </c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798" t="s">
        <v>4354</v>
      </c>
      <c r="C5" s="799"/>
      <c r="D5" s="350" t="s">
        <v>4355</v>
      </c>
      <c r="E5" s="350"/>
      <c r="F5" s="800" t="s">
        <v>4356</v>
      </c>
      <c r="G5" s="801"/>
      <c r="H5" s="801"/>
      <c r="I5" s="802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03"/>
      <c r="G6" s="804"/>
      <c r="H6" s="804"/>
      <c r="I6" s="805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4358</v>
      </c>
      <c r="C8" s="810"/>
      <c r="D8" s="809" t="s">
        <v>4359</v>
      </c>
      <c r="E8" s="811"/>
      <c r="F8" s="810"/>
      <c r="G8" s="798"/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09"/>
      <c r="C9" s="810"/>
      <c r="D9" s="809" t="s">
        <v>4360</v>
      </c>
      <c r="E9" s="811"/>
      <c r="F9" s="810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 t="s">
        <v>4362</v>
      </c>
      <c r="C10" s="810"/>
      <c r="D10" s="809" t="s">
        <v>4363</v>
      </c>
      <c r="E10" s="811"/>
      <c r="F10" s="810"/>
      <c r="G10" s="798"/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09"/>
      <c r="C11" s="810"/>
      <c r="D11" s="809" t="s">
        <v>4364</v>
      </c>
      <c r="E11" s="811"/>
      <c r="F11" s="810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2</v>
      </c>
      <c r="C13" s="350" t="s">
        <v>4366</v>
      </c>
      <c r="D13" s="350"/>
      <c r="E13" s="350"/>
      <c r="F13" s="351">
        <v>2</v>
      </c>
      <c r="G13" s="350" t="s">
        <v>1491</v>
      </c>
      <c r="H13" s="351">
        <v>10</v>
      </c>
      <c r="I13" s="350" t="s">
        <v>1492</v>
      </c>
      <c r="J13" s="351">
        <v>2</v>
      </c>
      <c r="K13" s="350" t="s">
        <v>1493</v>
      </c>
      <c r="L13" s="351">
        <v>15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167</v>
      </c>
      <c r="K16" s="350" t="s">
        <v>207</v>
      </c>
      <c r="L16" s="351">
        <v>46</v>
      </c>
      <c r="M16" s="353" t="s">
        <v>4367</v>
      </c>
      <c r="N16" s="351">
        <v>12</v>
      </c>
    </row>
    <row r="17" spans="1:14">
      <c r="A17" s="350" t="s">
        <v>209</v>
      </c>
      <c r="B17" s="350"/>
      <c r="C17" s="350" t="s">
        <v>210</v>
      </c>
      <c r="D17" s="351">
        <v>296</v>
      </c>
      <c r="E17" s="350" t="s">
        <v>211</v>
      </c>
      <c r="F17" s="351">
        <v>17</v>
      </c>
      <c r="G17" s="350" t="s">
        <v>212</v>
      </c>
      <c r="H17" s="351">
        <v>19</v>
      </c>
      <c r="I17" s="350" t="s">
        <v>411</v>
      </c>
      <c r="J17" s="351">
        <f>H17+F17+D17</f>
        <v>332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382</v>
      </c>
      <c r="E18" s="350" t="s">
        <v>214</v>
      </c>
      <c r="F18" s="351">
        <v>13</v>
      </c>
      <c r="G18" s="350" t="s">
        <v>1494</v>
      </c>
      <c r="H18" s="351">
        <v>17</v>
      </c>
      <c r="I18" s="350" t="s">
        <v>410</v>
      </c>
      <c r="J18" s="351">
        <f>H18+F18+D18</f>
        <v>412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24.4848</v>
      </c>
      <c r="E23" s="358">
        <v>24.4848</v>
      </c>
      <c r="F23" s="358">
        <v>1.27572</v>
      </c>
      <c r="G23" s="358">
        <v>10.54387</v>
      </c>
      <c r="H23" s="358">
        <v>4.0323599999999997</v>
      </c>
      <c r="I23" s="358">
        <v>8.6878499999999992</v>
      </c>
      <c r="J23" s="358">
        <v>0.67391999999999996</v>
      </c>
      <c r="K23" s="358">
        <v>0</v>
      </c>
      <c r="L23" s="352"/>
      <c r="M23" s="358">
        <f>SUM(F23:L23)</f>
        <v>25.213719999999999</v>
      </c>
      <c r="N23" s="358">
        <f>M23/E23*100</f>
        <v>102.97703064758544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5.6</v>
      </c>
      <c r="F24" s="358">
        <v>0</v>
      </c>
      <c r="G24" s="358">
        <v>0</v>
      </c>
      <c r="H24" s="358">
        <v>2.1490900000000002</v>
      </c>
      <c r="I24" s="358">
        <v>1.56481</v>
      </c>
      <c r="J24" s="358">
        <v>1.7157199999999999</v>
      </c>
      <c r="K24" s="358">
        <v>0.78710999999999998</v>
      </c>
      <c r="L24" s="352"/>
      <c r="M24" s="358">
        <f t="shared" ref="M24:M31" si="0">SUM(F24:L24)</f>
        <v>6.2167300000000001</v>
      </c>
      <c r="N24" s="358">
        <f t="shared" ref="N24:N32" si="1">M24/E24*100</f>
        <v>111.01303571428571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0</v>
      </c>
      <c r="I25" s="358">
        <v>0.32150000000000001</v>
      </c>
      <c r="J25" s="358">
        <v>0</v>
      </c>
      <c r="K25" s="358">
        <v>0.44374000000000002</v>
      </c>
      <c r="L25" s="352"/>
      <c r="M25" s="358">
        <f t="shared" si="0"/>
        <v>0.76524000000000003</v>
      </c>
      <c r="N25" s="358">
        <f t="shared" si="1"/>
        <v>177.96279069767442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0.13683999999999999</v>
      </c>
      <c r="I26" s="358">
        <v>7.0000000000000007E-2</v>
      </c>
      <c r="J26" s="358">
        <v>0.15</v>
      </c>
      <c r="K26" s="358">
        <v>7.3160000000000003E-2</v>
      </c>
      <c r="L26" s="352"/>
      <c r="M26" s="358">
        <f t="shared" si="0"/>
        <v>0.43</v>
      </c>
      <c r="N26" s="358">
        <f t="shared" si="1"/>
        <v>126.47058823529412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3.67272</v>
      </c>
      <c r="E27" s="358">
        <v>3.67272</v>
      </c>
      <c r="F27" s="358">
        <v>0</v>
      </c>
      <c r="G27" s="358">
        <v>0</v>
      </c>
      <c r="H27" s="358">
        <v>0</v>
      </c>
      <c r="I27" s="358">
        <v>0</v>
      </c>
      <c r="J27" s="358">
        <v>1.08972</v>
      </c>
      <c r="K27" s="358">
        <v>1.4761599999999999</v>
      </c>
      <c r="L27" s="352"/>
      <c r="M27" s="358">
        <f t="shared" si="0"/>
        <v>2.5658799999999999</v>
      </c>
      <c r="N27" s="358">
        <f t="shared" si="1"/>
        <v>69.863207649916134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0.1</v>
      </c>
      <c r="H28" s="358">
        <v>0.2</v>
      </c>
      <c r="I28" s="358">
        <v>1.2959099999999999</v>
      </c>
      <c r="J28" s="358">
        <v>0</v>
      </c>
      <c r="K28" s="358">
        <v>0</v>
      </c>
      <c r="L28" s="352"/>
      <c r="M28" s="358">
        <f t="shared" si="0"/>
        <v>1.5959099999999999</v>
      </c>
      <c r="N28" s="358">
        <f t="shared" si="1"/>
        <v>56.392579505300354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3.0606</v>
      </c>
      <c r="E29" s="358">
        <v>3.0606</v>
      </c>
      <c r="F29" s="358">
        <v>0.22313</v>
      </c>
      <c r="G29" s="358">
        <v>0.10424</v>
      </c>
      <c r="H29" s="358">
        <v>0</v>
      </c>
      <c r="I29" s="358">
        <v>0</v>
      </c>
      <c r="J29" s="358">
        <v>0.58052000000000004</v>
      </c>
      <c r="K29" s="358">
        <v>1.4637800000000001</v>
      </c>
      <c r="L29" s="352"/>
      <c r="M29" s="358">
        <f t="shared" si="0"/>
        <v>2.3716699999999999</v>
      </c>
      <c r="N29" s="358">
        <f t="shared" si="1"/>
        <v>77.490361367052202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0.1731</v>
      </c>
      <c r="G30" s="358">
        <v>0.42088999999999999</v>
      </c>
      <c r="H30" s="358">
        <v>0.18017</v>
      </c>
      <c r="I30" s="358">
        <v>0.30536000000000002</v>
      </c>
      <c r="J30" s="358">
        <v>0.38105</v>
      </c>
      <c r="K30" s="358">
        <v>0.30145</v>
      </c>
      <c r="L30" s="352"/>
      <c r="M30" s="358">
        <f t="shared" si="0"/>
        <v>1.7620200000000001</v>
      </c>
      <c r="N30" s="358">
        <f t="shared" si="1"/>
        <v>76.277922077922085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2"/>
      <c r="G31" s="352"/>
      <c r="H31" s="352"/>
      <c r="I31" s="352"/>
      <c r="J31" s="352"/>
      <c r="K31" s="352"/>
      <c r="L31" s="352"/>
      <c r="M31" s="358">
        <f t="shared" si="0"/>
        <v>0</v>
      </c>
      <c r="N31" s="352">
        <f t="shared" si="1"/>
        <v>0</v>
      </c>
    </row>
    <row r="32" spans="1:14">
      <c r="A32" s="359" t="s">
        <v>245</v>
      </c>
      <c r="B32" s="359"/>
      <c r="C32" s="355"/>
      <c r="D32" s="360">
        <f>SUM(D23:D31)</f>
        <v>42.858120000000007</v>
      </c>
      <c r="E32" s="360">
        <f t="shared" ref="E32:M32" si="2">SUM(E23:E31)</f>
        <v>42.828120000000006</v>
      </c>
      <c r="F32" s="360">
        <f t="shared" si="2"/>
        <v>1.67195</v>
      </c>
      <c r="G32" s="360">
        <f t="shared" si="2"/>
        <v>11.169</v>
      </c>
      <c r="H32" s="360">
        <f t="shared" si="2"/>
        <v>6.6984600000000007</v>
      </c>
      <c r="I32" s="360">
        <f t="shared" si="2"/>
        <v>12.245429999999999</v>
      </c>
      <c r="J32" s="360">
        <f t="shared" si="2"/>
        <v>4.5909300000000002</v>
      </c>
      <c r="K32" s="360">
        <f t="shared" si="2"/>
        <v>4.5453999999999999</v>
      </c>
      <c r="L32" s="361">
        <f t="shared" si="2"/>
        <v>0</v>
      </c>
      <c r="M32" s="360">
        <f t="shared" si="2"/>
        <v>40.921170000000004</v>
      </c>
      <c r="N32" s="358">
        <f t="shared" si="1"/>
        <v>95.547434722794279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rintOptions horizontalCentered="1" verticalCentered="1"/>
  <pageMargins left="0.27559055118110237" right="0.27559055118110237" top="0.74803149606299213" bottom="0.35433070866141736" header="0.31496062992125984" footer="0.31496062992125984"/>
  <pageSetup scale="95" orientation="landscape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A3" sqref="A3:C3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  <col min="12" max="12" width="7.42578125" customWidth="1"/>
    <col min="14" max="14" width="10" bestFit="1" customWidth="1"/>
  </cols>
  <sheetData>
    <row r="1" spans="1:14">
      <c r="A1" s="818" t="s">
        <v>167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</row>
    <row r="2" spans="1:14">
      <c r="A2" s="818" t="s">
        <v>4370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</row>
    <row r="3" spans="1:14">
      <c r="A3" s="808" t="s">
        <v>4176</v>
      </c>
      <c r="B3" s="808"/>
      <c r="C3" s="808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</row>
    <row r="4" spans="1:14">
      <c r="A4" s="350" t="s">
        <v>4347</v>
      </c>
      <c r="B4" s="798" t="s">
        <v>4371</v>
      </c>
      <c r="C4" s="799"/>
      <c r="D4" s="350" t="s">
        <v>4349</v>
      </c>
      <c r="E4" s="350"/>
      <c r="F4" s="798" t="s">
        <v>4372</v>
      </c>
      <c r="G4" s="799"/>
      <c r="H4" s="806" t="s">
        <v>5</v>
      </c>
      <c r="I4" s="807"/>
      <c r="J4" s="351">
        <v>661.41</v>
      </c>
      <c r="K4" s="350" t="s">
        <v>436</v>
      </c>
      <c r="L4" s="350"/>
      <c r="M4" s="351">
        <v>189.18</v>
      </c>
      <c r="N4" s="350"/>
    </row>
    <row r="5" spans="1:14">
      <c r="A5" s="350"/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</row>
    <row r="6" spans="1:14">
      <c r="A6" s="350" t="s">
        <v>832</v>
      </c>
      <c r="B6" s="798" t="s">
        <v>4373</v>
      </c>
      <c r="C6" s="799"/>
      <c r="D6" s="350" t="s">
        <v>1208</v>
      </c>
      <c r="E6" s="350"/>
      <c r="F6" s="798" t="s">
        <v>4374</v>
      </c>
      <c r="G6" s="799"/>
      <c r="H6" s="350"/>
      <c r="I6" s="350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0" t="s">
        <v>4353</v>
      </c>
      <c r="B8" s="798" t="s">
        <v>4375</v>
      </c>
      <c r="C8" s="799"/>
      <c r="D8" s="350" t="s">
        <v>4355</v>
      </c>
      <c r="E8" s="350"/>
      <c r="F8" s="800" t="s">
        <v>4376</v>
      </c>
      <c r="G8" s="801"/>
      <c r="H8" s="801"/>
      <c r="I8" s="802"/>
      <c r="J8" s="350"/>
      <c r="K8" s="350"/>
      <c r="L8" s="350"/>
      <c r="M8" s="350"/>
      <c r="N8" s="350"/>
    </row>
    <row r="9" spans="1:14">
      <c r="A9" s="350"/>
      <c r="B9" s="350"/>
      <c r="C9" s="350"/>
      <c r="D9" s="350" t="s">
        <v>4357</v>
      </c>
      <c r="E9" s="350"/>
      <c r="F9" s="803"/>
      <c r="G9" s="804"/>
      <c r="H9" s="804"/>
      <c r="I9" s="805"/>
      <c r="J9" s="350"/>
      <c r="K9" s="350"/>
      <c r="L9" s="350"/>
      <c r="M9" s="350"/>
      <c r="N9" s="350"/>
    </row>
    <row r="10" spans="1:14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</row>
    <row r="11" spans="1:14">
      <c r="A11" s="352" t="s">
        <v>838</v>
      </c>
      <c r="B11" s="809" t="s">
        <v>4377</v>
      </c>
      <c r="C11" s="810"/>
      <c r="D11" s="809" t="s">
        <v>4378</v>
      </c>
      <c r="E11" s="811"/>
      <c r="F11" s="810"/>
      <c r="G11" s="798" t="s">
        <v>4379</v>
      </c>
      <c r="H11" s="812"/>
      <c r="I11" s="799"/>
      <c r="J11" s="798" t="s">
        <v>4380</v>
      </c>
      <c r="K11" s="812"/>
      <c r="L11" s="799"/>
      <c r="M11" s="350"/>
      <c r="N11" s="350"/>
    </row>
    <row r="12" spans="1:14">
      <c r="A12" s="352" t="s">
        <v>840</v>
      </c>
      <c r="B12" s="809" t="s">
        <v>4381</v>
      </c>
      <c r="C12" s="810"/>
      <c r="D12" s="809"/>
      <c r="E12" s="811"/>
      <c r="F12" s="810"/>
      <c r="G12" s="798"/>
      <c r="H12" s="812"/>
      <c r="I12" s="799"/>
      <c r="J12" s="798"/>
      <c r="K12" s="812"/>
      <c r="L12" s="799"/>
      <c r="M12" s="350"/>
      <c r="N12" s="350"/>
    </row>
    <row r="13" spans="1:14">
      <c r="A13" s="352" t="s">
        <v>4361</v>
      </c>
      <c r="B13" s="809" t="s">
        <v>4382</v>
      </c>
      <c r="C13" s="810"/>
      <c r="D13" s="809" t="s">
        <v>4383</v>
      </c>
      <c r="E13" s="811"/>
      <c r="F13" s="810"/>
      <c r="G13" s="798" t="s">
        <v>4384</v>
      </c>
      <c r="H13" s="812"/>
      <c r="I13" s="799"/>
      <c r="J13" s="798"/>
      <c r="K13" s="812"/>
      <c r="L13" s="799"/>
      <c r="M13" s="350"/>
      <c r="N13" s="350"/>
    </row>
    <row r="14" spans="1:14" ht="22.5">
      <c r="A14" s="352" t="s">
        <v>420</v>
      </c>
      <c r="B14" s="809" t="s">
        <v>4385</v>
      </c>
      <c r="C14" s="810"/>
      <c r="D14" s="809"/>
      <c r="E14" s="811"/>
      <c r="F14" s="810"/>
      <c r="G14" s="798"/>
      <c r="H14" s="812"/>
      <c r="I14" s="799"/>
      <c r="J14" s="798"/>
      <c r="K14" s="812"/>
      <c r="L14" s="799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>
      <c r="A16" s="350" t="s">
        <v>4365</v>
      </c>
      <c r="B16" s="351">
        <v>4</v>
      </c>
      <c r="C16" s="350" t="s">
        <v>4366</v>
      </c>
      <c r="D16" s="350"/>
      <c r="E16" s="350"/>
      <c r="F16" s="351">
        <v>4</v>
      </c>
      <c r="G16" s="350" t="s">
        <v>1491</v>
      </c>
      <c r="H16" s="351">
        <v>15</v>
      </c>
      <c r="I16" s="350" t="s">
        <v>1492</v>
      </c>
      <c r="J16" s="351">
        <v>4</v>
      </c>
      <c r="K16" s="350" t="s">
        <v>1493</v>
      </c>
      <c r="L16" s="351">
        <v>35</v>
      </c>
      <c r="M16" s="350"/>
      <c r="N16" s="350"/>
    </row>
    <row r="17" spans="1:14">
      <c r="A17" s="350"/>
      <c r="B17" s="350"/>
      <c r="C17" s="350"/>
      <c r="D17" s="350"/>
      <c r="E17" s="350"/>
      <c r="F17" s="350"/>
      <c r="G17" s="350"/>
      <c r="H17" s="350"/>
      <c r="I17" s="350"/>
      <c r="J17" s="350"/>
      <c r="K17" s="350"/>
      <c r="L17" s="350"/>
      <c r="M17" s="350"/>
      <c r="N17" s="350"/>
    </row>
    <row r="18" spans="1:14">
      <c r="A18" s="350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</row>
    <row r="19" spans="1:14" ht="22.5">
      <c r="A19" s="350" t="s">
        <v>646</v>
      </c>
      <c r="B19" s="350"/>
      <c r="C19" s="350" t="s">
        <v>204</v>
      </c>
      <c r="D19" s="351"/>
      <c r="E19" s="350" t="s">
        <v>205</v>
      </c>
      <c r="F19" s="351"/>
      <c r="G19" s="350" t="s">
        <v>206</v>
      </c>
      <c r="H19" s="351"/>
      <c r="I19" s="350" t="s">
        <v>230</v>
      </c>
      <c r="J19" s="351">
        <v>250</v>
      </c>
      <c r="K19" s="350" t="s">
        <v>207</v>
      </c>
      <c r="L19" s="351">
        <v>93</v>
      </c>
      <c r="M19" s="353" t="s">
        <v>4367</v>
      </c>
      <c r="N19" s="351">
        <v>75</v>
      </c>
    </row>
    <row r="20" spans="1:14">
      <c r="A20" s="350" t="s">
        <v>209</v>
      </c>
      <c r="B20" s="350"/>
      <c r="C20" s="350" t="s">
        <v>210</v>
      </c>
      <c r="D20" s="351">
        <v>315</v>
      </c>
      <c r="E20" s="350" t="s">
        <v>211</v>
      </c>
      <c r="F20" s="351">
        <v>179</v>
      </c>
      <c r="G20" s="350" t="s">
        <v>212</v>
      </c>
      <c r="H20" s="351">
        <v>32</v>
      </c>
      <c r="I20" s="350" t="s">
        <v>411</v>
      </c>
      <c r="J20" s="351">
        <f>H20+F20+D20</f>
        <v>526</v>
      </c>
      <c r="K20" s="350"/>
      <c r="L20" s="350"/>
      <c r="M20" s="350"/>
      <c r="N20" s="350"/>
    </row>
    <row r="21" spans="1:14">
      <c r="A21" s="350"/>
      <c r="B21" s="350"/>
      <c r="C21" s="350" t="s">
        <v>213</v>
      </c>
      <c r="D21" s="351">
        <v>329</v>
      </c>
      <c r="E21" s="350" t="s">
        <v>214</v>
      </c>
      <c r="F21" s="351">
        <v>181</v>
      </c>
      <c r="G21" s="350" t="s">
        <v>1494</v>
      </c>
      <c r="H21" s="351">
        <v>28</v>
      </c>
      <c r="I21" s="350" t="s">
        <v>410</v>
      </c>
      <c r="J21" s="351">
        <f>H21+F21+D21</f>
        <v>538</v>
      </c>
      <c r="K21" s="350"/>
      <c r="L21" s="350"/>
      <c r="M21" s="350"/>
      <c r="N21" s="350"/>
    </row>
    <row r="22" spans="1:14">
      <c r="A22" s="350"/>
      <c r="B22" s="350"/>
      <c r="C22" s="350"/>
      <c r="D22" s="350"/>
      <c r="E22" s="350"/>
      <c r="F22" s="350"/>
      <c r="G22" s="350"/>
      <c r="H22" s="350"/>
      <c r="I22" s="350"/>
      <c r="J22" s="350"/>
      <c r="K22" s="350"/>
      <c r="L22" s="350"/>
      <c r="M22" s="350"/>
      <c r="N22" s="350"/>
    </row>
    <row r="23" spans="1:14">
      <c r="A23" s="354" t="s">
        <v>216</v>
      </c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</row>
    <row r="24" spans="1:14">
      <c r="A24" s="816" t="s">
        <v>217</v>
      </c>
      <c r="B24" s="816" t="s">
        <v>218</v>
      </c>
      <c r="C24" s="816" t="s">
        <v>219</v>
      </c>
      <c r="D24" s="816" t="s">
        <v>407</v>
      </c>
      <c r="E24" s="816" t="s">
        <v>864</v>
      </c>
      <c r="F24" s="813" t="s">
        <v>4368</v>
      </c>
      <c r="G24" s="814"/>
      <c r="H24" s="814"/>
      <c r="I24" s="814"/>
      <c r="J24" s="814"/>
      <c r="K24" s="814"/>
      <c r="L24" s="814"/>
      <c r="M24" s="814"/>
      <c r="N24" s="815"/>
    </row>
    <row r="25" spans="1:14">
      <c r="A25" s="817"/>
      <c r="B25" s="817"/>
      <c r="C25" s="817"/>
      <c r="D25" s="817"/>
      <c r="E25" s="817"/>
      <c r="F25" s="355" t="s">
        <v>224</v>
      </c>
      <c r="G25" s="355" t="s">
        <v>225</v>
      </c>
      <c r="H25" s="355" t="s">
        <v>226</v>
      </c>
      <c r="I25" s="355" t="s">
        <v>227</v>
      </c>
      <c r="J25" s="355" t="s">
        <v>228</v>
      </c>
      <c r="K25" s="355" t="s">
        <v>229</v>
      </c>
      <c r="L25" s="355">
        <v>7</v>
      </c>
      <c r="M25" s="355" t="s">
        <v>230</v>
      </c>
      <c r="N25" s="355" t="s">
        <v>231</v>
      </c>
    </row>
    <row r="26" spans="1:14">
      <c r="A26" s="352" t="s">
        <v>232</v>
      </c>
      <c r="B26" s="352">
        <v>8000</v>
      </c>
      <c r="C26" s="356" t="s">
        <v>4369</v>
      </c>
      <c r="D26" s="357">
        <f>B26*J4/100000</f>
        <v>52.912799999999997</v>
      </c>
      <c r="E26" s="358">
        <v>52.912799999999997</v>
      </c>
      <c r="F26" s="358">
        <v>0.89653000000000005</v>
      </c>
      <c r="G26" s="358">
        <v>11.38875</v>
      </c>
      <c r="H26" s="358">
        <v>19.47822</v>
      </c>
      <c r="I26" s="358">
        <v>18.40269</v>
      </c>
      <c r="J26" s="358">
        <v>1.68398</v>
      </c>
      <c r="K26" s="358">
        <v>0.57313999999999998</v>
      </c>
      <c r="L26" s="352"/>
      <c r="M26" s="358">
        <f>SUM(F26:L26)</f>
        <v>52.423310000000001</v>
      </c>
      <c r="N26" s="358">
        <f>M26/E26*100</f>
        <v>99.074911930572569</v>
      </c>
    </row>
    <row r="27" spans="1:14" ht="22.5">
      <c r="A27" s="352" t="s">
        <v>234</v>
      </c>
      <c r="B27" s="352">
        <v>7000</v>
      </c>
      <c r="C27" s="356" t="s">
        <v>4369</v>
      </c>
      <c r="D27" s="357">
        <v>5.6</v>
      </c>
      <c r="E27" s="358">
        <v>8.4</v>
      </c>
      <c r="F27" s="358">
        <v>0</v>
      </c>
      <c r="G27" s="358">
        <v>0</v>
      </c>
      <c r="H27" s="358">
        <v>4.6269299999999998</v>
      </c>
      <c r="I27" s="358">
        <v>2.0686300000000002</v>
      </c>
      <c r="J27" s="358">
        <v>1.6424300000000001</v>
      </c>
      <c r="K27" s="358">
        <v>0</v>
      </c>
      <c r="L27" s="352"/>
      <c r="M27" s="358">
        <f t="shared" ref="M27:M34" si="0">SUM(F27:L27)</f>
        <v>8.3379900000000013</v>
      </c>
      <c r="N27" s="358">
        <f t="shared" ref="N27:N35" si="1">M27/E27*100</f>
        <v>99.261785714285722</v>
      </c>
    </row>
    <row r="28" spans="1:14" ht="22.5">
      <c r="A28" s="352" t="s">
        <v>235</v>
      </c>
      <c r="B28" s="352">
        <v>43000</v>
      </c>
      <c r="C28" s="356" t="s">
        <v>236</v>
      </c>
      <c r="D28" s="362">
        <v>0.43</v>
      </c>
      <c r="E28" s="358">
        <v>0.43</v>
      </c>
      <c r="F28" s="358">
        <v>0</v>
      </c>
      <c r="G28" s="358">
        <v>0</v>
      </c>
      <c r="H28" s="358">
        <v>0.18</v>
      </c>
      <c r="I28" s="358">
        <v>0.15092</v>
      </c>
      <c r="J28" s="358">
        <v>7.4999999999999997E-2</v>
      </c>
      <c r="K28" s="358">
        <v>0.52798</v>
      </c>
      <c r="L28" s="352"/>
      <c r="M28" s="358">
        <f t="shared" si="0"/>
        <v>0.93389999999999995</v>
      </c>
      <c r="N28" s="358">
        <f t="shared" si="1"/>
        <v>217.18604651162789</v>
      </c>
    </row>
    <row r="29" spans="1:14" ht="22.5">
      <c r="A29" s="352" t="s">
        <v>237</v>
      </c>
      <c r="B29" s="352">
        <v>37000</v>
      </c>
      <c r="C29" s="356" t="s">
        <v>236</v>
      </c>
      <c r="D29" s="362">
        <v>0.37</v>
      </c>
      <c r="E29" s="358">
        <v>0.34</v>
      </c>
      <c r="F29" s="358">
        <v>0</v>
      </c>
      <c r="G29" s="358">
        <v>0</v>
      </c>
      <c r="H29" s="358">
        <v>0.15884000000000001</v>
      </c>
      <c r="I29" s="358">
        <v>0.16356999999999999</v>
      </c>
      <c r="J29" s="358">
        <v>0.125</v>
      </c>
      <c r="K29" s="358">
        <v>0</v>
      </c>
      <c r="L29" s="352"/>
      <c r="M29" s="358">
        <f t="shared" si="0"/>
        <v>0.44740999999999997</v>
      </c>
      <c r="N29" s="358">
        <f t="shared" si="1"/>
        <v>131.59117647058821</v>
      </c>
    </row>
    <row r="30" spans="1:14">
      <c r="A30" s="352" t="s">
        <v>238</v>
      </c>
      <c r="B30" s="352">
        <v>1200</v>
      </c>
      <c r="C30" s="356" t="s">
        <v>4369</v>
      </c>
      <c r="D30" s="357">
        <f>B30*J4/100000</f>
        <v>7.9369199999999998</v>
      </c>
      <c r="E30" s="358">
        <v>7.9369199999999998</v>
      </c>
      <c r="F30" s="358">
        <v>0</v>
      </c>
      <c r="G30" s="358">
        <v>0</v>
      </c>
      <c r="H30" s="358">
        <v>0</v>
      </c>
      <c r="I30" s="358">
        <v>1.2829200000000001</v>
      </c>
      <c r="J30" s="358">
        <v>2.60914</v>
      </c>
      <c r="K30" s="358">
        <v>2.43587</v>
      </c>
      <c r="L30" s="352"/>
      <c r="M30" s="358">
        <f t="shared" si="0"/>
        <v>6.3279300000000003</v>
      </c>
      <c r="N30" s="358">
        <f t="shared" si="1"/>
        <v>79.72777853373853</v>
      </c>
    </row>
    <row r="31" spans="1:14">
      <c r="A31" s="352" t="s">
        <v>667</v>
      </c>
      <c r="B31" s="352">
        <v>565</v>
      </c>
      <c r="C31" s="356" t="s">
        <v>1036</v>
      </c>
      <c r="D31" s="357">
        <f>B31*J4/100000</f>
        <v>3.7369664999999999</v>
      </c>
      <c r="E31" s="358">
        <v>3.7369699999999999</v>
      </c>
      <c r="F31" s="358">
        <v>0</v>
      </c>
      <c r="G31" s="358">
        <v>0.2</v>
      </c>
      <c r="H31" s="358">
        <v>0.95</v>
      </c>
      <c r="I31" s="358">
        <v>2.4036300000000002</v>
      </c>
      <c r="J31" s="358">
        <v>0</v>
      </c>
      <c r="K31" s="358">
        <v>0</v>
      </c>
      <c r="L31" s="352"/>
      <c r="M31" s="358">
        <f t="shared" si="0"/>
        <v>3.5536300000000001</v>
      </c>
      <c r="N31" s="358">
        <f t="shared" si="1"/>
        <v>95.093886223330671</v>
      </c>
    </row>
    <row r="32" spans="1:14">
      <c r="A32" s="352" t="s">
        <v>240</v>
      </c>
      <c r="B32" s="352">
        <v>1000</v>
      </c>
      <c r="C32" s="356" t="s">
        <v>1036</v>
      </c>
      <c r="D32" s="357">
        <f>B32*J4/100000</f>
        <v>6.6140999999999996</v>
      </c>
      <c r="E32" s="358">
        <v>6.6140999999999996</v>
      </c>
      <c r="F32" s="358">
        <v>0</v>
      </c>
      <c r="G32" s="358">
        <v>1.0283500000000001</v>
      </c>
      <c r="H32" s="358">
        <v>5.8300000000000001E-3</v>
      </c>
      <c r="I32" s="358">
        <v>0.27800000000000002</v>
      </c>
      <c r="J32" s="358">
        <v>1.8248200000000001</v>
      </c>
      <c r="K32" s="358">
        <v>2.4459</v>
      </c>
      <c r="L32" s="352"/>
      <c r="M32" s="358">
        <f t="shared" si="0"/>
        <v>5.5829000000000004</v>
      </c>
      <c r="N32" s="358">
        <f t="shared" si="1"/>
        <v>84.409065481320226</v>
      </c>
    </row>
    <row r="33" spans="1:14">
      <c r="A33" s="352" t="s">
        <v>241</v>
      </c>
      <c r="B33" s="352">
        <v>2750</v>
      </c>
      <c r="C33" s="356" t="s">
        <v>1036</v>
      </c>
      <c r="D33" s="362">
        <v>2.31</v>
      </c>
      <c r="E33" s="358">
        <v>1.6825000000000001</v>
      </c>
      <c r="F33" s="358">
        <v>0.1154</v>
      </c>
      <c r="G33" s="358">
        <v>0.36021999999999998</v>
      </c>
      <c r="H33" s="358">
        <v>0.40388000000000002</v>
      </c>
      <c r="I33" s="358">
        <v>0.11749999999999999</v>
      </c>
      <c r="J33" s="358">
        <v>0.56469000000000003</v>
      </c>
      <c r="K33" s="358">
        <v>0.25885000000000002</v>
      </c>
      <c r="L33" s="352"/>
      <c r="M33" s="358">
        <f t="shared" si="0"/>
        <v>1.82054</v>
      </c>
      <c r="N33" s="358">
        <f t="shared" si="1"/>
        <v>108.20445765230311</v>
      </c>
    </row>
    <row r="34" spans="1:14">
      <c r="A34" s="352" t="s">
        <v>670</v>
      </c>
      <c r="B34" s="352">
        <v>10000</v>
      </c>
      <c r="C34" s="356" t="s">
        <v>244</v>
      </c>
      <c r="D34" s="362">
        <v>0.1</v>
      </c>
      <c r="E34" s="358">
        <v>0.1</v>
      </c>
      <c r="F34" s="352"/>
      <c r="G34" s="352"/>
      <c r="H34" s="352"/>
      <c r="I34" s="352"/>
      <c r="J34" s="352"/>
      <c r="K34" s="352"/>
      <c r="L34" s="352"/>
      <c r="M34" s="358">
        <f t="shared" si="0"/>
        <v>0</v>
      </c>
      <c r="N34" s="358">
        <f t="shared" si="1"/>
        <v>0</v>
      </c>
    </row>
    <row r="35" spans="1:14">
      <c r="A35" s="359" t="s">
        <v>245</v>
      </c>
      <c r="B35" s="359"/>
      <c r="C35" s="355"/>
      <c r="D35" s="360">
        <f>SUM(D26:D34)</f>
        <v>80.01078649999998</v>
      </c>
      <c r="E35" s="360">
        <f t="shared" ref="E35:M35" si="2">SUM(E26:E34)</f>
        <v>82.153289999999984</v>
      </c>
      <c r="F35" s="360">
        <f t="shared" si="2"/>
        <v>1.01193</v>
      </c>
      <c r="G35" s="360">
        <f t="shared" si="2"/>
        <v>12.977319999999999</v>
      </c>
      <c r="H35" s="360">
        <f t="shared" si="2"/>
        <v>25.803700000000003</v>
      </c>
      <c r="I35" s="360">
        <f t="shared" si="2"/>
        <v>24.867859999999997</v>
      </c>
      <c r="J35" s="360">
        <f t="shared" si="2"/>
        <v>8.5250599999999999</v>
      </c>
      <c r="K35" s="360">
        <f t="shared" si="2"/>
        <v>6.2417399999999992</v>
      </c>
      <c r="L35" s="360">
        <f t="shared" si="2"/>
        <v>0</v>
      </c>
      <c r="M35" s="360">
        <f t="shared" si="2"/>
        <v>79.427609999999987</v>
      </c>
      <c r="N35" s="358">
        <f t="shared" si="1"/>
        <v>96.682202258728779</v>
      </c>
    </row>
  </sheetData>
  <mergeCells count="32">
    <mergeCell ref="B14:C14"/>
    <mergeCell ref="D14:F14"/>
    <mergeCell ref="G14:I14"/>
    <mergeCell ref="J14:L14"/>
    <mergeCell ref="A24:A25"/>
    <mergeCell ref="B24:B25"/>
    <mergeCell ref="C24:C25"/>
    <mergeCell ref="D24:D25"/>
    <mergeCell ref="E24:E25"/>
    <mergeCell ref="F24:N24"/>
    <mergeCell ref="B12:C12"/>
    <mergeCell ref="D12:F12"/>
    <mergeCell ref="G12:I12"/>
    <mergeCell ref="J12:L12"/>
    <mergeCell ref="B13:C13"/>
    <mergeCell ref="D13:F13"/>
    <mergeCell ref="G13:I13"/>
    <mergeCell ref="J13:L13"/>
    <mergeCell ref="J11:L11"/>
    <mergeCell ref="A1:N1"/>
    <mergeCell ref="A2:N2"/>
    <mergeCell ref="B4:C4"/>
    <mergeCell ref="F4:G4"/>
    <mergeCell ref="H4:I4"/>
    <mergeCell ref="B6:C6"/>
    <mergeCell ref="F6:G6"/>
    <mergeCell ref="B8:C8"/>
    <mergeCell ref="F8:I9"/>
    <mergeCell ref="B11:C11"/>
    <mergeCell ref="D11:F11"/>
    <mergeCell ref="G11:I11"/>
    <mergeCell ref="A3:C3"/>
  </mergeCells>
  <hyperlinks>
    <hyperlink ref="A3" location="'Fact Sheet of VDC'!A1" display="&lt;&lt;Back"/>
  </hyperlinks>
  <pageMargins left="0.28000000000000003" right="0.27" top="0.75" bottom="0.37" header="0.3" footer="0.3"/>
  <pageSetup scale="95" orientation="landscape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  <col min="12" max="12" width="7.42578125" customWidth="1"/>
    <col min="14" max="14" width="10" bestFit="1" customWidth="1"/>
  </cols>
  <sheetData>
    <row r="1" spans="1:14">
      <c r="A1" s="350" t="s">
        <v>4347</v>
      </c>
      <c r="B1" s="798" t="s">
        <v>4386</v>
      </c>
      <c r="C1" s="799"/>
      <c r="D1" s="350" t="s">
        <v>4349</v>
      </c>
      <c r="E1" s="350"/>
      <c r="F1" s="798" t="s">
        <v>4387</v>
      </c>
      <c r="G1" s="799"/>
      <c r="H1" s="806" t="s">
        <v>5</v>
      </c>
      <c r="I1" s="807"/>
      <c r="J1" s="351">
        <v>489.6</v>
      </c>
      <c r="K1" s="350" t="s">
        <v>436</v>
      </c>
      <c r="L1" s="350"/>
      <c r="M1" s="351">
        <v>100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798" t="s">
        <v>4388</v>
      </c>
      <c r="C3" s="799"/>
      <c r="D3" s="350" t="s">
        <v>1208</v>
      </c>
      <c r="E3" s="350"/>
      <c r="F3" s="798" t="s">
        <v>4389</v>
      </c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798" t="s">
        <v>4390</v>
      </c>
      <c r="C5" s="799"/>
      <c r="D5" s="350" t="s">
        <v>4355</v>
      </c>
      <c r="E5" s="350"/>
      <c r="F5" s="800" t="s">
        <v>4391</v>
      </c>
      <c r="G5" s="801"/>
      <c r="H5" s="801"/>
      <c r="I5" s="802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03"/>
      <c r="G6" s="804"/>
      <c r="H6" s="804"/>
      <c r="I6" s="805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4392</v>
      </c>
      <c r="C8" s="810"/>
      <c r="D8" s="809" t="s">
        <v>4393</v>
      </c>
      <c r="E8" s="811"/>
      <c r="F8" s="810"/>
      <c r="G8" s="798" t="s">
        <v>4394</v>
      </c>
      <c r="H8" s="812"/>
      <c r="I8" s="799"/>
      <c r="J8" s="798" t="s">
        <v>4395</v>
      </c>
      <c r="K8" s="812"/>
      <c r="L8" s="799"/>
      <c r="M8" s="350"/>
      <c r="N8" s="350"/>
    </row>
    <row r="9" spans="1:14">
      <c r="A9" s="352" t="s">
        <v>840</v>
      </c>
      <c r="B9" s="809" t="s">
        <v>4396</v>
      </c>
      <c r="C9" s="810"/>
      <c r="D9" s="809"/>
      <c r="E9" s="811"/>
      <c r="F9" s="810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 t="s">
        <v>4397</v>
      </c>
      <c r="C10" s="810"/>
      <c r="D10" s="809" t="s">
        <v>4398</v>
      </c>
      <c r="E10" s="811"/>
      <c r="F10" s="810"/>
      <c r="G10" s="798" t="s">
        <v>4399</v>
      </c>
      <c r="H10" s="812"/>
      <c r="I10" s="799"/>
      <c r="J10" s="798" t="s">
        <v>4400</v>
      </c>
      <c r="K10" s="812"/>
      <c r="L10" s="799"/>
      <c r="M10" s="350"/>
      <c r="N10" s="350"/>
    </row>
    <row r="11" spans="1:14" ht="22.5">
      <c r="A11" s="352" t="s">
        <v>420</v>
      </c>
      <c r="B11" s="809" t="s">
        <v>4401</v>
      </c>
      <c r="C11" s="810"/>
      <c r="D11" s="809"/>
      <c r="E11" s="811"/>
      <c r="F11" s="810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4</v>
      </c>
      <c r="C13" s="350" t="s">
        <v>4366</v>
      </c>
      <c r="D13" s="350"/>
      <c r="E13" s="350"/>
      <c r="F13" s="351">
        <v>4</v>
      </c>
      <c r="G13" s="350" t="s">
        <v>1491</v>
      </c>
      <c r="H13" s="351">
        <v>11</v>
      </c>
      <c r="I13" s="350" t="s">
        <v>1492</v>
      </c>
      <c r="J13" s="351">
        <v>4</v>
      </c>
      <c r="K13" s="350" t="s">
        <v>1493</v>
      </c>
      <c r="L13" s="351">
        <v>18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164</v>
      </c>
      <c r="K16" s="350" t="s">
        <v>207</v>
      </c>
      <c r="L16" s="351">
        <v>51</v>
      </c>
      <c r="M16" s="353" t="s">
        <v>4367</v>
      </c>
      <c r="N16" s="351">
        <v>23</v>
      </c>
    </row>
    <row r="17" spans="1:14">
      <c r="A17" s="350" t="s">
        <v>209</v>
      </c>
      <c r="B17" s="350"/>
      <c r="C17" s="350" t="s">
        <v>210</v>
      </c>
      <c r="D17" s="351">
        <v>235</v>
      </c>
      <c r="E17" s="350" t="s">
        <v>211</v>
      </c>
      <c r="F17" s="351">
        <v>60</v>
      </c>
      <c r="G17" s="350" t="s">
        <v>212</v>
      </c>
      <c r="H17" s="351">
        <v>69</v>
      </c>
      <c r="I17" s="350" t="s">
        <v>411</v>
      </c>
      <c r="J17" s="351">
        <f>H17+F17+D17</f>
        <v>364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272</v>
      </c>
      <c r="E18" s="350" t="s">
        <v>214</v>
      </c>
      <c r="F18" s="351">
        <v>66</v>
      </c>
      <c r="G18" s="350" t="s">
        <v>1494</v>
      </c>
      <c r="H18" s="351">
        <v>59</v>
      </c>
      <c r="I18" s="350" t="s">
        <v>410</v>
      </c>
      <c r="J18" s="351">
        <f>H18+F18+D18</f>
        <v>397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39.167999999999999</v>
      </c>
      <c r="E23" s="352">
        <v>39.167999999999999</v>
      </c>
      <c r="F23" s="358">
        <v>0.53356999999999999</v>
      </c>
      <c r="G23" s="358">
        <v>7.9369800000000001</v>
      </c>
      <c r="H23" s="358">
        <v>16.36797</v>
      </c>
      <c r="I23" s="358">
        <v>11.39472</v>
      </c>
      <c r="J23" s="358">
        <v>2.1610299999999998</v>
      </c>
      <c r="K23" s="358">
        <v>0.4042</v>
      </c>
      <c r="L23" s="352"/>
      <c r="M23" s="358">
        <f>SUM(F23:L23)</f>
        <v>38.798469999999995</v>
      </c>
      <c r="N23" s="358">
        <f>M23/E23*100</f>
        <v>99.056551266339852</v>
      </c>
    </row>
    <row r="24" spans="1:14" ht="22.5">
      <c r="A24" s="352" t="s">
        <v>234</v>
      </c>
      <c r="B24" s="352">
        <v>7000</v>
      </c>
      <c r="C24" s="356" t="s">
        <v>4369</v>
      </c>
      <c r="D24" s="362">
        <v>5.6</v>
      </c>
      <c r="E24" s="352">
        <v>4.9000000000000004</v>
      </c>
      <c r="F24" s="358">
        <v>0</v>
      </c>
      <c r="G24" s="358">
        <v>0</v>
      </c>
      <c r="H24" s="358">
        <v>2.2104499999999998</v>
      </c>
      <c r="I24" s="358">
        <v>1.25701</v>
      </c>
      <c r="J24" s="358">
        <v>1.3039499999999999</v>
      </c>
      <c r="K24" s="358">
        <v>0.32857999999999998</v>
      </c>
      <c r="L24" s="352"/>
      <c r="M24" s="358">
        <f t="shared" ref="M24:M31" si="0">SUM(F24:L24)</f>
        <v>5.0999899999999991</v>
      </c>
      <c r="N24" s="358">
        <f t="shared" ref="N24:N32" si="1">M24/E24*100</f>
        <v>104.08142857142855</v>
      </c>
    </row>
    <row r="25" spans="1:14" ht="22.5">
      <c r="A25" s="352" t="s">
        <v>235</v>
      </c>
      <c r="B25" s="352">
        <v>43000</v>
      </c>
      <c r="C25" s="356" t="s">
        <v>236</v>
      </c>
      <c r="D25" s="362">
        <v>0.43</v>
      </c>
      <c r="E25" s="352">
        <v>0.43</v>
      </c>
      <c r="F25" s="358">
        <v>0</v>
      </c>
      <c r="G25" s="358">
        <v>0</v>
      </c>
      <c r="H25" s="358">
        <v>0.18</v>
      </c>
      <c r="I25" s="358">
        <v>0.1585</v>
      </c>
      <c r="J25" s="358">
        <v>0</v>
      </c>
      <c r="K25" s="358">
        <v>0.59164000000000005</v>
      </c>
      <c r="L25" s="352"/>
      <c r="M25" s="358">
        <f t="shared" si="0"/>
        <v>0.93014000000000008</v>
      </c>
      <c r="N25" s="358">
        <f t="shared" si="1"/>
        <v>216.31162790697678</v>
      </c>
    </row>
    <row r="26" spans="1:14" ht="22.5">
      <c r="A26" s="352" t="s">
        <v>237</v>
      </c>
      <c r="B26" s="352">
        <v>37000</v>
      </c>
      <c r="C26" s="356" t="s">
        <v>236</v>
      </c>
      <c r="D26" s="362">
        <v>0.37</v>
      </c>
      <c r="E26" s="352">
        <v>0.34</v>
      </c>
      <c r="F26" s="358">
        <v>0</v>
      </c>
      <c r="G26" s="358">
        <v>0</v>
      </c>
      <c r="H26" s="358">
        <v>0.14233999999999999</v>
      </c>
      <c r="I26" s="358">
        <v>8.5559999999999997E-2</v>
      </c>
      <c r="J26" s="358">
        <v>0.08</v>
      </c>
      <c r="K26" s="358">
        <v>0</v>
      </c>
      <c r="L26" s="352"/>
      <c r="M26" s="358">
        <f t="shared" si="0"/>
        <v>0.30790000000000001</v>
      </c>
      <c r="N26" s="358">
        <f t="shared" si="1"/>
        <v>90.558823529411754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5.8752000000000004</v>
      </c>
      <c r="E27" s="352">
        <v>5.8724999999999996</v>
      </c>
      <c r="F27" s="358">
        <v>0</v>
      </c>
      <c r="G27" s="358">
        <v>0</v>
      </c>
      <c r="H27" s="358">
        <v>0</v>
      </c>
      <c r="I27" s="358">
        <v>0</v>
      </c>
      <c r="J27" s="358">
        <v>1.7845200000000001</v>
      </c>
      <c r="K27" s="358">
        <v>1.5142500000000001</v>
      </c>
      <c r="L27" s="352"/>
      <c r="M27" s="358">
        <f t="shared" si="0"/>
        <v>3.2987700000000002</v>
      </c>
      <c r="N27" s="358">
        <f t="shared" si="1"/>
        <v>56.173180076628363</v>
      </c>
    </row>
    <row r="28" spans="1:14">
      <c r="A28" s="352" t="s">
        <v>667</v>
      </c>
      <c r="B28" s="352">
        <v>565</v>
      </c>
      <c r="C28" s="356" t="s">
        <v>1036</v>
      </c>
      <c r="D28" s="357">
        <f>B28*J1/100000</f>
        <v>2.7662399999999998</v>
      </c>
      <c r="E28" s="352">
        <v>2.77</v>
      </c>
      <c r="F28" s="358">
        <v>0</v>
      </c>
      <c r="G28" s="358">
        <v>0</v>
      </c>
      <c r="H28" s="358">
        <v>0.65</v>
      </c>
      <c r="I28" s="358">
        <v>1.9329000000000001</v>
      </c>
      <c r="J28" s="358">
        <v>0</v>
      </c>
      <c r="K28" s="358">
        <v>0</v>
      </c>
      <c r="L28" s="352"/>
      <c r="M28" s="358">
        <f t="shared" si="0"/>
        <v>2.5829</v>
      </c>
      <c r="N28" s="358">
        <f t="shared" si="1"/>
        <v>93.245487364620942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4.8959999999999999</v>
      </c>
      <c r="E29" s="352">
        <v>4.8899999999999997</v>
      </c>
      <c r="F29" s="358">
        <v>0</v>
      </c>
      <c r="G29" s="358">
        <v>1.0217700000000001</v>
      </c>
      <c r="H29" s="358">
        <v>2.0660000000000001E-2</v>
      </c>
      <c r="I29" s="358">
        <v>1.0416799999999999</v>
      </c>
      <c r="J29" s="358">
        <v>0.82240000000000002</v>
      </c>
      <c r="K29" s="358">
        <v>1.13819</v>
      </c>
      <c r="L29" s="352"/>
      <c r="M29" s="358">
        <f t="shared" si="0"/>
        <v>4.0446999999999997</v>
      </c>
      <c r="N29" s="358">
        <f t="shared" si="1"/>
        <v>82.713701431492851</v>
      </c>
    </row>
    <row r="30" spans="1:14">
      <c r="A30" s="352" t="s">
        <v>241</v>
      </c>
      <c r="B30" s="352">
        <v>2750</v>
      </c>
      <c r="C30" s="356" t="s">
        <v>1036</v>
      </c>
      <c r="D30" s="362">
        <v>2.31</v>
      </c>
      <c r="E30" s="352">
        <v>1.68</v>
      </c>
      <c r="F30" s="358">
        <v>0.19714999999999999</v>
      </c>
      <c r="G30" s="358">
        <v>0.27206000000000002</v>
      </c>
      <c r="H30" s="358">
        <v>0.40216000000000002</v>
      </c>
      <c r="I30" s="358">
        <v>0.35421999999999998</v>
      </c>
      <c r="J30" s="358">
        <v>0.23499999999999999</v>
      </c>
      <c r="K30" s="358">
        <v>0.38829999999999998</v>
      </c>
      <c r="L30" s="352"/>
      <c r="M30" s="358">
        <f t="shared" si="0"/>
        <v>1.8488899999999999</v>
      </c>
      <c r="N30" s="358">
        <f t="shared" si="1"/>
        <v>110.05297619047619</v>
      </c>
    </row>
    <row r="31" spans="1:14">
      <c r="A31" s="352" t="s">
        <v>670</v>
      </c>
      <c r="B31" s="352">
        <v>10000</v>
      </c>
      <c r="C31" s="356" t="s">
        <v>244</v>
      </c>
      <c r="D31" s="362">
        <v>0.1</v>
      </c>
      <c r="E31" s="352">
        <v>0.1</v>
      </c>
      <c r="F31" s="352"/>
      <c r="G31" s="352"/>
      <c r="H31" s="352"/>
      <c r="I31" s="352"/>
      <c r="J31" s="352"/>
      <c r="K31" s="352"/>
      <c r="L31" s="352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>SUM(D23:D31)</f>
        <v>61.515440000000005</v>
      </c>
      <c r="E32" s="360">
        <f t="shared" ref="E32:M32" si="2">SUM(E23:E31)</f>
        <v>60.150500000000008</v>
      </c>
      <c r="F32" s="360">
        <f t="shared" si="2"/>
        <v>0.73072000000000004</v>
      </c>
      <c r="G32" s="360">
        <f t="shared" si="2"/>
        <v>9.23081</v>
      </c>
      <c r="H32" s="360">
        <f t="shared" si="2"/>
        <v>19.973579999999998</v>
      </c>
      <c r="I32" s="360">
        <f t="shared" si="2"/>
        <v>16.224589999999999</v>
      </c>
      <c r="J32" s="360">
        <f t="shared" si="2"/>
        <v>6.3868999999999998</v>
      </c>
      <c r="K32" s="360">
        <f t="shared" si="2"/>
        <v>4.3651600000000004</v>
      </c>
      <c r="L32" s="361">
        <f t="shared" si="2"/>
        <v>0</v>
      </c>
      <c r="M32" s="360">
        <f t="shared" si="2"/>
        <v>56.911759999999987</v>
      </c>
      <c r="N32" s="358">
        <f t="shared" si="1"/>
        <v>94.615605855312893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28000000000000003" right="0.27" top="0.75" bottom="0.37" header="0.3" footer="0.3"/>
  <pageSetup scale="95" orientation="landscape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  <col min="12" max="12" width="7.42578125" customWidth="1"/>
    <col min="14" max="14" width="10" bestFit="1" customWidth="1"/>
  </cols>
  <sheetData>
    <row r="1" spans="1:14">
      <c r="A1" s="350" t="s">
        <v>4347</v>
      </c>
      <c r="B1" s="798" t="s">
        <v>4402</v>
      </c>
      <c r="C1" s="799"/>
      <c r="D1" s="350" t="s">
        <v>4349</v>
      </c>
      <c r="E1" s="350"/>
      <c r="F1" s="798" t="s">
        <v>4403</v>
      </c>
      <c r="G1" s="799"/>
      <c r="H1" s="806" t="s">
        <v>5</v>
      </c>
      <c r="I1" s="807"/>
      <c r="J1" s="351">
        <v>684.59</v>
      </c>
      <c r="K1" s="350" t="s">
        <v>436</v>
      </c>
      <c r="L1" s="350"/>
      <c r="M1" s="351">
        <v>300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798" t="s">
        <v>4404</v>
      </c>
      <c r="C3" s="799"/>
      <c r="D3" s="350" t="s">
        <v>1208</v>
      </c>
      <c r="E3" s="350"/>
      <c r="F3" s="798" t="s">
        <v>4405</v>
      </c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798" t="s">
        <v>4406</v>
      </c>
      <c r="C5" s="799"/>
      <c r="D5" s="350" t="s">
        <v>4355</v>
      </c>
      <c r="E5" s="350"/>
      <c r="F5" s="800" t="s">
        <v>4404</v>
      </c>
      <c r="G5" s="801"/>
      <c r="H5" s="801"/>
      <c r="I5" s="802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03"/>
      <c r="G6" s="804"/>
      <c r="H6" s="804"/>
      <c r="I6" s="805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4407</v>
      </c>
      <c r="C8" s="810"/>
      <c r="D8" s="809" t="s">
        <v>4408</v>
      </c>
      <c r="E8" s="811"/>
      <c r="F8" s="810"/>
      <c r="G8" s="798" t="s">
        <v>4409</v>
      </c>
      <c r="H8" s="812"/>
      <c r="I8" s="799"/>
      <c r="J8" s="798" t="s">
        <v>2438</v>
      </c>
      <c r="K8" s="812"/>
      <c r="L8" s="799"/>
      <c r="M8" s="350"/>
      <c r="N8" s="350"/>
    </row>
    <row r="9" spans="1:14">
      <c r="A9" s="352" t="s">
        <v>840</v>
      </c>
      <c r="B9" s="809" t="s">
        <v>4410</v>
      </c>
      <c r="C9" s="810"/>
      <c r="D9" s="809"/>
      <c r="E9" s="811"/>
      <c r="F9" s="810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 t="s">
        <v>4411</v>
      </c>
      <c r="C10" s="810"/>
      <c r="D10" s="809" t="s">
        <v>4412</v>
      </c>
      <c r="E10" s="811"/>
      <c r="F10" s="810"/>
      <c r="G10" s="798" t="s">
        <v>4413</v>
      </c>
      <c r="H10" s="812"/>
      <c r="I10" s="799"/>
      <c r="J10" s="798" t="s">
        <v>4414</v>
      </c>
      <c r="K10" s="812"/>
      <c r="L10" s="799"/>
      <c r="M10" s="350"/>
      <c r="N10" s="350"/>
    </row>
    <row r="11" spans="1:14" ht="22.5">
      <c r="A11" s="352" t="s">
        <v>420</v>
      </c>
      <c r="B11" s="809" t="s">
        <v>4406</v>
      </c>
      <c r="C11" s="810"/>
      <c r="D11" s="809"/>
      <c r="E11" s="811"/>
      <c r="F11" s="810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4</v>
      </c>
      <c r="C13" s="350" t="s">
        <v>4366</v>
      </c>
      <c r="D13" s="350"/>
      <c r="E13" s="350"/>
      <c r="F13" s="351">
        <v>3</v>
      </c>
      <c r="G13" s="350" t="s">
        <v>1491</v>
      </c>
      <c r="H13" s="351">
        <v>29</v>
      </c>
      <c r="I13" s="350" t="s">
        <v>1492</v>
      </c>
      <c r="J13" s="351">
        <v>3</v>
      </c>
      <c r="K13" s="350" t="s">
        <v>1493</v>
      </c>
      <c r="L13" s="351">
        <v>28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370</v>
      </c>
      <c r="K16" s="350" t="s">
        <v>207</v>
      </c>
      <c r="L16" s="351">
        <v>141</v>
      </c>
      <c r="M16" s="353" t="s">
        <v>4367</v>
      </c>
      <c r="N16" s="351">
        <v>28</v>
      </c>
    </row>
    <row r="17" spans="1:14">
      <c r="A17" s="350" t="s">
        <v>209</v>
      </c>
      <c r="B17" s="350"/>
      <c r="C17" s="350" t="s">
        <v>210</v>
      </c>
      <c r="D17" s="351">
        <v>648</v>
      </c>
      <c r="E17" s="350" t="s">
        <v>211</v>
      </c>
      <c r="F17" s="351">
        <v>121</v>
      </c>
      <c r="G17" s="350" t="s">
        <v>212</v>
      </c>
      <c r="H17" s="351">
        <v>0</v>
      </c>
      <c r="I17" s="350" t="s">
        <v>411</v>
      </c>
      <c r="J17" s="351">
        <f>H17+F17+D17</f>
        <v>769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649</v>
      </c>
      <c r="E18" s="350" t="s">
        <v>214</v>
      </c>
      <c r="F18" s="351">
        <v>100</v>
      </c>
      <c r="G18" s="350" t="s">
        <v>1494</v>
      </c>
      <c r="H18" s="351">
        <v>0</v>
      </c>
      <c r="I18" s="350" t="s">
        <v>410</v>
      </c>
      <c r="J18" s="351">
        <f>H18+F18+D18</f>
        <v>749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54.767200000000003</v>
      </c>
      <c r="E23" s="352">
        <v>54.77</v>
      </c>
      <c r="F23" s="358">
        <v>1.7020200000000001</v>
      </c>
      <c r="G23" s="358">
        <v>12.2722</v>
      </c>
      <c r="H23" s="358">
        <v>23.118760000000002</v>
      </c>
      <c r="I23" s="358">
        <v>11.747769999999999</v>
      </c>
      <c r="J23" s="358">
        <v>5.3219900000000004</v>
      </c>
      <c r="K23" s="358">
        <v>0.1406</v>
      </c>
      <c r="L23" s="352"/>
      <c r="M23" s="358">
        <f>SUM(F23:L23)</f>
        <v>54.303339999999999</v>
      </c>
      <c r="N23" s="358">
        <f>M23/E23*100</f>
        <v>99.147964213985745</v>
      </c>
    </row>
    <row r="24" spans="1:14" ht="22.5">
      <c r="A24" s="352" t="s">
        <v>234</v>
      </c>
      <c r="B24" s="352">
        <v>7000</v>
      </c>
      <c r="C24" s="356" t="s">
        <v>4369</v>
      </c>
      <c r="D24" s="362">
        <v>5.6</v>
      </c>
      <c r="E24" s="352">
        <v>4.9000000000000004</v>
      </c>
      <c r="F24" s="358">
        <v>0</v>
      </c>
      <c r="G24" s="358">
        <v>0</v>
      </c>
      <c r="H24" s="358">
        <v>1.9165300000000001</v>
      </c>
      <c r="I24" s="358">
        <v>1.37483</v>
      </c>
      <c r="J24" s="358">
        <v>1.2237</v>
      </c>
      <c r="K24" s="358">
        <v>0.31046000000000001</v>
      </c>
      <c r="L24" s="352"/>
      <c r="M24" s="358">
        <f t="shared" ref="M24:M31" si="0">SUM(F24:L24)</f>
        <v>4.82552</v>
      </c>
      <c r="N24" s="352">
        <f t="shared" ref="N24:N32" si="1">M24/E24*100</f>
        <v>98.47999999999999</v>
      </c>
    </row>
    <row r="25" spans="1:14" ht="22.5">
      <c r="A25" s="352" t="s">
        <v>235</v>
      </c>
      <c r="B25" s="352">
        <v>43000</v>
      </c>
      <c r="C25" s="356" t="s">
        <v>236</v>
      </c>
      <c r="D25" s="362">
        <v>0.43</v>
      </c>
      <c r="E25" s="352">
        <v>0.43</v>
      </c>
      <c r="F25" s="358">
        <v>0</v>
      </c>
      <c r="G25" s="358">
        <v>0</v>
      </c>
      <c r="H25" s="358">
        <v>0.18</v>
      </c>
      <c r="I25" s="358">
        <v>0.15572</v>
      </c>
      <c r="J25" s="358">
        <v>0.2225</v>
      </c>
      <c r="K25" s="358">
        <v>0.67452000000000001</v>
      </c>
      <c r="L25" s="352"/>
      <c r="M25" s="358">
        <f t="shared" si="0"/>
        <v>1.2327400000000002</v>
      </c>
      <c r="N25" s="358">
        <f t="shared" si="1"/>
        <v>286.6837209302326</v>
      </c>
    </row>
    <row r="26" spans="1:14" ht="22.5">
      <c r="A26" s="352" t="s">
        <v>237</v>
      </c>
      <c r="B26" s="352">
        <v>37000</v>
      </c>
      <c r="C26" s="356" t="s">
        <v>236</v>
      </c>
      <c r="D26" s="362">
        <v>0.37</v>
      </c>
      <c r="E26" s="352">
        <v>0.34</v>
      </c>
      <c r="F26" s="358">
        <v>0</v>
      </c>
      <c r="G26" s="358">
        <v>0</v>
      </c>
      <c r="H26" s="358">
        <v>0.19534000000000001</v>
      </c>
      <c r="I26" s="358">
        <v>8.6819999999999994E-2</v>
      </c>
      <c r="J26" s="358">
        <v>5.2299999999999999E-2</v>
      </c>
      <c r="K26" s="358">
        <v>0</v>
      </c>
      <c r="L26" s="352"/>
      <c r="M26" s="358">
        <f t="shared" si="0"/>
        <v>0.33446000000000004</v>
      </c>
      <c r="N26" s="358">
        <f t="shared" si="1"/>
        <v>98.370588235294122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8.2150800000000004</v>
      </c>
      <c r="E27" s="352">
        <v>8.2100000000000009</v>
      </c>
      <c r="F27" s="358">
        <v>0</v>
      </c>
      <c r="G27" s="358">
        <v>0</v>
      </c>
      <c r="H27" s="358">
        <v>0</v>
      </c>
      <c r="I27" s="358">
        <v>0</v>
      </c>
      <c r="J27" s="358">
        <v>5.4598000000000004</v>
      </c>
      <c r="K27" s="358">
        <v>1.38252</v>
      </c>
      <c r="L27" s="352"/>
      <c r="M27" s="358">
        <f t="shared" si="0"/>
        <v>6.8423200000000008</v>
      </c>
      <c r="N27" s="358">
        <f t="shared" si="1"/>
        <v>83.341291108404391</v>
      </c>
    </row>
    <row r="28" spans="1:14">
      <c r="A28" s="352" t="s">
        <v>667</v>
      </c>
      <c r="B28" s="352">
        <v>565</v>
      </c>
      <c r="C28" s="356" t="s">
        <v>1036</v>
      </c>
      <c r="D28" s="357">
        <f>B28*J1/100000</f>
        <v>3.8679335000000004</v>
      </c>
      <c r="E28" s="352">
        <v>3.87</v>
      </c>
      <c r="F28" s="358">
        <v>0</v>
      </c>
      <c r="G28" s="358">
        <v>0</v>
      </c>
      <c r="H28" s="358">
        <v>0.25</v>
      </c>
      <c r="I28" s="358">
        <v>3.4346100000000002</v>
      </c>
      <c r="J28" s="358">
        <v>0.05</v>
      </c>
      <c r="K28" s="358">
        <v>0</v>
      </c>
      <c r="L28" s="352"/>
      <c r="M28" s="358">
        <f t="shared" si="0"/>
        <v>3.73461</v>
      </c>
      <c r="N28" s="358">
        <f t="shared" si="1"/>
        <v>96.501550387596907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6.8459000000000003</v>
      </c>
      <c r="E29" s="352">
        <v>6.84</v>
      </c>
      <c r="F29" s="358">
        <v>0.28219</v>
      </c>
      <c r="G29" s="358">
        <v>0.72902999999999996</v>
      </c>
      <c r="H29" s="358">
        <v>0.68179999999999996</v>
      </c>
      <c r="I29" s="358">
        <v>1.4782</v>
      </c>
      <c r="J29" s="358">
        <v>3.58927</v>
      </c>
      <c r="K29" s="358">
        <v>1.6155600000000001</v>
      </c>
      <c r="L29" s="352"/>
      <c r="M29" s="358">
        <f t="shared" si="0"/>
        <v>8.3760499999999993</v>
      </c>
      <c r="N29" s="358">
        <f t="shared" si="1"/>
        <v>122.45687134502923</v>
      </c>
    </row>
    <row r="30" spans="1:14">
      <c r="A30" s="352" t="s">
        <v>241</v>
      </c>
      <c r="B30" s="352">
        <v>2750</v>
      </c>
      <c r="C30" s="356" t="s">
        <v>1036</v>
      </c>
      <c r="D30" s="362">
        <v>2.31</v>
      </c>
      <c r="E30" s="352">
        <v>1.68</v>
      </c>
      <c r="F30" s="358">
        <v>0.19769999999999999</v>
      </c>
      <c r="G30" s="358">
        <v>0.38264999999999999</v>
      </c>
      <c r="H30" s="358">
        <v>0.27927999999999997</v>
      </c>
      <c r="I30" s="358">
        <v>0.27500000000000002</v>
      </c>
      <c r="J30" s="358">
        <v>0.34758</v>
      </c>
      <c r="K30" s="358">
        <v>0.30953999999999998</v>
      </c>
      <c r="L30" s="352"/>
      <c r="M30" s="358">
        <f t="shared" si="0"/>
        <v>1.79175</v>
      </c>
      <c r="N30" s="358">
        <f t="shared" si="1"/>
        <v>106.65178571428571</v>
      </c>
    </row>
    <row r="31" spans="1:14">
      <c r="A31" s="352" t="s">
        <v>670</v>
      </c>
      <c r="B31" s="352">
        <v>10000</v>
      </c>
      <c r="C31" s="356" t="s">
        <v>244</v>
      </c>
      <c r="D31" s="362">
        <v>0.1</v>
      </c>
      <c r="E31" s="352">
        <v>0.1</v>
      </c>
      <c r="F31" s="352"/>
      <c r="G31" s="352"/>
      <c r="H31" s="352"/>
      <c r="I31" s="352"/>
      <c r="J31" s="352"/>
      <c r="K31" s="352"/>
      <c r="L31" s="352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>SUM(D23:D31)</f>
        <v>82.506113500000012</v>
      </c>
      <c r="E32" s="361">
        <f t="shared" ref="E32:M32" si="2">SUM(E23:E31)</f>
        <v>81.140000000000015</v>
      </c>
      <c r="F32" s="360">
        <f t="shared" si="2"/>
        <v>2.1819100000000002</v>
      </c>
      <c r="G32" s="360">
        <f t="shared" si="2"/>
        <v>13.38388</v>
      </c>
      <c r="H32" s="360">
        <f t="shared" si="2"/>
        <v>26.621710000000004</v>
      </c>
      <c r="I32" s="360">
        <f t="shared" si="2"/>
        <v>18.552949999999999</v>
      </c>
      <c r="J32" s="360">
        <f t="shared" si="2"/>
        <v>16.267140000000001</v>
      </c>
      <c r="K32" s="360">
        <f t="shared" si="2"/>
        <v>4.4332000000000003</v>
      </c>
      <c r="L32" s="361">
        <f t="shared" si="2"/>
        <v>0</v>
      </c>
      <c r="M32" s="360">
        <f t="shared" si="2"/>
        <v>81.440789999999978</v>
      </c>
      <c r="N32" s="358">
        <f t="shared" si="1"/>
        <v>100.37070495439974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28000000000000003" right="0.27" top="0.75" bottom="0.37" header="0.3" footer="0.3"/>
  <pageSetup scale="95" orientation="landscape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  <col min="12" max="12" width="7.42578125" customWidth="1"/>
    <col min="14" max="14" width="10" bestFit="1" customWidth="1"/>
  </cols>
  <sheetData>
    <row r="1" spans="1:14">
      <c r="A1" s="350" t="s">
        <v>4347</v>
      </c>
      <c r="B1" s="798" t="s">
        <v>4415</v>
      </c>
      <c r="C1" s="799"/>
      <c r="D1" s="350" t="s">
        <v>4349</v>
      </c>
      <c r="E1" s="350"/>
      <c r="F1" s="798" t="s">
        <v>4416</v>
      </c>
      <c r="G1" s="799"/>
      <c r="H1" s="806" t="s">
        <v>5</v>
      </c>
      <c r="I1" s="807"/>
      <c r="J1" s="351">
        <v>205.7</v>
      </c>
      <c r="K1" s="350" t="s">
        <v>436</v>
      </c>
      <c r="L1" s="350"/>
      <c r="M1" s="351">
        <v>703.5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798" t="s">
        <v>4417</v>
      </c>
      <c r="C3" s="799"/>
      <c r="D3" s="350" t="s">
        <v>1208</v>
      </c>
      <c r="E3" s="350"/>
      <c r="F3" s="798" t="s">
        <v>4418</v>
      </c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798" t="s">
        <v>4419</v>
      </c>
      <c r="C5" s="799"/>
      <c r="D5" s="350" t="s">
        <v>4355</v>
      </c>
      <c r="E5" s="350"/>
      <c r="F5" s="800" t="s">
        <v>4420</v>
      </c>
      <c r="G5" s="801"/>
      <c r="H5" s="801"/>
      <c r="I5" s="802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03"/>
      <c r="G6" s="804"/>
      <c r="H6" s="804"/>
      <c r="I6" s="805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4421</v>
      </c>
      <c r="C8" s="810"/>
      <c r="D8" s="809" t="s">
        <v>4422</v>
      </c>
      <c r="E8" s="811"/>
      <c r="F8" s="810"/>
      <c r="G8" s="798"/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09"/>
      <c r="C9" s="810"/>
      <c r="D9" s="809" t="s">
        <v>4423</v>
      </c>
      <c r="E9" s="811"/>
      <c r="F9" s="810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 t="s">
        <v>4424</v>
      </c>
      <c r="C10" s="810"/>
      <c r="D10" s="809" t="s">
        <v>4425</v>
      </c>
      <c r="E10" s="811"/>
      <c r="F10" s="810"/>
      <c r="G10" s="798"/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09"/>
      <c r="C11" s="810"/>
      <c r="D11" s="809" t="s">
        <v>4419</v>
      </c>
      <c r="E11" s="811"/>
      <c r="F11" s="810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2</v>
      </c>
      <c r="C13" s="350" t="s">
        <v>4366</v>
      </c>
      <c r="D13" s="350"/>
      <c r="E13" s="350"/>
      <c r="F13" s="351">
        <v>2</v>
      </c>
      <c r="G13" s="350" t="s">
        <v>1491</v>
      </c>
      <c r="H13" s="351">
        <v>4</v>
      </c>
      <c r="I13" s="350" t="s">
        <v>1492</v>
      </c>
      <c r="J13" s="351">
        <v>2</v>
      </c>
      <c r="K13" s="350" t="s">
        <v>1493</v>
      </c>
      <c r="L13" s="351">
        <v>14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67</v>
      </c>
      <c r="K16" s="350" t="s">
        <v>207</v>
      </c>
      <c r="L16" s="351">
        <v>6</v>
      </c>
      <c r="M16" s="353" t="s">
        <v>4367</v>
      </c>
      <c r="N16" s="351">
        <v>37</v>
      </c>
    </row>
    <row r="17" spans="1:14">
      <c r="A17" s="350" t="s">
        <v>209</v>
      </c>
      <c r="B17" s="350"/>
      <c r="C17" s="350" t="s">
        <v>210</v>
      </c>
      <c r="D17" s="351">
        <v>159</v>
      </c>
      <c r="E17" s="350" t="s">
        <v>211</v>
      </c>
      <c r="F17" s="351">
        <v>0</v>
      </c>
      <c r="G17" s="350" t="s">
        <v>212</v>
      </c>
      <c r="H17" s="351">
        <v>0</v>
      </c>
      <c r="I17" s="350" t="s">
        <v>411</v>
      </c>
      <c r="J17" s="351">
        <f>H17+F17+D17</f>
        <v>159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151</v>
      </c>
      <c r="E18" s="350" t="s">
        <v>214</v>
      </c>
      <c r="F18" s="351">
        <v>0</v>
      </c>
      <c r="G18" s="350" t="s">
        <v>1494</v>
      </c>
      <c r="H18" s="351">
        <v>0</v>
      </c>
      <c r="I18" s="350" t="s">
        <v>410</v>
      </c>
      <c r="J18" s="351">
        <f>H18+F18+D18</f>
        <v>151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62">
        <f>B23*J1/100000</f>
        <v>16.456</v>
      </c>
      <c r="E23" s="352">
        <v>16.456</v>
      </c>
      <c r="F23" s="358">
        <v>0.31663000000000002</v>
      </c>
      <c r="G23" s="358">
        <v>6.9700100000000003</v>
      </c>
      <c r="H23" s="358">
        <v>5.11259</v>
      </c>
      <c r="I23" s="358">
        <v>2.4387500000000002</v>
      </c>
      <c r="J23" s="358">
        <v>1.3849100000000001</v>
      </c>
      <c r="K23" s="358">
        <v>0.28953000000000001</v>
      </c>
      <c r="L23" s="352"/>
      <c r="M23" s="358">
        <f>SUM(F23:L23)</f>
        <v>16.512419999999999</v>
      </c>
      <c r="N23" s="352">
        <f>M23/E23*100</f>
        <v>100.34285367039377</v>
      </c>
    </row>
    <row r="24" spans="1:14" ht="22.5">
      <c r="A24" s="352" t="s">
        <v>234</v>
      </c>
      <c r="B24" s="352">
        <v>7000</v>
      </c>
      <c r="C24" s="356" t="s">
        <v>4369</v>
      </c>
      <c r="D24" s="362">
        <v>5.6</v>
      </c>
      <c r="E24" s="352">
        <v>7</v>
      </c>
      <c r="F24" s="358">
        <v>0</v>
      </c>
      <c r="G24" s="358">
        <v>0</v>
      </c>
      <c r="H24" s="358">
        <v>2.7425600000000001</v>
      </c>
      <c r="I24" s="358">
        <v>1.90161</v>
      </c>
      <c r="J24" s="358">
        <v>1.4877400000000001</v>
      </c>
      <c r="K24" s="358">
        <v>0.78198000000000001</v>
      </c>
      <c r="L24" s="352"/>
      <c r="M24" s="358">
        <f t="shared" ref="M24:M31" si="0">SUM(F24:L24)</f>
        <v>6.9138899999999994</v>
      </c>
      <c r="N24" s="352">
        <f t="shared" ref="N24:N32" si="1">M24/E24*100</f>
        <v>98.769857142857134</v>
      </c>
    </row>
    <row r="25" spans="1:14" ht="22.5">
      <c r="A25" s="352" t="s">
        <v>235</v>
      </c>
      <c r="B25" s="352">
        <v>43000</v>
      </c>
      <c r="C25" s="356" t="s">
        <v>236</v>
      </c>
      <c r="D25" s="362">
        <v>0.43</v>
      </c>
      <c r="E25" s="352">
        <v>0.43</v>
      </c>
      <c r="F25" s="358">
        <v>0</v>
      </c>
      <c r="G25" s="358">
        <v>0</v>
      </c>
      <c r="H25" s="358">
        <v>0.18</v>
      </c>
      <c r="I25" s="358">
        <v>0.14000000000000001</v>
      </c>
      <c r="J25" s="358">
        <v>0.01</v>
      </c>
      <c r="K25" s="358">
        <v>0.30359000000000003</v>
      </c>
      <c r="L25" s="352"/>
      <c r="M25" s="358">
        <f t="shared" si="0"/>
        <v>0.6335900000000001</v>
      </c>
      <c r="N25" s="352">
        <f t="shared" si="1"/>
        <v>147.34651162790701</v>
      </c>
    </row>
    <row r="26" spans="1:14" ht="22.5">
      <c r="A26" s="352" t="s">
        <v>237</v>
      </c>
      <c r="B26" s="352">
        <v>37000</v>
      </c>
      <c r="C26" s="356" t="s">
        <v>236</v>
      </c>
      <c r="D26" s="362">
        <v>0.37</v>
      </c>
      <c r="E26" s="352">
        <v>0.34</v>
      </c>
      <c r="F26" s="358">
        <v>0</v>
      </c>
      <c r="G26" s="358">
        <v>0</v>
      </c>
      <c r="H26" s="358">
        <v>0.16284000000000001</v>
      </c>
      <c r="I26" s="358">
        <v>8.3460000000000006E-2</v>
      </c>
      <c r="J26" s="358">
        <v>9.3689999999999996E-2</v>
      </c>
      <c r="K26" s="358">
        <v>0</v>
      </c>
      <c r="L26" s="352"/>
      <c r="M26" s="358">
        <f t="shared" si="0"/>
        <v>0.33999000000000001</v>
      </c>
      <c r="N26" s="352">
        <f t="shared" si="1"/>
        <v>99.9970588235294</v>
      </c>
    </row>
    <row r="27" spans="1:14">
      <c r="A27" s="352" t="s">
        <v>238</v>
      </c>
      <c r="B27" s="352">
        <v>1200</v>
      </c>
      <c r="C27" s="356" t="s">
        <v>4369</v>
      </c>
      <c r="D27" s="362">
        <v>6</v>
      </c>
      <c r="E27" s="358">
        <v>2.4683999999999999</v>
      </c>
      <c r="F27" s="358">
        <v>0</v>
      </c>
      <c r="G27" s="358">
        <v>0</v>
      </c>
      <c r="H27" s="358">
        <v>0</v>
      </c>
      <c r="I27" s="358">
        <v>0</v>
      </c>
      <c r="J27" s="358">
        <v>0.19814999999999999</v>
      </c>
      <c r="K27" s="358">
        <v>1.6336999999999999</v>
      </c>
      <c r="L27" s="352"/>
      <c r="M27" s="358">
        <f t="shared" si="0"/>
        <v>1.83185</v>
      </c>
      <c r="N27" s="352">
        <f t="shared" si="1"/>
        <v>74.212040187976015</v>
      </c>
    </row>
    <row r="28" spans="1:14">
      <c r="A28" s="352" t="s">
        <v>667</v>
      </c>
      <c r="B28" s="352">
        <v>565</v>
      </c>
      <c r="C28" s="356" t="s">
        <v>1036</v>
      </c>
      <c r="D28" s="357">
        <f>B28*J1/100000</f>
        <v>1.1622049999999999</v>
      </c>
      <c r="E28" s="358">
        <v>1.16221</v>
      </c>
      <c r="F28" s="358">
        <v>0</v>
      </c>
      <c r="G28" s="358">
        <v>0</v>
      </c>
      <c r="H28" s="358">
        <v>0.15</v>
      </c>
      <c r="I28" s="358">
        <v>0.87887000000000004</v>
      </c>
      <c r="J28" s="358">
        <v>-0.1</v>
      </c>
      <c r="K28" s="358">
        <v>0</v>
      </c>
      <c r="L28" s="352"/>
      <c r="M28" s="358">
        <f t="shared" si="0"/>
        <v>0.92886999999999997</v>
      </c>
      <c r="N28" s="352">
        <f t="shared" si="1"/>
        <v>79.922733413066481</v>
      </c>
    </row>
    <row r="29" spans="1:14">
      <c r="A29" s="352" t="s">
        <v>240</v>
      </c>
      <c r="B29" s="352">
        <v>1000</v>
      </c>
      <c r="C29" s="356" t="s">
        <v>1036</v>
      </c>
      <c r="D29" s="362">
        <v>5</v>
      </c>
      <c r="E29" s="352">
        <v>2.5</v>
      </c>
      <c r="F29" s="358">
        <v>0.17007</v>
      </c>
      <c r="G29" s="358">
        <v>0.77995000000000003</v>
      </c>
      <c r="H29" s="358">
        <v>0</v>
      </c>
      <c r="I29" s="358">
        <v>0.64851000000000003</v>
      </c>
      <c r="J29" s="358">
        <v>0.66425999999999996</v>
      </c>
      <c r="K29" s="358">
        <v>4.9979999999999997E-2</v>
      </c>
      <c r="L29" s="352"/>
      <c r="M29" s="358">
        <f t="shared" si="0"/>
        <v>2.3127700000000004</v>
      </c>
      <c r="N29" s="352">
        <f t="shared" si="1"/>
        <v>92.510800000000017</v>
      </c>
    </row>
    <row r="30" spans="1:14">
      <c r="A30" s="352" t="s">
        <v>241</v>
      </c>
      <c r="B30" s="352">
        <v>2750</v>
      </c>
      <c r="C30" s="356" t="s">
        <v>1036</v>
      </c>
      <c r="D30" s="362">
        <v>2.31</v>
      </c>
      <c r="E30" s="358">
        <v>1.6825000000000001</v>
      </c>
      <c r="F30" s="358">
        <v>0.1767</v>
      </c>
      <c r="G30" s="358">
        <v>0.33772999999999997</v>
      </c>
      <c r="H30" s="358">
        <v>0.29992000000000002</v>
      </c>
      <c r="I30" s="358">
        <v>0.36259999999999998</v>
      </c>
      <c r="J30" s="358">
        <v>0.28149999999999997</v>
      </c>
      <c r="K30" s="358">
        <v>0.37307000000000001</v>
      </c>
      <c r="L30" s="352"/>
      <c r="M30" s="358">
        <f t="shared" si="0"/>
        <v>1.83152</v>
      </c>
      <c r="N30" s="352">
        <f t="shared" si="1"/>
        <v>108.85705794947992</v>
      </c>
    </row>
    <row r="31" spans="1:14">
      <c r="A31" s="352" t="s">
        <v>670</v>
      </c>
      <c r="B31" s="352">
        <v>10000</v>
      </c>
      <c r="C31" s="356" t="s">
        <v>244</v>
      </c>
      <c r="D31" s="362">
        <v>0.1</v>
      </c>
      <c r="E31" s="352">
        <v>0.1</v>
      </c>
      <c r="F31" s="352"/>
      <c r="G31" s="352"/>
      <c r="H31" s="352"/>
      <c r="I31" s="352"/>
      <c r="J31" s="352"/>
      <c r="K31" s="352"/>
      <c r="L31" s="352"/>
      <c r="M31" s="358">
        <f t="shared" si="0"/>
        <v>0</v>
      </c>
      <c r="N31" s="352">
        <f t="shared" si="1"/>
        <v>0</v>
      </c>
    </row>
    <row r="32" spans="1:14">
      <c r="A32" s="359" t="s">
        <v>245</v>
      </c>
      <c r="B32" s="359"/>
      <c r="C32" s="355"/>
      <c r="D32" s="361">
        <f>SUM(D23:D31)</f>
        <v>37.428204999999998</v>
      </c>
      <c r="E32" s="361">
        <f t="shared" ref="E32:M32" si="2">SUM(E23:E31)</f>
        <v>32.139109999999995</v>
      </c>
      <c r="F32" s="361">
        <f t="shared" si="2"/>
        <v>0.66339999999999999</v>
      </c>
      <c r="G32" s="361">
        <f t="shared" si="2"/>
        <v>8.0876900000000003</v>
      </c>
      <c r="H32" s="361">
        <f t="shared" si="2"/>
        <v>8.6479099999999995</v>
      </c>
      <c r="I32" s="361">
        <f t="shared" si="2"/>
        <v>6.4537999999999993</v>
      </c>
      <c r="J32" s="361">
        <f t="shared" si="2"/>
        <v>4.0202499999999999</v>
      </c>
      <c r="K32" s="361">
        <f t="shared" si="2"/>
        <v>3.4318499999999998</v>
      </c>
      <c r="L32" s="361">
        <f t="shared" si="2"/>
        <v>0</v>
      </c>
      <c r="M32" s="361">
        <f t="shared" si="2"/>
        <v>31.3049</v>
      </c>
      <c r="N32" s="352">
        <f t="shared" si="1"/>
        <v>97.40437740808629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28000000000000003" right="0.27" top="0.75" bottom="0.37" header="0.3" footer="0.3"/>
  <pageSetup scale="95" orientation="landscape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  <col min="12" max="12" width="7.42578125" customWidth="1"/>
    <col min="14" max="14" width="10" bestFit="1" customWidth="1"/>
  </cols>
  <sheetData>
    <row r="1" spans="1:14">
      <c r="A1" s="350" t="s">
        <v>4347</v>
      </c>
      <c r="B1" s="798" t="s">
        <v>4426</v>
      </c>
      <c r="C1" s="799"/>
      <c r="D1" s="350" t="s">
        <v>4349</v>
      </c>
      <c r="E1" s="350"/>
      <c r="F1" s="798" t="s">
        <v>4427</v>
      </c>
      <c r="G1" s="799"/>
      <c r="H1" s="806" t="s">
        <v>5</v>
      </c>
      <c r="I1" s="807"/>
      <c r="J1" s="351">
        <v>298.16000000000003</v>
      </c>
      <c r="K1" s="350" t="s">
        <v>436</v>
      </c>
      <c r="L1" s="350"/>
      <c r="M1" s="351">
        <v>100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798" t="s">
        <v>4428</v>
      </c>
      <c r="C3" s="799"/>
      <c r="D3" s="350" t="s">
        <v>1208</v>
      </c>
      <c r="E3" s="350"/>
      <c r="F3" s="798" t="s">
        <v>4429</v>
      </c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798" t="s">
        <v>4430</v>
      </c>
      <c r="C5" s="799"/>
      <c r="D5" s="350" t="s">
        <v>4355</v>
      </c>
      <c r="E5" s="350"/>
      <c r="F5" s="800" t="s">
        <v>4431</v>
      </c>
      <c r="G5" s="801"/>
      <c r="H5" s="801"/>
      <c r="I5" s="802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03"/>
      <c r="G6" s="804"/>
      <c r="H6" s="804"/>
      <c r="I6" s="805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4432</v>
      </c>
      <c r="C8" s="810"/>
      <c r="D8" s="809"/>
      <c r="E8" s="811"/>
      <c r="F8" s="810"/>
      <c r="G8" s="798"/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09" t="s">
        <v>4433</v>
      </c>
      <c r="C9" s="810"/>
      <c r="D9" s="809"/>
      <c r="E9" s="811"/>
      <c r="F9" s="810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 t="s">
        <v>4434</v>
      </c>
      <c r="C10" s="810"/>
      <c r="D10" s="809" t="s">
        <v>4435</v>
      </c>
      <c r="E10" s="811"/>
      <c r="F10" s="810"/>
      <c r="G10" s="798"/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09" t="s">
        <v>4436</v>
      </c>
      <c r="C11" s="810"/>
      <c r="D11" s="809"/>
      <c r="E11" s="811"/>
      <c r="F11" s="810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1</v>
      </c>
      <c r="C13" s="350" t="s">
        <v>4366</v>
      </c>
      <c r="D13" s="350"/>
      <c r="E13" s="350"/>
      <c r="F13" s="351">
        <v>13</v>
      </c>
      <c r="G13" s="350" t="s">
        <v>1491</v>
      </c>
      <c r="H13" s="351">
        <v>20</v>
      </c>
      <c r="I13" s="350" t="s">
        <v>1492</v>
      </c>
      <c r="J13" s="351">
        <v>1</v>
      </c>
      <c r="K13" s="350" t="s">
        <v>1493</v>
      </c>
      <c r="L13" s="351">
        <v>35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 ht="22.5">
      <c r="A15" s="350" t="s">
        <v>646</v>
      </c>
      <c r="B15" s="350"/>
      <c r="C15" s="350" t="s">
        <v>204</v>
      </c>
      <c r="D15" s="351"/>
      <c r="E15" s="350" t="s">
        <v>205</v>
      </c>
      <c r="F15" s="351"/>
      <c r="G15" s="350" t="s">
        <v>206</v>
      </c>
      <c r="H15" s="351"/>
      <c r="I15" s="350" t="s">
        <v>230</v>
      </c>
      <c r="J15" s="351">
        <v>261</v>
      </c>
      <c r="K15" s="350" t="s">
        <v>207</v>
      </c>
      <c r="L15" s="351">
        <v>76</v>
      </c>
      <c r="M15" s="353" t="s">
        <v>4367</v>
      </c>
      <c r="N15" s="351">
        <v>26</v>
      </c>
    </row>
    <row r="16" spans="1:14">
      <c r="A16" s="350" t="s">
        <v>209</v>
      </c>
      <c r="B16" s="350"/>
      <c r="C16" s="350" t="s">
        <v>210</v>
      </c>
      <c r="D16" s="351">
        <v>437</v>
      </c>
      <c r="E16" s="350" t="s">
        <v>211</v>
      </c>
      <c r="F16" s="351">
        <v>62</v>
      </c>
      <c r="G16" s="350" t="s">
        <v>212</v>
      </c>
      <c r="H16" s="351">
        <v>0</v>
      </c>
      <c r="I16" s="350" t="s">
        <v>411</v>
      </c>
      <c r="J16" s="351">
        <f>H16+F16+D16</f>
        <v>499</v>
      </c>
      <c r="K16" s="350"/>
      <c r="L16" s="350"/>
      <c r="M16" s="350"/>
      <c r="N16" s="350"/>
    </row>
    <row r="17" spans="1:14">
      <c r="A17" s="350"/>
      <c r="B17" s="350"/>
      <c r="C17" s="350" t="s">
        <v>213</v>
      </c>
      <c r="D17" s="351">
        <v>480</v>
      </c>
      <c r="E17" s="350" t="s">
        <v>214</v>
      </c>
      <c r="F17" s="351">
        <v>56</v>
      </c>
      <c r="G17" s="350" t="s">
        <v>1494</v>
      </c>
      <c r="H17" s="351">
        <v>0</v>
      </c>
      <c r="I17" s="350" t="s">
        <v>410</v>
      </c>
      <c r="J17" s="351">
        <f>H17+F17+D17</f>
        <v>536</v>
      </c>
      <c r="K17" s="350"/>
      <c r="L17" s="350"/>
      <c r="M17" s="350"/>
      <c r="N17" s="350"/>
    </row>
    <row r="18" spans="1:14">
      <c r="A18" s="350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</row>
    <row r="19" spans="1:14">
      <c r="A19" s="354" t="s">
        <v>216</v>
      </c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816" t="s">
        <v>217</v>
      </c>
      <c r="B20" s="816" t="s">
        <v>218</v>
      </c>
      <c r="C20" s="816" t="s">
        <v>219</v>
      </c>
      <c r="D20" s="816" t="s">
        <v>407</v>
      </c>
      <c r="E20" s="816" t="s">
        <v>864</v>
      </c>
      <c r="F20" s="813" t="s">
        <v>4368</v>
      </c>
      <c r="G20" s="814"/>
      <c r="H20" s="814"/>
      <c r="I20" s="814"/>
      <c r="J20" s="814"/>
      <c r="K20" s="814"/>
      <c r="L20" s="814"/>
      <c r="M20" s="814"/>
      <c r="N20" s="815"/>
    </row>
    <row r="21" spans="1:14">
      <c r="A21" s="817"/>
      <c r="B21" s="817"/>
      <c r="C21" s="817"/>
      <c r="D21" s="817"/>
      <c r="E21" s="817"/>
      <c r="F21" s="355" t="s">
        <v>224</v>
      </c>
      <c r="G21" s="355" t="s">
        <v>225</v>
      </c>
      <c r="H21" s="355" t="s">
        <v>226</v>
      </c>
      <c r="I21" s="355" t="s">
        <v>227</v>
      </c>
      <c r="J21" s="355" t="s">
        <v>228</v>
      </c>
      <c r="K21" s="355" t="s">
        <v>229</v>
      </c>
      <c r="L21" s="355">
        <v>7</v>
      </c>
      <c r="M21" s="355" t="s">
        <v>230</v>
      </c>
      <c r="N21" s="355" t="s">
        <v>231</v>
      </c>
    </row>
    <row r="22" spans="1:14">
      <c r="A22" s="352" t="s">
        <v>232</v>
      </c>
      <c r="B22" s="352">
        <v>8000</v>
      </c>
      <c r="C22" s="356" t="s">
        <v>4369</v>
      </c>
      <c r="D22" s="362">
        <f>B22*J1/100000</f>
        <v>23.852799999999998</v>
      </c>
      <c r="E22" s="352">
        <v>22.332799999999999</v>
      </c>
      <c r="F22" s="358">
        <v>1.20994</v>
      </c>
      <c r="G22" s="358">
        <v>10.279339999999999</v>
      </c>
      <c r="H22" s="358">
        <v>3.87418</v>
      </c>
      <c r="I22" s="358">
        <v>1.94669</v>
      </c>
      <c r="J22" s="358">
        <v>1.49797</v>
      </c>
      <c r="K22" s="358">
        <v>0.49553999999999998</v>
      </c>
      <c r="L22" s="352"/>
      <c r="M22" s="358">
        <f>SUM(F22:L22)</f>
        <v>19.303659999999997</v>
      </c>
      <c r="N22" s="352">
        <f>M22/E22*100</f>
        <v>86.436362659406782</v>
      </c>
    </row>
    <row r="23" spans="1:14" ht="22.5">
      <c r="A23" s="352" t="s">
        <v>234</v>
      </c>
      <c r="B23" s="352">
        <v>7000</v>
      </c>
      <c r="C23" s="356" t="s">
        <v>4369</v>
      </c>
      <c r="D23" s="362">
        <v>5.6</v>
      </c>
      <c r="E23" s="352">
        <v>3.5</v>
      </c>
      <c r="F23" s="358">
        <v>0</v>
      </c>
      <c r="G23" s="358">
        <v>0</v>
      </c>
      <c r="H23" s="358">
        <v>1.78973</v>
      </c>
      <c r="I23" s="358">
        <v>0.75502999999999998</v>
      </c>
      <c r="J23" s="358">
        <v>0.80752000000000002</v>
      </c>
      <c r="K23" s="358">
        <v>9.2160000000000006E-2</v>
      </c>
      <c r="L23" s="352"/>
      <c r="M23" s="358">
        <f t="shared" ref="M23:M30" si="0">SUM(F23:L23)</f>
        <v>3.4444400000000002</v>
      </c>
      <c r="N23" s="352">
        <f t="shared" ref="N23:N31" si="1">M23/E23*100</f>
        <v>98.412571428571439</v>
      </c>
    </row>
    <row r="24" spans="1:14" ht="22.5">
      <c r="A24" s="352" t="s">
        <v>235</v>
      </c>
      <c r="B24" s="352">
        <v>43000</v>
      </c>
      <c r="C24" s="356" t="s">
        <v>236</v>
      </c>
      <c r="D24" s="362">
        <v>0.43</v>
      </c>
      <c r="E24" s="352">
        <v>0.43</v>
      </c>
      <c r="F24" s="358">
        <v>0</v>
      </c>
      <c r="G24" s="358">
        <v>0</v>
      </c>
      <c r="H24" s="358">
        <v>0.18</v>
      </c>
      <c r="I24" s="358">
        <v>0.14000000000000001</v>
      </c>
      <c r="J24" s="358">
        <v>0.11</v>
      </c>
      <c r="K24" s="358">
        <v>0.15497</v>
      </c>
      <c r="L24" s="352"/>
      <c r="M24" s="358">
        <f t="shared" si="0"/>
        <v>0.58496999999999999</v>
      </c>
      <c r="N24" s="352">
        <f t="shared" si="1"/>
        <v>136.03953488372093</v>
      </c>
    </row>
    <row r="25" spans="1:14" ht="22.5">
      <c r="A25" s="352" t="s">
        <v>237</v>
      </c>
      <c r="B25" s="352">
        <v>37000</v>
      </c>
      <c r="C25" s="356" t="s">
        <v>236</v>
      </c>
      <c r="D25" s="362">
        <v>0.37</v>
      </c>
      <c r="E25" s="352">
        <v>0.34</v>
      </c>
      <c r="F25" s="358">
        <v>0</v>
      </c>
      <c r="G25" s="358">
        <v>0</v>
      </c>
      <c r="H25" s="358">
        <v>0.16783999999999999</v>
      </c>
      <c r="I25" s="358">
        <v>0.10680000000000001</v>
      </c>
      <c r="J25" s="358">
        <v>6.4699999999999994E-2</v>
      </c>
      <c r="K25" s="358">
        <v>0</v>
      </c>
      <c r="L25" s="352"/>
      <c r="M25" s="358">
        <f t="shared" si="0"/>
        <v>0.33933999999999997</v>
      </c>
      <c r="N25" s="352">
        <f t="shared" si="1"/>
        <v>99.805882352941168</v>
      </c>
    </row>
    <row r="26" spans="1:14">
      <c r="A26" s="352" t="s">
        <v>238</v>
      </c>
      <c r="B26" s="352">
        <v>1200</v>
      </c>
      <c r="C26" s="356" t="s">
        <v>4369</v>
      </c>
      <c r="D26" s="362">
        <f>B26*J1/100000</f>
        <v>3.5779200000000007</v>
      </c>
      <c r="E26" s="352">
        <v>3.34992</v>
      </c>
      <c r="F26" s="358">
        <v>0</v>
      </c>
      <c r="G26" s="358">
        <v>0</v>
      </c>
      <c r="H26" s="358">
        <v>0</v>
      </c>
      <c r="I26" s="358">
        <v>0.84135000000000004</v>
      </c>
      <c r="J26" s="358">
        <v>1.2142999999999999</v>
      </c>
      <c r="K26" s="358">
        <v>1.28677</v>
      </c>
      <c r="L26" s="352"/>
      <c r="M26" s="358">
        <f t="shared" si="0"/>
        <v>3.3424199999999997</v>
      </c>
      <c r="N26" s="352">
        <f t="shared" si="1"/>
        <v>99.776114056455071</v>
      </c>
    </row>
    <row r="27" spans="1:14">
      <c r="A27" s="352" t="s">
        <v>667</v>
      </c>
      <c r="B27" s="352">
        <v>565</v>
      </c>
      <c r="C27" s="356" t="s">
        <v>1036</v>
      </c>
      <c r="D27" s="362">
        <v>2.83</v>
      </c>
      <c r="E27" s="352">
        <v>2.83</v>
      </c>
      <c r="F27" s="358">
        <v>0</v>
      </c>
      <c r="G27" s="358">
        <v>0.1</v>
      </c>
      <c r="H27" s="358">
        <v>0.7</v>
      </c>
      <c r="I27" s="358">
        <v>0.64392000000000005</v>
      </c>
      <c r="J27" s="358">
        <v>0</v>
      </c>
      <c r="K27" s="358">
        <v>0</v>
      </c>
      <c r="L27" s="352"/>
      <c r="M27" s="358">
        <f t="shared" si="0"/>
        <v>1.4439199999999999</v>
      </c>
      <c r="N27" s="352">
        <f t="shared" si="1"/>
        <v>51.021908127208469</v>
      </c>
    </row>
    <row r="28" spans="1:14">
      <c r="A28" s="352" t="s">
        <v>240</v>
      </c>
      <c r="B28" s="352">
        <v>1000</v>
      </c>
      <c r="C28" s="356" t="s">
        <v>1036</v>
      </c>
      <c r="D28" s="362">
        <f>B28*J1/100000</f>
        <v>2.9815999999999998</v>
      </c>
      <c r="E28" s="352">
        <v>2.7915999999999999</v>
      </c>
      <c r="F28" s="358">
        <v>0</v>
      </c>
      <c r="G28" s="358">
        <v>1.0240100000000001</v>
      </c>
      <c r="H28" s="358">
        <v>1.89E-2</v>
      </c>
      <c r="I28" s="358">
        <v>0.39294000000000001</v>
      </c>
      <c r="J28" s="358">
        <v>0.11242000000000001</v>
      </c>
      <c r="K28" s="358">
        <v>0.79105000000000003</v>
      </c>
      <c r="L28" s="352"/>
      <c r="M28" s="358">
        <f t="shared" si="0"/>
        <v>2.3393199999999998</v>
      </c>
      <c r="N28" s="352">
        <f t="shared" si="1"/>
        <v>83.798538472560537</v>
      </c>
    </row>
    <row r="29" spans="1:14">
      <c r="A29" s="352" t="s">
        <v>241</v>
      </c>
      <c r="B29" s="352">
        <v>2750</v>
      </c>
      <c r="C29" s="356" t="s">
        <v>1036</v>
      </c>
      <c r="D29" s="362">
        <v>2.31</v>
      </c>
      <c r="E29" s="352">
        <v>2.31</v>
      </c>
      <c r="F29" s="358">
        <v>0.20105000000000001</v>
      </c>
      <c r="G29" s="358">
        <v>0.33534999999999998</v>
      </c>
      <c r="H29" s="358">
        <v>0.28538000000000002</v>
      </c>
      <c r="I29" s="358">
        <v>0.28320000000000001</v>
      </c>
      <c r="J29" s="358">
        <v>0.30719000000000002</v>
      </c>
      <c r="K29" s="358">
        <v>0.28128999999999998</v>
      </c>
      <c r="L29" s="352"/>
      <c r="M29" s="358">
        <f t="shared" si="0"/>
        <v>1.69346</v>
      </c>
      <c r="N29" s="352">
        <f t="shared" si="1"/>
        <v>73.309956709956708</v>
      </c>
    </row>
    <row r="30" spans="1:14">
      <c r="A30" s="352" t="s">
        <v>670</v>
      </c>
      <c r="B30" s="352">
        <v>10000</v>
      </c>
      <c r="C30" s="356" t="s">
        <v>244</v>
      </c>
      <c r="D30" s="362">
        <v>0.1</v>
      </c>
      <c r="E30" s="352">
        <v>0.1</v>
      </c>
      <c r="F30" s="352"/>
      <c r="G30" s="352"/>
      <c r="H30" s="352"/>
      <c r="I30" s="352"/>
      <c r="J30" s="352"/>
      <c r="K30" s="352"/>
      <c r="L30" s="352"/>
      <c r="M30" s="358">
        <f t="shared" si="0"/>
        <v>0</v>
      </c>
      <c r="N30" s="352">
        <f t="shared" si="1"/>
        <v>0</v>
      </c>
    </row>
    <row r="31" spans="1:14">
      <c r="A31" s="359" t="s">
        <v>245</v>
      </c>
      <c r="B31" s="359"/>
      <c r="C31" s="355"/>
      <c r="D31" s="361">
        <f>SUM(D22:D30)</f>
        <v>42.052320000000002</v>
      </c>
      <c r="E31" s="361">
        <f t="shared" ref="E31:M31" si="2">SUM(E22:E30)</f>
        <v>37.984320000000004</v>
      </c>
      <c r="F31" s="360">
        <f t="shared" si="2"/>
        <v>1.41099</v>
      </c>
      <c r="G31" s="360">
        <f t="shared" si="2"/>
        <v>11.7387</v>
      </c>
      <c r="H31" s="360">
        <f t="shared" si="2"/>
        <v>7.0160299999999998</v>
      </c>
      <c r="I31" s="360">
        <f t="shared" si="2"/>
        <v>5.1099300000000003</v>
      </c>
      <c r="J31" s="360">
        <f t="shared" si="2"/>
        <v>4.1141000000000005</v>
      </c>
      <c r="K31" s="360">
        <f t="shared" si="2"/>
        <v>3.1017800000000002</v>
      </c>
      <c r="L31" s="360">
        <f t="shared" si="2"/>
        <v>0</v>
      </c>
      <c r="M31" s="360">
        <f t="shared" si="2"/>
        <v>32.491529999999997</v>
      </c>
      <c r="N31" s="352">
        <f t="shared" si="1"/>
        <v>85.539322541511851</v>
      </c>
    </row>
  </sheetData>
  <mergeCells count="30">
    <mergeCell ref="A20:A21"/>
    <mergeCell ref="B20:B21"/>
    <mergeCell ref="C20:C21"/>
    <mergeCell ref="D20:D21"/>
    <mergeCell ref="E20:E21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28000000000000003" right="0.27" top="0.75" bottom="0.37" header="0.3" footer="0.3"/>
  <pageSetup scale="95" orientation="landscape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  <col min="12" max="12" width="7.42578125" customWidth="1"/>
    <col min="14" max="14" width="10" bestFit="1" customWidth="1"/>
  </cols>
  <sheetData>
    <row r="1" spans="1:14">
      <c r="A1" s="350" t="s">
        <v>4347</v>
      </c>
      <c r="B1" s="798" t="s">
        <v>4437</v>
      </c>
      <c r="C1" s="799"/>
      <c r="D1" s="350" t="s">
        <v>4349</v>
      </c>
      <c r="E1" s="350"/>
      <c r="F1" s="798" t="s">
        <v>4427</v>
      </c>
      <c r="G1" s="799"/>
      <c r="H1" s="806" t="s">
        <v>5</v>
      </c>
      <c r="I1" s="807"/>
      <c r="J1" s="351">
        <v>401.77</v>
      </c>
      <c r="K1" s="350" t="s">
        <v>436</v>
      </c>
      <c r="L1" s="350"/>
      <c r="M1" s="351">
        <v>200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798" t="s">
        <v>4438</v>
      </c>
      <c r="C3" s="799"/>
      <c r="D3" s="350" t="s">
        <v>1208</v>
      </c>
      <c r="E3" s="350"/>
      <c r="F3" s="798" t="s">
        <v>4439</v>
      </c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798" t="s">
        <v>4440</v>
      </c>
      <c r="C5" s="799"/>
      <c r="D5" s="350" t="s">
        <v>4355</v>
      </c>
      <c r="E5" s="350"/>
      <c r="F5" s="800" t="s">
        <v>4441</v>
      </c>
      <c r="G5" s="801"/>
      <c r="H5" s="801"/>
      <c r="I5" s="802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03"/>
      <c r="G6" s="804"/>
      <c r="H6" s="804"/>
      <c r="I6" s="805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4442</v>
      </c>
      <c r="C8" s="810"/>
      <c r="D8" s="809"/>
      <c r="E8" s="811"/>
      <c r="F8" s="810"/>
      <c r="G8" s="798"/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09"/>
      <c r="C9" s="810"/>
      <c r="D9" s="809"/>
      <c r="E9" s="811"/>
      <c r="F9" s="810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 t="s">
        <v>4443</v>
      </c>
      <c r="C10" s="810"/>
      <c r="D10" s="809" t="s">
        <v>4444</v>
      </c>
      <c r="E10" s="811"/>
      <c r="F10" s="810"/>
      <c r="G10" s="798"/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09" t="s">
        <v>4445</v>
      </c>
      <c r="C11" s="810"/>
      <c r="D11" s="809"/>
      <c r="E11" s="811"/>
      <c r="F11" s="810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1</v>
      </c>
      <c r="C13" s="350" t="s">
        <v>4366</v>
      </c>
      <c r="D13" s="350"/>
      <c r="E13" s="350"/>
      <c r="F13" s="351"/>
      <c r="G13" s="350" t="s">
        <v>1491</v>
      </c>
      <c r="H13" s="351">
        <v>12</v>
      </c>
      <c r="I13" s="350" t="s">
        <v>1492</v>
      </c>
      <c r="J13" s="351">
        <v>1</v>
      </c>
      <c r="K13" s="350" t="s">
        <v>1493</v>
      </c>
      <c r="L13" s="351">
        <v>25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187</v>
      </c>
      <c r="K16" s="350" t="s">
        <v>207</v>
      </c>
      <c r="L16" s="351">
        <v>59</v>
      </c>
      <c r="M16" s="353" t="s">
        <v>4367</v>
      </c>
      <c r="N16" s="351">
        <v>15</v>
      </c>
    </row>
    <row r="17" spans="1:14">
      <c r="A17" s="350" t="s">
        <v>209</v>
      </c>
      <c r="B17" s="350"/>
      <c r="C17" s="350" t="s">
        <v>210</v>
      </c>
      <c r="D17" s="351">
        <v>394</v>
      </c>
      <c r="E17" s="350" t="s">
        <v>211</v>
      </c>
      <c r="F17" s="351">
        <v>25</v>
      </c>
      <c r="G17" s="350" t="s">
        <v>212</v>
      </c>
      <c r="H17" s="351">
        <v>2</v>
      </c>
      <c r="I17" s="350" t="s">
        <v>411</v>
      </c>
      <c r="J17" s="351">
        <f>H17+F17+D17</f>
        <v>421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351</v>
      </c>
      <c r="E18" s="350" t="s">
        <v>214</v>
      </c>
      <c r="F18" s="351">
        <v>30</v>
      </c>
      <c r="G18" s="350" t="s">
        <v>1494</v>
      </c>
      <c r="H18" s="351">
        <v>1</v>
      </c>
      <c r="I18" s="350" t="s">
        <v>410</v>
      </c>
      <c r="J18" s="351">
        <f>H18+F18+D18</f>
        <v>382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62">
        <f>B23*J1/100000</f>
        <v>32.141599999999997</v>
      </c>
      <c r="E23" s="352">
        <v>32.141599999999997</v>
      </c>
      <c r="F23" s="358">
        <v>1.0187600000000001</v>
      </c>
      <c r="G23" s="358">
        <v>9.8935999999999993</v>
      </c>
      <c r="H23" s="358">
        <v>16.34121</v>
      </c>
      <c r="I23" s="358">
        <v>4.0541600000000004</v>
      </c>
      <c r="J23" s="358">
        <v>2.6493099999999998</v>
      </c>
      <c r="K23" s="358">
        <v>0.18143000000000001</v>
      </c>
      <c r="L23" s="358"/>
      <c r="M23" s="358">
        <f>SUM(F23:L23)</f>
        <v>34.138469999999998</v>
      </c>
      <c r="N23" s="352">
        <f>M23/E23*100</f>
        <v>106.21272743111732</v>
      </c>
    </row>
    <row r="24" spans="1:14" ht="22.5">
      <c r="A24" s="352" t="s">
        <v>234</v>
      </c>
      <c r="B24" s="352">
        <v>7000</v>
      </c>
      <c r="C24" s="356" t="s">
        <v>4369</v>
      </c>
      <c r="D24" s="362">
        <v>5.6</v>
      </c>
      <c r="E24" s="352">
        <v>3.5</v>
      </c>
      <c r="F24" s="358">
        <v>0</v>
      </c>
      <c r="G24" s="358">
        <v>0</v>
      </c>
      <c r="H24" s="358">
        <v>1.55274</v>
      </c>
      <c r="I24" s="358">
        <v>1.05335</v>
      </c>
      <c r="J24" s="358">
        <v>0.97777000000000003</v>
      </c>
      <c r="K24" s="358">
        <v>0</v>
      </c>
      <c r="L24" s="358"/>
      <c r="M24" s="358">
        <f t="shared" ref="M24:M31" si="0">SUM(F24:L24)</f>
        <v>3.58386</v>
      </c>
      <c r="N24" s="352">
        <f t="shared" ref="N24:N32" si="1">M24/E24*100</f>
        <v>102.396</v>
      </c>
    </row>
    <row r="25" spans="1:14" ht="22.5">
      <c r="A25" s="352" t="s">
        <v>235</v>
      </c>
      <c r="B25" s="352">
        <v>43000</v>
      </c>
      <c r="C25" s="356" t="s">
        <v>236</v>
      </c>
      <c r="D25" s="362">
        <v>0.43</v>
      </c>
      <c r="E25" s="352">
        <v>0.43</v>
      </c>
      <c r="F25" s="358">
        <v>0</v>
      </c>
      <c r="G25" s="358">
        <v>0</v>
      </c>
      <c r="H25" s="358">
        <v>0.18</v>
      </c>
      <c r="I25" s="358">
        <v>0.1552</v>
      </c>
      <c r="J25" s="358">
        <v>0.01</v>
      </c>
      <c r="K25" s="358">
        <v>0.24940000000000001</v>
      </c>
      <c r="L25" s="358"/>
      <c r="M25" s="358">
        <f t="shared" si="0"/>
        <v>0.59460000000000002</v>
      </c>
      <c r="N25" s="352">
        <f t="shared" si="1"/>
        <v>138.27906976744185</v>
      </c>
    </row>
    <row r="26" spans="1:14" ht="22.5">
      <c r="A26" s="352" t="s">
        <v>237</v>
      </c>
      <c r="B26" s="352">
        <v>37000</v>
      </c>
      <c r="C26" s="356" t="s">
        <v>236</v>
      </c>
      <c r="D26" s="362">
        <v>0.37</v>
      </c>
      <c r="E26" s="352">
        <v>0.34</v>
      </c>
      <c r="F26" s="358">
        <v>0</v>
      </c>
      <c r="G26" s="358">
        <v>0</v>
      </c>
      <c r="H26" s="358">
        <v>0.20388000000000001</v>
      </c>
      <c r="I26" s="358">
        <v>0</v>
      </c>
      <c r="J26" s="358">
        <v>6.5000000000000002E-2</v>
      </c>
      <c r="K26" s="358">
        <v>4.2320000000000003E-2</v>
      </c>
      <c r="L26" s="358"/>
      <c r="M26" s="358">
        <f t="shared" si="0"/>
        <v>0.31120000000000003</v>
      </c>
      <c r="N26" s="352">
        <f t="shared" si="1"/>
        <v>91.529411764705884</v>
      </c>
    </row>
    <row r="27" spans="1:14">
      <c r="A27" s="352" t="s">
        <v>238</v>
      </c>
      <c r="B27" s="352">
        <v>1200</v>
      </c>
      <c r="C27" s="356" t="s">
        <v>4369</v>
      </c>
      <c r="D27" s="362">
        <f>B27*J1/100000</f>
        <v>4.8212400000000004</v>
      </c>
      <c r="E27" s="352">
        <v>4.8212400000000004</v>
      </c>
      <c r="F27" s="358">
        <v>0</v>
      </c>
      <c r="G27" s="358">
        <v>0</v>
      </c>
      <c r="H27" s="358">
        <v>0</v>
      </c>
      <c r="I27" s="358">
        <v>1.0541799999999999</v>
      </c>
      <c r="J27" s="358">
        <v>1.7806500000000001</v>
      </c>
      <c r="K27" s="358">
        <v>1.85233</v>
      </c>
      <c r="L27" s="358"/>
      <c r="M27" s="358">
        <f t="shared" si="0"/>
        <v>4.6871600000000004</v>
      </c>
      <c r="N27" s="352">
        <f t="shared" si="1"/>
        <v>97.218972712414228</v>
      </c>
    </row>
    <row r="28" spans="1:14">
      <c r="A28" s="352" t="s">
        <v>667</v>
      </c>
      <c r="B28" s="352">
        <v>565</v>
      </c>
      <c r="C28" s="356" t="s">
        <v>1036</v>
      </c>
      <c r="D28" s="362">
        <v>2.83</v>
      </c>
      <c r="E28" s="352">
        <v>2.83</v>
      </c>
      <c r="F28" s="358">
        <v>0</v>
      </c>
      <c r="G28" s="358">
        <v>0.9</v>
      </c>
      <c r="H28" s="358">
        <v>0.6</v>
      </c>
      <c r="I28" s="358">
        <v>1.4866600000000001</v>
      </c>
      <c r="J28" s="358">
        <v>-0.85</v>
      </c>
      <c r="K28" s="358">
        <v>0</v>
      </c>
      <c r="L28" s="358"/>
      <c r="M28" s="358">
        <f t="shared" si="0"/>
        <v>2.13666</v>
      </c>
      <c r="N28" s="352">
        <f t="shared" si="1"/>
        <v>75.500353356890457</v>
      </c>
    </row>
    <row r="29" spans="1:14">
      <c r="A29" s="352" t="s">
        <v>240</v>
      </c>
      <c r="B29" s="352">
        <v>1000</v>
      </c>
      <c r="C29" s="356" t="s">
        <v>1036</v>
      </c>
      <c r="D29" s="362">
        <f>B29*J1/100000</f>
        <v>4.0176999999999996</v>
      </c>
      <c r="E29" s="352">
        <v>4.0176999999999996</v>
      </c>
      <c r="F29" s="358">
        <v>0</v>
      </c>
      <c r="G29" s="358">
        <v>0.98431999999999997</v>
      </c>
      <c r="H29" s="358">
        <v>0</v>
      </c>
      <c r="I29" s="358">
        <v>0.2</v>
      </c>
      <c r="J29" s="358">
        <v>2.0987900000000002</v>
      </c>
      <c r="K29" s="358">
        <v>1.3168899999999999</v>
      </c>
      <c r="L29" s="358"/>
      <c r="M29" s="358">
        <f t="shared" si="0"/>
        <v>4.5999999999999996</v>
      </c>
      <c r="N29" s="352">
        <f t="shared" si="1"/>
        <v>114.49336685168132</v>
      </c>
    </row>
    <row r="30" spans="1:14">
      <c r="A30" s="352" t="s">
        <v>241</v>
      </c>
      <c r="B30" s="352">
        <v>2750</v>
      </c>
      <c r="C30" s="356" t="s">
        <v>1036</v>
      </c>
      <c r="D30" s="362">
        <v>2.31</v>
      </c>
      <c r="E30" s="352">
        <v>2.31</v>
      </c>
      <c r="F30" s="358">
        <v>0.11445</v>
      </c>
      <c r="G30" s="358">
        <v>0.45195999999999997</v>
      </c>
      <c r="H30" s="358">
        <v>0.27300000000000002</v>
      </c>
      <c r="I30" s="358">
        <v>0.34329999999999999</v>
      </c>
      <c r="J30" s="358">
        <v>0.35792000000000002</v>
      </c>
      <c r="K30" s="358">
        <v>0.29411999999999999</v>
      </c>
      <c r="L30" s="358"/>
      <c r="M30" s="358">
        <f t="shared" si="0"/>
        <v>1.8347499999999999</v>
      </c>
      <c r="N30" s="352">
        <f t="shared" si="1"/>
        <v>79.426406926406926</v>
      </c>
    </row>
    <row r="31" spans="1:14">
      <c r="A31" s="352" t="s">
        <v>670</v>
      </c>
      <c r="B31" s="352">
        <v>10000</v>
      </c>
      <c r="C31" s="356" t="s">
        <v>244</v>
      </c>
      <c r="D31" s="362">
        <v>0.1</v>
      </c>
      <c r="E31" s="352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2">
        <f t="shared" si="1"/>
        <v>0</v>
      </c>
    </row>
    <row r="32" spans="1:14">
      <c r="A32" s="359" t="s">
        <v>245</v>
      </c>
      <c r="B32" s="359"/>
      <c r="C32" s="355"/>
      <c r="D32" s="361">
        <f>SUM(D23:D31)</f>
        <v>52.620539999999998</v>
      </c>
      <c r="E32" s="361">
        <f t="shared" ref="E32:M32" si="2">SUM(E23:E31)</f>
        <v>50.490540000000003</v>
      </c>
      <c r="F32" s="360">
        <f t="shared" si="2"/>
        <v>1.1332100000000001</v>
      </c>
      <c r="G32" s="360">
        <f t="shared" si="2"/>
        <v>12.22988</v>
      </c>
      <c r="H32" s="360">
        <f t="shared" si="2"/>
        <v>19.150830000000003</v>
      </c>
      <c r="I32" s="360">
        <f t="shared" si="2"/>
        <v>8.3468499999999981</v>
      </c>
      <c r="J32" s="360">
        <f t="shared" si="2"/>
        <v>7.0894400000000006</v>
      </c>
      <c r="K32" s="360">
        <f t="shared" si="2"/>
        <v>3.93649</v>
      </c>
      <c r="L32" s="360">
        <f t="shared" si="2"/>
        <v>0</v>
      </c>
      <c r="M32" s="361">
        <f t="shared" si="2"/>
        <v>51.886699999999998</v>
      </c>
      <c r="N32" s="352">
        <f t="shared" si="1"/>
        <v>102.76519126157098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28000000000000003" right="0.27" top="0.75" bottom="0.37" header="0.3" footer="0.3"/>
  <pageSetup scale="95" orientation="landscape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  <col min="12" max="12" width="7.42578125" customWidth="1"/>
    <col min="14" max="14" width="10" bestFit="1" customWidth="1"/>
  </cols>
  <sheetData>
    <row r="1" spans="1:14">
      <c r="A1" s="350" t="s">
        <v>4347</v>
      </c>
      <c r="B1" s="798" t="s">
        <v>4446</v>
      </c>
      <c r="C1" s="799"/>
      <c r="D1" s="350" t="s">
        <v>4349</v>
      </c>
      <c r="E1" s="350"/>
      <c r="F1" s="798" t="s">
        <v>4447</v>
      </c>
      <c r="G1" s="799"/>
      <c r="H1" s="806" t="s">
        <v>5</v>
      </c>
      <c r="I1" s="807"/>
      <c r="J1" s="351">
        <v>393.64</v>
      </c>
      <c r="K1" s="350" t="s">
        <v>436</v>
      </c>
      <c r="L1" s="350"/>
      <c r="M1" s="351">
        <v>460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798" t="s">
        <v>4448</v>
      </c>
      <c r="C3" s="799"/>
      <c r="D3" s="350" t="s">
        <v>1208</v>
      </c>
      <c r="E3" s="350"/>
      <c r="F3" s="798" t="s">
        <v>4449</v>
      </c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798" t="s">
        <v>4450</v>
      </c>
      <c r="C5" s="799"/>
      <c r="D5" s="350" t="s">
        <v>4355</v>
      </c>
      <c r="E5" s="350"/>
      <c r="F5" s="800" t="s">
        <v>4451</v>
      </c>
      <c r="G5" s="801"/>
      <c r="H5" s="801"/>
      <c r="I5" s="802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03"/>
      <c r="G6" s="804"/>
      <c r="H6" s="804"/>
      <c r="I6" s="805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4452</v>
      </c>
      <c r="C8" s="810"/>
      <c r="D8" s="809" t="s">
        <v>4453</v>
      </c>
      <c r="E8" s="811"/>
      <c r="F8" s="810"/>
      <c r="G8" s="798" t="s">
        <v>4454</v>
      </c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09" t="s">
        <v>4455</v>
      </c>
      <c r="C9" s="810"/>
      <c r="D9" s="809"/>
      <c r="E9" s="811"/>
      <c r="F9" s="810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 t="s">
        <v>4456</v>
      </c>
      <c r="C10" s="810"/>
      <c r="D10" s="809" t="s">
        <v>4457</v>
      </c>
      <c r="E10" s="811"/>
      <c r="F10" s="810"/>
      <c r="G10" s="798"/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09" t="s">
        <v>4455</v>
      </c>
      <c r="C11" s="810"/>
      <c r="D11" s="809"/>
      <c r="E11" s="811"/>
      <c r="F11" s="810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3</v>
      </c>
      <c r="C13" s="350" t="s">
        <v>4366</v>
      </c>
      <c r="D13" s="350"/>
      <c r="E13" s="350"/>
      <c r="F13" s="351">
        <v>3</v>
      </c>
      <c r="G13" s="350" t="s">
        <v>1491</v>
      </c>
      <c r="H13" s="351">
        <v>24</v>
      </c>
      <c r="I13" s="350" t="s">
        <v>1492</v>
      </c>
      <c r="J13" s="351">
        <v>2</v>
      </c>
      <c r="K13" s="350" t="s">
        <v>1493</v>
      </c>
      <c r="L13" s="351">
        <v>38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 ht="22.5">
      <c r="A15" s="350" t="s">
        <v>646</v>
      </c>
      <c r="B15" s="350"/>
      <c r="C15" s="350" t="s">
        <v>204</v>
      </c>
      <c r="D15" s="351"/>
      <c r="E15" s="350" t="s">
        <v>205</v>
      </c>
      <c r="F15" s="351"/>
      <c r="G15" s="350" t="s">
        <v>206</v>
      </c>
      <c r="H15" s="351"/>
      <c r="I15" s="350" t="s">
        <v>230</v>
      </c>
      <c r="J15" s="351">
        <v>298</v>
      </c>
      <c r="K15" s="350" t="s">
        <v>207</v>
      </c>
      <c r="L15" s="351">
        <v>94</v>
      </c>
      <c r="M15" s="353" t="s">
        <v>4367</v>
      </c>
      <c r="N15" s="351">
        <v>25</v>
      </c>
    </row>
    <row r="16" spans="1:14">
      <c r="A16" s="350" t="s">
        <v>209</v>
      </c>
      <c r="B16" s="350"/>
      <c r="C16" s="350" t="s">
        <v>210</v>
      </c>
      <c r="D16" s="351">
        <v>546</v>
      </c>
      <c r="E16" s="350" t="s">
        <v>211</v>
      </c>
      <c r="F16" s="351">
        <v>20</v>
      </c>
      <c r="G16" s="350" t="s">
        <v>212</v>
      </c>
      <c r="H16" s="351">
        <v>60</v>
      </c>
      <c r="I16" s="350" t="s">
        <v>411</v>
      </c>
      <c r="J16" s="351">
        <f>H16+F16+D16</f>
        <v>626</v>
      </c>
      <c r="K16" s="350"/>
      <c r="L16" s="350"/>
      <c r="M16" s="350"/>
      <c r="N16" s="350"/>
    </row>
    <row r="17" spans="1:14">
      <c r="A17" s="350"/>
      <c r="B17" s="350"/>
      <c r="C17" s="350" t="s">
        <v>213</v>
      </c>
      <c r="D17" s="351">
        <v>589</v>
      </c>
      <c r="E17" s="350" t="s">
        <v>214</v>
      </c>
      <c r="F17" s="351">
        <v>26</v>
      </c>
      <c r="G17" s="350" t="s">
        <v>1494</v>
      </c>
      <c r="H17" s="351">
        <v>68</v>
      </c>
      <c r="I17" s="350" t="s">
        <v>410</v>
      </c>
      <c r="J17" s="351">
        <f>H17+F17+D17</f>
        <v>683</v>
      </c>
      <c r="K17" s="350"/>
      <c r="L17" s="350"/>
      <c r="M17" s="350"/>
      <c r="N17" s="350"/>
    </row>
    <row r="18" spans="1:14">
      <c r="A18" s="350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</row>
    <row r="19" spans="1:14">
      <c r="A19" s="354" t="s">
        <v>216</v>
      </c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816" t="s">
        <v>217</v>
      </c>
      <c r="B20" s="816" t="s">
        <v>218</v>
      </c>
      <c r="C20" s="816" t="s">
        <v>219</v>
      </c>
      <c r="D20" s="816" t="s">
        <v>407</v>
      </c>
      <c r="E20" s="816" t="s">
        <v>864</v>
      </c>
      <c r="F20" s="813" t="s">
        <v>4368</v>
      </c>
      <c r="G20" s="814"/>
      <c r="H20" s="814"/>
      <c r="I20" s="814"/>
      <c r="J20" s="814"/>
      <c r="K20" s="814"/>
      <c r="L20" s="814"/>
      <c r="M20" s="814"/>
      <c r="N20" s="815"/>
    </row>
    <row r="21" spans="1:14">
      <c r="A21" s="817"/>
      <c r="B21" s="817"/>
      <c r="C21" s="817"/>
      <c r="D21" s="817"/>
      <c r="E21" s="817"/>
      <c r="F21" s="355" t="s">
        <v>224</v>
      </c>
      <c r="G21" s="355" t="s">
        <v>225</v>
      </c>
      <c r="H21" s="355" t="s">
        <v>226</v>
      </c>
      <c r="I21" s="355" t="s">
        <v>227</v>
      </c>
      <c r="J21" s="355" t="s">
        <v>228</v>
      </c>
      <c r="K21" s="355" t="s">
        <v>229</v>
      </c>
      <c r="L21" s="355">
        <v>7</v>
      </c>
      <c r="M21" s="355" t="s">
        <v>230</v>
      </c>
      <c r="N21" s="355" t="s">
        <v>231</v>
      </c>
    </row>
    <row r="22" spans="1:14">
      <c r="A22" s="352" t="s">
        <v>232</v>
      </c>
      <c r="B22" s="352">
        <v>8000</v>
      </c>
      <c r="C22" s="356" t="s">
        <v>4369</v>
      </c>
      <c r="D22" s="362">
        <f>B22*J1/100000</f>
        <v>31.491199999999999</v>
      </c>
      <c r="E22" s="352">
        <v>31.491199999999999</v>
      </c>
      <c r="F22" s="358">
        <v>0.64327999999999996</v>
      </c>
      <c r="G22" s="358">
        <v>11.06406</v>
      </c>
      <c r="H22" s="358">
        <v>13.58555</v>
      </c>
      <c r="I22" s="358">
        <v>5.8028500000000003</v>
      </c>
      <c r="J22" s="358">
        <v>0.21607000000000001</v>
      </c>
      <c r="K22" s="358">
        <v>0.34390999999999999</v>
      </c>
      <c r="L22" s="352"/>
      <c r="M22" s="358">
        <f>SUM(F22:L22)</f>
        <v>31.655719999999999</v>
      </c>
      <c r="N22" s="352">
        <f>M22/E22*100</f>
        <v>100.52243166344883</v>
      </c>
    </row>
    <row r="23" spans="1:14" ht="22.5">
      <c r="A23" s="352" t="s">
        <v>234</v>
      </c>
      <c r="B23" s="352">
        <v>7000</v>
      </c>
      <c r="C23" s="356" t="s">
        <v>4369</v>
      </c>
      <c r="D23" s="362">
        <v>5.6</v>
      </c>
      <c r="E23" s="352">
        <v>5.6</v>
      </c>
      <c r="F23" s="358">
        <v>0</v>
      </c>
      <c r="G23" s="358">
        <v>0</v>
      </c>
      <c r="H23" s="358">
        <v>2.09815</v>
      </c>
      <c r="I23" s="358">
        <v>1.6916800000000001</v>
      </c>
      <c r="J23" s="358">
        <v>1.6380999999999999</v>
      </c>
      <c r="K23" s="358">
        <v>0.112</v>
      </c>
      <c r="L23" s="352"/>
      <c r="M23" s="358">
        <f t="shared" ref="M23:M30" si="0">SUM(F23:L23)</f>
        <v>5.53993</v>
      </c>
      <c r="N23" s="352">
        <f t="shared" ref="N23:N31" si="1">M23/E23*100</f>
        <v>98.927321428571432</v>
      </c>
    </row>
    <row r="24" spans="1:14" ht="22.5">
      <c r="A24" s="352" t="s">
        <v>235</v>
      </c>
      <c r="B24" s="352">
        <v>43000</v>
      </c>
      <c r="C24" s="356" t="s">
        <v>236</v>
      </c>
      <c r="D24" s="362">
        <v>0.43</v>
      </c>
      <c r="E24" s="352">
        <v>0.43</v>
      </c>
      <c r="F24" s="358">
        <v>0</v>
      </c>
      <c r="G24" s="358">
        <v>0</v>
      </c>
      <c r="H24" s="358">
        <v>0.18</v>
      </c>
      <c r="I24" s="358">
        <v>0.14000000000000001</v>
      </c>
      <c r="J24" s="358">
        <v>0</v>
      </c>
      <c r="K24" s="358">
        <v>0.44020999999999999</v>
      </c>
      <c r="L24" s="352"/>
      <c r="M24" s="358">
        <f t="shared" si="0"/>
        <v>0.76021000000000005</v>
      </c>
      <c r="N24" s="352">
        <f t="shared" si="1"/>
        <v>176.79302325581398</v>
      </c>
    </row>
    <row r="25" spans="1:14" ht="22.5">
      <c r="A25" s="352" t="s">
        <v>237</v>
      </c>
      <c r="B25" s="352">
        <v>37000</v>
      </c>
      <c r="C25" s="356" t="s">
        <v>236</v>
      </c>
      <c r="D25" s="362">
        <v>0.37</v>
      </c>
      <c r="E25" s="352">
        <v>0.34</v>
      </c>
      <c r="F25" s="358">
        <v>0</v>
      </c>
      <c r="G25" s="358">
        <v>0</v>
      </c>
      <c r="H25" s="358">
        <v>0.16783999999999999</v>
      </c>
      <c r="I25" s="358">
        <v>0.12083000000000001</v>
      </c>
      <c r="J25" s="358">
        <v>6.6E-3</v>
      </c>
      <c r="K25" s="358">
        <v>0.02</v>
      </c>
      <c r="L25" s="352"/>
      <c r="M25" s="358">
        <f t="shared" si="0"/>
        <v>0.31526999999999999</v>
      </c>
      <c r="N25" s="352">
        <f t="shared" si="1"/>
        <v>92.726470588235287</v>
      </c>
    </row>
    <row r="26" spans="1:14">
      <c r="A26" s="352" t="s">
        <v>238</v>
      </c>
      <c r="B26" s="352">
        <v>1200</v>
      </c>
      <c r="C26" s="356" t="s">
        <v>4369</v>
      </c>
      <c r="D26" s="362">
        <f>B26*J1/100000</f>
        <v>4.7236799999999999</v>
      </c>
      <c r="E26" s="352">
        <v>4.7236799999999999</v>
      </c>
      <c r="F26" s="358">
        <v>0</v>
      </c>
      <c r="G26" s="358">
        <v>0</v>
      </c>
      <c r="H26" s="358">
        <v>0</v>
      </c>
      <c r="I26" s="358">
        <v>0.72746999999999995</v>
      </c>
      <c r="J26" s="358">
        <v>0.93923000000000001</v>
      </c>
      <c r="K26" s="358">
        <v>2.3673500000000001</v>
      </c>
      <c r="L26" s="352"/>
      <c r="M26" s="358">
        <f t="shared" si="0"/>
        <v>4.0340500000000006</v>
      </c>
      <c r="N26" s="352">
        <f t="shared" si="1"/>
        <v>85.400577515835124</v>
      </c>
    </row>
    <row r="27" spans="1:14">
      <c r="A27" s="352" t="s">
        <v>667</v>
      </c>
      <c r="B27" s="352">
        <v>565</v>
      </c>
      <c r="C27" s="356" t="s">
        <v>1036</v>
      </c>
      <c r="D27" s="362">
        <v>2.83</v>
      </c>
      <c r="E27" s="352">
        <v>2.83</v>
      </c>
      <c r="F27" s="358">
        <v>0</v>
      </c>
      <c r="G27" s="358">
        <v>0.2</v>
      </c>
      <c r="H27" s="358">
        <v>0.45</v>
      </c>
      <c r="I27" s="358">
        <v>1.4407300000000001</v>
      </c>
      <c r="J27" s="358">
        <v>0</v>
      </c>
      <c r="K27" s="358">
        <v>0</v>
      </c>
      <c r="L27" s="352"/>
      <c r="M27" s="358">
        <f t="shared" si="0"/>
        <v>2.0907300000000002</v>
      </c>
      <c r="N27" s="352">
        <f t="shared" si="1"/>
        <v>73.877385159010615</v>
      </c>
    </row>
    <row r="28" spans="1:14">
      <c r="A28" s="352" t="s">
        <v>240</v>
      </c>
      <c r="B28" s="352">
        <v>1000</v>
      </c>
      <c r="C28" s="356" t="s">
        <v>1036</v>
      </c>
      <c r="D28" s="362">
        <f>B28*J1/100000</f>
        <v>3.9363999999999999</v>
      </c>
      <c r="E28" s="352">
        <v>3.9363999999999999</v>
      </c>
      <c r="F28" s="358">
        <v>0</v>
      </c>
      <c r="G28" s="358">
        <v>0.47172999999999998</v>
      </c>
      <c r="H28" s="358">
        <v>0.56932000000000005</v>
      </c>
      <c r="I28" s="358">
        <v>1.25383</v>
      </c>
      <c r="J28" s="358">
        <v>1.72506</v>
      </c>
      <c r="K28" s="358">
        <v>0</v>
      </c>
      <c r="L28" s="352"/>
      <c r="M28" s="358">
        <f t="shared" si="0"/>
        <v>4.0199400000000001</v>
      </c>
      <c r="N28" s="352">
        <f t="shared" si="1"/>
        <v>102.12224367442333</v>
      </c>
    </row>
    <row r="29" spans="1:14">
      <c r="A29" s="352" t="s">
        <v>241</v>
      </c>
      <c r="B29" s="352">
        <v>2750</v>
      </c>
      <c r="C29" s="356" t="s">
        <v>1036</v>
      </c>
      <c r="D29" s="362">
        <v>2.31</v>
      </c>
      <c r="E29" s="352">
        <v>2.31</v>
      </c>
      <c r="F29" s="358">
        <v>0.18604999999999999</v>
      </c>
      <c r="G29" s="358">
        <v>0.34355999999999998</v>
      </c>
      <c r="H29" s="358">
        <v>0.29620999999999997</v>
      </c>
      <c r="I29" s="358">
        <v>0.36527999999999999</v>
      </c>
      <c r="J29" s="358">
        <v>0.30648999999999998</v>
      </c>
      <c r="K29" s="358">
        <v>0.31108999999999998</v>
      </c>
      <c r="L29" s="352"/>
      <c r="M29" s="358">
        <f t="shared" si="0"/>
        <v>1.8086799999999998</v>
      </c>
      <c r="N29" s="352">
        <f t="shared" si="1"/>
        <v>78.297835497835493</v>
      </c>
    </row>
    <row r="30" spans="1:14">
      <c r="A30" s="352" t="s">
        <v>670</v>
      </c>
      <c r="B30" s="352">
        <v>10000</v>
      </c>
      <c r="C30" s="356" t="s">
        <v>244</v>
      </c>
      <c r="D30" s="362">
        <v>0.1</v>
      </c>
      <c r="E30" s="352">
        <v>0.1</v>
      </c>
      <c r="F30" s="358"/>
      <c r="G30" s="358"/>
      <c r="H30" s="358"/>
      <c r="I30" s="358"/>
      <c r="J30" s="358"/>
      <c r="K30" s="358"/>
      <c r="L30" s="352"/>
      <c r="M30" s="358">
        <f t="shared" si="0"/>
        <v>0</v>
      </c>
      <c r="N30" s="352">
        <f t="shared" si="1"/>
        <v>0</v>
      </c>
    </row>
    <row r="31" spans="1:14">
      <c r="A31" s="359" t="s">
        <v>245</v>
      </c>
      <c r="B31" s="359"/>
      <c r="C31" s="355"/>
      <c r="D31" s="361">
        <f>SUM(D22:D30)</f>
        <v>51.79128</v>
      </c>
      <c r="E31" s="361">
        <f t="shared" ref="E31:M31" si="2">SUM(E22:E30)</f>
        <v>51.761280000000006</v>
      </c>
      <c r="F31" s="360">
        <f t="shared" si="2"/>
        <v>0.8293299999999999</v>
      </c>
      <c r="G31" s="360">
        <f t="shared" si="2"/>
        <v>12.079349999999998</v>
      </c>
      <c r="H31" s="360">
        <f t="shared" si="2"/>
        <v>17.347069999999999</v>
      </c>
      <c r="I31" s="360">
        <f t="shared" si="2"/>
        <v>11.542670000000001</v>
      </c>
      <c r="J31" s="360">
        <f t="shared" si="2"/>
        <v>4.83155</v>
      </c>
      <c r="K31" s="360">
        <f t="shared" si="2"/>
        <v>3.5945600000000004</v>
      </c>
      <c r="L31" s="361">
        <f t="shared" si="2"/>
        <v>0</v>
      </c>
      <c r="M31" s="361">
        <f t="shared" si="2"/>
        <v>50.224530000000001</v>
      </c>
      <c r="N31" s="352">
        <f t="shared" si="1"/>
        <v>97.031081920694376</v>
      </c>
    </row>
  </sheetData>
  <mergeCells count="30">
    <mergeCell ref="A20:A21"/>
    <mergeCell ref="B20:B21"/>
    <mergeCell ref="C20:C21"/>
    <mergeCell ref="D20:D21"/>
    <mergeCell ref="E20:E21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28000000000000003" right="0.27" top="0.75" bottom="0.37" header="0.3" footer="0.3"/>
  <pageSetup scale="95" orientation="landscape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  <col min="12" max="12" width="7.42578125" customWidth="1"/>
    <col min="14" max="14" width="10" bestFit="1" customWidth="1"/>
  </cols>
  <sheetData>
    <row r="1" spans="1:14">
      <c r="A1" s="350" t="s">
        <v>4347</v>
      </c>
      <c r="B1" s="798" t="s">
        <v>4458</v>
      </c>
      <c r="C1" s="799"/>
      <c r="D1" s="350" t="s">
        <v>4349</v>
      </c>
      <c r="E1" s="350"/>
      <c r="F1" s="798" t="s">
        <v>4459</v>
      </c>
      <c r="G1" s="799"/>
      <c r="H1" s="806" t="s">
        <v>5</v>
      </c>
      <c r="I1" s="807"/>
      <c r="J1" s="351">
        <v>800</v>
      </c>
      <c r="K1" s="350" t="s">
        <v>436</v>
      </c>
      <c r="L1" s="350"/>
      <c r="M1" s="351">
        <v>264.83999999999997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798" t="s">
        <v>4460</v>
      </c>
      <c r="C3" s="799"/>
      <c r="D3" s="350" t="s">
        <v>1208</v>
      </c>
      <c r="E3" s="350"/>
      <c r="F3" s="798" t="s">
        <v>4461</v>
      </c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798"/>
      <c r="C5" s="799"/>
      <c r="D5" s="350" t="s">
        <v>4355</v>
      </c>
      <c r="E5" s="350"/>
      <c r="F5" s="800" t="s">
        <v>4462</v>
      </c>
      <c r="G5" s="801"/>
      <c r="H5" s="801"/>
      <c r="I5" s="802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03"/>
      <c r="G6" s="804"/>
      <c r="H6" s="804"/>
      <c r="I6" s="805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4463</v>
      </c>
      <c r="C8" s="810"/>
      <c r="D8" s="809" t="s">
        <v>4464</v>
      </c>
      <c r="E8" s="811"/>
      <c r="F8" s="810"/>
      <c r="G8" s="798" t="s">
        <v>4465</v>
      </c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09"/>
      <c r="C9" s="810"/>
      <c r="D9" s="809"/>
      <c r="E9" s="811"/>
      <c r="F9" s="810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 t="s">
        <v>4466</v>
      </c>
      <c r="C10" s="810"/>
      <c r="D10" s="809" t="s">
        <v>4467</v>
      </c>
      <c r="E10" s="811"/>
      <c r="F10" s="810"/>
      <c r="G10" s="798" t="s">
        <v>4468</v>
      </c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09"/>
      <c r="C11" s="810"/>
      <c r="D11" s="809"/>
      <c r="E11" s="811"/>
      <c r="F11" s="810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3</v>
      </c>
      <c r="C13" s="350" t="s">
        <v>4366</v>
      </c>
      <c r="D13" s="350"/>
      <c r="E13" s="350"/>
      <c r="F13" s="351">
        <v>3</v>
      </c>
      <c r="G13" s="350" t="s">
        <v>1491</v>
      </c>
      <c r="H13" s="351">
        <v>20</v>
      </c>
      <c r="I13" s="350" t="s">
        <v>1492</v>
      </c>
      <c r="J13" s="351">
        <v>2</v>
      </c>
      <c r="K13" s="350" t="s">
        <v>1493</v>
      </c>
      <c r="L13" s="351">
        <v>227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 ht="22.5">
      <c r="A15" s="350" t="s">
        <v>646</v>
      </c>
      <c r="B15" s="350"/>
      <c r="C15" s="350" t="s">
        <v>204</v>
      </c>
      <c r="D15" s="351"/>
      <c r="E15" s="350" t="s">
        <v>205</v>
      </c>
      <c r="F15" s="351"/>
      <c r="G15" s="350" t="s">
        <v>206</v>
      </c>
      <c r="H15" s="351"/>
      <c r="I15" s="350" t="s">
        <v>230</v>
      </c>
      <c r="J15" s="351">
        <v>269</v>
      </c>
      <c r="K15" s="350" t="s">
        <v>207</v>
      </c>
      <c r="L15" s="351">
        <v>109</v>
      </c>
      <c r="M15" s="353" t="s">
        <v>4367</v>
      </c>
      <c r="N15" s="351">
        <v>37</v>
      </c>
    </row>
    <row r="16" spans="1:14">
      <c r="A16" s="350" t="s">
        <v>209</v>
      </c>
      <c r="B16" s="350"/>
      <c r="C16" s="350" t="s">
        <v>210</v>
      </c>
      <c r="D16" s="351">
        <v>417</v>
      </c>
      <c r="E16" s="350" t="s">
        <v>211</v>
      </c>
      <c r="F16" s="351">
        <v>136</v>
      </c>
      <c r="G16" s="350" t="s">
        <v>212</v>
      </c>
      <c r="H16" s="351">
        <v>5</v>
      </c>
      <c r="I16" s="350" t="s">
        <v>411</v>
      </c>
      <c r="J16" s="351">
        <f>H16+F16+D16</f>
        <v>558</v>
      </c>
      <c r="K16" s="350"/>
      <c r="L16" s="350"/>
      <c r="M16" s="350"/>
      <c r="N16" s="350"/>
    </row>
    <row r="17" spans="1:14">
      <c r="A17" s="350"/>
      <c r="B17" s="350"/>
      <c r="C17" s="350" t="s">
        <v>213</v>
      </c>
      <c r="D17" s="351">
        <v>399</v>
      </c>
      <c r="E17" s="350" t="s">
        <v>214</v>
      </c>
      <c r="F17" s="351">
        <v>131</v>
      </c>
      <c r="G17" s="350" t="s">
        <v>1494</v>
      </c>
      <c r="H17" s="351">
        <v>15</v>
      </c>
      <c r="I17" s="350" t="s">
        <v>410</v>
      </c>
      <c r="J17" s="351">
        <f>H17+F17+D17</f>
        <v>545</v>
      </c>
      <c r="K17" s="350"/>
      <c r="L17" s="350"/>
      <c r="M17" s="350"/>
      <c r="N17" s="350"/>
    </row>
    <row r="18" spans="1:14">
      <c r="A18" s="350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</row>
    <row r="19" spans="1:14">
      <c r="A19" s="354" t="s">
        <v>216</v>
      </c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816" t="s">
        <v>217</v>
      </c>
      <c r="B20" s="816" t="s">
        <v>218</v>
      </c>
      <c r="C20" s="816" t="s">
        <v>219</v>
      </c>
      <c r="D20" s="816" t="s">
        <v>407</v>
      </c>
      <c r="E20" s="816" t="s">
        <v>864</v>
      </c>
      <c r="F20" s="813" t="s">
        <v>4368</v>
      </c>
      <c r="G20" s="814"/>
      <c r="H20" s="814"/>
      <c r="I20" s="814"/>
      <c r="J20" s="814"/>
      <c r="K20" s="814"/>
      <c r="L20" s="814"/>
      <c r="M20" s="814"/>
      <c r="N20" s="815"/>
    </row>
    <row r="21" spans="1:14">
      <c r="A21" s="817"/>
      <c r="B21" s="817"/>
      <c r="C21" s="817"/>
      <c r="D21" s="817"/>
      <c r="E21" s="817"/>
      <c r="F21" s="355" t="s">
        <v>224</v>
      </c>
      <c r="G21" s="355" t="s">
        <v>225</v>
      </c>
      <c r="H21" s="355" t="s">
        <v>226</v>
      </c>
      <c r="I21" s="355" t="s">
        <v>227</v>
      </c>
      <c r="J21" s="355" t="s">
        <v>228</v>
      </c>
      <c r="K21" s="355" t="s">
        <v>229</v>
      </c>
      <c r="L21" s="355">
        <v>7</v>
      </c>
      <c r="M21" s="355" t="s">
        <v>230</v>
      </c>
      <c r="N21" s="355" t="s">
        <v>231</v>
      </c>
    </row>
    <row r="22" spans="1:14">
      <c r="A22" s="352" t="s">
        <v>232</v>
      </c>
      <c r="B22" s="352">
        <v>8000</v>
      </c>
      <c r="C22" s="356" t="s">
        <v>4369</v>
      </c>
      <c r="D22" s="362">
        <f>B22*J1/100000</f>
        <v>64</v>
      </c>
      <c r="E22" s="352">
        <v>64</v>
      </c>
      <c r="F22" s="358">
        <v>1.48613</v>
      </c>
      <c r="G22" s="358">
        <v>13.02838</v>
      </c>
      <c r="H22" s="358">
        <v>25.673559999999998</v>
      </c>
      <c r="I22" s="358">
        <v>20.692260000000001</v>
      </c>
      <c r="J22" s="358">
        <v>2.63456</v>
      </c>
      <c r="K22" s="358">
        <v>0.71150000000000002</v>
      </c>
      <c r="L22" s="358"/>
      <c r="M22" s="358">
        <f>SUM(F22:L22)</f>
        <v>64.226389999999995</v>
      </c>
      <c r="N22" s="352">
        <f>M22/E22*100</f>
        <v>100.35373437499999</v>
      </c>
    </row>
    <row r="23" spans="1:14" ht="22.5">
      <c r="A23" s="352" t="s">
        <v>234</v>
      </c>
      <c r="B23" s="352">
        <v>7000</v>
      </c>
      <c r="C23" s="356" t="s">
        <v>4369</v>
      </c>
      <c r="D23" s="362">
        <v>5.6</v>
      </c>
      <c r="E23" s="352">
        <v>7</v>
      </c>
      <c r="F23" s="358">
        <v>0</v>
      </c>
      <c r="G23" s="358">
        <v>0</v>
      </c>
      <c r="H23" s="358">
        <v>2.8237299999999999</v>
      </c>
      <c r="I23" s="358">
        <v>1.8535299999999999</v>
      </c>
      <c r="J23" s="358">
        <v>1.8059000000000001</v>
      </c>
      <c r="K23" s="358">
        <v>0.38546999999999998</v>
      </c>
      <c r="L23" s="358"/>
      <c r="M23" s="358">
        <f t="shared" ref="M23:M30" si="0">SUM(F23:L23)</f>
        <v>6.8686299999999996</v>
      </c>
      <c r="N23" s="352">
        <f t="shared" ref="N23:N31" si="1">M23/E23*100</f>
        <v>98.123285714285714</v>
      </c>
    </row>
    <row r="24" spans="1:14" ht="22.5">
      <c r="A24" s="352" t="s">
        <v>235</v>
      </c>
      <c r="B24" s="352">
        <v>43000</v>
      </c>
      <c r="C24" s="356" t="s">
        <v>236</v>
      </c>
      <c r="D24" s="362">
        <v>0.43</v>
      </c>
      <c r="E24" s="352">
        <v>0.43</v>
      </c>
      <c r="F24" s="358">
        <v>0</v>
      </c>
      <c r="G24" s="358">
        <v>0</v>
      </c>
      <c r="H24" s="358">
        <v>0.18</v>
      </c>
      <c r="I24" s="358">
        <v>0.14000000000000001</v>
      </c>
      <c r="J24" s="358">
        <v>4.8439999999999997E-2</v>
      </c>
      <c r="K24" s="358">
        <v>0.33048</v>
      </c>
      <c r="L24" s="358"/>
      <c r="M24" s="358">
        <f t="shared" si="0"/>
        <v>0.69891999999999999</v>
      </c>
      <c r="N24" s="352">
        <f t="shared" si="1"/>
        <v>162.53953488372093</v>
      </c>
    </row>
    <row r="25" spans="1:14" ht="22.5">
      <c r="A25" s="352" t="s">
        <v>237</v>
      </c>
      <c r="B25" s="352">
        <v>37000</v>
      </c>
      <c r="C25" s="356" t="s">
        <v>236</v>
      </c>
      <c r="D25" s="362">
        <v>0.37</v>
      </c>
      <c r="E25" s="352">
        <v>0.34</v>
      </c>
      <c r="F25" s="358">
        <v>0</v>
      </c>
      <c r="G25" s="358">
        <v>0</v>
      </c>
      <c r="H25" s="358">
        <v>0.18534</v>
      </c>
      <c r="I25" s="358">
        <v>9.4479999999999995E-2</v>
      </c>
      <c r="J25" s="358">
        <v>0.06</v>
      </c>
      <c r="K25" s="358">
        <v>0</v>
      </c>
      <c r="L25" s="358"/>
      <c r="M25" s="358">
        <f t="shared" si="0"/>
        <v>0.33982000000000001</v>
      </c>
      <c r="N25" s="352">
        <f t="shared" si="1"/>
        <v>99.947058823529417</v>
      </c>
    </row>
    <row r="26" spans="1:14">
      <c r="A26" s="352" t="s">
        <v>238</v>
      </c>
      <c r="B26" s="352">
        <v>1200</v>
      </c>
      <c r="C26" s="356" t="s">
        <v>4369</v>
      </c>
      <c r="D26" s="362">
        <f>B26*J1/100000</f>
        <v>9.6</v>
      </c>
      <c r="E26" s="352">
        <v>9.6</v>
      </c>
      <c r="F26" s="358">
        <v>0</v>
      </c>
      <c r="G26" s="358">
        <v>0</v>
      </c>
      <c r="H26" s="358">
        <v>0</v>
      </c>
      <c r="I26" s="358">
        <v>1.38514</v>
      </c>
      <c r="J26" s="358">
        <v>1.8117799999999999</v>
      </c>
      <c r="K26" s="358">
        <v>4.0232799999999997</v>
      </c>
      <c r="L26" s="358"/>
      <c r="M26" s="358">
        <f t="shared" si="0"/>
        <v>7.2202000000000002</v>
      </c>
      <c r="N26" s="352">
        <f t="shared" si="1"/>
        <v>75.210416666666674</v>
      </c>
    </row>
    <row r="27" spans="1:14">
      <c r="A27" s="352" t="s">
        <v>667</v>
      </c>
      <c r="B27" s="352">
        <v>565</v>
      </c>
      <c r="C27" s="356" t="s">
        <v>1036</v>
      </c>
      <c r="D27" s="362">
        <v>2.83</v>
      </c>
      <c r="E27" s="352">
        <v>2.83</v>
      </c>
      <c r="F27" s="358">
        <v>0</v>
      </c>
      <c r="G27" s="358">
        <v>0.24</v>
      </c>
      <c r="H27" s="358">
        <v>0.4</v>
      </c>
      <c r="I27" s="358">
        <v>3.8866700000000001</v>
      </c>
      <c r="J27" s="358">
        <v>-0.14000000000000001</v>
      </c>
      <c r="K27" s="358">
        <v>0</v>
      </c>
      <c r="L27" s="358"/>
      <c r="M27" s="358">
        <f t="shared" si="0"/>
        <v>4.3866700000000005</v>
      </c>
      <c r="N27" s="352">
        <f t="shared" si="1"/>
        <v>155.00600706713783</v>
      </c>
    </row>
    <row r="28" spans="1:14">
      <c r="A28" s="352" t="s">
        <v>240</v>
      </c>
      <c r="B28" s="352">
        <v>1000</v>
      </c>
      <c r="C28" s="356" t="s">
        <v>1036</v>
      </c>
      <c r="D28" s="362">
        <f>B28*J1/100000</f>
        <v>8</v>
      </c>
      <c r="E28" s="352">
        <v>8</v>
      </c>
      <c r="F28" s="358">
        <v>0.43330000000000002</v>
      </c>
      <c r="G28" s="358">
        <v>0.62917999999999996</v>
      </c>
      <c r="H28" s="358">
        <v>0</v>
      </c>
      <c r="I28" s="358">
        <v>1.4377</v>
      </c>
      <c r="J28" s="358">
        <v>2.9767600000000001</v>
      </c>
      <c r="K28" s="358">
        <v>1.5903499999999999</v>
      </c>
      <c r="L28" s="358"/>
      <c r="M28" s="358">
        <f t="shared" si="0"/>
        <v>7.0672899999999998</v>
      </c>
      <c r="N28" s="352">
        <f t="shared" si="1"/>
        <v>88.341125000000005</v>
      </c>
    </row>
    <row r="29" spans="1:14">
      <c r="A29" s="352" t="s">
        <v>241</v>
      </c>
      <c r="B29" s="352">
        <v>2750</v>
      </c>
      <c r="C29" s="356" t="s">
        <v>1036</v>
      </c>
      <c r="D29" s="362">
        <v>2.31</v>
      </c>
      <c r="E29" s="352">
        <v>2.31</v>
      </c>
      <c r="F29" s="358">
        <v>0.1139</v>
      </c>
      <c r="G29" s="358">
        <v>0.35113</v>
      </c>
      <c r="H29" s="358">
        <v>0.30387999999999998</v>
      </c>
      <c r="I29" s="358">
        <v>0.32911000000000001</v>
      </c>
      <c r="J29" s="358">
        <v>0.27100000000000002</v>
      </c>
      <c r="K29" s="358">
        <v>0.27679999999999999</v>
      </c>
      <c r="L29" s="358"/>
      <c r="M29" s="358">
        <f t="shared" si="0"/>
        <v>1.6458199999999998</v>
      </c>
      <c r="N29" s="352">
        <f t="shared" si="1"/>
        <v>71.24761904761904</v>
      </c>
    </row>
    <row r="30" spans="1:14">
      <c r="A30" s="352" t="s">
        <v>670</v>
      </c>
      <c r="B30" s="352">
        <v>10000</v>
      </c>
      <c r="C30" s="356" t="s">
        <v>244</v>
      </c>
      <c r="D30" s="362">
        <v>0.1</v>
      </c>
      <c r="E30" s="352">
        <v>0.1</v>
      </c>
      <c r="F30" s="358"/>
      <c r="G30" s="358"/>
      <c r="H30" s="358"/>
      <c r="I30" s="358"/>
      <c r="J30" s="358"/>
      <c r="K30" s="358"/>
      <c r="L30" s="358"/>
      <c r="M30" s="358">
        <f t="shared" si="0"/>
        <v>0</v>
      </c>
      <c r="N30" s="352">
        <f t="shared" si="1"/>
        <v>0</v>
      </c>
    </row>
    <row r="31" spans="1:14">
      <c r="A31" s="359" t="s">
        <v>245</v>
      </c>
      <c r="B31" s="359"/>
      <c r="C31" s="355"/>
      <c r="D31" s="361">
        <f>SUM(D22:D30)</f>
        <v>93.24</v>
      </c>
      <c r="E31" s="361">
        <f t="shared" ref="E31:M31" si="2">SUM(E22:E30)</f>
        <v>94.61</v>
      </c>
      <c r="F31" s="360">
        <f t="shared" si="2"/>
        <v>2.0333299999999999</v>
      </c>
      <c r="G31" s="360">
        <f t="shared" si="2"/>
        <v>14.24869</v>
      </c>
      <c r="H31" s="360">
        <f t="shared" si="2"/>
        <v>29.566509999999997</v>
      </c>
      <c r="I31" s="360">
        <f t="shared" si="2"/>
        <v>29.81889</v>
      </c>
      <c r="J31" s="360">
        <f t="shared" si="2"/>
        <v>9.4684400000000011</v>
      </c>
      <c r="K31" s="360">
        <f t="shared" si="2"/>
        <v>7.3178799999999997</v>
      </c>
      <c r="L31" s="360">
        <f t="shared" si="2"/>
        <v>0</v>
      </c>
      <c r="M31" s="361">
        <f t="shared" si="2"/>
        <v>92.453739999999996</v>
      </c>
      <c r="N31" s="352">
        <f t="shared" si="1"/>
        <v>97.720896311172183</v>
      </c>
    </row>
  </sheetData>
  <mergeCells count="30">
    <mergeCell ref="A20:A21"/>
    <mergeCell ref="B20:B21"/>
    <mergeCell ref="C20:C21"/>
    <mergeCell ref="D20:D21"/>
    <mergeCell ref="E20:E21"/>
    <mergeCell ref="F20:N20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28000000000000003" right="0.27" top="0.75" bottom="0.37" header="0.3" footer="0.3"/>
  <pageSetup scale="95" orientation="landscape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  <col min="12" max="12" width="7.42578125" customWidth="1"/>
    <col min="14" max="14" width="10" bestFit="1" customWidth="1"/>
  </cols>
  <sheetData>
    <row r="1" spans="1:14">
      <c r="A1" s="350" t="s">
        <v>4347</v>
      </c>
      <c r="B1" s="798" t="s">
        <v>4469</v>
      </c>
      <c r="C1" s="799"/>
      <c r="D1" s="350" t="s">
        <v>4349</v>
      </c>
      <c r="E1" s="350"/>
      <c r="F1" s="798" t="s">
        <v>4459</v>
      </c>
      <c r="G1" s="799"/>
      <c r="H1" s="806" t="s">
        <v>5</v>
      </c>
      <c r="I1" s="807"/>
      <c r="J1" s="351">
        <v>900</v>
      </c>
      <c r="K1" s="350" t="s">
        <v>436</v>
      </c>
      <c r="L1" s="350"/>
      <c r="M1" s="351">
        <v>178.38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798" t="s">
        <v>4470</v>
      </c>
      <c r="C3" s="799"/>
      <c r="D3" s="350" t="s">
        <v>1208</v>
      </c>
      <c r="E3" s="350"/>
      <c r="F3" s="798" t="s">
        <v>4471</v>
      </c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798" t="s">
        <v>4472</v>
      </c>
      <c r="C5" s="799"/>
      <c r="D5" s="350" t="s">
        <v>4355</v>
      </c>
      <c r="E5" s="350"/>
      <c r="F5" s="800"/>
      <c r="G5" s="801"/>
      <c r="H5" s="801"/>
      <c r="I5" s="802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03"/>
      <c r="G6" s="804"/>
      <c r="H6" s="804"/>
      <c r="I6" s="805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4473</v>
      </c>
      <c r="C8" s="810"/>
      <c r="D8" s="809" t="s">
        <v>4474</v>
      </c>
      <c r="E8" s="811"/>
      <c r="F8" s="810"/>
      <c r="G8" s="798"/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09"/>
      <c r="C9" s="810"/>
      <c r="D9" s="809"/>
      <c r="E9" s="811"/>
      <c r="F9" s="810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 t="s">
        <v>4475</v>
      </c>
      <c r="C10" s="810"/>
      <c r="D10" s="809" t="s">
        <v>4476</v>
      </c>
      <c r="E10" s="811"/>
      <c r="F10" s="810"/>
      <c r="G10" s="798"/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09" t="s">
        <v>4477</v>
      </c>
      <c r="C11" s="810"/>
      <c r="D11" s="809"/>
      <c r="E11" s="811"/>
      <c r="F11" s="810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2</v>
      </c>
      <c r="C13" s="350" t="s">
        <v>4366</v>
      </c>
      <c r="D13" s="350"/>
      <c r="E13" s="350"/>
      <c r="F13" s="351"/>
      <c r="G13" s="350" t="s">
        <v>1491</v>
      </c>
      <c r="H13" s="351">
        <v>10</v>
      </c>
      <c r="I13" s="350" t="s">
        <v>1492</v>
      </c>
      <c r="J13" s="351">
        <v>2</v>
      </c>
      <c r="K13" s="350" t="s">
        <v>1493</v>
      </c>
      <c r="L13" s="351"/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138</v>
      </c>
      <c r="K16" s="350" t="s">
        <v>207</v>
      </c>
      <c r="L16" s="351">
        <v>54</v>
      </c>
      <c r="M16" s="353" t="s">
        <v>4367</v>
      </c>
      <c r="N16" s="351">
        <v>17</v>
      </c>
    </row>
    <row r="17" spans="1:14">
      <c r="A17" s="350" t="s">
        <v>209</v>
      </c>
      <c r="B17" s="350"/>
      <c r="C17" s="350" t="s">
        <v>210</v>
      </c>
      <c r="D17" s="351">
        <v>238</v>
      </c>
      <c r="E17" s="350" t="s">
        <v>211</v>
      </c>
      <c r="F17" s="351">
        <v>10</v>
      </c>
      <c r="G17" s="350" t="s">
        <v>212</v>
      </c>
      <c r="H17" s="351">
        <v>16</v>
      </c>
      <c r="I17" s="350" t="s">
        <v>411</v>
      </c>
      <c r="J17" s="351">
        <f>H17+F17+D17</f>
        <v>264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258</v>
      </c>
      <c r="E18" s="350" t="s">
        <v>214</v>
      </c>
      <c r="F18" s="351">
        <v>8</v>
      </c>
      <c r="G18" s="350" t="s">
        <v>1494</v>
      </c>
      <c r="H18" s="351">
        <v>18</v>
      </c>
      <c r="I18" s="350" t="s">
        <v>410</v>
      </c>
      <c r="J18" s="351">
        <f>H18+F18+D18</f>
        <v>284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62">
        <f>B23*J1/100000</f>
        <v>72</v>
      </c>
      <c r="E23" s="352">
        <v>72</v>
      </c>
      <c r="F23" s="358">
        <v>0.59911000000000003</v>
      </c>
      <c r="G23" s="358">
        <v>11.93221</v>
      </c>
      <c r="H23" s="358">
        <v>29.585909999999998</v>
      </c>
      <c r="I23" s="358">
        <v>20.497920000000001</v>
      </c>
      <c r="J23" s="358">
        <v>9.4862800000000007</v>
      </c>
      <c r="K23" s="358">
        <v>9.2249999999999999E-2</v>
      </c>
      <c r="L23" s="358"/>
      <c r="M23" s="358">
        <f>SUM(F23:L23)</f>
        <v>72.193680000000001</v>
      </c>
      <c r="N23" s="352">
        <f>M23/E23*100</f>
        <v>100.26900000000001</v>
      </c>
    </row>
    <row r="24" spans="1:14" ht="22.5">
      <c r="A24" s="352" t="s">
        <v>234</v>
      </c>
      <c r="B24" s="352">
        <v>7000</v>
      </c>
      <c r="C24" s="356" t="s">
        <v>4369</v>
      </c>
      <c r="D24" s="362">
        <v>5.6</v>
      </c>
      <c r="E24" s="352">
        <v>5.6</v>
      </c>
      <c r="F24" s="358">
        <v>0</v>
      </c>
      <c r="G24" s="358">
        <v>0</v>
      </c>
      <c r="H24" s="358">
        <v>2.3374600000000001</v>
      </c>
      <c r="I24" s="358">
        <v>1.9446600000000001</v>
      </c>
      <c r="J24" s="358">
        <v>1.0622799999999999</v>
      </c>
      <c r="K24" s="358">
        <v>0.19867000000000001</v>
      </c>
      <c r="L24" s="358"/>
      <c r="M24" s="358">
        <f t="shared" ref="M24:M31" si="0">SUM(F24:L24)</f>
        <v>5.5430700000000002</v>
      </c>
      <c r="N24" s="352">
        <f t="shared" ref="N24:N32" si="1">M24/E24*100</f>
        <v>98.983392857142874</v>
      </c>
    </row>
    <row r="25" spans="1:14" ht="22.5">
      <c r="A25" s="352" t="s">
        <v>235</v>
      </c>
      <c r="B25" s="352">
        <v>43000</v>
      </c>
      <c r="C25" s="356" t="s">
        <v>236</v>
      </c>
      <c r="D25" s="362">
        <v>0.43</v>
      </c>
      <c r="E25" s="352">
        <v>0.43</v>
      </c>
      <c r="F25" s="358">
        <v>0</v>
      </c>
      <c r="G25" s="358">
        <v>0</v>
      </c>
      <c r="H25" s="358">
        <v>0.18</v>
      </c>
      <c r="I25" s="358">
        <v>0.1452</v>
      </c>
      <c r="J25" s="358">
        <v>0.1048</v>
      </c>
      <c r="K25" s="358">
        <v>0.40254000000000001</v>
      </c>
      <c r="L25" s="358"/>
      <c r="M25" s="358">
        <f t="shared" si="0"/>
        <v>0.83254000000000006</v>
      </c>
      <c r="N25" s="352">
        <f t="shared" si="1"/>
        <v>193.61395348837212</v>
      </c>
    </row>
    <row r="26" spans="1:14" ht="22.5">
      <c r="A26" s="352" t="s">
        <v>237</v>
      </c>
      <c r="B26" s="352">
        <v>37000</v>
      </c>
      <c r="C26" s="356" t="s">
        <v>236</v>
      </c>
      <c r="D26" s="362">
        <v>0.37</v>
      </c>
      <c r="E26" s="352">
        <v>0.34</v>
      </c>
      <c r="F26" s="358">
        <v>0</v>
      </c>
      <c r="G26" s="358">
        <v>0</v>
      </c>
      <c r="H26" s="358">
        <v>0.15534000000000001</v>
      </c>
      <c r="I26" s="358">
        <v>0.12232</v>
      </c>
      <c r="J26" s="358">
        <v>6.2429999999999999E-2</v>
      </c>
      <c r="K26" s="358">
        <v>0</v>
      </c>
      <c r="L26" s="358"/>
      <c r="M26" s="358">
        <f t="shared" si="0"/>
        <v>0.34009</v>
      </c>
      <c r="N26" s="352">
        <f t="shared" si="1"/>
        <v>100.02647058823528</v>
      </c>
    </row>
    <row r="27" spans="1:14">
      <c r="A27" s="352" t="s">
        <v>238</v>
      </c>
      <c r="B27" s="352">
        <v>1200</v>
      </c>
      <c r="C27" s="356" t="s">
        <v>4369</v>
      </c>
      <c r="D27" s="362">
        <f>B27*J1/100000</f>
        <v>10.8</v>
      </c>
      <c r="E27" s="352">
        <v>10.8</v>
      </c>
      <c r="F27" s="358">
        <v>0</v>
      </c>
      <c r="G27" s="358">
        <v>0</v>
      </c>
      <c r="H27" s="358">
        <v>0</v>
      </c>
      <c r="I27" s="358">
        <v>2.5018400000000001</v>
      </c>
      <c r="J27" s="358">
        <v>3.6991700000000001</v>
      </c>
      <c r="K27" s="358">
        <v>5.1464999999999996</v>
      </c>
      <c r="L27" s="358"/>
      <c r="M27" s="358">
        <f t="shared" si="0"/>
        <v>11.34751</v>
      </c>
      <c r="N27" s="352">
        <f t="shared" si="1"/>
        <v>105.06953703703704</v>
      </c>
    </row>
    <row r="28" spans="1:14">
      <c r="A28" s="352" t="s">
        <v>667</v>
      </c>
      <c r="B28" s="352">
        <v>565</v>
      </c>
      <c r="C28" s="356" t="s">
        <v>1036</v>
      </c>
      <c r="D28" s="362">
        <v>2.83</v>
      </c>
      <c r="E28" s="352">
        <v>2.83</v>
      </c>
      <c r="F28" s="358">
        <v>0</v>
      </c>
      <c r="G28" s="358">
        <v>0.05</v>
      </c>
      <c r="H28" s="358">
        <v>0.35</v>
      </c>
      <c r="I28" s="358">
        <v>4.5516699999999997</v>
      </c>
      <c r="J28" s="358">
        <v>0</v>
      </c>
      <c r="K28" s="358">
        <v>0</v>
      </c>
      <c r="L28" s="358"/>
      <c r="M28" s="358">
        <f t="shared" si="0"/>
        <v>4.95167</v>
      </c>
      <c r="N28" s="352">
        <f t="shared" si="1"/>
        <v>174.97067137809188</v>
      </c>
    </row>
    <row r="29" spans="1:14">
      <c r="A29" s="352" t="s">
        <v>240</v>
      </c>
      <c r="B29" s="352">
        <v>1000</v>
      </c>
      <c r="C29" s="356" t="s">
        <v>1036</v>
      </c>
      <c r="D29" s="362">
        <f>B29*J1/100000</f>
        <v>9</v>
      </c>
      <c r="E29" s="352">
        <v>8.5570000000000004</v>
      </c>
      <c r="F29" s="358">
        <v>0</v>
      </c>
      <c r="G29" s="358">
        <v>1.0134099999999999</v>
      </c>
      <c r="H29" s="358">
        <v>0</v>
      </c>
      <c r="I29" s="358">
        <v>0.92288000000000003</v>
      </c>
      <c r="J29" s="358">
        <v>2.8290799999999998</v>
      </c>
      <c r="K29" s="358">
        <v>1.0364100000000001</v>
      </c>
      <c r="L29" s="358"/>
      <c r="M29" s="358">
        <f t="shared" si="0"/>
        <v>5.8017799999999999</v>
      </c>
      <c r="N29" s="352">
        <f t="shared" si="1"/>
        <v>67.801565969381798</v>
      </c>
    </row>
    <row r="30" spans="1:14">
      <c r="A30" s="352" t="s">
        <v>241</v>
      </c>
      <c r="B30" s="352">
        <v>2750</v>
      </c>
      <c r="C30" s="356" t="s">
        <v>1036</v>
      </c>
      <c r="D30" s="362">
        <v>2.31</v>
      </c>
      <c r="E30" s="352">
        <v>2.31</v>
      </c>
      <c r="F30" s="358">
        <v>0.1079</v>
      </c>
      <c r="G30" s="358">
        <v>0.30319000000000002</v>
      </c>
      <c r="H30" s="358">
        <v>0.38385000000000002</v>
      </c>
      <c r="I30" s="358">
        <v>0.32912000000000002</v>
      </c>
      <c r="J30" s="358">
        <v>0.27109</v>
      </c>
      <c r="K30" s="358">
        <v>0.34238000000000002</v>
      </c>
      <c r="L30" s="358"/>
      <c r="M30" s="358">
        <f t="shared" si="0"/>
        <v>1.73753</v>
      </c>
      <c r="N30" s="352">
        <f t="shared" si="1"/>
        <v>75.217748917748921</v>
      </c>
    </row>
    <row r="31" spans="1:14">
      <c r="A31" s="352" t="s">
        <v>670</v>
      </c>
      <c r="B31" s="352">
        <v>10000</v>
      </c>
      <c r="C31" s="356" t="s">
        <v>244</v>
      </c>
      <c r="D31" s="362">
        <v>0.1</v>
      </c>
      <c r="E31" s="352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2">
        <f t="shared" si="1"/>
        <v>0</v>
      </c>
    </row>
    <row r="32" spans="1:14">
      <c r="A32" s="359" t="s">
        <v>245</v>
      </c>
      <c r="B32" s="359"/>
      <c r="C32" s="355"/>
      <c r="D32" s="361">
        <f>SUM(D23:D31)</f>
        <v>103.44</v>
      </c>
      <c r="E32" s="361">
        <f t="shared" ref="E32:M32" si="2">SUM(E23:E31)</f>
        <v>102.967</v>
      </c>
      <c r="F32" s="360">
        <f t="shared" si="2"/>
        <v>0.70701000000000003</v>
      </c>
      <c r="G32" s="360">
        <f t="shared" si="2"/>
        <v>13.298810000000001</v>
      </c>
      <c r="H32" s="360">
        <f t="shared" si="2"/>
        <v>32.992560000000005</v>
      </c>
      <c r="I32" s="360">
        <f t="shared" si="2"/>
        <v>31.015609999999999</v>
      </c>
      <c r="J32" s="360">
        <f t="shared" si="2"/>
        <v>17.515130000000003</v>
      </c>
      <c r="K32" s="360">
        <f t="shared" si="2"/>
        <v>7.21875</v>
      </c>
      <c r="L32" s="360">
        <f t="shared" si="2"/>
        <v>0</v>
      </c>
      <c r="M32" s="360">
        <f t="shared" si="2"/>
        <v>102.74787000000001</v>
      </c>
      <c r="N32" s="352">
        <f t="shared" si="1"/>
        <v>99.787184243495503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28000000000000003" right="0.27" top="0.75" bottom="0.37" header="0.3" footer="0.3"/>
  <pageSetup scale="95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286</v>
      </c>
      <c r="F4" t="s">
        <v>171</v>
      </c>
      <c r="H4" t="s">
        <v>5701</v>
      </c>
      <c r="J4" t="s">
        <v>172</v>
      </c>
      <c r="K4">
        <v>324</v>
      </c>
      <c r="L4" t="s">
        <v>173</v>
      </c>
      <c r="N4">
        <v>40</v>
      </c>
    </row>
    <row r="6" spans="1:14">
      <c r="A6" t="s">
        <v>174</v>
      </c>
      <c r="B6" t="s">
        <v>279</v>
      </c>
      <c r="F6" t="s">
        <v>176</v>
      </c>
      <c r="H6" t="s">
        <v>287</v>
      </c>
    </row>
    <row r="8" spans="1:14">
      <c r="A8" t="s">
        <v>178</v>
      </c>
      <c r="B8" t="s">
        <v>288</v>
      </c>
      <c r="F8" t="s">
        <v>180</v>
      </c>
      <c r="H8" t="s">
        <v>289</v>
      </c>
    </row>
    <row r="11" spans="1:14">
      <c r="A11" t="s">
        <v>182</v>
      </c>
      <c r="B11" t="s">
        <v>290</v>
      </c>
      <c r="E11" t="s">
        <v>291</v>
      </c>
      <c r="H11" t="s">
        <v>292</v>
      </c>
    </row>
    <row r="12" spans="1:14">
      <c r="A12" t="s">
        <v>187</v>
      </c>
      <c r="B12" t="s">
        <v>293</v>
      </c>
      <c r="E12" t="s">
        <v>294</v>
      </c>
      <c r="H12" t="s">
        <v>295</v>
      </c>
    </row>
    <row r="13" spans="1:14">
      <c r="A13" t="s">
        <v>192</v>
      </c>
      <c r="B13" t="s">
        <v>296</v>
      </c>
      <c r="E13" t="s">
        <v>297</v>
      </c>
      <c r="H13" t="s">
        <v>298</v>
      </c>
    </row>
    <row r="14" spans="1:14">
      <c r="A14" t="s">
        <v>197</v>
      </c>
    </row>
    <row r="16" spans="1:14">
      <c r="A16" t="s">
        <v>198</v>
      </c>
      <c r="B16">
        <v>3</v>
      </c>
      <c r="C16" t="s">
        <v>199</v>
      </c>
      <c r="F16">
        <v>3</v>
      </c>
      <c r="G16" t="s">
        <v>200</v>
      </c>
      <c r="H16">
        <v>3</v>
      </c>
      <c r="I16" t="s">
        <v>201</v>
      </c>
      <c r="J16">
        <v>1</v>
      </c>
      <c r="K16" t="s">
        <v>202</v>
      </c>
      <c r="L16">
        <v>4</v>
      </c>
    </row>
    <row r="18" spans="1:14">
      <c r="A18" t="s">
        <v>203</v>
      </c>
      <c r="B18" t="s">
        <v>204</v>
      </c>
      <c r="C18">
        <f>16+15+11</f>
        <v>42</v>
      </c>
      <c r="D18" t="s">
        <v>205</v>
      </c>
      <c r="E18">
        <f>2+3</f>
        <v>5</v>
      </c>
      <c r="F18" t="s">
        <v>206</v>
      </c>
      <c r="G18">
        <v>0</v>
      </c>
      <c r="H18" t="s">
        <v>207</v>
      </c>
      <c r="I18">
        <v>3</v>
      </c>
      <c r="J18" t="s">
        <v>208</v>
      </c>
    </row>
    <row r="19" spans="1:14">
      <c r="A19" t="s">
        <v>209</v>
      </c>
      <c r="B19" t="s">
        <v>210</v>
      </c>
      <c r="C19">
        <f>28+22+24</f>
        <v>74</v>
      </c>
      <c r="D19" t="s">
        <v>211</v>
      </c>
      <c r="E19">
        <f>2+4</f>
        <v>6</v>
      </c>
      <c r="F19" t="s">
        <v>212</v>
      </c>
      <c r="G19">
        <v>0</v>
      </c>
    </row>
    <row r="20" spans="1:14">
      <c r="B20" t="s">
        <v>213</v>
      </c>
      <c r="C20">
        <f>31+35+29</f>
        <v>95</v>
      </c>
      <c r="D20" t="s">
        <v>214</v>
      </c>
      <c r="E20">
        <f>4+11</f>
        <v>15</v>
      </c>
      <c r="F20" t="s">
        <v>215</v>
      </c>
      <c r="G20">
        <v>0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25.92</v>
      </c>
      <c r="E26">
        <f>2572000/100000</f>
        <v>25.72</v>
      </c>
      <c r="H26">
        <v>4.0635599999999998</v>
      </c>
      <c r="I26">
        <v>8.23386</v>
      </c>
      <c r="J26">
        <v>6.7868199999999996</v>
      </c>
      <c r="K26">
        <v>2.4091499999999999</v>
      </c>
      <c r="L26">
        <v>1.7312799999999999</v>
      </c>
      <c r="M26">
        <f>+F26+G26+H26+I26+J26+K26+L26</f>
        <v>23.224669999999996</v>
      </c>
      <c r="N26">
        <f>+M26/E26*100</f>
        <v>90.298094867807137</v>
      </c>
    </row>
    <row r="27" spans="1:14">
      <c r="A27" t="s">
        <v>234</v>
      </c>
      <c r="B27">
        <v>7000</v>
      </c>
      <c r="C27" t="s">
        <v>233</v>
      </c>
      <c r="D27">
        <f>+N4*B27/100000</f>
        <v>2.8</v>
      </c>
      <c r="E27">
        <v>3</v>
      </c>
      <c r="I27">
        <v>0.35946</v>
      </c>
      <c r="J27">
        <v>0.57506999999999997</v>
      </c>
      <c r="K27">
        <v>0.75924000000000003</v>
      </c>
      <c r="L27">
        <v>0.83459000000000005</v>
      </c>
      <c r="M27">
        <f t="shared" ref="M27:M34" si="0">+F27+G27+H27+I27+J27+K27+L27</f>
        <v>2.5283600000000002</v>
      </c>
      <c r="N27">
        <f t="shared" ref="N27:N35" si="1">+M27/E27*100</f>
        <v>84.278666666666666</v>
      </c>
    </row>
    <row r="28" spans="1:14">
      <c r="A28" t="s">
        <v>235</v>
      </c>
      <c r="B28">
        <v>86</v>
      </c>
      <c r="C28" t="s">
        <v>233</v>
      </c>
      <c r="D28">
        <v>0.28000000000000003</v>
      </c>
      <c r="E28">
        <f>43400/100000</f>
        <v>0.434</v>
      </c>
      <c r="J28">
        <v>0.18</v>
      </c>
      <c r="K28">
        <v>7.3179999999999995E-2</v>
      </c>
      <c r="L28">
        <v>0.18082000000000001</v>
      </c>
      <c r="M28">
        <f t="shared" si="0"/>
        <v>0.43399999999999994</v>
      </c>
      <c r="N28">
        <f t="shared" si="1"/>
        <v>99.999999999999986</v>
      </c>
    </row>
    <row r="29" spans="1:14">
      <c r="A29" t="s">
        <v>237</v>
      </c>
      <c r="B29">
        <v>68</v>
      </c>
      <c r="C29" t="s">
        <v>233</v>
      </c>
      <c r="D29">
        <v>0.22</v>
      </c>
      <c r="E29">
        <f>34000/100000</f>
        <v>0.34</v>
      </c>
      <c r="I29">
        <v>0.12784000000000001</v>
      </c>
      <c r="J29">
        <v>3.5000000000000003E-2</v>
      </c>
      <c r="K29">
        <v>0.13117000000000001</v>
      </c>
      <c r="M29">
        <f t="shared" si="0"/>
        <v>0.29400999999999999</v>
      </c>
      <c r="N29">
        <f t="shared" si="1"/>
        <v>86.473529411764687</v>
      </c>
    </row>
    <row r="30" spans="1:14">
      <c r="A30" t="s">
        <v>238</v>
      </c>
      <c r="B30">
        <v>1200</v>
      </c>
      <c r="C30" t="s">
        <v>233</v>
      </c>
      <c r="D30">
        <f>+K4*B30/100000</f>
        <v>3.8879999999999999</v>
      </c>
      <c r="E30">
        <v>3.8879999999999999</v>
      </c>
      <c r="I30">
        <v>0.36231999999999998</v>
      </c>
      <c r="J30">
        <v>0.80491000000000001</v>
      </c>
      <c r="K30">
        <v>0.64886999999999995</v>
      </c>
      <c r="L30">
        <v>-0.73024999999999995</v>
      </c>
      <c r="M30">
        <f t="shared" si="0"/>
        <v>1.0858500000000002</v>
      </c>
      <c r="N30">
        <f t="shared" si="1"/>
        <v>27.928240740740744</v>
      </c>
    </row>
    <row r="31" spans="1:14">
      <c r="A31" t="s">
        <v>239</v>
      </c>
      <c r="B31">
        <v>565</v>
      </c>
      <c r="C31" t="s">
        <v>233</v>
      </c>
      <c r="D31">
        <v>1.7</v>
      </c>
      <c r="E31">
        <v>1.6</v>
      </c>
      <c r="K31">
        <v>1.6</v>
      </c>
      <c r="M31">
        <f t="shared" si="0"/>
        <v>1.6</v>
      </c>
      <c r="N31">
        <f t="shared" si="1"/>
        <v>100</v>
      </c>
    </row>
    <row r="32" spans="1:14">
      <c r="A32" t="s">
        <v>240</v>
      </c>
      <c r="B32">
        <v>1000</v>
      </c>
      <c r="C32" t="s">
        <v>233</v>
      </c>
      <c r="D32">
        <f>+K4*B32/100000</f>
        <v>3.24</v>
      </c>
      <c r="E32">
        <v>3.24</v>
      </c>
      <c r="I32">
        <v>1.907E-2</v>
      </c>
      <c r="J32">
        <v>4.2360000000000002E-2</v>
      </c>
      <c r="K32">
        <v>3.415E-2</v>
      </c>
      <c r="L32">
        <f>0.0063-0.03843</f>
        <v>-3.2129999999999999E-2</v>
      </c>
      <c r="M32">
        <f t="shared" si="0"/>
        <v>6.3450000000000006E-2</v>
      </c>
      <c r="N32">
        <f t="shared" si="1"/>
        <v>1.9583333333333335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f>137500/100000</f>
        <v>1.375</v>
      </c>
      <c r="H33">
        <v>0.2087</v>
      </c>
      <c r="I33">
        <v>0.29859999999999998</v>
      </c>
      <c r="J33">
        <v>0.24775</v>
      </c>
      <c r="K33">
        <v>0.20211000000000001</v>
      </c>
      <c r="L33">
        <v>0.1779</v>
      </c>
      <c r="M33">
        <f t="shared" si="0"/>
        <v>1.13506</v>
      </c>
      <c r="N33">
        <f t="shared" si="1"/>
        <v>82.549818181818182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40.458000000000013</v>
      </c>
      <c r="E35">
        <f t="shared" ref="E35:M35" si="2">SUM(E26:E34)</f>
        <v>39.597000000000001</v>
      </c>
      <c r="F35">
        <f t="shared" si="2"/>
        <v>0</v>
      </c>
      <c r="G35">
        <f t="shared" si="2"/>
        <v>0</v>
      </c>
      <c r="H35">
        <f t="shared" si="2"/>
        <v>4.2722600000000002</v>
      </c>
      <c r="I35">
        <f t="shared" si="2"/>
        <v>9.4011500000000012</v>
      </c>
      <c r="J35">
        <f t="shared" si="2"/>
        <v>8.6719100000000005</v>
      </c>
      <c r="K35">
        <f t="shared" si="2"/>
        <v>5.857870000000001</v>
      </c>
      <c r="L35">
        <f t="shared" si="2"/>
        <v>2.1622100000000004</v>
      </c>
      <c r="M35">
        <f t="shared" si="2"/>
        <v>30.365399999999998</v>
      </c>
      <c r="N35">
        <f t="shared" si="1"/>
        <v>76.686112584286676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A3" sqref="A3:C3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818" t="s">
        <v>167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</row>
    <row r="2" spans="1:14">
      <c r="A2" s="818" t="s">
        <v>4498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</row>
    <row r="3" spans="1:14">
      <c r="A3" s="808" t="s">
        <v>4176</v>
      </c>
      <c r="B3" s="808"/>
      <c r="C3" s="808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</row>
    <row r="4" spans="1:14">
      <c r="A4" s="350" t="s">
        <v>4347</v>
      </c>
      <c r="B4" s="798" t="s">
        <v>4497</v>
      </c>
      <c r="C4" s="799"/>
      <c r="D4" s="350" t="s">
        <v>4349</v>
      </c>
      <c r="E4" s="350"/>
      <c r="F4" s="798" t="s">
        <v>4496</v>
      </c>
      <c r="G4" s="799"/>
      <c r="H4" s="806" t="s">
        <v>5</v>
      </c>
      <c r="I4" s="807"/>
      <c r="J4" s="351">
        <v>557.24</v>
      </c>
      <c r="K4" s="350" t="s">
        <v>436</v>
      </c>
      <c r="L4" s="350"/>
      <c r="M4" s="351">
        <v>191.9</v>
      </c>
      <c r="N4" s="350"/>
    </row>
    <row r="5" spans="1:14">
      <c r="A5" s="350"/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</row>
    <row r="6" spans="1:14">
      <c r="A6" s="350" t="s">
        <v>832</v>
      </c>
      <c r="B6" s="819" t="s">
        <v>4495</v>
      </c>
      <c r="C6" s="820"/>
      <c r="D6" s="350" t="s">
        <v>1208</v>
      </c>
      <c r="E6" s="350"/>
      <c r="F6" s="819" t="s">
        <v>4494</v>
      </c>
      <c r="G6" s="820"/>
      <c r="H6" s="350"/>
      <c r="I6" s="350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0" t="s">
        <v>4353</v>
      </c>
      <c r="B8" s="819" t="s">
        <v>4493</v>
      </c>
      <c r="C8" s="820"/>
      <c r="D8" s="350" t="s">
        <v>4355</v>
      </c>
      <c r="E8" s="350"/>
      <c r="F8" s="821" t="s">
        <v>4492</v>
      </c>
      <c r="G8" s="822"/>
      <c r="H8" s="822"/>
      <c r="I8" s="823"/>
      <c r="J8" s="350"/>
      <c r="K8" s="350"/>
      <c r="L8" s="350"/>
      <c r="M8" s="350"/>
      <c r="N8" s="350"/>
    </row>
    <row r="9" spans="1:14">
      <c r="A9" s="350"/>
      <c r="B9" s="350"/>
      <c r="C9" s="350"/>
      <c r="D9" s="350" t="s">
        <v>4357</v>
      </c>
      <c r="E9" s="350"/>
      <c r="F9" s="824"/>
      <c r="G9" s="825"/>
      <c r="H9" s="825"/>
      <c r="I9" s="826"/>
      <c r="J9" s="350"/>
      <c r="K9" s="350"/>
      <c r="L9" s="350"/>
      <c r="M9" s="350"/>
      <c r="N9" s="350"/>
    </row>
    <row r="10" spans="1:14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</row>
    <row r="11" spans="1:14">
      <c r="A11" s="352" t="s">
        <v>838</v>
      </c>
      <c r="B11" s="809" t="s">
        <v>4491</v>
      </c>
      <c r="C11" s="810"/>
      <c r="D11" s="809" t="s">
        <v>4490</v>
      </c>
      <c r="E11" s="811"/>
      <c r="F11" s="810"/>
      <c r="G11" s="798" t="s">
        <v>4489</v>
      </c>
      <c r="H11" s="812"/>
      <c r="I11" s="799"/>
      <c r="J11" s="798" t="s">
        <v>4488</v>
      </c>
      <c r="K11" s="812"/>
      <c r="L11" s="799"/>
      <c r="M11" s="350"/>
      <c r="N11" s="350"/>
    </row>
    <row r="12" spans="1:14">
      <c r="A12" s="352" t="s">
        <v>840</v>
      </c>
      <c r="B12" s="809"/>
      <c r="C12" s="810"/>
      <c r="D12" s="819" t="s">
        <v>4487</v>
      </c>
      <c r="E12" s="829"/>
      <c r="F12" s="820"/>
      <c r="G12" s="827" t="s">
        <v>4486</v>
      </c>
      <c r="H12" s="830"/>
      <c r="I12" s="828"/>
      <c r="J12" s="819" t="s">
        <v>4485</v>
      </c>
      <c r="K12" s="829"/>
      <c r="L12" s="820"/>
      <c r="M12" s="350"/>
      <c r="N12" s="350"/>
    </row>
    <row r="13" spans="1:14">
      <c r="A13" s="352" t="s">
        <v>4361</v>
      </c>
      <c r="B13" s="809"/>
      <c r="C13" s="810"/>
      <c r="D13" s="819" t="s">
        <v>4484</v>
      </c>
      <c r="E13" s="829"/>
      <c r="F13" s="820"/>
      <c r="G13" s="827" t="s">
        <v>4483</v>
      </c>
      <c r="H13" s="830"/>
      <c r="I13" s="828"/>
      <c r="J13" s="819" t="s">
        <v>4482</v>
      </c>
      <c r="K13" s="829"/>
      <c r="L13" s="820"/>
      <c r="M13" s="350"/>
      <c r="N13" s="350"/>
    </row>
    <row r="14" spans="1:14" ht="22.5">
      <c r="A14" s="352" t="s">
        <v>420</v>
      </c>
      <c r="B14" s="827" t="s">
        <v>4481</v>
      </c>
      <c r="C14" s="828"/>
      <c r="D14" s="819" t="s">
        <v>4480</v>
      </c>
      <c r="E14" s="829"/>
      <c r="F14" s="820"/>
      <c r="G14" s="827" t="s">
        <v>4479</v>
      </c>
      <c r="H14" s="830"/>
      <c r="I14" s="828"/>
      <c r="J14" s="819" t="s">
        <v>4478</v>
      </c>
      <c r="K14" s="829"/>
      <c r="L14" s="82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>
      <c r="A16" s="350" t="s">
        <v>4365</v>
      </c>
      <c r="B16" s="351">
        <v>4</v>
      </c>
      <c r="C16" s="350" t="s">
        <v>4366</v>
      </c>
      <c r="D16" s="350"/>
      <c r="E16" s="350"/>
      <c r="F16" s="351">
        <v>4</v>
      </c>
      <c r="G16" s="350" t="s">
        <v>1491</v>
      </c>
      <c r="H16" s="351">
        <v>27</v>
      </c>
      <c r="I16" s="350" t="s">
        <v>1492</v>
      </c>
      <c r="J16" s="351">
        <v>4</v>
      </c>
      <c r="K16" s="350" t="s">
        <v>1493</v>
      </c>
      <c r="L16" s="351">
        <v>24</v>
      </c>
      <c r="M16" s="350"/>
      <c r="N16" s="350"/>
    </row>
    <row r="17" spans="1:14">
      <c r="A17" s="350"/>
      <c r="B17" s="350"/>
      <c r="C17" s="350"/>
      <c r="D17" s="350"/>
      <c r="E17" s="350"/>
      <c r="F17" s="350"/>
      <c r="G17" s="350"/>
      <c r="H17" s="350"/>
      <c r="I17" s="350"/>
      <c r="J17" s="350"/>
      <c r="K17" s="350"/>
      <c r="L17" s="350"/>
      <c r="M17" s="350"/>
      <c r="N17" s="350"/>
    </row>
    <row r="18" spans="1:14">
      <c r="A18" s="350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</row>
    <row r="19" spans="1:14" ht="22.5">
      <c r="A19" s="350" t="s">
        <v>646</v>
      </c>
      <c r="B19" s="350"/>
      <c r="C19" s="350" t="s">
        <v>204</v>
      </c>
      <c r="D19" s="351"/>
      <c r="E19" s="350" t="s">
        <v>205</v>
      </c>
      <c r="F19" s="351"/>
      <c r="G19" s="350" t="s">
        <v>206</v>
      </c>
      <c r="H19" s="351"/>
      <c r="I19" s="350" t="s">
        <v>230</v>
      </c>
      <c r="J19" s="351">
        <v>339</v>
      </c>
      <c r="K19" s="350" t="s">
        <v>207</v>
      </c>
      <c r="L19" s="351">
        <v>108</v>
      </c>
      <c r="M19" s="353" t="s">
        <v>4367</v>
      </c>
      <c r="N19" s="351">
        <v>25</v>
      </c>
    </row>
    <row r="20" spans="1:14">
      <c r="A20" s="350" t="s">
        <v>209</v>
      </c>
      <c r="B20" s="350"/>
      <c r="C20" s="350" t="s">
        <v>210</v>
      </c>
      <c r="D20" s="351">
        <v>642</v>
      </c>
      <c r="E20" s="350" t="s">
        <v>211</v>
      </c>
      <c r="F20" s="351">
        <v>37</v>
      </c>
      <c r="G20" s="350" t="s">
        <v>212</v>
      </c>
      <c r="H20" s="351">
        <v>107</v>
      </c>
      <c r="I20" s="350" t="s">
        <v>411</v>
      </c>
      <c r="J20" s="351">
        <f>H20+F20+D20</f>
        <v>786</v>
      </c>
      <c r="K20" s="350"/>
      <c r="L20" s="350"/>
      <c r="M20" s="350"/>
      <c r="N20" s="350"/>
    </row>
    <row r="21" spans="1:14">
      <c r="A21" s="350"/>
      <c r="B21" s="350"/>
      <c r="C21" s="350" t="s">
        <v>213</v>
      </c>
      <c r="D21" s="351">
        <v>646</v>
      </c>
      <c r="E21" s="350" t="s">
        <v>214</v>
      </c>
      <c r="F21" s="351">
        <v>37</v>
      </c>
      <c r="G21" s="350" t="s">
        <v>1494</v>
      </c>
      <c r="H21" s="351">
        <v>113</v>
      </c>
      <c r="I21" s="350" t="s">
        <v>410</v>
      </c>
      <c r="J21" s="351">
        <f>H21+F21+D21</f>
        <v>796</v>
      </c>
      <c r="K21" s="350"/>
      <c r="L21" s="350"/>
      <c r="M21" s="350"/>
      <c r="N21" s="350"/>
    </row>
    <row r="22" spans="1:14">
      <c r="A22" s="350"/>
      <c r="B22" s="350"/>
      <c r="C22" s="350"/>
      <c r="D22" s="350"/>
      <c r="E22" s="350"/>
      <c r="F22" s="350"/>
      <c r="G22" s="350"/>
      <c r="H22" s="350"/>
      <c r="I22" s="350"/>
      <c r="J22" s="350"/>
      <c r="K22" s="350"/>
      <c r="L22" s="350"/>
      <c r="M22" s="350"/>
      <c r="N22" s="350"/>
    </row>
    <row r="23" spans="1:14">
      <c r="A23" s="354" t="s">
        <v>216</v>
      </c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</row>
    <row r="24" spans="1:14">
      <c r="A24" s="816" t="s">
        <v>217</v>
      </c>
      <c r="B24" s="816" t="s">
        <v>218</v>
      </c>
      <c r="C24" s="816" t="s">
        <v>219</v>
      </c>
      <c r="D24" s="816" t="s">
        <v>407</v>
      </c>
      <c r="E24" s="816" t="s">
        <v>864</v>
      </c>
      <c r="F24" s="813" t="s">
        <v>4368</v>
      </c>
      <c r="G24" s="814"/>
      <c r="H24" s="814"/>
      <c r="I24" s="814"/>
      <c r="J24" s="814"/>
      <c r="K24" s="814"/>
      <c r="L24" s="814"/>
      <c r="M24" s="814"/>
      <c r="N24" s="815"/>
    </row>
    <row r="25" spans="1:14">
      <c r="A25" s="817"/>
      <c r="B25" s="817"/>
      <c r="C25" s="817"/>
      <c r="D25" s="817"/>
      <c r="E25" s="817"/>
      <c r="F25" s="355" t="s">
        <v>224</v>
      </c>
      <c r="G25" s="355" t="s">
        <v>225</v>
      </c>
      <c r="H25" s="355" t="s">
        <v>226</v>
      </c>
      <c r="I25" s="355" t="s">
        <v>227</v>
      </c>
      <c r="J25" s="355" t="s">
        <v>228</v>
      </c>
      <c r="K25" s="355" t="s">
        <v>229</v>
      </c>
      <c r="L25" s="355">
        <v>7</v>
      </c>
      <c r="M25" s="355" t="s">
        <v>230</v>
      </c>
      <c r="N25" s="355" t="s">
        <v>231</v>
      </c>
    </row>
    <row r="26" spans="1:14">
      <c r="A26" s="352" t="s">
        <v>232</v>
      </c>
      <c r="B26" s="352">
        <v>8000</v>
      </c>
      <c r="C26" s="356" t="s">
        <v>4369</v>
      </c>
      <c r="D26" s="357">
        <f>B26*J4/100000</f>
        <v>44.5792</v>
      </c>
      <c r="E26" s="358">
        <v>44.5792</v>
      </c>
      <c r="F26" s="358">
        <v>0.65425</v>
      </c>
      <c r="G26" s="358">
        <v>2.9125399999999999</v>
      </c>
      <c r="H26" s="358">
        <v>13.904170000000001</v>
      </c>
      <c r="I26" s="358">
        <v>17.559850000000001</v>
      </c>
      <c r="J26" s="358">
        <v>6.0906500000000001</v>
      </c>
      <c r="K26" s="358">
        <v>4.4138599999999997</v>
      </c>
      <c r="L26" s="358"/>
      <c r="M26" s="358">
        <f t="shared" ref="M26:M34" si="0">SUM(F26:L26)</f>
        <v>45.535319999999999</v>
      </c>
      <c r="N26" s="358">
        <f t="shared" ref="N26:N35" si="1">M26/E26*100</f>
        <v>102.1447670662551</v>
      </c>
    </row>
    <row r="27" spans="1:14" ht="22.5">
      <c r="A27" s="352" t="s">
        <v>234</v>
      </c>
      <c r="B27" s="352">
        <v>7000</v>
      </c>
      <c r="C27" s="356" t="s">
        <v>4369</v>
      </c>
      <c r="D27" s="357">
        <v>5.6</v>
      </c>
      <c r="E27" s="358">
        <v>4.9000000000000004</v>
      </c>
      <c r="F27" s="358"/>
      <c r="G27" s="358">
        <v>0</v>
      </c>
      <c r="H27" s="358">
        <v>1.17181</v>
      </c>
      <c r="I27" s="358">
        <v>1.28599</v>
      </c>
      <c r="J27" s="358">
        <v>-0.06</v>
      </c>
      <c r="K27" s="358">
        <v>0.64700000000000002</v>
      </c>
      <c r="L27" s="358"/>
      <c r="M27" s="358">
        <f t="shared" si="0"/>
        <v>3.0447999999999995</v>
      </c>
      <c r="N27" s="358">
        <f t="shared" si="1"/>
        <v>62.13877551020407</v>
      </c>
    </row>
    <row r="28" spans="1:14" ht="22.5">
      <c r="A28" s="352" t="s">
        <v>235</v>
      </c>
      <c r="B28" s="352">
        <v>43000</v>
      </c>
      <c r="C28" s="356" t="s">
        <v>236</v>
      </c>
      <c r="D28" s="357">
        <v>0.43</v>
      </c>
      <c r="E28" s="358">
        <v>0.43</v>
      </c>
      <c r="F28" s="358"/>
      <c r="G28" s="358"/>
      <c r="H28" s="358">
        <v>0.32482</v>
      </c>
      <c r="I28" s="358">
        <v>0.10518</v>
      </c>
      <c r="J28" s="358">
        <v>0</v>
      </c>
      <c r="K28" s="358">
        <v>0</v>
      </c>
      <c r="L28" s="358"/>
      <c r="M28" s="358">
        <f t="shared" si="0"/>
        <v>0.43</v>
      </c>
      <c r="N28" s="358">
        <f t="shared" si="1"/>
        <v>100</v>
      </c>
    </row>
    <row r="29" spans="1:14" ht="22.5">
      <c r="A29" s="352" t="s">
        <v>237</v>
      </c>
      <c r="B29" s="352">
        <v>37000</v>
      </c>
      <c r="C29" s="356" t="s">
        <v>236</v>
      </c>
      <c r="D29" s="357">
        <v>0.37</v>
      </c>
      <c r="E29" s="358">
        <v>0.34</v>
      </c>
      <c r="F29" s="358"/>
      <c r="G29" s="358"/>
      <c r="H29" s="358">
        <v>0.28000000000000003</v>
      </c>
      <c r="I29" s="358">
        <v>0.06</v>
      </c>
      <c r="J29" s="358">
        <v>0</v>
      </c>
      <c r="K29" s="358">
        <v>0</v>
      </c>
      <c r="L29" s="358"/>
      <c r="M29" s="358">
        <f t="shared" si="0"/>
        <v>0.34</v>
      </c>
      <c r="N29" s="358">
        <f t="shared" si="1"/>
        <v>100</v>
      </c>
    </row>
    <row r="30" spans="1:14">
      <c r="A30" s="352" t="s">
        <v>238</v>
      </c>
      <c r="B30" s="352">
        <v>1200</v>
      </c>
      <c r="C30" s="356" t="s">
        <v>4369</v>
      </c>
      <c r="D30" s="357">
        <f>B30*J4/100000</f>
        <v>6.6868800000000004</v>
      </c>
      <c r="E30" s="358">
        <v>6.6868800000000004</v>
      </c>
      <c r="F30" s="358"/>
      <c r="G30" s="358"/>
      <c r="H30" s="358">
        <v>0</v>
      </c>
      <c r="I30" s="358">
        <v>2.00759</v>
      </c>
      <c r="J30" s="358">
        <v>0</v>
      </c>
      <c r="K30" s="358">
        <v>1.8412500000000001</v>
      </c>
      <c r="L30" s="358"/>
      <c r="M30" s="358">
        <f t="shared" si="0"/>
        <v>3.84884</v>
      </c>
      <c r="N30" s="358">
        <f t="shared" si="1"/>
        <v>57.558083889646596</v>
      </c>
    </row>
    <row r="31" spans="1:14">
      <c r="A31" s="352" t="s">
        <v>667</v>
      </c>
      <c r="B31" s="352">
        <v>565</v>
      </c>
      <c r="C31" s="356" t="s">
        <v>1036</v>
      </c>
      <c r="D31" s="357">
        <v>2.83</v>
      </c>
      <c r="E31" s="358">
        <v>2.83</v>
      </c>
      <c r="F31" s="358"/>
      <c r="G31" s="358">
        <v>0.1</v>
      </c>
      <c r="H31" s="358">
        <v>0.2</v>
      </c>
      <c r="I31" s="358">
        <v>2.7650700000000001</v>
      </c>
      <c r="J31" s="358">
        <v>0</v>
      </c>
      <c r="K31" s="358">
        <v>0</v>
      </c>
      <c r="L31" s="358"/>
      <c r="M31" s="358">
        <f t="shared" si="0"/>
        <v>3.0650700000000004</v>
      </c>
      <c r="N31" s="358">
        <f t="shared" si="1"/>
        <v>108.30636042402828</v>
      </c>
    </row>
    <row r="32" spans="1:14">
      <c r="A32" s="352" t="s">
        <v>240</v>
      </c>
      <c r="B32" s="352">
        <v>1000</v>
      </c>
      <c r="C32" s="356" t="s">
        <v>1036</v>
      </c>
      <c r="D32" s="357">
        <f>B32*J4/100000</f>
        <v>5.5724</v>
      </c>
      <c r="E32" s="358">
        <v>5.5724</v>
      </c>
      <c r="F32" s="358">
        <v>0</v>
      </c>
      <c r="G32" s="358">
        <v>0.89951999999999999</v>
      </c>
      <c r="H32" s="358">
        <v>5.5E-2</v>
      </c>
      <c r="I32" s="358">
        <v>1.7020999999999999</v>
      </c>
      <c r="J32" s="358">
        <v>0</v>
      </c>
      <c r="K32" s="358">
        <v>1.9750099999999999</v>
      </c>
      <c r="L32" s="358"/>
      <c r="M32" s="358">
        <f t="shared" si="0"/>
        <v>4.6316300000000004</v>
      </c>
      <c r="N32" s="358">
        <f t="shared" si="1"/>
        <v>83.117328260713521</v>
      </c>
    </row>
    <row r="33" spans="1:14">
      <c r="A33" s="352" t="s">
        <v>241</v>
      </c>
      <c r="B33" s="352">
        <v>2750</v>
      </c>
      <c r="C33" s="356" t="s">
        <v>1036</v>
      </c>
      <c r="D33" s="357">
        <v>2.31</v>
      </c>
      <c r="E33" s="363">
        <v>2.31</v>
      </c>
      <c r="F33" s="358">
        <v>0.222</v>
      </c>
      <c r="G33" s="358">
        <v>0.34129999999999999</v>
      </c>
      <c r="H33" s="358">
        <v>0.16614999999999999</v>
      </c>
      <c r="I33" s="358">
        <v>0.23250000000000001</v>
      </c>
      <c r="J33" s="358">
        <v>0.36054999999999998</v>
      </c>
      <c r="K33" s="358">
        <v>0.21054999999999999</v>
      </c>
      <c r="L33" s="358"/>
      <c r="M33" s="358">
        <f t="shared" si="0"/>
        <v>1.53305</v>
      </c>
      <c r="N33" s="358">
        <f t="shared" si="1"/>
        <v>66.365800865800864</v>
      </c>
    </row>
    <row r="34" spans="1:14">
      <c r="A34" s="352" t="s">
        <v>670</v>
      </c>
      <c r="B34" s="352">
        <v>10000</v>
      </c>
      <c r="C34" s="356" t="s">
        <v>244</v>
      </c>
      <c r="D34" s="357">
        <v>0.1</v>
      </c>
      <c r="E34" s="358">
        <v>0.1</v>
      </c>
      <c r="F34" s="358"/>
      <c r="G34" s="358"/>
      <c r="H34" s="358"/>
      <c r="I34" s="358"/>
      <c r="J34" s="358"/>
      <c r="K34" s="358"/>
      <c r="L34" s="358"/>
      <c r="M34" s="358">
        <f t="shared" si="0"/>
        <v>0</v>
      </c>
      <c r="N34" s="358">
        <f t="shared" si="1"/>
        <v>0</v>
      </c>
    </row>
    <row r="35" spans="1:14">
      <c r="A35" s="359" t="s">
        <v>245</v>
      </c>
      <c r="B35" s="359"/>
      <c r="C35" s="355"/>
      <c r="D35" s="360">
        <f t="shared" ref="D35:M35" si="2">SUM(D26:D34)</f>
        <v>68.47847999999999</v>
      </c>
      <c r="E35" s="360">
        <f t="shared" si="2"/>
        <v>67.748480000000001</v>
      </c>
      <c r="F35" s="360">
        <f t="shared" si="2"/>
        <v>0.87624999999999997</v>
      </c>
      <c r="G35" s="360">
        <f t="shared" si="2"/>
        <v>4.2533599999999998</v>
      </c>
      <c r="H35" s="360">
        <f t="shared" si="2"/>
        <v>16.101949999999999</v>
      </c>
      <c r="I35" s="360">
        <f t="shared" si="2"/>
        <v>25.718280000000007</v>
      </c>
      <c r="J35" s="360">
        <f t="shared" si="2"/>
        <v>6.3912000000000004</v>
      </c>
      <c r="K35" s="360">
        <f t="shared" si="2"/>
        <v>9.0876699999999992</v>
      </c>
      <c r="L35" s="360">
        <f t="shared" si="2"/>
        <v>0</v>
      </c>
      <c r="M35" s="360">
        <f t="shared" si="2"/>
        <v>62.428710000000009</v>
      </c>
      <c r="N35" s="358">
        <f t="shared" si="1"/>
        <v>92.147764791180563</v>
      </c>
    </row>
  </sheetData>
  <mergeCells count="32">
    <mergeCell ref="F24:N24"/>
    <mergeCell ref="A24:A25"/>
    <mergeCell ref="B24:B25"/>
    <mergeCell ref="C24:C25"/>
    <mergeCell ref="D24:D25"/>
    <mergeCell ref="E24:E25"/>
    <mergeCell ref="J11:L11"/>
    <mergeCell ref="B14:C14"/>
    <mergeCell ref="D14:F14"/>
    <mergeCell ref="G14:I14"/>
    <mergeCell ref="J14:L14"/>
    <mergeCell ref="J12:L12"/>
    <mergeCell ref="B13:C13"/>
    <mergeCell ref="D13:F13"/>
    <mergeCell ref="G13:I13"/>
    <mergeCell ref="J13:L13"/>
    <mergeCell ref="B12:C12"/>
    <mergeCell ref="D12:F12"/>
    <mergeCell ref="G12:I12"/>
    <mergeCell ref="B8:C8"/>
    <mergeCell ref="F8:I9"/>
    <mergeCell ref="B11:C11"/>
    <mergeCell ref="D11:F11"/>
    <mergeCell ref="G11:I11"/>
    <mergeCell ref="B6:C6"/>
    <mergeCell ref="F6:G6"/>
    <mergeCell ref="A1:N1"/>
    <mergeCell ref="A2:N2"/>
    <mergeCell ref="B4:C4"/>
    <mergeCell ref="F4:G4"/>
    <mergeCell ref="H4:I4"/>
    <mergeCell ref="A3:C3"/>
  </mergeCells>
  <hyperlinks>
    <hyperlink ref="A3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350" t="s">
        <v>4347</v>
      </c>
      <c r="B1" s="798" t="s">
        <v>4513</v>
      </c>
      <c r="C1" s="799"/>
      <c r="D1" s="350" t="s">
        <v>4349</v>
      </c>
      <c r="E1" s="350"/>
      <c r="F1" s="798" t="s">
        <v>4512</v>
      </c>
      <c r="G1" s="799"/>
      <c r="H1" s="806" t="s">
        <v>5</v>
      </c>
      <c r="I1" s="807"/>
      <c r="J1" s="351">
        <v>691.95</v>
      </c>
      <c r="K1" s="350" t="s">
        <v>436</v>
      </c>
      <c r="L1" s="350"/>
      <c r="M1" s="351">
        <v>140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819" t="s">
        <v>4511</v>
      </c>
      <c r="C3" s="820"/>
      <c r="D3" s="350" t="s">
        <v>1208</v>
      </c>
      <c r="E3" s="350"/>
      <c r="F3" s="798"/>
      <c r="G3" s="799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819" t="s">
        <v>4510</v>
      </c>
      <c r="C5" s="820"/>
      <c r="D5" s="350" t="s">
        <v>4355</v>
      </c>
      <c r="E5" s="350"/>
      <c r="F5" s="831" t="s">
        <v>4509</v>
      </c>
      <c r="G5" s="832"/>
      <c r="H5" s="832"/>
      <c r="I5" s="833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34"/>
      <c r="G6" s="835"/>
      <c r="H6" s="835"/>
      <c r="I6" s="836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4508</v>
      </c>
      <c r="C8" s="810"/>
      <c r="D8" s="809" t="s">
        <v>4507</v>
      </c>
      <c r="E8" s="811"/>
      <c r="F8" s="810"/>
      <c r="G8" s="798" t="s">
        <v>4506</v>
      </c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27" t="s">
        <v>4505</v>
      </c>
      <c r="C9" s="828"/>
      <c r="D9" s="819" t="s">
        <v>4504</v>
      </c>
      <c r="E9" s="829"/>
      <c r="F9" s="820"/>
      <c r="G9" s="827" t="s">
        <v>4503</v>
      </c>
      <c r="H9" s="830"/>
      <c r="I9" s="828"/>
      <c r="J9" s="798"/>
      <c r="K9" s="812"/>
      <c r="L9" s="799"/>
      <c r="M9" s="350"/>
      <c r="N9" s="350"/>
    </row>
    <row r="10" spans="1:14">
      <c r="A10" s="352" t="s">
        <v>4361</v>
      </c>
      <c r="B10" s="827" t="s">
        <v>4502</v>
      </c>
      <c r="C10" s="828"/>
      <c r="D10" s="819" t="s">
        <v>4501</v>
      </c>
      <c r="E10" s="829"/>
      <c r="F10" s="820"/>
      <c r="G10" s="827" t="s">
        <v>4501</v>
      </c>
      <c r="H10" s="830"/>
      <c r="I10" s="828"/>
      <c r="J10" s="798"/>
      <c r="K10" s="812"/>
      <c r="L10" s="799"/>
      <c r="M10" s="350"/>
      <c r="N10" s="350"/>
    </row>
    <row r="11" spans="1:14" ht="22.5">
      <c r="A11" s="352" t="s">
        <v>420</v>
      </c>
      <c r="B11" s="827" t="s">
        <v>4500</v>
      </c>
      <c r="C11" s="828"/>
      <c r="D11" s="819" t="s">
        <v>4499</v>
      </c>
      <c r="E11" s="829"/>
      <c r="F11" s="820"/>
      <c r="G11" s="827" t="s">
        <v>4499</v>
      </c>
      <c r="H11" s="830"/>
      <c r="I11" s="828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3</v>
      </c>
      <c r="C13" s="350" t="s">
        <v>4366</v>
      </c>
      <c r="D13" s="350"/>
      <c r="E13" s="350"/>
      <c r="F13" s="351">
        <v>3</v>
      </c>
      <c r="G13" s="350" t="s">
        <v>1491</v>
      </c>
      <c r="H13" s="351">
        <v>21</v>
      </c>
      <c r="I13" s="350" t="s">
        <v>1492</v>
      </c>
      <c r="J13" s="351">
        <v>3</v>
      </c>
      <c r="K13" s="350" t="s">
        <v>1493</v>
      </c>
      <c r="L13" s="351">
        <v>10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273</v>
      </c>
      <c r="K16" s="350" t="s">
        <v>207</v>
      </c>
      <c r="L16" s="351">
        <v>46</v>
      </c>
      <c r="M16" s="353" t="s">
        <v>4367</v>
      </c>
      <c r="N16" s="351">
        <v>30</v>
      </c>
    </row>
    <row r="17" spans="1:14">
      <c r="A17" s="350" t="s">
        <v>209</v>
      </c>
      <c r="B17" s="350"/>
      <c r="C17" s="350" t="s">
        <v>210</v>
      </c>
      <c r="D17" s="351">
        <v>583</v>
      </c>
      <c r="E17" s="350" t="s">
        <v>211</v>
      </c>
      <c r="F17" s="351">
        <v>57</v>
      </c>
      <c r="G17" s="350" t="s">
        <v>212</v>
      </c>
      <c r="H17" s="351">
        <v>51</v>
      </c>
      <c r="I17" s="350" t="s">
        <v>411</v>
      </c>
      <c r="J17" s="351">
        <f>H17+F17+D17</f>
        <v>691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562</v>
      </c>
      <c r="E18" s="350" t="s">
        <v>214</v>
      </c>
      <c r="F18" s="351">
        <v>50</v>
      </c>
      <c r="G18" s="350" t="s">
        <v>1494</v>
      </c>
      <c r="H18" s="351">
        <v>47</v>
      </c>
      <c r="I18" s="350" t="s">
        <v>410</v>
      </c>
      <c r="J18" s="351">
        <f>H18+F18+D18</f>
        <v>659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55.356000000000002</v>
      </c>
      <c r="E23" s="358">
        <v>55.356000000000002</v>
      </c>
      <c r="F23" s="358">
        <v>0.52271999999999996</v>
      </c>
      <c r="G23" s="358">
        <v>5.3101900000000004</v>
      </c>
      <c r="H23" s="358">
        <v>13.880979999999999</v>
      </c>
      <c r="I23" s="358">
        <v>16.002520000000001</v>
      </c>
      <c r="J23" s="358">
        <v>6.8294699999999997</v>
      </c>
      <c r="K23" s="358">
        <v>8.1642899999999994</v>
      </c>
      <c r="L23" s="358"/>
      <c r="M23" s="358">
        <f t="shared" ref="M23:M31" si="0">SUM(F23:L23)</f>
        <v>50.710169999999998</v>
      </c>
      <c r="N23" s="358">
        <f t="shared" ref="N23:N32" si="1">M23/E23*100</f>
        <v>91.607359635811818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6.3</v>
      </c>
      <c r="F24" s="358">
        <v>0</v>
      </c>
      <c r="G24" s="358">
        <v>0.11625000000000001</v>
      </c>
      <c r="H24" s="358">
        <v>1.66126</v>
      </c>
      <c r="I24" s="358">
        <v>1.9418</v>
      </c>
      <c r="J24" s="358">
        <v>2.8961999999999999</v>
      </c>
      <c r="K24" s="358">
        <v>1.88872</v>
      </c>
      <c r="L24" s="358"/>
      <c r="M24" s="358">
        <f t="shared" si="0"/>
        <v>8.5042299999999997</v>
      </c>
      <c r="N24" s="358">
        <f t="shared" si="1"/>
        <v>134.98777777777778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3.0980000000000001E-2</v>
      </c>
      <c r="I25" s="358">
        <v>7.5499999999999998E-2</v>
      </c>
      <c r="J25" s="358">
        <v>0</v>
      </c>
      <c r="K25" s="358">
        <v>0</v>
      </c>
      <c r="L25" s="358"/>
      <c r="M25" s="358">
        <f t="shared" si="0"/>
        <v>0.10647999999999999</v>
      </c>
      <c r="N25" s="358">
        <f t="shared" si="1"/>
        <v>24.762790697674415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0.27468999999999999</v>
      </c>
      <c r="I26" s="358">
        <v>6.5310000000000007E-2</v>
      </c>
      <c r="J26" s="358">
        <v>0</v>
      </c>
      <c r="K26" s="358">
        <v>0</v>
      </c>
      <c r="L26" s="358"/>
      <c r="M26" s="358">
        <f t="shared" si="0"/>
        <v>0.33999999999999997</v>
      </c>
      <c r="N26" s="358">
        <f t="shared" si="1"/>
        <v>99.999999999999986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8.3033999999999999</v>
      </c>
      <c r="E27" s="358">
        <v>5.8992399999999998</v>
      </c>
      <c r="F27" s="358">
        <v>0</v>
      </c>
      <c r="G27" s="358">
        <v>0</v>
      </c>
      <c r="H27" s="358">
        <v>0</v>
      </c>
      <c r="I27" s="358">
        <v>0.96814</v>
      </c>
      <c r="J27" s="358">
        <v>0</v>
      </c>
      <c r="K27" s="358">
        <v>3.3347799999999999</v>
      </c>
      <c r="L27" s="358"/>
      <c r="M27" s="358">
        <f t="shared" si="0"/>
        <v>4.3029200000000003</v>
      </c>
      <c r="N27" s="358">
        <f t="shared" si="1"/>
        <v>72.940243149965085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</v>
      </c>
      <c r="H28" s="358">
        <v>0.15</v>
      </c>
      <c r="I28" s="358">
        <v>3.7261799999999998</v>
      </c>
      <c r="J28" s="358">
        <v>0</v>
      </c>
      <c r="K28" s="358">
        <v>0</v>
      </c>
      <c r="L28" s="358"/>
      <c r="M28" s="358">
        <f t="shared" si="0"/>
        <v>3.8761799999999997</v>
      </c>
      <c r="N28" s="358">
        <f t="shared" si="1"/>
        <v>136.96749116607771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6.9195000000000002</v>
      </c>
      <c r="E29" s="358">
        <v>6.9195000000000002</v>
      </c>
      <c r="F29" s="358">
        <v>0</v>
      </c>
      <c r="G29" s="358">
        <v>0.98085</v>
      </c>
      <c r="H29" s="358">
        <v>0.16</v>
      </c>
      <c r="I29" s="358">
        <v>0.88882000000000005</v>
      </c>
      <c r="J29" s="358">
        <v>0</v>
      </c>
      <c r="K29" s="358">
        <v>2.7113399999999999</v>
      </c>
      <c r="L29" s="358"/>
      <c r="M29" s="358">
        <f t="shared" si="0"/>
        <v>4.7410099999999993</v>
      </c>
      <c r="N29" s="358">
        <f t="shared" si="1"/>
        <v>68.516655827733203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0.18149999999999999</v>
      </c>
      <c r="G30" s="358">
        <v>0.3201</v>
      </c>
      <c r="H30" s="358">
        <v>0.15085000000000001</v>
      </c>
      <c r="I30" s="358">
        <v>0.372</v>
      </c>
      <c r="J30" s="358">
        <v>0.24984999999999999</v>
      </c>
      <c r="K30" s="358">
        <v>0.28860000000000002</v>
      </c>
      <c r="L30" s="358"/>
      <c r="M30" s="358">
        <f t="shared" si="0"/>
        <v>1.5629</v>
      </c>
      <c r="N30" s="358">
        <f t="shared" si="1"/>
        <v>67.658008658008654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 t="shared" ref="D32:M32" si="2">SUM(D23:D31)</f>
        <v>82.218899999999991</v>
      </c>
      <c r="E32" s="360">
        <f t="shared" si="2"/>
        <v>80.484740000000002</v>
      </c>
      <c r="F32" s="360">
        <f t="shared" si="2"/>
        <v>0.70421999999999996</v>
      </c>
      <c r="G32" s="360">
        <f t="shared" si="2"/>
        <v>6.7273900000000006</v>
      </c>
      <c r="H32" s="360">
        <f t="shared" si="2"/>
        <v>16.308759999999996</v>
      </c>
      <c r="I32" s="360">
        <f t="shared" si="2"/>
        <v>24.040270000000003</v>
      </c>
      <c r="J32" s="360">
        <f t="shared" si="2"/>
        <v>9.9755199999999995</v>
      </c>
      <c r="K32" s="360">
        <f t="shared" si="2"/>
        <v>16.387729999999998</v>
      </c>
      <c r="L32" s="360">
        <f t="shared" si="2"/>
        <v>0</v>
      </c>
      <c r="M32" s="360">
        <f t="shared" si="2"/>
        <v>74.143889999999999</v>
      </c>
      <c r="N32" s="358">
        <f t="shared" si="1"/>
        <v>92.12167424532899</v>
      </c>
    </row>
  </sheetData>
  <mergeCells count="30">
    <mergeCell ref="F21:N21"/>
    <mergeCell ref="A21:A22"/>
    <mergeCell ref="B21:B22"/>
    <mergeCell ref="C21:C22"/>
    <mergeCell ref="D21:D22"/>
    <mergeCell ref="E21:E22"/>
    <mergeCell ref="B8:C8"/>
    <mergeCell ref="D8:F8"/>
    <mergeCell ref="G8:I8"/>
    <mergeCell ref="J8:L8"/>
    <mergeCell ref="B11:C11"/>
    <mergeCell ref="D11:F11"/>
    <mergeCell ref="G11:I11"/>
    <mergeCell ref="J11:L11"/>
    <mergeCell ref="B9:C9"/>
    <mergeCell ref="D9:F9"/>
    <mergeCell ref="G9:I9"/>
    <mergeCell ref="J9:L9"/>
    <mergeCell ref="B10:C10"/>
    <mergeCell ref="D10:F10"/>
    <mergeCell ref="G10:I10"/>
    <mergeCell ref="J10:L10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350" t="s">
        <v>4347</v>
      </c>
      <c r="B1" s="798" t="s">
        <v>4530</v>
      </c>
      <c r="C1" s="799"/>
      <c r="D1" s="350" t="s">
        <v>4349</v>
      </c>
      <c r="E1" s="350"/>
      <c r="F1" s="798" t="s">
        <v>4529</v>
      </c>
      <c r="G1" s="799"/>
      <c r="H1" s="806" t="s">
        <v>5</v>
      </c>
      <c r="I1" s="807"/>
      <c r="J1" s="351">
        <v>575.55999999999995</v>
      </c>
      <c r="K1" s="350" t="s">
        <v>436</v>
      </c>
      <c r="L1" s="350"/>
      <c r="M1" s="351">
        <v>365.37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819" t="s">
        <v>4528</v>
      </c>
      <c r="C3" s="820"/>
      <c r="D3" s="350" t="s">
        <v>1208</v>
      </c>
      <c r="E3" s="350"/>
      <c r="F3" s="819" t="s">
        <v>4527</v>
      </c>
      <c r="G3" s="820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819" t="s">
        <v>4516</v>
      </c>
      <c r="C5" s="820"/>
      <c r="D5" s="350" t="s">
        <v>4355</v>
      </c>
      <c r="E5" s="350"/>
      <c r="F5" s="821" t="s">
        <v>4526</v>
      </c>
      <c r="G5" s="822"/>
      <c r="H5" s="822"/>
      <c r="I5" s="823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24"/>
      <c r="G6" s="825"/>
      <c r="H6" s="825"/>
      <c r="I6" s="826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4525</v>
      </c>
      <c r="C8" s="810"/>
      <c r="D8" s="809" t="s">
        <v>4524</v>
      </c>
      <c r="E8" s="811"/>
      <c r="F8" s="810"/>
      <c r="G8" s="798" t="s">
        <v>4523</v>
      </c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27" t="s">
        <v>4522</v>
      </c>
      <c r="C9" s="828"/>
      <c r="D9" s="827" t="s">
        <v>4521</v>
      </c>
      <c r="E9" s="830"/>
      <c r="F9" s="828"/>
      <c r="G9" s="819" t="s">
        <v>4520</v>
      </c>
      <c r="H9" s="829"/>
      <c r="I9" s="820"/>
      <c r="J9" s="798"/>
      <c r="K9" s="812"/>
      <c r="L9" s="799"/>
      <c r="M9" s="350"/>
      <c r="N9" s="350"/>
    </row>
    <row r="10" spans="1:14">
      <c r="A10" s="352" t="s">
        <v>4361</v>
      </c>
      <c r="B10" s="827" t="s">
        <v>4519</v>
      </c>
      <c r="C10" s="828"/>
      <c r="D10" s="827" t="s">
        <v>4518</v>
      </c>
      <c r="E10" s="830"/>
      <c r="F10" s="828"/>
      <c r="G10" s="819" t="s">
        <v>4517</v>
      </c>
      <c r="H10" s="829"/>
      <c r="I10" s="820"/>
      <c r="J10" s="798"/>
      <c r="K10" s="812"/>
      <c r="L10" s="799"/>
      <c r="M10" s="350"/>
      <c r="N10" s="350"/>
    </row>
    <row r="11" spans="1:14" ht="22.5">
      <c r="A11" s="352" t="s">
        <v>420</v>
      </c>
      <c r="B11" s="827" t="s">
        <v>4516</v>
      </c>
      <c r="C11" s="828"/>
      <c r="D11" s="827" t="s">
        <v>4515</v>
      </c>
      <c r="E11" s="830"/>
      <c r="F11" s="828"/>
      <c r="G11" s="819" t="s">
        <v>4514</v>
      </c>
      <c r="H11" s="829"/>
      <c r="I11" s="820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3</v>
      </c>
      <c r="C13" s="350" t="s">
        <v>4366</v>
      </c>
      <c r="D13" s="350"/>
      <c r="E13" s="350"/>
      <c r="F13" s="351">
        <v>3</v>
      </c>
      <c r="G13" s="350" t="s">
        <v>1491</v>
      </c>
      <c r="H13" s="351">
        <v>35</v>
      </c>
      <c r="I13" s="350" t="s">
        <v>1492</v>
      </c>
      <c r="J13" s="351">
        <v>2</v>
      </c>
      <c r="K13" s="350" t="s">
        <v>1493</v>
      </c>
      <c r="L13" s="351">
        <v>28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400</v>
      </c>
      <c r="K16" s="350" t="s">
        <v>207</v>
      </c>
      <c r="L16" s="351">
        <v>99</v>
      </c>
      <c r="M16" s="353" t="s">
        <v>4367</v>
      </c>
      <c r="N16" s="351">
        <v>23</v>
      </c>
    </row>
    <row r="17" spans="1:14">
      <c r="A17" s="350" t="s">
        <v>209</v>
      </c>
      <c r="B17" s="350"/>
      <c r="C17" s="350" t="s">
        <v>210</v>
      </c>
      <c r="D17" s="351">
        <v>1092</v>
      </c>
      <c r="E17" s="350" t="s">
        <v>211</v>
      </c>
      <c r="F17" s="351">
        <v>65</v>
      </c>
      <c r="G17" s="350" t="s">
        <v>212</v>
      </c>
      <c r="H17" s="351">
        <v>28</v>
      </c>
      <c r="I17" s="350" t="s">
        <v>411</v>
      </c>
      <c r="J17" s="351">
        <f>H17+F17+D17</f>
        <v>1185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909</v>
      </c>
      <c r="E18" s="350" t="s">
        <v>214</v>
      </c>
      <c r="F18" s="351">
        <v>69</v>
      </c>
      <c r="G18" s="350" t="s">
        <v>1494</v>
      </c>
      <c r="H18" s="351">
        <v>32</v>
      </c>
      <c r="I18" s="350" t="s">
        <v>410</v>
      </c>
      <c r="J18" s="351">
        <f>H18+F18+D18</f>
        <v>1010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46.044800000000002</v>
      </c>
      <c r="E23" s="358">
        <v>46.044800000000002</v>
      </c>
      <c r="F23" s="358">
        <v>0.64620999999999995</v>
      </c>
      <c r="G23" s="358">
        <v>7.4123299999999999</v>
      </c>
      <c r="H23" s="358">
        <v>8.7414500000000004</v>
      </c>
      <c r="I23" s="358">
        <v>15.40408</v>
      </c>
      <c r="J23" s="358">
        <v>1.31568</v>
      </c>
      <c r="K23" s="358">
        <v>11.06793</v>
      </c>
      <c r="L23" s="358"/>
      <c r="M23" s="358">
        <f t="shared" ref="M23:M31" si="0">SUM(F23:L23)</f>
        <v>44.587680000000006</v>
      </c>
      <c r="N23" s="358">
        <f t="shared" ref="N23:N32" si="1">M23/E23*100</f>
        <v>96.8354298422406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4.0999999999999996</v>
      </c>
      <c r="F24" s="358">
        <v>0</v>
      </c>
      <c r="G24" s="358">
        <v>0</v>
      </c>
      <c r="H24" s="358">
        <v>1.0290600000000001</v>
      </c>
      <c r="I24" s="358">
        <v>0.31728000000000001</v>
      </c>
      <c r="J24" s="358">
        <v>0.56925000000000003</v>
      </c>
      <c r="K24" s="358">
        <v>0.93855</v>
      </c>
      <c r="L24" s="358"/>
      <c r="M24" s="358">
        <f t="shared" si="0"/>
        <v>2.8541400000000001</v>
      </c>
      <c r="N24" s="358">
        <f t="shared" si="1"/>
        <v>69.613170731707328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0.37404999999999999</v>
      </c>
      <c r="I25" s="358">
        <v>0.10065</v>
      </c>
      <c r="J25" s="358">
        <v>0</v>
      </c>
      <c r="K25" s="358">
        <v>0</v>
      </c>
      <c r="L25" s="358"/>
      <c r="M25" s="358">
        <f t="shared" si="0"/>
        <v>0.47470000000000001</v>
      </c>
      <c r="N25" s="358">
        <f t="shared" si="1"/>
        <v>110.39534883720931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0.28000000000000003</v>
      </c>
      <c r="I26" s="358">
        <v>0.06</v>
      </c>
      <c r="J26" s="358">
        <v>0</v>
      </c>
      <c r="K26" s="358">
        <v>0</v>
      </c>
      <c r="L26" s="358"/>
      <c r="M26" s="358">
        <f t="shared" si="0"/>
        <v>0.34</v>
      </c>
      <c r="N26" s="358">
        <f t="shared" si="1"/>
        <v>100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6.9067199999999991</v>
      </c>
      <c r="E27" s="358">
        <v>6.90672</v>
      </c>
      <c r="F27" s="358">
        <v>0</v>
      </c>
      <c r="G27" s="358">
        <v>0</v>
      </c>
      <c r="H27" s="358">
        <v>0</v>
      </c>
      <c r="I27" s="358">
        <v>0.15</v>
      </c>
      <c r="J27" s="358">
        <v>0.33938000000000001</v>
      </c>
      <c r="K27" s="358">
        <v>5.4803300000000004</v>
      </c>
      <c r="L27" s="358"/>
      <c r="M27" s="358">
        <f t="shared" si="0"/>
        <v>5.9697100000000001</v>
      </c>
      <c r="N27" s="358">
        <f t="shared" si="1"/>
        <v>86.433357657469827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</v>
      </c>
      <c r="H28" s="358">
        <v>0.55000000000000004</v>
      </c>
      <c r="I28" s="358">
        <v>2.4685800000000002</v>
      </c>
      <c r="J28" s="358">
        <v>0</v>
      </c>
      <c r="K28" s="358">
        <v>0</v>
      </c>
      <c r="L28" s="358"/>
      <c r="M28" s="358">
        <f t="shared" si="0"/>
        <v>3.01858</v>
      </c>
      <c r="N28" s="358">
        <f t="shared" si="1"/>
        <v>106.66360424028269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5.7556000000000003</v>
      </c>
      <c r="E29" s="358">
        <v>5.7556000000000003</v>
      </c>
      <c r="F29" s="358">
        <v>0</v>
      </c>
      <c r="G29" s="358">
        <v>0.90358000000000005</v>
      </c>
      <c r="H29" s="358">
        <v>0</v>
      </c>
      <c r="I29" s="358">
        <v>1.00061</v>
      </c>
      <c r="J29" s="358">
        <v>0</v>
      </c>
      <c r="K29" s="358">
        <v>1.9971300000000001</v>
      </c>
      <c r="L29" s="358"/>
      <c r="M29" s="358">
        <f t="shared" si="0"/>
        <v>3.9013200000000001</v>
      </c>
      <c r="N29" s="358">
        <f t="shared" si="1"/>
        <v>67.783028702481062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0.18149999999999999</v>
      </c>
      <c r="G30" s="358">
        <v>0.27510000000000001</v>
      </c>
      <c r="H30" s="358">
        <v>0.29965000000000003</v>
      </c>
      <c r="I30" s="358">
        <v>0.26679999999999998</v>
      </c>
      <c r="J30" s="358">
        <v>0.20945</v>
      </c>
      <c r="K30" s="358">
        <v>0.312</v>
      </c>
      <c r="L30" s="358"/>
      <c r="M30" s="358">
        <f t="shared" si="0"/>
        <v>1.5445</v>
      </c>
      <c r="N30" s="358">
        <f t="shared" si="1"/>
        <v>66.861471861471856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 t="shared" ref="D32:M32" si="2">SUM(D23:D31)</f>
        <v>70.34711999999999</v>
      </c>
      <c r="E32" s="360">
        <f t="shared" si="2"/>
        <v>68.817120000000003</v>
      </c>
      <c r="F32" s="360">
        <f t="shared" si="2"/>
        <v>0.82770999999999995</v>
      </c>
      <c r="G32" s="360">
        <f t="shared" si="2"/>
        <v>8.5910100000000007</v>
      </c>
      <c r="H32" s="360">
        <f t="shared" si="2"/>
        <v>11.27421</v>
      </c>
      <c r="I32" s="360">
        <f t="shared" si="2"/>
        <v>19.767999999999997</v>
      </c>
      <c r="J32" s="360">
        <f t="shared" si="2"/>
        <v>2.4337599999999999</v>
      </c>
      <c r="K32" s="360">
        <f t="shared" si="2"/>
        <v>19.795939999999998</v>
      </c>
      <c r="L32" s="360">
        <f t="shared" si="2"/>
        <v>0</v>
      </c>
      <c r="M32" s="360">
        <f t="shared" si="2"/>
        <v>62.690630000000006</v>
      </c>
      <c r="N32" s="358">
        <f t="shared" si="1"/>
        <v>91.09743331310581</v>
      </c>
    </row>
  </sheetData>
  <mergeCells count="30">
    <mergeCell ref="F21:N21"/>
    <mergeCell ref="A21:A22"/>
    <mergeCell ref="B21:B22"/>
    <mergeCell ref="C21:C22"/>
    <mergeCell ref="D21:D22"/>
    <mergeCell ref="E21:E22"/>
    <mergeCell ref="B8:C8"/>
    <mergeCell ref="D8:F8"/>
    <mergeCell ref="G8:I8"/>
    <mergeCell ref="J8:L8"/>
    <mergeCell ref="B11:C11"/>
    <mergeCell ref="D11:F11"/>
    <mergeCell ref="G11:I11"/>
    <mergeCell ref="J11:L11"/>
    <mergeCell ref="B9:C9"/>
    <mergeCell ref="D9:F9"/>
    <mergeCell ref="G9:I9"/>
    <mergeCell ref="J9:L9"/>
    <mergeCell ref="B10:C10"/>
    <mergeCell ref="D10:F10"/>
    <mergeCell ref="G10:I10"/>
    <mergeCell ref="J10:L10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350" t="s">
        <v>4347</v>
      </c>
      <c r="B1" s="798" t="s">
        <v>147</v>
      </c>
      <c r="C1" s="799"/>
      <c r="D1" s="350" t="s">
        <v>4349</v>
      </c>
      <c r="E1" s="350"/>
      <c r="F1" s="798" t="s">
        <v>4548</v>
      </c>
      <c r="G1" s="799"/>
      <c r="H1" s="806" t="s">
        <v>5</v>
      </c>
      <c r="I1" s="807"/>
      <c r="J1" s="351">
        <v>450.51</v>
      </c>
      <c r="K1" s="350" t="s">
        <v>436</v>
      </c>
      <c r="L1" s="350"/>
      <c r="M1" s="351">
        <v>58.98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819" t="s">
        <v>4547</v>
      </c>
      <c r="C3" s="820"/>
      <c r="D3" s="350" t="s">
        <v>1208</v>
      </c>
      <c r="E3" s="350"/>
      <c r="F3" s="819" t="s">
        <v>4546</v>
      </c>
      <c r="G3" s="820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819" t="s">
        <v>4545</v>
      </c>
      <c r="C5" s="820"/>
      <c r="D5" s="350" t="s">
        <v>4355</v>
      </c>
      <c r="E5" s="350"/>
      <c r="F5" s="831" t="s">
        <v>4544</v>
      </c>
      <c r="G5" s="832"/>
      <c r="H5" s="832"/>
      <c r="I5" s="833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34"/>
      <c r="G6" s="835"/>
      <c r="H6" s="835"/>
      <c r="I6" s="836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4543</v>
      </c>
      <c r="C8" s="810"/>
      <c r="D8" s="809" t="s">
        <v>4542</v>
      </c>
      <c r="E8" s="811"/>
      <c r="F8" s="810"/>
      <c r="G8" s="798" t="s">
        <v>4541</v>
      </c>
      <c r="H8" s="812"/>
      <c r="I8" s="799"/>
      <c r="J8" s="798" t="s">
        <v>4540</v>
      </c>
      <c r="K8" s="812"/>
      <c r="L8" s="799"/>
      <c r="M8" s="350"/>
      <c r="N8" s="350"/>
    </row>
    <row r="9" spans="1:14">
      <c r="A9" s="352" t="s">
        <v>840</v>
      </c>
      <c r="B9" s="827" t="s">
        <v>4539</v>
      </c>
      <c r="C9" s="828"/>
      <c r="D9" s="827" t="s">
        <v>4538</v>
      </c>
      <c r="E9" s="830"/>
      <c r="F9" s="828"/>
      <c r="G9" s="819" t="s">
        <v>4537</v>
      </c>
      <c r="H9" s="829"/>
      <c r="I9" s="820"/>
      <c r="J9" s="798"/>
      <c r="K9" s="812"/>
      <c r="L9" s="799"/>
      <c r="M9" s="350"/>
      <c r="N9" s="350"/>
    </row>
    <row r="10" spans="1:14">
      <c r="A10" s="352" t="s">
        <v>4361</v>
      </c>
      <c r="B10" s="827" t="s">
        <v>4536</v>
      </c>
      <c r="C10" s="828"/>
      <c r="D10" s="827" t="s">
        <v>4535</v>
      </c>
      <c r="E10" s="830"/>
      <c r="F10" s="828"/>
      <c r="G10" s="819" t="s">
        <v>4534</v>
      </c>
      <c r="H10" s="829"/>
      <c r="I10" s="820"/>
      <c r="J10" s="798"/>
      <c r="K10" s="812"/>
      <c r="L10" s="799"/>
      <c r="M10" s="350"/>
      <c r="N10" s="350"/>
    </row>
    <row r="11" spans="1:14" ht="22.5">
      <c r="A11" s="352" t="s">
        <v>420</v>
      </c>
      <c r="B11" s="827" t="s">
        <v>4533</v>
      </c>
      <c r="C11" s="828"/>
      <c r="D11" s="827" t="s">
        <v>4532</v>
      </c>
      <c r="E11" s="830"/>
      <c r="F11" s="828"/>
      <c r="G11" s="819" t="s">
        <v>4531</v>
      </c>
      <c r="H11" s="829"/>
      <c r="I11" s="820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4</v>
      </c>
      <c r="C13" s="350" t="s">
        <v>4366</v>
      </c>
      <c r="D13" s="350"/>
      <c r="E13" s="350"/>
      <c r="F13" s="351">
        <v>5</v>
      </c>
      <c r="G13" s="350" t="s">
        <v>1491</v>
      </c>
      <c r="H13" s="351">
        <v>29</v>
      </c>
      <c r="I13" s="350" t="s">
        <v>1492</v>
      </c>
      <c r="J13" s="351">
        <v>2</v>
      </c>
      <c r="K13" s="350" t="s">
        <v>1493</v>
      </c>
      <c r="L13" s="351">
        <v>30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367</v>
      </c>
      <c r="K16" s="350" t="s">
        <v>207</v>
      </c>
      <c r="L16" s="351">
        <v>57</v>
      </c>
      <c r="M16" s="353" t="s">
        <v>4367</v>
      </c>
      <c r="N16" s="351">
        <v>31</v>
      </c>
    </row>
    <row r="17" spans="1:14">
      <c r="A17" s="350" t="s">
        <v>209</v>
      </c>
      <c r="B17" s="350"/>
      <c r="C17" s="350" t="s">
        <v>210</v>
      </c>
      <c r="D17" s="351">
        <v>721</v>
      </c>
      <c r="E17" s="350" t="s">
        <v>211</v>
      </c>
      <c r="F17" s="351">
        <v>70</v>
      </c>
      <c r="G17" s="350" t="s">
        <v>212</v>
      </c>
      <c r="H17" s="351">
        <v>3</v>
      </c>
      <c r="I17" s="350" t="s">
        <v>411</v>
      </c>
      <c r="J17" s="351">
        <f>H17+F17+D17</f>
        <v>794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701</v>
      </c>
      <c r="E18" s="350" t="s">
        <v>214</v>
      </c>
      <c r="F18" s="351">
        <v>77</v>
      </c>
      <c r="G18" s="350" t="s">
        <v>1494</v>
      </c>
      <c r="H18" s="351">
        <v>5</v>
      </c>
      <c r="I18" s="350" t="s">
        <v>410</v>
      </c>
      <c r="J18" s="351">
        <f>H18+F18+D18</f>
        <v>783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36.040799999999997</v>
      </c>
      <c r="E23" s="358">
        <v>36.040799999999997</v>
      </c>
      <c r="F23" s="358">
        <v>0.90432999999999997</v>
      </c>
      <c r="G23" s="358">
        <v>7.5449099999999998</v>
      </c>
      <c r="H23" s="358">
        <v>17.280740000000002</v>
      </c>
      <c r="I23" s="358">
        <v>10.31082</v>
      </c>
      <c r="J23" s="358">
        <v>0.36662</v>
      </c>
      <c r="K23" s="358">
        <v>3.6339399999999999</v>
      </c>
      <c r="L23" s="358"/>
      <c r="M23" s="358">
        <f t="shared" ref="M23:M31" si="0">SUM(F23:L23)</f>
        <v>40.041360000000005</v>
      </c>
      <c r="N23" s="358">
        <f t="shared" ref="N23:N32" si="1">M23/E23*100</f>
        <v>111.10008656855565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4.0999999999999996</v>
      </c>
      <c r="F24" s="358">
        <v>0</v>
      </c>
      <c r="G24" s="358">
        <v>0.10249999999999999</v>
      </c>
      <c r="H24" s="358">
        <v>0.82581000000000004</v>
      </c>
      <c r="I24" s="358">
        <v>1.7172400000000001</v>
      </c>
      <c r="J24" s="358">
        <v>1.9407000000000001</v>
      </c>
      <c r="K24" s="358">
        <v>0.97311999999999999</v>
      </c>
      <c r="L24" s="358"/>
      <c r="M24" s="358">
        <f t="shared" si="0"/>
        <v>5.5593699999999995</v>
      </c>
      <c r="N24" s="358">
        <f t="shared" si="1"/>
        <v>135.59439024390244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0.27442</v>
      </c>
      <c r="I25" s="358">
        <v>0.15558</v>
      </c>
      <c r="J25" s="358">
        <v>0</v>
      </c>
      <c r="K25" s="358">
        <v>0</v>
      </c>
      <c r="L25" s="358"/>
      <c r="M25" s="358">
        <f t="shared" si="0"/>
        <v>0.43</v>
      </c>
      <c r="N25" s="358">
        <f t="shared" si="1"/>
        <v>100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0.28000000000000003</v>
      </c>
      <c r="I26" s="358">
        <v>0.06</v>
      </c>
      <c r="J26" s="358">
        <v>0</v>
      </c>
      <c r="K26" s="358">
        <v>0</v>
      </c>
      <c r="L26" s="358"/>
      <c r="M26" s="358">
        <f t="shared" si="0"/>
        <v>0.34</v>
      </c>
      <c r="N26" s="358">
        <f t="shared" si="1"/>
        <v>100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5.4061199999999996</v>
      </c>
      <c r="E27" s="358">
        <v>5.4061199999999996</v>
      </c>
      <c r="F27" s="358">
        <v>0</v>
      </c>
      <c r="G27" s="358">
        <v>0</v>
      </c>
      <c r="H27" s="358">
        <v>0</v>
      </c>
      <c r="I27" s="358">
        <v>0</v>
      </c>
      <c r="J27" s="358">
        <v>-0.60646</v>
      </c>
      <c r="K27" s="358">
        <v>3.7930799999999998</v>
      </c>
      <c r="L27" s="358"/>
      <c r="M27" s="358">
        <f t="shared" si="0"/>
        <v>3.1866199999999996</v>
      </c>
      <c r="N27" s="358">
        <f t="shared" si="1"/>
        <v>58.944677513632691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0.3</v>
      </c>
      <c r="H28" s="358">
        <v>0</v>
      </c>
      <c r="I28" s="358">
        <v>2.0120399999999998</v>
      </c>
      <c r="J28" s="358">
        <v>0</v>
      </c>
      <c r="K28" s="358">
        <v>0</v>
      </c>
      <c r="L28" s="358"/>
      <c r="M28" s="358">
        <f t="shared" si="0"/>
        <v>2.3120399999999997</v>
      </c>
      <c r="N28" s="358">
        <f t="shared" si="1"/>
        <v>81.697526501766774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4.5050999999999997</v>
      </c>
      <c r="E29" s="358">
        <v>4.5050999999999997</v>
      </c>
      <c r="F29" s="358">
        <v>0.46</v>
      </c>
      <c r="G29" s="358">
        <v>0.47142000000000001</v>
      </c>
      <c r="H29" s="358">
        <v>0</v>
      </c>
      <c r="I29" s="358">
        <v>0</v>
      </c>
      <c r="J29" s="358">
        <v>-0.31969999999999998</v>
      </c>
      <c r="K29" s="358">
        <v>2.2126199999999998</v>
      </c>
      <c r="L29" s="358"/>
      <c r="M29" s="358">
        <f t="shared" si="0"/>
        <v>2.8243399999999999</v>
      </c>
      <c r="N29" s="358">
        <f t="shared" si="1"/>
        <v>62.692060109653504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0.18149999999999999</v>
      </c>
      <c r="G30" s="358">
        <v>0.3725</v>
      </c>
      <c r="H30" s="358">
        <v>0.35785</v>
      </c>
      <c r="I30" s="358">
        <v>0.30299999999999999</v>
      </c>
      <c r="J30" s="358">
        <v>0.12765000000000001</v>
      </c>
      <c r="K30" s="358">
        <v>0.189</v>
      </c>
      <c r="L30" s="358"/>
      <c r="M30" s="358">
        <f t="shared" si="0"/>
        <v>1.5315000000000001</v>
      </c>
      <c r="N30" s="358">
        <f t="shared" si="1"/>
        <v>66.298701298701303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 t="shared" ref="D32:M32" si="2">SUM(D23:D31)</f>
        <v>57.592019999999998</v>
      </c>
      <c r="E32" s="360">
        <f t="shared" si="2"/>
        <v>56.062020000000004</v>
      </c>
      <c r="F32" s="360">
        <f t="shared" si="2"/>
        <v>1.54583</v>
      </c>
      <c r="G32" s="360">
        <f t="shared" si="2"/>
        <v>8.7913300000000003</v>
      </c>
      <c r="H32" s="360">
        <f t="shared" si="2"/>
        <v>19.018820000000002</v>
      </c>
      <c r="I32" s="360">
        <f t="shared" si="2"/>
        <v>14.558680000000003</v>
      </c>
      <c r="J32" s="360">
        <f t="shared" si="2"/>
        <v>1.5088100000000004</v>
      </c>
      <c r="K32" s="360">
        <f t="shared" si="2"/>
        <v>10.80176</v>
      </c>
      <c r="L32" s="360">
        <f t="shared" si="2"/>
        <v>0</v>
      </c>
      <c r="M32" s="360">
        <f t="shared" si="2"/>
        <v>56.22523000000001</v>
      </c>
      <c r="N32" s="358">
        <f t="shared" si="1"/>
        <v>100.29112400873177</v>
      </c>
    </row>
  </sheetData>
  <mergeCells count="30">
    <mergeCell ref="F21:N21"/>
    <mergeCell ref="A21:A22"/>
    <mergeCell ref="B21:B22"/>
    <mergeCell ref="C21:C22"/>
    <mergeCell ref="D21:D22"/>
    <mergeCell ref="E21:E22"/>
    <mergeCell ref="B8:C8"/>
    <mergeCell ref="D8:F8"/>
    <mergeCell ref="G8:I8"/>
    <mergeCell ref="J8:L8"/>
    <mergeCell ref="B11:C11"/>
    <mergeCell ref="D11:F11"/>
    <mergeCell ref="G11:I11"/>
    <mergeCell ref="J11:L11"/>
    <mergeCell ref="B9:C9"/>
    <mergeCell ref="D9:F9"/>
    <mergeCell ref="G9:I9"/>
    <mergeCell ref="J9:L9"/>
    <mergeCell ref="B10:C10"/>
    <mergeCell ref="D10:F10"/>
    <mergeCell ref="G10:I10"/>
    <mergeCell ref="J10:L10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350" t="s">
        <v>4347</v>
      </c>
      <c r="B1" s="798" t="s">
        <v>4562</v>
      </c>
      <c r="C1" s="799"/>
      <c r="D1" s="350" t="s">
        <v>4349</v>
      </c>
      <c r="E1" s="350"/>
      <c r="F1" s="798" t="s">
        <v>4561</v>
      </c>
      <c r="G1" s="799"/>
      <c r="H1" s="806" t="s">
        <v>5</v>
      </c>
      <c r="I1" s="807"/>
      <c r="J1" s="351">
        <v>408.27</v>
      </c>
      <c r="K1" s="350" t="s">
        <v>436</v>
      </c>
      <c r="L1" s="350"/>
      <c r="M1" s="351">
        <v>550.32000000000005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819" t="s">
        <v>4560</v>
      </c>
      <c r="C3" s="820"/>
      <c r="D3" s="350" t="s">
        <v>1208</v>
      </c>
      <c r="E3" s="350"/>
      <c r="F3" s="819" t="s">
        <v>4559</v>
      </c>
      <c r="G3" s="820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819" t="s">
        <v>4558</v>
      </c>
      <c r="C5" s="820"/>
      <c r="D5" s="350" t="s">
        <v>4355</v>
      </c>
      <c r="E5" s="350"/>
      <c r="F5" s="821" t="s">
        <v>4557</v>
      </c>
      <c r="G5" s="822"/>
      <c r="H5" s="822"/>
      <c r="I5" s="823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24"/>
      <c r="G6" s="825"/>
      <c r="H6" s="825"/>
      <c r="I6" s="826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4556</v>
      </c>
      <c r="C8" s="810"/>
      <c r="D8" s="809" t="s">
        <v>4555</v>
      </c>
      <c r="E8" s="811"/>
      <c r="F8" s="810"/>
      <c r="G8" s="798"/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27" t="s">
        <v>4554</v>
      </c>
      <c r="C9" s="828"/>
      <c r="D9" s="827" t="s">
        <v>4553</v>
      </c>
      <c r="E9" s="830"/>
      <c r="F9" s="828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27" t="s">
        <v>4552</v>
      </c>
      <c r="C10" s="828"/>
      <c r="D10" s="827" t="s">
        <v>4551</v>
      </c>
      <c r="E10" s="830"/>
      <c r="F10" s="828"/>
      <c r="G10" s="798"/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27" t="s">
        <v>4550</v>
      </c>
      <c r="C11" s="828"/>
      <c r="D11" s="827" t="s">
        <v>4549</v>
      </c>
      <c r="E11" s="830"/>
      <c r="F11" s="828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2</v>
      </c>
      <c r="C13" s="350" t="s">
        <v>4366</v>
      </c>
      <c r="D13" s="350"/>
      <c r="E13" s="350"/>
      <c r="F13" s="351">
        <v>2</v>
      </c>
      <c r="G13" s="350" t="s">
        <v>1491</v>
      </c>
      <c r="H13" s="351">
        <v>31</v>
      </c>
      <c r="I13" s="350" t="s">
        <v>1492</v>
      </c>
      <c r="J13" s="351">
        <v>2</v>
      </c>
      <c r="K13" s="350" t="s">
        <v>1493</v>
      </c>
      <c r="L13" s="351">
        <v>24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383</v>
      </c>
      <c r="K16" s="350" t="s">
        <v>207</v>
      </c>
      <c r="L16" s="351">
        <v>161</v>
      </c>
      <c r="M16" s="353" t="s">
        <v>4367</v>
      </c>
      <c r="N16" s="351">
        <v>27</v>
      </c>
    </row>
    <row r="17" spans="1:14">
      <c r="A17" s="350" t="s">
        <v>209</v>
      </c>
      <c r="B17" s="350"/>
      <c r="C17" s="350" t="s">
        <v>210</v>
      </c>
      <c r="D17" s="351">
        <v>784</v>
      </c>
      <c r="E17" s="350" t="s">
        <v>211</v>
      </c>
      <c r="F17" s="351">
        <v>26</v>
      </c>
      <c r="G17" s="350" t="s">
        <v>212</v>
      </c>
      <c r="H17" s="351">
        <v>63</v>
      </c>
      <c r="I17" s="350" t="s">
        <v>411</v>
      </c>
      <c r="J17" s="351">
        <f>H17+F17+D17</f>
        <v>873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843</v>
      </c>
      <c r="E18" s="350" t="s">
        <v>214</v>
      </c>
      <c r="F18" s="351">
        <v>28</v>
      </c>
      <c r="G18" s="350" t="s">
        <v>1494</v>
      </c>
      <c r="H18" s="351">
        <v>76</v>
      </c>
      <c r="I18" s="350" t="s">
        <v>410</v>
      </c>
      <c r="J18" s="351">
        <f>H18+F18+D18</f>
        <v>947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32.6616</v>
      </c>
      <c r="E23" s="358">
        <v>32.6616</v>
      </c>
      <c r="F23" s="358">
        <v>0.92093999999999998</v>
      </c>
      <c r="G23" s="358">
        <v>5.1146599999999998</v>
      </c>
      <c r="H23" s="358">
        <v>15.11862</v>
      </c>
      <c r="I23" s="358">
        <v>3.39499</v>
      </c>
      <c r="J23" s="358">
        <v>1.9385600000000001</v>
      </c>
      <c r="K23" s="358">
        <v>7.6566900000000002</v>
      </c>
      <c r="L23" s="358"/>
      <c r="M23" s="358">
        <f t="shared" ref="M23:M31" si="0">SUM(F23:L23)</f>
        <v>34.144459999999995</v>
      </c>
      <c r="N23" s="358">
        <f t="shared" ref="N23:N32" si="1">M23/E23*100</f>
        <v>104.54007152129716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4.0999999999999996</v>
      </c>
      <c r="F24" s="358">
        <v>0</v>
      </c>
      <c r="G24" s="358">
        <v>0.34175</v>
      </c>
      <c r="H24" s="358">
        <v>0.96823000000000004</v>
      </c>
      <c r="I24" s="358">
        <v>0.52449999999999997</v>
      </c>
      <c r="J24" s="358">
        <v>0</v>
      </c>
      <c r="K24" s="358">
        <v>1.61429</v>
      </c>
      <c r="L24" s="358"/>
      <c r="M24" s="358">
        <f t="shared" si="0"/>
        <v>3.4487699999999997</v>
      </c>
      <c r="N24" s="358">
        <f t="shared" si="1"/>
        <v>84.116341463414628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0.27600000000000002</v>
      </c>
      <c r="I25" s="358">
        <v>0.154</v>
      </c>
      <c r="J25" s="358">
        <v>0</v>
      </c>
      <c r="K25" s="358">
        <v>0</v>
      </c>
      <c r="L25" s="358"/>
      <c r="M25" s="358">
        <f t="shared" si="0"/>
        <v>0.43000000000000005</v>
      </c>
      <c r="N25" s="358">
        <f t="shared" si="1"/>
        <v>100.00000000000003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0.26339000000000001</v>
      </c>
      <c r="I26" s="358">
        <v>7.6609999999999998E-2</v>
      </c>
      <c r="J26" s="358">
        <v>0</v>
      </c>
      <c r="K26" s="358">
        <v>0</v>
      </c>
      <c r="L26" s="358"/>
      <c r="M26" s="358">
        <f t="shared" si="0"/>
        <v>0.34</v>
      </c>
      <c r="N26" s="358">
        <f t="shared" si="1"/>
        <v>100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4.8992399999999998</v>
      </c>
      <c r="E27" s="358">
        <v>4.8992399999999998</v>
      </c>
      <c r="F27" s="358">
        <v>0</v>
      </c>
      <c r="G27" s="358">
        <v>0</v>
      </c>
      <c r="H27" s="358">
        <v>0</v>
      </c>
      <c r="I27" s="358">
        <v>1.76658</v>
      </c>
      <c r="J27" s="358">
        <v>0.12313</v>
      </c>
      <c r="K27" s="358">
        <v>1.84415</v>
      </c>
      <c r="L27" s="358"/>
      <c r="M27" s="358">
        <f t="shared" si="0"/>
        <v>3.73386</v>
      </c>
      <c r="N27" s="358">
        <f t="shared" si="1"/>
        <v>76.213045288657028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0.1</v>
      </c>
      <c r="H28" s="358">
        <v>0.75</v>
      </c>
      <c r="I28" s="358">
        <v>1.3233900000000001</v>
      </c>
      <c r="J28" s="358">
        <v>0</v>
      </c>
      <c r="K28" s="358">
        <v>0</v>
      </c>
      <c r="L28" s="358"/>
      <c r="M28" s="358">
        <f t="shared" si="0"/>
        <v>2.1733899999999999</v>
      </c>
      <c r="N28" s="358">
        <f t="shared" si="1"/>
        <v>76.798233215547697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4.0827</v>
      </c>
      <c r="E29" s="358">
        <v>4.0827</v>
      </c>
      <c r="F29" s="358">
        <v>0.26</v>
      </c>
      <c r="G29" s="358">
        <v>0.51039999999999996</v>
      </c>
      <c r="H29" s="358">
        <v>0.20280000000000001</v>
      </c>
      <c r="I29" s="358">
        <v>0.4592</v>
      </c>
      <c r="J29" s="358">
        <v>-5.2500000000000003E-3</v>
      </c>
      <c r="K29" s="358">
        <v>1.96888</v>
      </c>
      <c r="L29" s="358"/>
      <c r="M29" s="358">
        <f t="shared" si="0"/>
        <v>3.3960299999999997</v>
      </c>
      <c r="N29" s="358">
        <f t="shared" si="1"/>
        <v>83.180983172900284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0.18149999999999999</v>
      </c>
      <c r="G30" s="358">
        <v>0.33745000000000003</v>
      </c>
      <c r="H30" s="358">
        <v>0.25414999999999999</v>
      </c>
      <c r="I30" s="358">
        <v>0.20599999999999999</v>
      </c>
      <c r="J30" s="358">
        <v>0.39779999999999999</v>
      </c>
      <c r="K30" s="358">
        <v>0.11702</v>
      </c>
      <c r="L30" s="358"/>
      <c r="M30" s="358">
        <f t="shared" si="0"/>
        <v>1.4939199999999999</v>
      </c>
      <c r="N30" s="358">
        <f t="shared" si="1"/>
        <v>64.671861471861476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 t="shared" ref="D32:M32" si="2">SUM(D23:D31)</f>
        <v>53.283540000000002</v>
      </c>
      <c r="E32" s="360">
        <f t="shared" si="2"/>
        <v>51.753540000000008</v>
      </c>
      <c r="F32" s="360">
        <f t="shared" si="2"/>
        <v>1.3624400000000001</v>
      </c>
      <c r="G32" s="360">
        <f t="shared" si="2"/>
        <v>6.404259999999999</v>
      </c>
      <c r="H32" s="360">
        <f t="shared" si="2"/>
        <v>17.833189999999998</v>
      </c>
      <c r="I32" s="360">
        <f t="shared" si="2"/>
        <v>7.9052699999999998</v>
      </c>
      <c r="J32" s="360">
        <f t="shared" si="2"/>
        <v>2.45424</v>
      </c>
      <c r="K32" s="360">
        <f t="shared" si="2"/>
        <v>13.201030000000001</v>
      </c>
      <c r="L32" s="360">
        <f t="shared" si="2"/>
        <v>0</v>
      </c>
      <c r="M32" s="360">
        <f t="shared" si="2"/>
        <v>49.160429999999991</v>
      </c>
      <c r="N32" s="358">
        <f t="shared" si="1"/>
        <v>94.98950216738794</v>
      </c>
    </row>
  </sheetData>
  <mergeCells count="30">
    <mergeCell ref="F21:N21"/>
    <mergeCell ref="A21:A22"/>
    <mergeCell ref="B21:B22"/>
    <mergeCell ref="C21:C22"/>
    <mergeCell ref="D21:D22"/>
    <mergeCell ref="E21:E22"/>
    <mergeCell ref="B8:C8"/>
    <mergeCell ref="D8:F8"/>
    <mergeCell ref="G8:I8"/>
    <mergeCell ref="J8:L8"/>
    <mergeCell ref="B11:C11"/>
    <mergeCell ref="D11:F11"/>
    <mergeCell ref="G11:I11"/>
    <mergeCell ref="J11:L11"/>
    <mergeCell ref="B9:C9"/>
    <mergeCell ref="D9:F9"/>
    <mergeCell ref="G9:I9"/>
    <mergeCell ref="J9:L9"/>
    <mergeCell ref="B10:C10"/>
    <mergeCell ref="D10:F10"/>
    <mergeCell ref="G10:I10"/>
    <mergeCell ref="J10:L10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350" t="s">
        <v>4347</v>
      </c>
      <c r="B1" s="798" t="s">
        <v>4584</v>
      </c>
      <c r="C1" s="799"/>
      <c r="D1" s="350" t="s">
        <v>4349</v>
      </c>
      <c r="E1" s="350"/>
      <c r="F1" s="798" t="s">
        <v>4583</v>
      </c>
      <c r="G1" s="799"/>
      <c r="H1" s="806" t="s">
        <v>5</v>
      </c>
      <c r="I1" s="807"/>
      <c r="J1" s="351">
        <v>779.92</v>
      </c>
      <c r="K1" s="350" t="s">
        <v>436</v>
      </c>
      <c r="L1" s="350"/>
      <c r="M1" s="351">
        <v>258.98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819" t="s">
        <v>4582</v>
      </c>
      <c r="C3" s="820"/>
      <c r="D3" s="350" t="s">
        <v>1208</v>
      </c>
      <c r="E3" s="350"/>
      <c r="F3" s="819" t="s">
        <v>4581</v>
      </c>
      <c r="G3" s="820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819" t="s">
        <v>4580</v>
      </c>
      <c r="C5" s="820"/>
      <c r="D5" s="350" t="s">
        <v>4355</v>
      </c>
      <c r="E5" s="350"/>
      <c r="F5" s="821" t="s">
        <v>4579</v>
      </c>
      <c r="G5" s="822"/>
      <c r="H5" s="822"/>
      <c r="I5" s="823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24"/>
      <c r="G6" s="825"/>
      <c r="H6" s="825"/>
      <c r="I6" s="826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4578</v>
      </c>
      <c r="C8" s="810"/>
      <c r="D8" s="809" t="s">
        <v>4577</v>
      </c>
      <c r="E8" s="811"/>
      <c r="F8" s="810"/>
      <c r="G8" s="798" t="s">
        <v>4576</v>
      </c>
      <c r="H8" s="812"/>
      <c r="I8" s="799"/>
      <c r="J8" s="827" t="s">
        <v>4575</v>
      </c>
      <c r="K8" s="830"/>
      <c r="L8" s="828"/>
      <c r="M8" s="350"/>
      <c r="N8" s="350"/>
    </row>
    <row r="9" spans="1:14">
      <c r="A9" s="352" t="s">
        <v>840</v>
      </c>
      <c r="B9" s="827" t="s">
        <v>4574</v>
      </c>
      <c r="C9" s="828"/>
      <c r="D9" s="819" t="s">
        <v>4573</v>
      </c>
      <c r="E9" s="829"/>
      <c r="F9" s="820"/>
      <c r="G9" s="819" t="s">
        <v>4572</v>
      </c>
      <c r="H9" s="829"/>
      <c r="I9" s="820"/>
      <c r="J9" s="827" t="s">
        <v>4571</v>
      </c>
      <c r="K9" s="830"/>
      <c r="L9" s="828"/>
      <c r="M9" s="350"/>
      <c r="N9" s="350"/>
    </row>
    <row r="10" spans="1:14">
      <c r="A10" s="352" t="s">
        <v>4361</v>
      </c>
      <c r="B10" s="827" t="s">
        <v>4570</v>
      </c>
      <c r="C10" s="828"/>
      <c r="D10" s="819" t="s">
        <v>4569</v>
      </c>
      <c r="E10" s="829"/>
      <c r="F10" s="820"/>
      <c r="G10" s="819" t="s">
        <v>4568</v>
      </c>
      <c r="H10" s="829"/>
      <c r="I10" s="820"/>
      <c r="J10" s="827" t="s">
        <v>4567</v>
      </c>
      <c r="K10" s="830"/>
      <c r="L10" s="828"/>
      <c r="M10" s="350"/>
      <c r="N10" s="350"/>
    </row>
    <row r="11" spans="1:14" ht="22.5">
      <c r="A11" s="352" t="s">
        <v>420</v>
      </c>
      <c r="B11" s="827" t="s">
        <v>4566</v>
      </c>
      <c r="C11" s="828"/>
      <c r="D11" s="819" t="s">
        <v>4565</v>
      </c>
      <c r="E11" s="829"/>
      <c r="F11" s="820"/>
      <c r="G11" s="819" t="s">
        <v>4564</v>
      </c>
      <c r="H11" s="829"/>
      <c r="I11" s="820"/>
      <c r="J11" s="827" t="s">
        <v>4563</v>
      </c>
      <c r="K11" s="830"/>
      <c r="L11" s="828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4</v>
      </c>
      <c r="C13" s="350" t="s">
        <v>4366</v>
      </c>
      <c r="D13" s="350"/>
      <c r="E13" s="350"/>
      <c r="F13" s="351">
        <v>4</v>
      </c>
      <c r="G13" s="350" t="s">
        <v>1491</v>
      </c>
      <c r="H13" s="351">
        <v>35</v>
      </c>
      <c r="I13" s="350" t="s">
        <v>1492</v>
      </c>
      <c r="J13" s="351">
        <v>4</v>
      </c>
      <c r="K13" s="350" t="s">
        <v>1493</v>
      </c>
      <c r="L13" s="351">
        <v>28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447</v>
      </c>
      <c r="K16" s="350" t="s">
        <v>207</v>
      </c>
      <c r="L16" s="351">
        <v>85</v>
      </c>
      <c r="M16" s="353" t="s">
        <v>4367</v>
      </c>
      <c r="N16" s="351">
        <v>34</v>
      </c>
    </row>
    <row r="17" spans="1:14">
      <c r="A17" s="350" t="s">
        <v>209</v>
      </c>
      <c r="B17" s="350"/>
      <c r="C17" s="350" t="s">
        <v>210</v>
      </c>
      <c r="D17" s="351">
        <v>639</v>
      </c>
      <c r="E17" s="350" t="s">
        <v>211</v>
      </c>
      <c r="F17" s="351">
        <v>179</v>
      </c>
      <c r="G17" s="350" t="s">
        <v>212</v>
      </c>
      <c r="H17" s="351">
        <v>229</v>
      </c>
      <c r="I17" s="350" t="s">
        <v>411</v>
      </c>
      <c r="J17" s="351">
        <f>H17+F17+D17</f>
        <v>1047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645</v>
      </c>
      <c r="E18" s="350" t="s">
        <v>214</v>
      </c>
      <c r="F18" s="351">
        <v>182</v>
      </c>
      <c r="G18" s="350" t="s">
        <v>1494</v>
      </c>
      <c r="H18" s="351">
        <v>261</v>
      </c>
      <c r="I18" s="350" t="s">
        <v>410</v>
      </c>
      <c r="J18" s="351">
        <f>H18+F18+D18</f>
        <v>1088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62.393599999999999</v>
      </c>
      <c r="E23" s="358">
        <v>62.393599999999999</v>
      </c>
      <c r="F23" s="358">
        <v>1.0937300000000001</v>
      </c>
      <c r="G23" s="358">
        <v>9.0463699999999996</v>
      </c>
      <c r="H23" s="358">
        <v>23.75339</v>
      </c>
      <c r="I23" s="358">
        <v>17.722860000000001</v>
      </c>
      <c r="J23" s="358">
        <v>8.1297800000000002</v>
      </c>
      <c r="K23" s="358">
        <v>5.2745600000000001</v>
      </c>
      <c r="L23" s="358"/>
      <c r="M23" s="358">
        <f t="shared" ref="M23:M31" si="0">SUM(F23:L23)</f>
        <v>65.020689999999988</v>
      </c>
      <c r="N23" s="358">
        <f t="shared" ref="N23:N32" si="1">M23/E23*100</f>
        <v>104.21051197558722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6.25</v>
      </c>
      <c r="F24" s="358">
        <v>0</v>
      </c>
      <c r="G24" s="358">
        <v>0.13875000000000001</v>
      </c>
      <c r="H24" s="358">
        <v>0.82581000000000004</v>
      </c>
      <c r="I24" s="358">
        <v>2.12479</v>
      </c>
      <c r="J24" s="358">
        <v>1.1114999999999999</v>
      </c>
      <c r="K24" s="358">
        <v>0.83011999999999997</v>
      </c>
      <c r="L24" s="358"/>
      <c r="M24" s="358">
        <f t="shared" si="0"/>
        <v>5.0309699999999999</v>
      </c>
      <c r="N24" s="358">
        <f t="shared" si="1"/>
        <v>80.495519999999999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0.32728000000000002</v>
      </c>
      <c r="I25" s="358">
        <v>0.10272000000000001</v>
      </c>
      <c r="J25" s="358">
        <v>0</v>
      </c>
      <c r="K25" s="358">
        <v>0</v>
      </c>
      <c r="L25" s="358"/>
      <c r="M25" s="358">
        <f t="shared" si="0"/>
        <v>0.43000000000000005</v>
      </c>
      <c r="N25" s="358">
        <f t="shared" si="1"/>
        <v>100.00000000000003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0.28000000000000003</v>
      </c>
      <c r="I26" s="358">
        <v>0.06</v>
      </c>
      <c r="J26" s="358">
        <v>0</v>
      </c>
      <c r="K26" s="358">
        <v>0</v>
      </c>
      <c r="L26" s="358"/>
      <c r="M26" s="358">
        <f t="shared" si="0"/>
        <v>0.34</v>
      </c>
      <c r="N26" s="358">
        <f t="shared" si="1"/>
        <v>100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9.3590400000000002</v>
      </c>
      <c r="E27" s="358">
        <v>6.3590400000000002</v>
      </c>
      <c r="F27" s="358">
        <v>0</v>
      </c>
      <c r="G27" s="358">
        <v>0</v>
      </c>
      <c r="H27" s="358">
        <v>0</v>
      </c>
      <c r="I27" s="358">
        <v>0.60575000000000001</v>
      </c>
      <c r="J27" s="358">
        <v>0.77315</v>
      </c>
      <c r="K27" s="358">
        <v>4.9200999999999997</v>
      </c>
      <c r="L27" s="358"/>
      <c r="M27" s="358">
        <f t="shared" si="0"/>
        <v>6.2989999999999995</v>
      </c>
      <c r="N27" s="358">
        <f t="shared" si="1"/>
        <v>99.055832326892101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</v>
      </c>
      <c r="H28" s="358">
        <v>0.25</v>
      </c>
      <c r="I28" s="358">
        <v>3.8732099999999998</v>
      </c>
      <c r="J28" s="358">
        <v>0</v>
      </c>
      <c r="K28" s="358">
        <v>0</v>
      </c>
      <c r="L28" s="358"/>
      <c r="M28" s="358">
        <f t="shared" si="0"/>
        <v>4.1232100000000003</v>
      </c>
      <c r="N28" s="358">
        <f t="shared" si="1"/>
        <v>145.69646643109542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7.7991999999999999</v>
      </c>
      <c r="E29" s="358">
        <v>7.7991999999999999</v>
      </c>
      <c r="F29" s="358">
        <v>0.26</v>
      </c>
      <c r="G29" s="358">
        <v>6.33345</v>
      </c>
      <c r="H29" s="358">
        <v>0.21154999999999999</v>
      </c>
      <c r="I29" s="358">
        <v>1.08344</v>
      </c>
      <c r="J29" s="358">
        <v>0.35965000000000003</v>
      </c>
      <c r="K29" s="358">
        <v>2.3852000000000002</v>
      </c>
      <c r="L29" s="358"/>
      <c r="M29" s="358">
        <f t="shared" si="0"/>
        <v>10.633289999999999</v>
      </c>
      <c r="N29" s="358">
        <f t="shared" si="1"/>
        <v>136.33821417581288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0.18149999999999999</v>
      </c>
      <c r="G30" s="358">
        <v>0.38500000000000001</v>
      </c>
      <c r="H30" s="358">
        <v>0.2581</v>
      </c>
      <c r="I30" s="358">
        <v>0.26250000000000001</v>
      </c>
      <c r="J30" s="358">
        <v>0.1759</v>
      </c>
      <c r="K30" s="358">
        <v>0.215</v>
      </c>
      <c r="L30" s="358"/>
      <c r="M30" s="358">
        <f t="shared" si="0"/>
        <v>1.478</v>
      </c>
      <c r="N30" s="358">
        <f t="shared" si="1"/>
        <v>63.982683982683987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 t="shared" ref="D32:M32" si="2">SUM(D23:D31)</f>
        <v>91.191840000000013</v>
      </c>
      <c r="E32" s="360">
        <f t="shared" si="2"/>
        <v>88.811839999999989</v>
      </c>
      <c r="F32" s="360">
        <f t="shared" si="2"/>
        <v>1.5352300000000001</v>
      </c>
      <c r="G32" s="360">
        <f t="shared" si="2"/>
        <v>15.90357</v>
      </c>
      <c r="H32" s="360">
        <f t="shared" si="2"/>
        <v>25.906130000000001</v>
      </c>
      <c r="I32" s="360">
        <f t="shared" si="2"/>
        <v>25.835270000000001</v>
      </c>
      <c r="J32" s="360">
        <f t="shared" si="2"/>
        <v>10.54998</v>
      </c>
      <c r="K32" s="360">
        <f t="shared" si="2"/>
        <v>13.624980000000001</v>
      </c>
      <c r="L32" s="360">
        <f t="shared" si="2"/>
        <v>0</v>
      </c>
      <c r="M32" s="360">
        <f t="shared" si="2"/>
        <v>93.355159999999984</v>
      </c>
      <c r="N32" s="358">
        <f t="shared" si="1"/>
        <v>105.1156692621164</v>
      </c>
    </row>
  </sheetData>
  <mergeCells count="30">
    <mergeCell ref="F21:N21"/>
    <mergeCell ref="A21:A22"/>
    <mergeCell ref="B21:B22"/>
    <mergeCell ref="C21:C22"/>
    <mergeCell ref="D21:D22"/>
    <mergeCell ref="E21:E22"/>
    <mergeCell ref="B8:C8"/>
    <mergeCell ref="D8:F8"/>
    <mergeCell ref="G8:I8"/>
    <mergeCell ref="J8:L8"/>
    <mergeCell ref="B11:C11"/>
    <mergeCell ref="D11:F11"/>
    <mergeCell ref="G11:I11"/>
    <mergeCell ref="J11:L11"/>
    <mergeCell ref="B9:C9"/>
    <mergeCell ref="D9:F9"/>
    <mergeCell ref="G9:I9"/>
    <mergeCell ref="J9:L9"/>
    <mergeCell ref="B10:C10"/>
    <mergeCell ref="D10:F10"/>
    <mergeCell ref="G10:I10"/>
    <mergeCell ref="J10:L10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350" t="s">
        <v>4347</v>
      </c>
      <c r="B1" s="798" t="s">
        <v>4598</v>
      </c>
      <c r="C1" s="799"/>
      <c r="D1" s="350" t="s">
        <v>4349</v>
      </c>
      <c r="E1" s="350"/>
      <c r="F1" s="798" t="s">
        <v>4597</v>
      </c>
      <c r="G1" s="799"/>
      <c r="H1" s="806" t="s">
        <v>5</v>
      </c>
      <c r="I1" s="807"/>
      <c r="J1" s="351">
        <v>564.36</v>
      </c>
      <c r="K1" s="350" t="s">
        <v>436</v>
      </c>
      <c r="L1" s="350"/>
      <c r="M1" s="351">
        <v>417.74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819" t="s">
        <v>4596</v>
      </c>
      <c r="C3" s="820"/>
      <c r="D3" s="350" t="s">
        <v>1208</v>
      </c>
      <c r="E3" s="350"/>
      <c r="F3" s="819" t="s">
        <v>4595</v>
      </c>
      <c r="G3" s="820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819" t="s">
        <v>4594</v>
      </c>
      <c r="C5" s="820"/>
      <c r="D5" s="350" t="s">
        <v>4355</v>
      </c>
      <c r="E5" s="350"/>
      <c r="F5" s="821" t="s">
        <v>4593</v>
      </c>
      <c r="G5" s="822"/>
      <c r="H5" s="822"/>
      <c r="I5" s="823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24"/>
      <c r="G6" s="825"/>
      <c r="H6" s="825"/>
      <c r="I6" s="826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4592</v>
      </c>
      <c r="C8" s="810"/>
      <c r="D8" s="809" t="s">
        <v>4591</v>
      </c>
      <c r="E8" s="811"/>
      <c r="F8" s="810"/>
      <c r="G8" s="798" t="s">
        <v>4590</v>
      </c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09"/>
      <c r="C9" s="810"/>
      <c r="D9" s="809" t="s">
        <v>4589</v>
      </c>
      <c r="E9" s="811"/>
      <c r="F9" s="810"/>
      <c r="G9" s="798" t="s">
        <v>4585</v>
      </c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09"/>
      <c r="C10" s="810"/>
      <c r="D10" s="809" t="s">
        <v>4588</v>
      </c>
      <c r="E10" s="811"/>
      <c r="F10" s="810"/>
      <c r="G10" s="798" t="s">
        <v>4587</v>
      </c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09"/>
      <c r="C11" s="810"/>
      <c r="D11" s="809" t="s">
        <v>4586</v>
      </c>
      <c r="E11" s="811"/>
      <c r="F11" s="810"/>
      <c r="G11" s="798" t="s">
        <v>4585</v>
      </c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3</v>
      </c>
      <c r="C13" s="350" t="s">
        <v>4366</v>
      </c>
      <c r="D13" s="350"/>
      <c r="E13" s="350"/>
      <c r="F13" s="351">
        <v>2</v>
      </c>
      <c r="G13" s="350" t="s">
        <v>1491</v>
      </c>
      <c r="H13" s="351">
        <v>18</v>
      </c>
      <c r="I13" s="350" t="s">
        <v>1492</v>
      </c>
      <c r="J13" s="351">
        <v>2</v>
      </c>
      <c r="K13" s="350" t="s">
        <v>1493</v>
      </c>
      <c r="L13" s="351">
        <v>19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229</v>
      </c>
      <c r="K16" s="350" t="s">
        <v>207</v>
      </c>
      <c r="L16" s="351">
        <v>58</v>
      </c>
      <c r="M16" s="353" t="s">
        <v>4367</v>
      </c>
      <c r="N16" s="351">
        <v>27</v>
      </c>
    </row>
    <row r="17" spans="1:14">
      <c r="A17" s="350" t="s">
        <v>209</v>
      </c>
      <c r="B17" s="350"/>
      <c r="C17" s="350" t="s">
        <v>210</v>
      </c>
      <c r="D17" s="351">
        <v>590</v>
      </c>
      <c r="E17" s="350" t="s">
        <v>211</v>
      </c>
      <c r="F17" s="351">
        <v>0</v>
      </c>
      <c r="G17" s="350" t="s">
        <v>212</v>
      </c>
      <c r="H17" s="351">
        <v>21</v>
      </c>
      <c r="I17" s="350" t="s">
        <v>411</v>
      </c>
      <c r="J17" s="351">
        <f>H17+F17+D17</f>
        <v>611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623</v>
      </c>
      <c r="E18" s="350" t="s">
        <v>214</v>
      </c>
      <c r="F18" s="351">
        <v>0</v>
      </c>
      <c r="G18" s="350" t="s">
        <v>1494</v>
      </c>
      <c r="H18" s="351">
        <v>26</v>
      </c>
      <c r="I18" s="350" t="s">
        <v>410</v>
      </c>
      <c r="J18" s="351">
        <f>H18+F18+D18</f>
        <v>649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45.148800000000001</v>
      </c>
      <c r="E23" s="358">
        <v>45.148800000000001</v>
      </c>
      <c r="F23" s="358">
        <v>0.79854999999999998</v>
      </c>
      <c r="G23" s="358">
        <v>3.9540700000000002</v>
      </c>
      <c r="H23" s="358">
        <v>7.8630199999999997</v>
      </c>
      <c r="I23" s="358">
        <v>8.8602900000000009</v>
      </c>
      <c r="J23" s="358">
        <v>2.4662500000000001</v>
      </c>
      <c r="K23" s="358">
        <v>11.78288</v>
      </c>
      <c r="L23" s="358"/>
      <c r="M23" s="358">
        <f t="shared" ref="M23:M31" si="0">SUM(F23:L23)</f>
        <v>35.725059999999999</v>
      </c>
      <c r="N23" s="358">
        <f t="shared" ref="N23:N32" si="1">M23/E23*100</f>
        <v>79.12737437096888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4.0999999999999996</v>
      </c>
      <c r="F24" s="358">
        <v>0</v>
      </c>
      <c r="G24" s="358">
        <v>0</v>
      </c>
      <c r="H24" s="358">
        <v>1.1428100000000001</v>
      </c>
      <c r="I24" s="358">
        <v>5.0599999999999999E-2</v>
      </c>
      <c r="J24" s="358">
        <v>-0.12529000000000001</v>
      </c>
      <c r="K24" s="358">
        <v>1.3330599999999999</v>
      </c>
      <c r="L24" s="358"/>
      <c r="M24" s="358">
        <f t="shared" si="0"/>
        <v>2.4011800000000001</v>
      </c>
      <c r="N24" s="358">
        <f t="shared" si="1"/>
        <v>58.565365853658548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0.30443999999999999</v>
      </c>
      <c r="I25" s="358">
        <v>0.12556</v>
      </c>
      <c r="J25" s="358">
        <v>0</v>
      </c>
      <c r="K25" s="358">
        <v>0</v>
      </c>
      <c r="L25" s="358"/>
      <c r="M25" s="358">
        <f t="shared" si="0"/>
        <v>0.43</v>
      </c>
      <c r="N25" s="358">
        <f t="shared" si="1"/>
        <v>100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0.26339000000000001</v>
      </c>
      <c r="I26" s="358">
        <v>7.6609999999999998E-2</v>
      </c>
      <c r="J26" s="358">
        <v>0</v>
      </c>
      <c r="K26" s="358">
        <v>0</v>
      </c>
      <c r="L26" s="358"/>
      <c r="M26" s="358">
        <f t="shared" si="0"/>
        <v>0.34</v>
      </c>
      <c r="N26" s="358">
        <f t="shared" si="1"/>
        <v>100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6.7723199999999997</v>
      </c>
      <c r="E27" s="358">
        <v>6.7723199999999997</v>
      </c>
      <c r="F27" s="358">
        <v>0</v>
      </c>
      <c r="G27" s="358">
        <v>0</v>
      </c>
      <c r="H27" s="358">
        <v>0</v>
      </c>
      <c r="I27" s="358">
        <v>0.3024</v>
      </c>
      <c r="J27" s="358">
        <v>0.10365000000000001</v>
      </c>
      <c r="K27" s="358">
        <v>1.3852</v>
      </c>
      <c r="L27" s="358"/>
      <c r="M27" s="358">
        <f t="shared" si="0"/>
        <v>1.79125</v>
      </c>
      <c r="N27" s="358">
        <f t="shared" si="1"/>
        <v>26.449577102086142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0.1</v>
      </c>
      <c r="H28" s="358">
        <v>0.4</v>
      </c>
      <c r="I28" s="358">
        <v>2.6553</v>
      </c>
      <c r="J28" s="358">
        <v>0</v>
      </c>
      <c r="K28" s="358">
        <v>0</v>
      </c>
      <c r="L28" s="358"/>
      <c r="M28" s="358">
        <f t="shared" si="0"/>
        <v>3.1553</v>
      </c>
      <c r="N28" s="358">
        <f t="shared" si="1"/>
        <v>111.49469964664311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5.6436000000000002</v>
      </c>
      <c r="E29" s="358">
        <v>5.6436000000000002</v>
      </c>
      <c r="F29" s="358">
        <v>0</v>
      </c>
      <c r="G29" s="358">
        <v>0.96467999999999998</v>
      </c>
      <c r="H29" s="358">
        <v>0.43258000000000002</v>
      </c>
      <c r="I29" s="358">
        <v>0</v>
      </c>
      <c r="J29" s="358">
        <v>0.11600000000000001</v>
      </c>
      <c r="K29" s="358">
        <v>3.4279700000000002</v>
      </c>
      <c r="L29" s="358"/>
      <c r="M29" s="358">
        <f t="shared" si="0"/>
        <v>4.94123</v>
      </c>
      <c r="N29" s="358">
        <f t="shared" si="1"/>
        <v>87.55457509391168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0.2175</v>
      </c>
      <c r="G30" s="358">
        <v>0.33679999999999999</v>
      </c>
      <c r="H30" s="358">
        <v>0.27515000000000001</v>
      </c>
      <c r="I30" s="358">
        <v>0.2092</v>
      </c>
      <c r="J30" s="358">
        <v>0.27638000000000001</v>
      </c>
      <c r="K30" s="358">
        <v>0.255</v>
      </c>
      <c r="L30" s="358"/>
      <c r="M30" s="358">
        <f t="shared" si="0"/>
        <v>1.57003</v>
      </c>
      <c r="N30" s="358">
        <f t="shared" si="1"/>
        <v>67.966666666666669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 t="shared" ref="D32:M32" si="2">SUM(D23:D31)</f>
        <v>69.204719999999995</v>
      </c>
      <c r="E32" s="360">
        <f t="shared" si="2"/>
        <v>67.674720000000008</v>
      </c>
      <c r="F32" s="360">
        <f t="shared" si="2"/>
        <v>1.0160499999999999</v>
      </c>
      <c r="G32" s="360">
        <f t="shared" si="2"/>
        <v>5.3555500000000009</v>
      </c>
      <c r="H32" s="360">
        <f t="shared" si="2"/>
        <v>10.681389999999999</v>
      </c>
      <c r="I32" s="360">
        <f t="shared" si="2"/>
        <v>12.279960000000001</v>
      </c>
      <c r="J32" s="360">
        <f t="shared" si="2"/>
        <v>2.8369900000000001</v>
      </c>
      <c r="K32" s="360">
        <f t="shared" si="2"/>
        <v>18.18411</v>
      </c>
      <c r="L32" s="360">
        <f t="shared" si="2"/>
        <v>0</v>
      </c>
      <c r="M32" s="360">
        <f t="shared" si="2"/>
        <v>50.354049999999994</v>
      </c>
      <c r="N32" s="358">
        <f t="shared" si="1"/>
        <v>74.405996803533114</v>
      </c>
    </row>
  </sheetData>
  <mergeCells count="30">
    <mergeCell ref="F21:N21"/>
    <mergeCell ref="A21:A22"/>
    <mergeCell ref="B21:B22"/>
    <mergeCell ref="C21:C22"/>
    <mergeCell ref="D21:D22"/>
    <mergeCell ref="E21:E22"/>
    <mergeCell ref="B8:C8"/>
    <mergeCell ref="D8:F8"/>
    <mergeCell ref="G8:I8"/>
    <mergeCell ref="J8:L8"/>
    <mergeCell ref="B11:C11"/>
    <mergeCell ref="D11:F11"/>
    <mergeCell ref="G11:I11"/>
    <mergeCell ref="J11:L11"/>
    <mergeCell ref="B9:C9"/>
    <mergeCell ref="D9:F9"/>
    <mergeCell ref="G9:I9"/>
    <mergeCell ref="J9:L9"/>
    <mergeCell ref="B10:C10"/>
    <mergeCell ref="D10:F10"/>
    <mergeCell ref="G10:I10"/>
    <mergeCell ref="J10:L10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350" t="s">
        <v>4347</v>
      </c>
      <c r="B1" s="798" t="s">
        <v>4611</v>
      </c>
      <c r="C1" s="799"/>
      <c r="D1" s="350" t="s">
        <v>4349</v>
      </c>
      <c r="E1" s="350"/>
      <c r="F1" s="798" t="s">
        <v>4610</v>
      </c>
      <c r="G1" s="799"/>
      <c r="H1" s="806" t="s">
        <v>5</v>
      </c>
      <c r="I1" s="807"/>
      <c r="J1" s="351">
        <v>427.76</v>
      </c>
      <c r="K1" s="350" t="s">
        <v>436</v>
      </c>
      <c r="L1" s="350"/>
      <c r="M1" s="351">
        <v>209.88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819" t="s">
        <v>4609</v>
      </c>
      <c r="C3" s="820"/>
      <c r="D3" s="350" t="s">
        <v>1208</v>
      </c>
      <c r="E3" s="350"/>
      <c r="F3" s="819" t="s">
        <v>4608</v>
      </c>
      <c r="G3" s="820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819" t="s">
        <v>4600</v>
      </c>
      <c r="C5" s="820"/>
      <c r="D5" s="350" t="s">
        <v>4355</v>
      </c>
      <c r="E5" s="350"/>
      <c r="F5" s="837" t="s">
        <v>4607</v>
      </c>
      <c r="G5" s="838"/>
      <c r="H5" s="838"/>
      <c r="I5" s="839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40"/>
      <c r="G6" s="841"/>
      <c r="H6" s="841"/>
      <c r="I6" s="842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4606</v>
      </c>
      <c r="C8" s="810"/>
      <c r="D8" s="827" t="s">
        <v>4605</v>
      </c>
      <c r="E8" s="830"/>
      <c r="F8" s="828"/>
      <c r="G8" s="798"/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27" t="s">
        <v>4604</v>
      </c>
      <c r="C9" s="828"/>
      <c r="D9" s="827" t="s">
        <v>4603</v>
      </c>
      <c r="E9" s="830"/>
      <c r="F9" s="828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27" t="s">
        <v>4602</v>
      </c>
      <c r="C10" s="828"/>
      <c r="D10" s="827" t="s">
        <v>4601</v>
      </c>
      <c r="E10" s="830"/>
      <c r="F10" s="828"/>
      <c r="G10" s="798"/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27" t="s">
        <v>4600</v>
      </c>
      <c r="C11" s="828"/>
      <c r="D11" s="827" t="s">
        <v>4599</v>
      </c>
      <c r="E11" s="830"/>
      <c r="F11" s="828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2</v>
      </c>
      <c r="C13" s="350" t="s">
        <v>4366</v>
      </c>
      <c r="D13" s="350"/>
      <c r="E13" s="350"/>
      <c r="F13" s="351">
        <v>2</v>
      </c>
      <c r="G13" s="350" t="s">
        <v>1491</v>
      </c>
      <c r="H13" s="351">
        <v>14</v>
      </c>
      <c r="I13" s="350" t="s">
        <v>1492</v>
      </c>
      <c r="J13" s="351">
        <v>1</v>
      </c>
      <c r="K13" s="350" t="s">
        <v>1493</v>
      </c>
      <c r="L13" s="351">
        <v>15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198</v>
      </c>
      <c r="K16" s="350" t="s">
        <v>207</v>
      </c>
      <c r="L16" s="351">
        <v>21</v>
      </c>
      <c r="M16" s="353" t="s">
        <v>4367</v>
      </c>
      <c r="N16" s="351">
        <v>29</v>
      </c>
    </row>
    <row r="17" spans="1:14">
      <c r="A17" s="350" t="s">
        <v>209</v>
      </c>
      <c r="B17" s="350"/>
      <c r="C17" s="350" t="s">
        <v>210</v>
      </c>
      <c r="D17" s="351">
        <v>439</v>
      </c>
      <c r="E17" s="350" t="s">
        <v>211</v>
      </c>
      <c r="F17" s="351">
        <v>2</v>
      </c>
      <c r="G17" s="350" t="s">
        <v>212</v>
      </c>
      <c r="H17" s="351">
        <v>10</v>
      </c>
      <c r="I17" s="350" t="s">
        <v>411</v>
      </c>
      <c r="J17" s="351">
        <f>H17+F17+D17</f>
        <v>451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448</v>
      </c>
      <c r="E18" s="350" t="s">
        <v>214</v>
      </c>
      <c r="F18" s="351">
        <v>1</v>
      </c>
      <c r="G18" s="350" t="s">
        <v>1494</v>
      </c>
      <c r="H18" s="351">
        <v>10</v>
      </c>
      <c r="I18" s="350" t="s">
        <v>410</v>
      </c>
      <c r="J18" s="351">
        <f>H18+F18+D18</f>
        <v>459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34.220799999999997</v>
      </c>
      <c r="E23" s="358">
        <v>34.220799999999997</v>
      </c>
      <c r="F23" s="358">
        <v>0</v>
      </c>
      <c r="G23" s="358">
        <v>8.6674000000000007</v>
      </c>
      <c r="H23" s="358">
        <v>4.8033400000000004</v>
      </c>
      <c r="I23" s="358">
        <v>8.7188400000000001</v>
      </c>
      <c r="J23" s="358">
        <v>1.7553700000000001</v>
      </c>
      <c r="K23" s="358">
        <v>4.4333900000000002</v>
      </c>
      <c r="L23" s="358"/>
      <c r="M23" s="358">
        <f t="shared" ref="M23:M31" si="0">SUM(F23:L23)</f>
        <v>28.378339999999998</v>
      </c>
      <c r="N23" s="358">
        <f t="shared" ref="N23:N32" si="1">M23/E23*100</f>
        <v>82.927167103048433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2.8</v>
      </c>
      <c r="F24" s="358">
        <v>0</v>
      </c>
      <c r="G24" s="358">
        <v>0.10150000000000001</v>
      </c>
      <c r="H24" s="358">
        <v>1.1364300000000001</v>
      </c>
      <c r="I24" s="358">
        <v>0.35239999999999999</v>
      </c>
      <c r="J24" s="358">
        <v>0.11395</v>
      </c>
      <c r="K24" s="358">
        <v>0.7</v>
      </c>
      <c r="L24" s="358"/>
      <c r="M24" s="358">
        <f t="shared" si="0"/>
        <v>2.40428</v>
      </c>
      <c r="N24" s="358">
        <f t="shared" si="1"/>
        <v>85.867142857142866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0.2823</v>
      </c>
      <c r="I25" s="358">
        <v>0.1477</v>
      </c>
      <c r="J25" s="358">
        <v>0</v>
      </c>
      <c r="K25" s="358">
        <v>0</v>
      </c>
      <c r="L25" s="358"/>
      <c r="M25" s="358">
        <f t="shared" si="0"/>
        <v>0.43</v>
      </c>
      <c r="N25" s="358">
        <f t="shared" si="1"/>
        <v>100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0.21446000000000001</v>
      </c>
      <c r="I26" s="358">
        <v>0.12554000000000001</v>
      </c>
      <c r="J26" s="358">
        <v>0</v>
      </c>
      <c r="K26" s="358">
        <v>0</v>
      </c>
      <c r="L26" s="358"/>
      <c r="M26" s="358">
        <f t="shared" si="0"/>
        <v>0.34</v>
      </c>
      <c r="N26" s="358">
        <f t="shared" si="1"/>
        <v>100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5.1331199999999999</v>
      </c>
      <c r="E27" s="358">
        <v>5.1331199999999999</v>
      </c>
      <c r="F27" s="358">
        <v>0</v>
      </c>
      <c r="G27" s="358">
        <v>0</v>
      </c>
      <c r="H27" s="358">
        <v>0</v>
      </c>
      <c r="I27" s="358">
        <v>2.1246100000000001</v>
      </c>
      <c r="J27" s="358">
        <v>0</v>
      </c>
      <c r="K27" s="358">
        <v>1.69645</v>
      </c>
      <c r="L27" s="358"/>
      <c r="M27" s="358">
        <f t="shared" si="0"/>
        <v>3.8210600000000001</v>
      </c>
      <c r="N27" s="358">
        <f t="shared" si="1"/>
        <v>74.439327348669039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</v>
      </c>
      <c r="H28" s="358">
        <v>0.45</v>
      </c>
      <c r="I28" s="358">
        <v>1.7335100000000001</v>
      </c>
      <c r="J28" s="358">
        <v>0</v>
      </c>
      <c r="K28" s="358">
        <v>0</v>
      </c>
      <c r="L28" s="358"/>
      <c r="M28" s="358">
        <f t="shared" si="0"/>
        <v>2.1835100000000001</v>
      </c>
      <c r="N28" s="358">
        <f t="shared" si="1"/>
        <v>77.155830388692578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4.2775999999999996</v>
      </c>
      <c r="E29" s="358">
        <v>4.2775999999999996</v>
      </c>
      <c r="F29" s="358">
        <v>0.25</v>
      </c>
      <c r="G29" s="358">
        <v>0.79330000000000001</v>
      </c>
      <c r="H29" s="358">
        <v>0</v>
      </c>
      <c r="I29" s="358">
        <v>0.45669999999999999</v>
      </c>
      <c r="J29" s="358">
        <v>-2.5000000000000001E-2</v>
      </c>
      <c r="K29" s="358">
        <v>2.9347699999999999</v>
      </c>
      <c r="L29" s="358"/>
      <c r="M29" s="358">
        <f t="shared" si="0"/>
        <v>4.40977</v>
      </c>
      <c r="N29" s="358">
        <f t="shared" si="1"/>
        <v>103.08981671965589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0.21199999999999999</v>
      </c>
      <c r="G30" s="358">
        <v>0.29549999999999998</v>
      </c>
      <c r="H30" s="358">
        <v>0.24248</v>
      </c>
      <c r="I30" s="358">
        <v>0.26250000000000001</v>
      </c>
      <c r="J30" s="358">
        <v>0.33267000000000002</v>
      </c>
      <c r="K30" s="358">
        <v>0.32250000000000001</v>
      </c>
      <c r="L30" s="358"/>
      <c r="M30" s="358">
        <f t="shared" si="0"/>
        <v>1.6676500000000001</v>
      </c>
      <c r="N30" s="358">
        <f t="shared" si="1"/>
        <v>72.192640692640694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 t="shared" ref="D32:M32" si="2">SUM(D23:D31)</f>
        <v>55.271519999999995</v>
      </c>
      <c r="E32" s="360">
        <f t="shared" si="2"/>
        <v>52.441519999999997</v>
      </c>
      <c r="F32" s="360">
        <f t="shared" si="2"/>
        <v>0.46199999999999997</v>
      </c>
      <c r="G32" s="360">
        <f t="shared" si="2"/>
        <v>9.8577000000000012</v>
      </c>
      <c r="H32" s="360">
        <f t="shared" si="2"/>
        <v>7.1290100000000001</v>
      </c>
      <c r="I32" s="360">
        <f t="shared" si="2"/>
        <v>13.921800000000001</v>
      </c>
      <c r="J32" s="360">
        <f t="shared" si="2"/>
        <v>2.17699</v>
      </c>
      <c r="K32" s="360">
        <f t="shared" si="2"/>
        <v>10.087110000000001</v>
      </c>
      <c r="L32" s="360">
        <f t="shared" si="2"/>
        <v>0</v>
      </c>
      <c r="M32" s="360">
        <f t="shared" si="2"/>
        <v>43.634610000000002</v>
      </c>
      <c r="N32" s="358">
        <f t="shared" si="1"/>
        <v>83.206226669249872</v>
      </c>
    </row>
  </sheetData>
  <mergeCells count="30">
    <mergeCell ref="F21:N21"/>
    <mergeCell ref="A21:A22"/>
    <mergeCell ref="B21:B22"/>
    <mergeCell ref="C21:C22"/>
    <mergeCell ref="D21:D22"/>
    <mergeCell ref="E21:E22"/>
    <mergeCell ref="B8:C8"/>
    <mergeCell ref="D8:F8"/>
    <mergeCell ref="G8:I8"/>
    <mergeCell ref="J8:L8"/>
    <mergeCell ref="B11:C11"/>
    <mergeCell ref="D11:F11"/>
    <mergeCell ref="G11:I11"/>
    <mergeCell ref="J11:L11"/>
    <mergeCell ref="B9:C9"/>
    <mergeCell ref="D9:F9"/>
    <mergeCell ref="G9:I9"/>
    <mergeCell ref="J9:L9"/>
    <mergeCell ref="B10:C10"/>
    <mergeCell ref="D10:F10"/>
    <mergeCell ref="G10:I10"/>
    <mergeCell ref="J10:L10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350" t="s">
        <v>4347</v>
      </c>
      <c r="B1" s="798" t="s">
        <v>4628</v>
      </c>
      <c r="C1" s="799"/>
      <c r="D1" s="350" t="s">
        <v>4349</v>
      </c>
      <c r="E1" s="350"/>
      <c r="F1" s="798" t="s">
        <v>4627</v>
      </c>
      <c r="G1" s="799"/>
      <c r="H1" s="806" t="s">
        <v>5</v>
      </c>
      <c r="I1" s="807"/>
      <c r="J1" s="351">
        <v>505.94</v>
      </c>
      <c r="K1" s="350" t="s">
        <v>436</v>
      </c>
      <c r="L1" s="350"/>
      <c r="M1" s="351">
        <v>153.96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819" t="s">
        <v>4626</v>
      </c>
      <c r="C3" s="820"/>
      <c r="D3" s="350" t="s">
        <v>1208</v>
      </c>
      <c r="E3" s="350"/>
      <c r="F3" s="819" t="s">
        <v>4625</v>
      </c>
      <c r="G3" s="820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819" t="s">
        <v>4624</v>
      </c>
      <c r="C5" s="820"/>
      <c r="D5" s="350" t="s">
        <v>4355</v>
      </c>
      <c r="E5" s="350"/>
      <c r="F5" s="831" t="s">
        <v>4623</v>
      </c>
      <c r="G5" s="832"/>
      <c r="H5" s="832"/>
      <c r="I5" s="833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34"/>
      <c r="G6" s="835"/>
      <c r="H6" s="835"/>
      <c r="I6" s="836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4622</v>
      </c>
      <c r="C8" s="810"/>
      <c r="D8" s="809" t="s">
        <v>4621</v>
      </c>
      <c r="E8" s="811"/>
      <c r="F8" s="810"/>
      <c r="G8" s="798" t="s">
        <v>4620</v>
      </c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27" t="s">
        <v>4619</v>
      </c>
      <c r="C9" s="828"/>
      <c r="D9" s="827" t="s">
        <v>4618</v>
      </c>
      <c r="E9" s="830"/>
      <c r="F9" s="828"/>
      <c r="G9" s="819" t="s">
        <v>4617</v>
      </c>
      <c r="H9" s="829"/>
      <c r="I9" s="820"/>
      <c r="J9" s="798"/>
      <c r="K9" s="812"/>
      <c r="L9" s="799"/>
      <c r="M9" s="350"/>
      <c r="N9" s="350"/>
    </row>
    <row r="10" spans="1:14">
      <c r="A10" s="352" t="s">
        <v>4361</v>
      </c>
      <c r="B10" s="827" t="s">
        <v>4616</v>
      </c>
      <c r="C10" s="828"/>
      <c r="D10" s="827" t="s">
        <v>4615</v>
      </c>
      <c r="E10" s="830"/>
      <c r="F10" s="828"/>
      <c r="G10" s="819" t="s">
        <v>4614</v>
      </c>
      <c r="H10" s="829"/>
      <c r="I10" s="820"/>
      <c r="J10" s="798"/>
      <c r="K10" s="812"/>
      <c r="L10" s="799"/>
      <c r="M10" s="350"/>
      <c r="N10" s="350"/>
    </row>
    <row r="11" spans="1:14" ht="22.5">
      <c r="A11" s="352" t="s">
        <v>420</v>
      </c>
      <c r="B11" s="827" t="s">
        <v>4613</v>
      </c>
      <c r="C11" s="828"/>
      <c r="D11" s="827" t="s">
        <v>4612</v>
      </c>
      <c r="E11" s="830"/>
      <c r="F11" s="828"/>
      <c r="G11" s="819"/>
      <c r="H11" s="829"/>
      <c r="I11" s="820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3</v>
      </c>
      <c r="C13" s="350" t="s">
        <v>4366</v>
      </c>
      <c r="D13" s="350"/>
      <c r="E13" s="350"/>
      <c r="F13" s="351">
        <v>3</v>
      </c>
      <c r="G13" s="350" t="s">
        <v>1491</v>
      </c>
      <c r="H13" s="351">
        <v>13</v>
      </c>
      <c r="I13" s="350" t="s">
        <v>1492</v>
      </c>
      <c r="J13" s="351">
        <v>3</v>
      </c>
      <c r="K13" s="350" t="s">
        <v>1493</v>
      </c>
      <c r="L13" s="351">
        <v>29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>
        <v>167</v>
      </c>
      <c r="E16" s="350" t="s">
        <v>205</v>
      </c>
      <c r="F16" s="351">
        <v>9</v>
      </c>
      <c r="G16" s="350" t="s">
        <v>206</v>
      </c>
      <c r="H16" s="351">
        <v>21</v>
      </c>
      <c r="I16" s="350" t="s">
        <v>230</v>
      </c>
      <c r="J16" s="351">
        <v>197</v>
      </c>
      <c r="K16" s="350" t="s">
        <v>207</v>
      </c>
      <c r="L16" s="351">
        <v>47</v>
      </c>
      <c r="M16" s="353" t="s">
        <v>4367</v>
      </c>
      <c r="N16" s="351">
        <v>36</v>
      </c>
    </row>
    <row r="17" spans="1:14">
      <c r="A17" s="350" t="s">
        <v>209</v>
      </c>
      <c r="B17" s="350"/>
      <c r="C17" s="350" t="s">
        <v>210</v>
      </c>
      <c r="D17" s="351">
        <v>307</v>
      </c>
      <c r="E17" s="350" t="s">
        <v>211</v>
      </c>
      <c r="F17" s="351">
        <v>10</v>
      </c>
      <c r="G17" s="350" t="s">
        <v>212</v>
      </c>
      <c r="H17" s="351">
        <v>77</v>
      </c>
      <c r="I17" s="350" t="s">
        <v>411</v>
      </c>
      <c r="J17" s="351">
        <f>H17+F17+D17</f>
        <v>394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319</v>
      </c>
      <c r="E18" s="350" t="s">
        <v>214</v>
      </c>
      <c r="F18" s="351">
        <v>7</v>
      </c>
      <c r="G18" s="350" t="s">
        <v>1494</v>
      </c>
      <c r="H18" s="351">
        <v>68</v>
      </c>
      <c r="I18" s="350" t="s">
        <v>410</v>
      </c>
      <c r="J18" s="351">
        <f>H18+F18+D18</f>
        <v>394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40.475200000000001</v>
      </c>
      <c r="E23" s="358">
        <v>40.475200000000001</v>
      </c>
      <c r="F23" s="358">
        <v>0.62743000000000004</v>
      </c>
      <c r="G23" s="358">
        <v>6.5868900000000004</v>
      </c>
      <c r="H23" s="358">
        <v>12.86661</v>
      </c>
      <c r="I23" s="358">
        <v>6.0167000000000002</v>
      </c>
      <c r="J23" s="358">
        <v>3.5413700000000001</v>
      </c>
      <c r="K23" s="358">
        <v>8.8180399999999999</v>
      </c>
      <c r="L23" s="358"/>
      <c r="M23" s="358">
        <f t="shared" ref="M23:M31" si="0">SUM(F23:L23)</f>
        <v>38.457040000000006</v>
      </c>
      <c r="N23" s="358">
        <f t="shared" ref="N23:N32" si="1">M23/E23*100</f>
        <v>95.013835632683737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4.0999999999999996</v>
      </c>
      <c r="F24" s="358">
        <v>0</v>
      </c>
      <c r="G24" s="358">
        <v>9.0399999999999994E-2</v>
      </c>
      <c r="H24" s="358">
        <v>1.01586</v>
      </c>
      <c r="I24" s="358">
        <v>0.31989000000000001</v>
      </c>
      <c r="J24" s="358">
        <v>-2.1229999999999999E-2</v>
      </c>
      <c r="K24" s="358">
        <v>1.60127</v>
      </c>
      <c r="L24" s="358"/>
      <c r="M24" s="358">
        <f t="shared" si="0"/>
        <v>3.0061900000000001</v>
      </c>
      <c r="N24" s="358">
        <f t="shared" si="1"/>
        <v>73.321707317073177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0.27600000000000002</v>
      </c>
      <c r="I25" s="358">
        <v>0.154</v>
      </c>
      <c r="J25" s="358">
        <v>0</v>
      </c>
      <c r="K25" s="358">
        <v>0</v>
      </c>
      <c r="L25" s="358"/>
      <c r="M25" s="358">
        <f t="shared" si="0"/>
        <v>0.43000000000000005</v>
      </c>
      <c r="N25" s="358">
        <f t="shared" si="1"/>
        <v>100.00000000000003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0.26904</v>
      </c>
      <c r="I26" s="358">
        <v>7.0959999999999995E-2</v>
      </c>
      <c r="J26" s="358">
        <v>0</v>
      </c>
      <c r="K26" s="358">
        <v>0</v>
      </c>
      <c r="L26" s="358"/>
      <c r="M26" s="358">
        <f t="shared" si="0"/>
        <v>0.33999999999999997</v>
      </c>
      <c r="N26" s="358">
        <f t="shared" si="1"/>
        <v>99.999999999999986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6.0712799999999998</v>
      </c>
      <c r="E27" s="358">
        <v>6.0712799999999998</v>
      </c>
      <c r="F27" s="358">
        <v>0</v>
      </c>
      <c r="G27" s="358">
        <v>0</v>
      </c>
      <c r="H27" s="358">
        <v>0</v>
      </c>
      <c r="I27" s="358">
        <v>0</v>
      </c>
      <c r="J27" s="358">
        <v>0</v>
      </c>
      <c r="K27" s="358">
        <v>3.1825999999999999</v>
      </c>
      <c r="L27" s="358"/>
      <c r="M27" s="358">
        <f t="shared" si="0"/>
        <v>3.1825999999999999</v>
      </c>
      <c r="N27" s="358">
        <f t="shared" si="1"/>
        <v>52.420576879998947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</v>
      </c>
      <c r="H28" s="358">
        <v>0.15</v>
      </c>
      <c r="I28" s="358">
        <v>2.4752399999999999</v>
      </c>
      <c r="J28" s="358">
        <v>0</v>
      </c>
      <c r="K28" s="358">
        <v>0</v>
      </c>
      <c r="L28" s="358"/>
      <c r="M28" s="358">
        <f t="shared" si="0"/>
        <v>2.6252399999999998</v>
      </c>
      <c r="N28" s="358">
        <f t="shared" si="1"/>
        <v>92.764664310954061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5.0594000000000001</v>
      </c>
      <c r="E29" s="358">
        <v>5.0594000000000001</v>
      </c>
      <c r="F29" s="358">
        <v>0</v>
      </c>
      <c r="G29" s="358">
        <v>0.97035000000000005</v>
      </c>
      <c r="H29" s="358">
        <v>0.105</v>
      </c>
      <c r="I29" s="358">
        <v>1.05735</v>
      </c>
      <c r="J29" s="358">
        <v>0</v>
      </c>
      <c r="K29" s="358">
        <v>2.38171</v>
      </c>
      <c r="L29" s="358"/>
      <c r="M29" s="358">
        <f t="shared" si="0"/>
        <v>4.5144099999999998</v>
      </c>
      <c r="N29" s="358">
        <f t="shared" si="1"/>
        <v>89.228169348144036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0.18149999999999999</v>
      </c>
      <c r="G30" s="358">
        <v>0.36499999999999999</v>
      </c>
      <c r="H30" s="358">
        <v>0.28815000000000002</v>
      </c>
      <c r="I30" s="358">
        <v>0.06</v>
      </c>
      <c r="J30" s="358">
        <v>0.41134999999999999</v>
      </c>
      <c r="K30" s="358">
        <v>0.23455000000000001</v>
      </c>
      <c r="L30" s="358"/>
      <c r="M30" s="358">
        <f t="shared" si="0"/>
        <v>1.5405500000000001</v>
      </c>
      <c r="N30" s="358">
        <f t="shared" si="1"/>
        <v>66.69047619047619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 t="shared" ref="D32:M32" si="2">SUM(D23:D31)</f>
        <v>63.245880000000007</v>
      </c>
      <c r="E32" s="360">
        <f t="shared" si="2"/>
        <v>61.715880000000006</v>
      </c>
      <c r="F32" s="360">
        <f t="shared" si="2"/>
        <v>0.80893000000000004</v>
      </c>
      <c r="G32" s="360">
        <f t="shared" si="2"/>
        <v>8.0126399999999993</v>
      </c>
      <c r="H32" s="360">
        <f t="shared" si="2"/>
        <v>14.970660000000001</v>
      </c>
      <c r="I32" s="360">
        <f t="shared" si="2"/>
        <v>10.15414</v>
      </c>
      <c r="J32" s="360">
        <f t="shared" si="2"/>
        <v>3.9314900000000002</v>
      </c>
      <c r="K32" s="360">
        <f t="shared" si="2"/>
        <v>16.218170000000001</v>
      </c>
      <c r="L32" s="360">
        <f t="shared" si="2"/>
        <v>0</v>
      </c>
      <c r="M32" s="360">
        <f t="shared" si="2"/>
        <v>54.096030000000013</v>
      </c>
      <c r="N32" s="358">
        <f t="shared" si="1"/>
        <v>87.653339788722135</v>
      </c>
    </row>
  </sheetData>
  <mergeCells count="30">
    <mergeCell ref="F21:N21"/>
    <mergeCell ref="A21:A22"/>
    <mergeCell ref="B21:B22"/>
    <mergeCell ref="C21:C22"/>
    <mergeCell ref="D21:D22"/>
    <mergeCell ref="E21:E22"/>
    <mergeCell ref="B8:C8"/>
    <mergeCell ref="D8:F8"/>
    <mergeCell ref="G8:I8"/>
    <mergeCell ref="J8:L8"/>
    <mergeCell ref="B11:C11"/>
    <mergeCell ref="D11:F11"/>
    <mergeCell ref="G11:I11"/>
    <mergeCell ref="J11:L11"/>
    <mergeCell ref="B9:C9"/>
    <mergeCell ref="D9:F9"/>
    <mergeCell ref="G9:I9"/>
    <mergeCell ref="J9:L9"/>
    <mergeCell ref="B10:C10"/>
    <mergeCell ref="D10:F10"/>
    <mergeCell ref="G10:I10"/>
    <mergeCell ref="J10:L10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9" max="9" width="8.42578125" customWidth="1"/>
    <col min="10" max="10" width="8" customWidth="1"/>
    <col min="11" max="11" width="8.28515625" customWidth="1"/>
    <col min="12" max="12" width="7.28515625" customWidth="1"/>
  </cols>
  <sheetData>
    <row r="1" spans="1:14">
      <c r="A1" s="350" t="s">
        <v>4347</v>
      </c>
      <c r="B1" s="798" t="s">
        <v>4641</v>
      </c>
      <c r="C1" s="799"/>
      <c r="D1" s="350" t="s">
        <v>4349</v>
      </c>
      <c r="E1" s="350"/>
      <c r="F1" s="798" t="s">
        <v>4640</v>
      </c>
      <c r="G1" s="799"/>
      <c r="H1" s="806" t="s">
        <v>5</v>
      </c>
      <c r="I1" s="807"/>
      <c r="J1" s="351">
        <v>297.22000000000003</v>
      </c>
      <c r="K1" s="350" t="s">
        <v>436</v>
      </c>
      <c r="L1" s="350"/>
      <c r="M1" s="351">
        <v>802.45</v>
      </c>
      <c r="N1" s="350"/>
    </row>
    <row r="2" spans="1:14">
      <c r="A2" s="808" t="s">
        <v>4176</v>
      </c>
      <c r="B2" s="808"/>
      <c r="C2" s="808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>
      <c r="A3" s="350" t="s">
        <v>832</v>
      </c>
      <c r="B3" s="819" t="s">
        <v>4638</v>
      </c>
      <c r="C3" s="820"/>
      <c r="D3" s="350" t="s">
        <v>1208</v>
      </c>
      <c r="E3" s="350"/>
      <c r="F3" s="819" t="s">
        <v>4639</v>
      </c>
      <c r="G3" s="820"/>
      <c r="H3" s="350"/>
      <c r="I3" s="350"/>
      <c r="J3" s="350"/>
      <c r="K3" s="350"/>
      <c r="L3" s="350"/>
      <c r="M3" s="350"/>
      <c r="N3" s="350"/>
    </row>
    <row r="4" spans="1:14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4">
      <c r="A5" s="350" t="s">
        <v>4353</v>
      </c>
      <c r="B5" s="819" t="s">
        <v>4638</v>
      </c>
      <c r="C5" s="820"/>
      <c r="D5" s="350" t="s">
        <v>4355</v>
      </c>
      <c r="E5" s="350"/>
      <c r="F5" s="831" t="s">
        <v>4637</v>
      </c>
      <c r="G5" s="832"/>
      <c r="H5" s="832"/>
      <c r="I5" s="833"/>
      <c r="J5" s="350"/>
      <c r="K5" s="350"/>
      <c r="L5" s="350"/>
      <c r="M5" s="350"/>
      <c r="N5" s="350"/>
    </row>
    <row r="6" spans="1:14">
      <c r="A6" s="350"/>
      <c r="B6" s="350"/>
      <c r="C6" s="350"/>
      <c r="D6" s="350" t="s">
        <v>4357</v>
      </c>
      <c r="E6" s="350"/>
      <c r="F6" s="834"/>
      <c r="G6" s="835"/>
      <c r="H6" s="835"/>
      <c r="I6" s="836"/>
      <c r="J6" s="350"/>
      <c r="K6" s="350"/>
      <c r="L6" s="350"/>
      <c r="M6" s="350"/>
      <c r="N6" s="350"/>
    </row>
    <row r="7" spans="1:14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</row>
    <row r="8" spans="1:14">
      <c r="A8" s="352" t="s">
        <v>838</v>
      </c>
      <c r="B8" s="809" t="s">
        <v>4636</v>
      </c>
      <c r="C8" s="810"/>
      <c r="D8" s="809" t="s">
        <v>4635</v>
      </c>
      <c r="E8" s="811"/>
      <c r="F8" s="810"/>
      <c r="G8" s="798" t="s">
        <v>4634</v>
      </c>
      <c r="H8" s="812"/>
      <c r="I8" s="799"/>
      <c r="J8" s="798"/>
      <c r="K8" s="812"/>
      <c r="L8" s="799"/>
      <c r="M8" s="350"/>
      <c r="N8" s="350"/>
    </row>
    <row r="9" spans="1:14">
      <c r="A9" s="352" t="s">
        <v>840</v>
      </c>
      <c r="B9" s="827" t="s">
        <v>4630</v>
      </c>
      <c r="C9" s="828"/>
      <c r="D9" s="827" t="s">
        <v>4633</v>
      </c>
      <c r="E9" s="830"/>
      <c r="F9" s="828"/>
      <c r="G9" s="798"/>
      <c r="H9" s="812"/>
      <c r="I9" s="799"/>
      <c r="J9" s="798"/>
      <c r="K9" s="812"/>
      <c r="L9" s="799"/>
      <c r="M9" s="350"/>
      <c r="N9" s="350"/>
    </row>
    <row r="10" spans="1:14">
      <c r="A10" s="352" t="s">
        <v>4361</v>
      </c>
      <c r="B10" s="827" t="s">
        <v>4632</v>
      </c>
      <c r="C10" s="828"/>
      <c r="D10" s="827" t="s">
        <v>4631</v>
      </c>
      <c r="E10" s="830"/>
      <c r="F10" s="828"/>
      <c r="G10" s="798"/>
      <c r="H10" s="812"/>
      <c r="I10" s="799"/>
      <c r="J10" s="798"/>
      <c r="K10" s="812"/>
      <c r="L10" s="799"/>
      <c r="M10" s="350"/>
      <c r="N10" s="350"/>
    </row>
    <row r="11" spans="1:14" ht="22.5">
      <c r="A11" s="352" t="s">
        <v>420</v>
      </c>
      <c r="B11" s="827" t="s">
        <v>4630</v>
      </c>
      <c r="C11" s="828"/>
      <c r="D11" s="827" t="s">
        <v>4629</v>
      </c>
      <c r="E11" s="830"/>
      <c r="F11" s="828"/>
      <c r="G11" s="798"/>
      <c r="H11" s="812"/>
      <c r="I11" s="799"/>
      <c r="J11" s="798"/>
      <c r="K11" s="812"/>
      <c r="L11" s="799"/>
      <c r="M11" s="350"/>
      <c r="N11" s="350"/>
    </row>
    <row r="12" spans="1:14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</row>
    <row r="13" spans="1:14">
      <c r="A13" s="350" t="s">
        <v>4365</v>
      </c>
      <c r="B13" s="351">
        <v>3</v>
      </c>
      <c r="C13" s="350" t="s">
        <v>4366</v>
      </c>
      <c r="D13" s="350"/>
      <c r="E13" s="350"/>
      <c r="F13" s="351">
        <v>2</v>
      </c>
      <c r="G13" s="350" t="s">
        <v>1491</v>
      </c>
      <c r="H13" s="351">
        <v>22</v>
      </c>
      <c r="I13" s="350" t="s">
        <v>1492</v>
      </c>
      <c r="J13" s="351">
        <v>2</v>
      </c>
      <c r="K13" s="350" t="s">
        <v>1493</v>
      </c>
      <c r="L13" s="351">
        <v>26</v>
      </c>
      <c r="M13" s="350"/>
      <c r="N13" s="350"/>
    </row>
    <row r="14" spans="1:14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</row>
    <row r="15" spans="1:14">
      <c r="A15" s="350"/>
      <c r="B15" s="35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 ht="22.5">
      <c r="A16" s="350" t="s">
        <v>646</v>
      </c>
      <c r="B16" s="350"/>
      <c r="C16" s="350" t="s">
        <v>204</v>
      </c>
      <c r="D16" s="351"/>
      <c r="E16" s="350" t="s">
        <v>205</v>
      </c>
      <c r="F16" s="351"/>
      <c r="G16" s="350" t="s">
        <v>206</v>
      </c>
      <c r="H16" s="351"/>
      <c r="I16" s="350" t="s">
        <v>230</v>
      </c>
      <c r="J16" s="351">
        <v>280</v>
      </c>
      <c r="K16" s="350" t="s">
        <v>207</v>
      </c>
      <c r="L16" s="351">
        <v>88</v>
      </c>
      <c r="M16" s="353" t="s">
        <v>4367</v>
      </c>
      <c r="N16" s="351">
        <v>29</v>
      </c>
    </row>
    <row r="17" spans="1:14">
      <c r="A17" s="350" t="s">
        <v>209</v>
      </c>
      <c r="B17" s="350"/>
      <c r="C17" s="350" t="s">
        <v>210</v>
      </c>
      <c r="D17" s="351">
        <v>591</v>
      </c>
      <c r="E17" s="350" t="s">
        <v>211</v>
      </c>
      <c r="F17" s="351">
        <v>12</v>
      </c>
      <c r="G17" s="350" t="s">
        <v>212</v>
      </c>
      <c r="H17" s="351">
        <v>58</v>
      </c>
      <c r="I17" s="350" t="s">
        <v>411</v>
      </c>
      <c r="J17" s="351">
        <f>H17+F17+D17</f>
        <v>661</v>
      </c>
      <c r="K17" s="350"/>
      <c r="L17" s="350"/>
      <c r="M17" s="350"/>
      <c r="N17" s="350"/>
    </row>
    <row r="18" spans="1:14">
      <c r="A18" s="350"/>
      <c r="B18" s="350"/>
      <c r="C18" s="350" t="s">
        <v>213</v>
      </c>
      <c r="D18" s="351">
        <v>595</v>
      </c>
      <c r="E18" s="350" t="s">
        <v>214</v>
      </c>
      <c r="F18" s="351">
        <v>20</v>
      </c>
      <c r="G18" s="350" t="s">
        <v>1494</v>
      </c>
      <c r="H18" s="351">
        <v>76</v>
      </c>
      <c r="I18" s="350" t="s">
        <v>410</v>
      </c>
      <c r="J18" s="351">
        <f>H18+F18+D18</f>
        <v>691</v>
      </c>
      <c r="K18" s="350"/>
      <c r="L18" s="350"/>
      <c r="M18" s="350"/>
      <c r="N18" s="350"/>
    </row>
    <row r="19" spans="1:14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4">
      <c r="A20" s="354" t="s">
        <v>216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</row>
    <row r="21" spans="1:14">
      <c r="A21" s="816" t="s">
        <v>217</v>
      </c>
      <c r="B21" s="816" t="s">
        <v>218</v>
      </c>
      <c r="C21" s="816" t="s">
        <v>219</v>
      </c>
      <c r="D21" s="816" t="s">
        <v>407</v>
      </c>
      <c r="E21" s="816" t="s">
        <v>864</v>
      </c>
      <c r="F21" s="813" t="s">
        <v>4368</v>
      </c>
      <c r="G21" s="814"/>
      <c r="H21" s="814"/>
      <c r="I21" s="814"/>
      <c r="J21" s="814"/>
      <c r="K21" s="814"/>
      <c r="L21" s="814"/>
      <c r="M21" s="814"/>
      <c r="N21" s="815"/>
    </row>
    <row r="22" spans="1:14">
      <c r="A22" s="817"/>
      <c r="B22" s="817"/>
      <c r="C22" s="817"/>
      <c r="D22" s="817"/>
      <c r="E22" s="817"/>
      <c r="F22" s="355" t="s">
        <v>224</v>
      </c>
      <c r="G22" s="355" t="s">
        <v>225</v>
      </c>
      <c r="H22" s="355" t="s">
        <v>226</v>
      </c>
      <c r="I22" s="355" t="s">
        <v>227</v>
      </c>
      <c r="J22" s="355" t="s">
        <v>228</v>
      </c>
      <c r="K22" s="355" t="s">
        <v>229</v>
      </c>
      <c r="L22" s="355">
        <v>7</v>
      </c>
      <c r="M22" s="355" t="s">
        <v>230</v>
      </c>
      <c r="N22" s="355" t="s">
        <v>231</v>
      </c>
    </row>
    <row r="23" spans="1:14">
      <c r="A23" s="352" t="s">
        <v>232</v>
      </c>
      <c r="B23" s="352">
        <v>8000</v>
      </c>
      <c r="C23" s="356" t="s">
        <v>4369</v>
      </c>
      <c r="D23" s="357">
        <f>B23*J1/100000</f>
        <v>23.7776</v>
      </c>
      <c r="E23" s="358">
        <v>23.7776</v>
      </c>
      <c r="F23" s="358">
        <v>0.95179000000000002</v>
      </c>
      <c r="G23" s="358">
        <v>7.5147199999999996</v>
      </c>
      <c r="H23" s="358">
        <v>12.930009999999999</v>
      </c>
      <c r="I23" s="358">
        <v>0.82516999999999996</v>
      </c>
      <c r="J23" s="358">
        <v>0.38993</v>
      </c>
      <c r="K23" s="358">
        <v>0</v>
      </c>
      <c r="L23" s="358"/>
      <c r="M23" s="358">
        <f t="shared" ref="M23:M31" si="0">SUM(F23:L23)</f>
        <v>22.611619999999998</v>
      </c>
      <c r="N23" s="358">
        <f t="shared" ref="N23:N32" si="1">M23/E23*100</f>
        <v>95.09630913128322</v>
      </c>
    </row>
    <row r="24" spans="1:14" ht="22.5">
      <c r="A24" s="352" t="s">
        <v>234</v>
      </c>
      <c r="B24" s="352">
        <v>7000</v>
      </c>
      <c r="C24" s="356" t="s">
        <v>4369</v>
      </c>
      <c r="D24" s="357">
        <v>5.6</v>
      </c>
      <c r="E24" s="358">
        <v>3.5</v>
      </c>
      <c r="F24" s="358">
        <v>0</v>
      </c>
      <c r="G24" s="358">
        <v>0</v>
      </c>
      <c r="H24" s="358">
        <v>1.0081899999999999</v>
      </c>
      <c r="I24" s="358">
        <v>0.77598999999999996</v>
      </c>
      <c r="J24" s="358">
        <v>1.5794999999999999</v>
      </c>
      <c r="K24" s="358">
        <v>0.7</v>
      </c>
      <c r="L24" s="358"/>
      <c r="M24" s="358">
        <f t="shared" si="0"/>
        <v>4.0636799999999997</v>
      </c>
      <c r="N24" s="358">
        <f t="shared" si="1"/>
        <v>116.10514285714284</v>
      </c>
    </row>
    <row r="25" spans="1:14" ht="22.5">
      <c r="A25" s="352" t="s">
        <v>235</v>
      </c>
      <c r="B25" s="352">
        <v>43000</v>
      </c>
      <c r="C25" s="356" t="s">
        <v>236</v>
      </c>
      <c r="D25" s="357">
        <v>0.43</v>
      </c>
      <c r="E25" s="358">
        <v>0.43</v>
      </c>
      <c r="F25" s="358">
        <v>0</v>
      </c>
      <c r="G25" s="358">
        <v>0</v>
      </c>
      <c r="H25" s="358">
        <v>0.27600000000000002</v>
      </c>
      <c r="I25" s="358">
        <v>0.154</v>
      </c>
      <c r="J25" s="358">
        <v>0</v>
      </c>
      <c r="K25" s="358">
        <v>0</v>
      </c>
      <c r="L25" s="358"/>
      <c r="M25" s="358">
        <f t="shared" si="0"/>
        <v>0.43000000000000005</v>
      </c>
      <c r="N25" s="358">
        <f t="shared" si="1"/>
        <v>100.00000000000003</v>
      </c>
    </row>
    <row r="26" spans="1:14" ht="22.5">
      <c r="A26" s="352" t="s">
        <v>237</v>
      </c>
      <c r="B26" s="352">
        <v>37000</v>
      </c>
      <c r="C26" s="356" t="s">
        <v>236</v>
      </c>
      <c r="D26" s="357">
        <v>0.37</v>
      </c>
      <c r="E26" s="358">
        <v>0.34</v>
      </c>
      <c r="F26" s="358">
        <v>0</v>
      </c>
      <c r="G26" s="358">
        <v>0</v>
      </c>
      <c r="H26" s="358">
        <v>0.26904</v>
      </c>
      <c r="I26" s="358">
        <v>7.0959999999999995E-2</v>
      </c>
      <c r="J26" s="358">
        <v>0</v>
      </c>
      <c r="K26" s="358">
        <v>0</v>
      </c>
      <c r="L26" s="358"/>
      <c r="M26" s="358">
        <f t="shared" si="0"/>
        <v>0.33999999999999997</v>
      </c>
      <c r="N26" s="358">
        <f t="shared" si="1"/>
        <v>99.999999999999986</v>
      </c>
    </row>
    <row r="27" spans="1:14">
      <c r="A27" s="352" t="s">
        <v>238</v>
      </c>
      <c r="B27" s="352">
        <v>1200</v>
      </c>
      <c r="C27" s="356" t="s">
        <v>4369</v>
      </c>
      <c r="D27" s="357">
        <f>B27*J1/100000</f>
        <v>3.5666400000000005</v>
      </c>
      <c r="E27" s="358">
        <v>3.56664</v>
      </c>
      <c r="F27" s="358">
        <v>0</v>
      </c>
      <c r="G27" s="358">
        <v>0</v>
      </c>
      <c r="H27" s="358">
        <v>0</v>
      </c>
      <c r="I27" s="358">
        <v>1.42618</v>
      </c>
      <c r="J27" s="358">
        <v>0.93772</v>
      </c>
      <c r="K27" s="358">
        <v>1.234</v>
      </c>
      <c r="L27" s="358"/>
      <c r="M27" s="358">
        <f t="shared" si="0"/>
        <v>3.5979000000000001</v>
      </c>
      <c r="N27" s="358">
        <f t="shared" si="1"/>
        <v>100.87645515106655</v>
      </c>
    </row>
    <row r="28" spans="1:14">
      <c r="A28" s="352" t="s">
        <v>667</v>
      </c>
      <c r="B28" s="352">
        <v>565</v>
      </c>
      <c r="C28" s="356" t="s">
        <v>1036</v>
      </c>
      <c r="D28" s="357">
        <v>2.83</v>
      </c>
      <c r="E28" s="358">
        <v>2.83</v>
      </c>
      <c r="F28" s="358">
        <v>0</v>
      </c>
      <c r="G28" s="358">
        <v>0</v>
      </c>
      <c r="H28" s="358">
        <v>0.4</v>
      </c>
      <c r="I28" s="358">
        <v>0.99597000000000002</v>
      </c>
      <c r="J28" s="358">
        <v>0</v>
      </c>
      <c r="K28" s="358">
        <v>0</v>
      </c>
      <c r="L28" s="358"/>
      <c r="M28" s="358">
        <f t="shared" si="0"/>
        <v>1.3959700000000002</v>
      </c>
      <c r="N28" s="358">
        <f t="shared" si="1"/>
        <v>49.327561837455832</v>
      </c>
    </row>
    <row r="29" spans="1:14">
      <c r="A29" s="352" t="s">
        <v>240</v>
      </c>
      <c r="B29" s="352">
        <v>1000</v>
      </c>
      <c r="C29" s="356" t="s">
        <v>1036</v>
      </c>
      <c r="D29" s="357">
        <f>B29*J1/100000</f>
        <v>2.9722</v>
      </c>
      <c r="E29" s="358">
        <v>2.9722</v>
      </c>
      <c r="F29" s="358">
        <v>0</v>
      </c>
      <c r="G29" s="358">
        <v>0.78608</v>
      </c>
      <c r="H29" s="358">
        <v>0</v>
      </c>
      <c r="I29" s="358">
        <v>1.3219099999999999</v>
      </c>
      <c r="J29" s="358">
        <v>0.66152</v>
      </c>
      <c r="K29" s="358">
        <v>0.90237999999999996</v>
      </c>
      <c r="L29" s="358"/>
      <c r="M29" s="358">
        <f t="shared" si="0"/>
        <v>3.6718899999999999</v>
      </c>
      <c r="N29" s="358">
        <f t="shared" si="1"/>
        <v>123.54114797119978</v>
      </c>
    </row>
    <row r="30" spans="1:14">
      <c r="A30" s="352" t="s">
        <v>241</v>
      </c>
      <c r="B30" s="352">
        <v>2750</v>
      </c>
      <c r="C30" s="356" t="s">
        <v>1036</v>
      </c>
      <c r="D30" s="357">
        <v>2.31</v>
      </c>
      <c r="E30" s="358">
        <v>2.31</v>
      </c>
      <c r="F30" s="358">
        <v>0.18149999999999999</v>
      </c>
      <c r="G30" s="358">
        <v>0.38850000000000001</v>
      </c>
      <c r="H30" s="358">
        <v>0.29815000000000003</v>
      </c>
      <c r="I30" s="358">
        <v>0.28549999999999998</v>
      </c>
      <c r="J30" s="358">
        <v>0.1169</v>
      </c>
      <c r="K30" s="358">
        <v>0.27050000000000002</v>
      </c>
      <c r="L30" s="358"/>
      <c r="M30" s="358">
        <f t="shared" si="0"/>
        <v>1.54105</v>
      </c>
      <c r="N30" s="358">
        <f t="shared" si="1"/>
        <v>66.712121212121218</v>
      </c>
    </row>
    <row r="31" spans="1:14">
      <c r="A31" s="352" t="s">
        <v>670</v>
      </c>
      <c r="B31" s="352">
        <v>10000</v>
      </c>
      <c r="C31" s="356" t="s">
        <v>244</v>
      </c>
      <c r="D31" s="357">
        <v>0.1</v>
      </c>
      <c r="E31" s="358">
        <v>0.1</v>
      </c>
      <c r="F31" s="358"/>
      <c r="G31" s="358"/>
      <c r="H31" s="358"/>
      <c r="I31" s="358"/>
      <c r="J31" s="358"/>
      <c r="K31" s="358"/>
      <c r="L31" s="358"/>
      <c r="M31" s="358">
        <f t="shared" si="0"/>
        <v>0</v>
      </c>
      <c r="N31" s="358">
        <f t="shared" si="1"/>
        <v>0</v>
      </c>
    </row>
    <row r="32" spans="1:14">
      <c r="A32" s="359" t="s">
        <v>245</v>
      </c>
      <c r="B32" s="359"/>
      <c r="C32" s="355"/>
      <c r="D32" s="360">
        <f t="shared" ref="D32:M32" si="2">SUM(D23:D31)</f>
        <v>41.956440000000008</v>
      </c>
      <c r="E32" s="360">
        <f t="shared" si="2"/>
        <v>39.826440000000005</v>
      </c>
      <c r="F32" s="360">
        <f t="shared" si="2"/>
        <v>1.1332900000000001</v>
      </c>
      <c r="G32" s="360">
        <f t="shared" si="2"/>
        <v>8.6892999999999994</v>
      </c>
      <c r="H32" s="360">
        <f t="shared" si="2"/>
        <v>15.181389999999999</v>
      </c>
      <c r="I32" s="360">
        <f t="shared" si="2"/>
        <v>5.8556799999999996</v>
      </c>
      <c r="J32" s="360">
        <f t="shared" si="2"/>
        <v>3.6855700000000002</v>
      </c>
      <c r="K32" s="360">
        <f t="shared" si="2"/>
        <v>3.1068800000000003</v>
      </c>
      <c r="L32" s="360">
        <f t="shared" si="2"/>
        <v>0</v>
      </c>
      <c r="M32" s="360">
        <f t="shared" si="2"/>
        <v>37.652109999999993</v>
      </c>
      <c r="N32" s="358">
        <f t="shared" si="1"/>
        <v>94.540486169489384</v>
      </c>
    </row>
  </sheetData>
  <mergeCells count="30">
    <mergeCell ref="F21:N21"/>
    <mergeCell ref="A21:A22"/>
    <mergeCell ref="B21:B22"/>
    <mergeCell ref="C21:C22"/>
    <mergeCell ref="D21:D22"/>
    <mergeCell ref="E21:E22"/>
    <mergeCell ref="B8:C8"/>
    <mergeCell ref="D8:F8"/>
    <mergeCell ref="G8:I8"/>
    <mergeCell ref="J8:L8"/>
    <mergeCell ref="B11:C11"/>
    <mergeCell ref="D11:F11"/>
    <mergeCell ref="G11:I11"/>
    <mergeCell ref="J11:L11"/>
    <mergeCell ref="B9:C9"/>
    <mergeCell ref="D9:F9"/>
    <mergeCell ref="G9:I9"/>
    <mergeCell ref="J9:L9"/>
    <mergeCell ref="B10:C10"/>
    <mergeCell ref="D10:F10"/>
    <mergeCell ref="G10:I10"/>
    <mergeCell ref="J10:L10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4" right="0.3" top="0.36" bottom="0.46" header="0.3" footer="0.3"/>
  <pageSetup scale="95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5702</v>
      </c>
      <c r="F4" t="s">
        <v>171</v>
      </c>
      <c r="H4" t="s">
        <v>5703</v>
      </c>
      <c r="J4" t="s">
        <v>172</v>
      </c>
      <c r="K4">
        <v>512</v>
      </c>
      <c r="L4" t="s">
        <v>173</v>
      </c>
      <c r="N4">
        <v>80</v>
      </c>
    </row>
    <row r="6" spans="1:14">
      <c r="A6" t="s">
        <v>174</v>
      </c>
      <c r="B6" t="s">
        <v>279</v>
      </c>
      <c r="F6" t="s">
        <v>176</v>
      </c>
      <c r="H6" t="s">
        <v>331</v>
      </c>
    </row>
    <row r="8" spans="1:14">
      <c r="A8" t="s">
        <v>178</v>
      </c>
      <c r="B8" t="s">
        <v>332</v>
      </c>
      <c r="F8" t="s">
        <v>180</v>
      </c>
      <c r="H8" t="s">
        <v>333</v>
      </c>
    </row>
    <row r="11" spans="1:14">
      <c r="A11" t="s">
        <v>182</v>
      </c>
      <c r="B11" t="s">
        <v>334</v>
      </c>
      <c r="E11" t="s">
        <v>335</v>
      </c>
    </row>
    <row r="12" spans="1:14">
      <c r="A12" t="s">
        <v>187</v>
      </c>
      <c r="B12" t="s">
        <v>336</v>
      </c>
      <c r="E12" t="s">
        <v>337</v>
      </c>
    </row>
    <row r="13" spans="1:14">
      <c r="A13" t="s">
        <v>192</v>
      </c>
      <c r="B13" t="s">
        <v>338</v>
      </c>
      <c r="E13" t="s">
        <v>339</v>
      </c>
      <c r="H13" t="s">
        <v>340</v>
      </c>
      <c r="K13" t="s">
        <v>341</v>
      </c>
    </row>
    <row r="14" spans="1:14">
      <c r="A14" t="s">
        <v>197</v>
      </c>
    </row>
    <row r="16" spans="1:14">
      <c r="A16" t="s">
        <v>198</v>
      </c>
      <c r="B16">
        <v>2</v>
      </c>
      <c r="C16" t="s">
        <v>199</v>
      </c>
      <c r="F16">
        <v>2</v>
      </c>
      <c r="G16" t="s">
        <v>200</v>
      </c>
      <c r="H16">
        <v>11</v>
      </c>
      <c r="I16" t="s">
        <v>201</v>
      </c>
      <c r="J16">
        <v>1</v>
      </c>
      <c r="K16" t="s">
        <v>202</v>
      </c>
      <c r="L16">
        <v>25</v>
      </c>
    </row>
    <row r="18" spans="1:14">
      <c r="A18" t="s">
        <v>203</v>
      </c>
      <c r="B18" t="s">
        <v>204</v>
      </c>
      <c r="C18">
        <f>55+41</f>
        <v>96</v>
      </c>
      <c r="D18" t="s">
        <v>205</v>
      </c>
      <c r="E18">
        <f>12+9</f>
        <v>21</v>
      </c>
      <c r="F18" t="s">
        <v>206</v>
      </c>
      <c r="G18">
        <v>7</v>
      </c>
      <c r="H18" t="s">
        <v>207</v>
      </c>
      <c r="I18">
        <v>16</v>
      </c>
      <c r="J18" t="s">
        <v>208</v>
      </c>
    </row>
    <row r="19" spans="1:14">
      <c r="A19" t="s">
        <v>209</v>
      </c>
      <c r="B19" t="s">
        <v>210</v>
      </c>
      <c r="C19">
        <v>209</v>
      </c>
      <c r="D19" t="s">
        <v>211</v>
      </c>
      <c r="E19">
        <v>86</v>
      </c>
      <c r="F19" t="s">
        <v>212</v>
      </c>
      <c r="G19">
        <v>38</v>
      </c>
    </row>
    <row r="20" spans="1:14">
      <c r="B20" t="s">
        <v>213</v>
      </c>
      <c r="C20">
        <v>205</v>
      </c>
      <c r="D20" t="s">
        <v>214</v>
      </c>
      <c r="E20">
        <v>62</v>
      </c>
      <c r="F20" t="s">
        <v>215</v>
      </c>
      <c r="G20">
        <v>32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40.96</v>
      </c>
      <c r="E26">
        <v>40.96</v>
      </c>
      <c r="H26">
        <v>6.1306900000000004</v>
      </c>
      <c r="I26">
        <v>14.668089999999999</v>
      </c>
      <c r="J26">
        <v>10.470969999999999</v>
      </c>
      <c r="K26">
        <v>3.12982</v>
      </c>
      <c r="L26">
        <v>2.2281900000000001</v>
      </c>
      <c r="M26">
        <f>+F26+G26+H26+I26+J26+K26+L26</f>
        <v>36.627760000000002</v>
      </c>
      <c r="N26">
        <f>+M26/E26*100</f>
        <v>89.423242187500009</v>
      </c>
    </row>
    <row r="27" spans="1:14">
      <c r="A27" t="s">
        <v>234</v>
      </c>
      <c r="B27">
        <v>7000</v>
      </c>
      <c r="C27" t="s">
        <v>233</v>
      </c>
      <c r="D27">
        <f>+N4*B27/100000</f>
        <v>5.6</v>
      </c>
      <c r="E27">
        <v>5</v>
      </c>
      <c r="J27">
        <v>0.55147000000000002</v>
      </c>
      <c r="K27">
        <v>3.4076300000000002</v>
      </c>
      <c r="L27">
        <v>0.99070000000000003</v>
      </c>
      <c r="M27">
        <f t="shared" ref="M27:M34" si="0">+F27+G27+H27+I27+J27+K27+L27</f>
        <v>4.9498000000000006</v>
      </c>
      <c r="N27">
        <f t="shared" ref="N27:N35" si="1">+M27/E27*100</f>
        <v>98.996000000000024</v>
      </c>
    </row>
    <row r="28" spans="1:14">
      <c r="A28" t="s">
        <v>235</v>
      </c>
      <c r="B28">
        <v>86</v>
      </c>
      <c r="C28" t="s">
        <v>233</v>
      </c>
      <c r="D28">
        <v>0.44</v>
      </c>
      <c r="E28">
        <v>0.43</v>
      </c>
      <c r="J28">
        <v>0.18</v>
      </c>
      <c r="K28">
        <v>0.18926999999999999</v>
      </c>
      <c r="L28">
        <v>0.17155000000000001</v>
      </c>
      <c r="M28">
        <f t="shared" si="0"/>
        <v>0.54081999999999997</v>
      </c>
      <c r="N28">
        <f t="shared" si="1"/>
        <v>125.77209302325581</v>
      </c>
    </row>
    <row r="29" spans="1:14">
      <c r="A29" t="s">
        <v>237</v>
      </c>
      <c r="B29">
        <v>68</v>
      </c>
      <c r="C29" t="s">
        <v>233</v>
      </c>
      <c r="D29">
        <v>0.35</v>
      </c>
      <c r="E29">
        <v>0.34</v>
      </c>
      <c r="I29">
        <v>0.12784000000000001</v>
      </c>
      <c r="J29">
        <v>3.5000000000000003E-2</v>
      </c>
      <c r="K29">
        <v>0.12937000000000001</v>
      </c>
      <c r="M29">
        <f t="shared" si="0"/>
        <v>0.29221000000000003</v>
      </c>
      <c r="N29">
        <f t="shared" si="1"/>
        <v>85.944117647058832</v>
      </c>
    </row>
    <row r="30" spans="1:14">
      <c r="A30" t="s">
        <v>238</v>
      </c>
      <c r="B30">
        <v>1200</v>
      </c>
      <c r="C30" t="s">
        <v>233</v>
      </c>
      <c r="D30">
        <f>+K4*B30/100000</f>
        <v>6.1440000000000001</v>
      </c>
      <c r="E30">
        <v>6.1440000000000001</v>
      </c>
      <c r="I30">
        <v>1.48333</v>
      </c>
      <c r="J30">
        <f>0.64008+3.91444</f>
        <v>4.5545200000000001</v>
      </c>
      <c r="K30">
        <f>0.1142+1.36155</f>
        <v>1.4757500000000001</v>
      </c>
      <c r="L30">
        <f>0.0271-2.65478</f>
        <v>-2.6276800000000002</v>
      </c>
      <c r="M30">
        <f t="shared" si="0"/>
        <v>4.8859200000000005</v>
      </c>
      <c r="N30">
        <f t="shared" si="1"/>
        <v>79.5234375</v>
      </c>
    </row>
    <row r="31" spans="1:14">
      <c r="A31" t="s">
        <v>239</v>
      </c>
      <c r="B31">
        <v>565</v>
      </c>
      <c r="C31" t="s">
        <v>233</v>
      </c>
      <c r="D31">
        <v>2.83</v>
      </c>
      <c r="E31">
        <v>2.2999999999999998</v>
      </c>
      <c r="K31">
        <v>2.2999999999999998</v>
      </c>
      <c r="M31">
        <f t="shared" si="0"/>
        <v>2.2999999999999998</v>
      </c>
      <c r="N31">
        <f t="shared" si="1"/>
        <v>100</v>
      </c>
    </row>
    <row r="32" spans="1:14">
      <c r="A32" t="s">
        <v>240</v>
      </c>
      <c r="B32">
        <v>1000</v>
      </c>
      <c r="C32" t="s">
        <v>233</v>
      </c>
      <c r="D32">
        <f>+K4*B32/100000</f>
        <v>5.12</v>
      </c>
      <c r="E32">
        <v>5.12</v>
      </c>
      <c r="I32">
        <f>0.1781+0.07762</f>
        <v>0.25572</v>
      </c>
      <c r="J32">
        <v>0.20602000000000001</v>
      </c>
      <c r="K32">
        <v>7.1660000000000001E-2</v>
      </c>
      <c r="L32">
        <f>0.0035-0.13972</f>
        <v>-0.13622000000000001</v>
      </c>
      <c r="M32">
        <f t="shared" si="0"/>
        <v>0.39718000000000009</v>
      </c>
      <c r="N32">
        <f t="shared" si="1"/>
        <v>7.7574218750000021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v>1.375</v>
      </c>
      <c r="H33">
        <v>0.2412</v>
      </c>
      <c r="I33">
        <v>0.30649999999999999</v>
      </c>
      <c r="J33">
        <v>0.2944</v>
      </c>
      <c r="K33">
        <v>0.27821000000000001</v>
      </c>
      <c r="L33">
        <v>0.14058999999999999</v>
      </c>
      <c r="M33">
        <f t="shared" si="0"/>
        <v>1.2608999999999999</v>
      </c>
      <c r="N33">
        <f t="shared" si="1"/>
        <v>91.701818181818169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63.853999999999999</v>
      </c>
      <c r="E35">
        <f t="shared" ref="E35:M35" si="2">SUM(E26:E34)</f>
        <v>61.668999999999997</v>
      </c>
      <c r="F35">
        <f t="shared" si="2"/>
        <v>0</v>
      </c>
      <c r="G35">
        <f t="shared" si="2"/>
        <v>0</v>
      </c>
      <c r="H35">
        <f t="shared" si="2"/>
        <v>6.3718900000000005</v>
      </c>
      <c r="I35">
        <f t="shared" si="2"/>
        <v>16.841480000000001</v>
      </c>
      <c r="J35">
        <f t="shared" si="2"/>
        <v>16.292380000000001</v>
      </c>
      <c r="K35">
        <f t="shared" si="2"/>
        <v>10.98171</v>
      </c>
      <c r="L35">
        <f t="shared" si="2"/>
        <v>0.76712999999999965</v>
      </c>
      <c r="M35">
        <f t="shared" si="2"/>
        <v>51.254589999999993</v>
      </c>
      <c r="N35">
        <f t="shared" si="1"/>
        <v>83.112406557589708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46" t="s">
        <v>4347</v>
      </c>
      <c r="B1" s="843" t="s">
        <v>4642</v>
      </c>
      <c r="C1" s="844"/>
      <c r="D1" s="46" t="s">
        <v>4349</v>
      </c>
      <c r="E1" s="46"/>
      <c r="F1" s="843" t="s">
        <v>4643</v>
      </c>
      <c r="G1" s="844"/>
      <c r="H1" s="851" t="s">
        <v>5</v>
      </c>
      <c r="I1" s="852"/>
      <c r="J1" s="47">
        <v>460.6</v>
      </c>
      <c r="K1" s="46" t="s">
        <v>436</v>
      </c>
      <c r="L1" s="46"/>
      <c r="M1" s="47">
        <v>600.66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4644</v>
      </c>
      <c r="C3" s="844"/>
      <c r="D3" s="46" t="s">
        <v>1208</v>
      </c>
      <c r="E3" s="46"/>
      <c r="F3" s="843" t="s">
        <v>4645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4646</v>
      </c>
      <c r="C5" s="844"/>
      <c r="D5" s="46" t="s">
        <v>4355</v>
      </c>
      <c r="E5" s="46"/>
      <c r="F5" s="845" t="s">
        <v>4647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4648</v>
      </c>
      <c r="C8" s="853"/>
      <c r="D8" s="853" t="s">
        <v>4649</v>
      </c>
      <c r="E8" s="853"/>
      <c r="F8" s="853"/>
      <c r="G8" s="854" t="s">
        <v>4650</v>
      </c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4651</v>
      </c>
      <c r="C9" s="853"/>
      <c r="D9" s="853" t="s">
        <v>4652</v>
      </c>
      <c r="E9" s="853"/>
      <c r="F9" s="853"/>
      <c r="G9" s="854" t="s">
        <v>4653</v>
      </c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4654</v>
      </c>
      <c r="C10" s="853"/>
      <c r="D10" s="853" t="s">
        <v>4655</v>
      </c>
      <c r="E10" s="853"/>
      <c r="F10" s="853"/>
      <c r="G10" s="854" t="s">
        <v>4656</v>
      </c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4657</v>
      </c>
      <c r="C11" s="853"/>
      <c r="D11" s="853" t="s">
        <v>4658</v>
      </c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3</v>
      </c>
      <c r="C13" s="46" t="s">
        <v>4366</v>
      </c>
      <c r="D13" s="46"/>
      <c r="E13" s="46"/>
      <c r="F13" s="47">
        <v>3</v>
      </c>
      <c r="G13" s="46" t="s">
        <v>1491</v>
      </c>
      <c r="H13" s="47">
        <v>16</v>
      </c>
      <c r="I13" s="46" t="s">
        <v>1492</v>
      </c>
      <c r="J13" s="47">
        <v>2</v>
      </c>
      <c r="K13" s="46" t="s">
        <v>1493</v>
      </c>
      <c r="L13" s="47">
        <v>19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/>
      <c r="E16" s="46" t="s">
        <v>205</v>
      </c>
      <c r="F16" s="47"/>
      <c r="G16" s="46" t="s">
        <v>206</v>
      </c>
      <c r="H16" s="47"/>
      <c r="I16" s="46" t="s">
        <v>230</v>
      </c>
      <c r="J16" s="47">
        <v>179</v>
      </c>
      <c r="K16" s="46" t="s">
        <v>207</v>
      </c>
      <c r="L16" s="47">
        <v>27</v>
      </c>
      <c r="M16" s="72" t="s">
        <v>4367</v>
      </c>
      <c r="N16" s="47">
        <v>29</v>
      </c>
    </row>
    <row r="17" spans="1:14">
      <c r="A17" s="46" t="s">
        <v>209</v>
      </c>
      <c r="B17" s="46"/>
      <c r="C17" s="46" t="s">
        <v>210</v>
      </c>
      <c r="D17" s="47">
        <v>223</v>
      </c>
      <c r="E17" s="46" t="s">
        <v>211</v>
      </c>
      <c r="F17" s="47">
        <v>0</v>
      </c>
      <c r="G17" s="46" t="s">
        <v>212</v>
      </c>
      <c r="H17" s="47">
        <v>24</v>
      </c>
      <c r="I17" s="46" t="s">
        <v>411</v>
      </c>
      <c r="J17" s="47">
        <f>H17+F17+D17</f>
        <v>247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197</v>
      </c>
      <c r="E18" s="46" t="s">
        <v>214</v>
      </c>
      <c r="F18" s="47">
        <v>0</v>
      </c>
      <c r="G18" s="46" t="s">
        <v>1494</v>
      </c>
      <c r="H18" s="47">
        <v>21</v>
      </c>
      <c r="I18" s="46" t="s">
        <v>410</v>
      </c>
      <c r="J18" s="47">
        <f>H18+F18+D18</f>
        <v>218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224</v>
      </c>
      <c r="G22" s="366" t="s">
        <v>225</v>
      </c>
      <c r="H22" s="366" t="s">
        <v>226</v>
      </c>
      <c r="I22" s="366" t="s">
        <v>227</v>
      </c>
      <c r="J22" s="366" t="s">
        <v>228</v>
      </c>
      <c r="K22" s="366" t="s">
        <v>229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36.847999999999999</v>
      </c>
      <c r="E23" s="369">
        <v>36.847999999999999</v>
      </c>
      <c r="F23" s="369">
        <v>0.90403999999999995</v>
      </c>
      <c r="G23" s="369">
        <v>12.60023</v>
      </c>
      <c r="H23" s="369">
        <v>6.8782100000000002</v>
      </c>
      <c r="I23" s="369">
        <v>12.669409999999999</v>
      </c>
      <c r="J23" s="369">
        <v>3.7961100000000001</v>
      </c>
      <c r="K23" s="369">
        <v>0</v>
      </c>
      <c r="L23" s="369"/>
      <c r="M23" s="369">
        <f>SUM(F23:L23)</f>
        <v>36.847999999999999</v>
      </c>
      <c r="N23" s="369">
        <f>M23/E23*100</f>
        <v>100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v>5.6</v>
      </c>
      <c r="E24" s="369">
        <v>5.6</v>
      </c>
      <c r="F24" s="369">
        <v>0</v>
      </c>
      <c r="G24" s="369">
        <v>0.2</v>
      </c>
      <c r="H24" s="369">
        <v>1.8941600000000001</v>
      </c>
      <c r="I24" s="369">
        <v>1.4230700000000001</v>
      </c>
      <c r="J24" s="369">
        <v>0.70064000000000004</v>
      </c>
      <c r="K24" s="369">
        <v>0.29113</v>
      </c>
      <c r="L24" s="369"/>
      <c r="M24" s="369">
        <f t="shared" ref="M24:M31" si="0">SUM(F24:L24)</f>
        <v>4.5090000000000003</v>
      </c>
      <c r="N24" s="369">
        <f t="shared" ref="N24:N32" si="1">M24/E24*100</f>
        <v>80.517857142857153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v>0.43</v>
      </c>
      <c r="E25" s="369">
        <v>0.43</v>
      </c>
      <c r="F25" s="369">
        <v>0</v>
      </c>
      <c r="G25" s="369">
        <v>0</v>
      </c>
      <c r="H25" s="369">
        <v>0.09</v>
      </c>
      <c r="I25" s="369">
        <v>0</v>
      </c>
      <c r="J25" s="369">
        <v>0.3372</v>
      </c>
      <c r="K25" s="369">
        <v>0</v>
      </c>
      <c r="L25" s="369"/>
      <c r="M25" s="369">
        <f t="shared" si="0"/>
        <v>0.42720000000000002</v>
      </c>
      <c r="N25" s="369">
        <f t="shared" si="1"/>
        <v>99.348837209302332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0.34</v>
      </c>
      <c r="F26" s="369">
        <v>0</v>
      </c>
      <c r="G26" s="369">
        <v>0</v>
      </c>
      <c r="H26" s="369">
        <v>1.0500000000000001E-2</v>
      </c>
      <c r="I26" s="369">
        <v>0.29074</v>
      </c>
      <c r="J26" s="369">
        <v>3.8760000000000003E-2</v>
      </c>
      <c r="K26" s="369">
        <v>0</v>
      </c>
      <c r="L26" s="369"/>
      <c r="M26" s="369">
        <f t="shared" si="0"/>
        <v>0.34</v>
      </c>
      <c r="N26" s="369">
        <f t="shared" si="1"/>
        <v>100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5.5271999999999997</v>
      </c>
      <c r="E27" s="369">
        <v>5.5271999999999997</v>
      </c>
      <c r="F27" s="369">
        <v>0</v>
      </c>
      <c r="G27" s="369">
        <v>0</v>
      </c>
      <c r="H27" s="369">
        <v>0</v>
      </c>
      <c r="I27" s="369">
        <v>0</v>
      </c>
      <c r="J27" s="369">
        <v>1.4724200000000001</v>
      </c>
      <c r="K27" s="369">
        <v>3.1712199999999999</v>
      </c>
      <c r="L27" s="369"/>
      <c r="M27" s="369">
        <f t="shared" si="0"/>
        <v>4.6436399999999995</v>
      </c>
      <c r="N27" s="369">
        <f t="shared" si="1"/>
        <v>84.014329135909676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>
        <v>0</v>
      </c>
      <c r="G28" s="369">
        <v>0</v>
      </c>
      <c r="H28" s="369">
        <v>0.3</v>
      </c>
      <c r="I28" s="369">
        <v>2.16906</v>
      </c>
      <c r="J28" s="369">
        <v>0</v>
      </c>
      <c r="K28" s="369">
        <v>0</v>
      </c>
      <c r="L28" s="369"/>
      <c r="M28" s="369">
        <f t="shared" si="0"/>
        <v>2.4690599999999998</v>
      </c>
      <c r="N28" s="369">
        <f t="shared" si="1"/>
        <v>87.245936395759699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4.6059999999999999</v>
      </c>
      <c r="E29" s="369">
        <v>4.6059999999999999</v>
      </c>
      <c r="F29" s="369">
        <v>0</v>
      </c>
      <c r="G29" s="369">
        <v>1.1000000000000001</v>
      </c>
      <c r="H29" s="369">
        <v>0</v>
      </c>
      <c r="I29" s="369">
        <v>0.68928999999999996</v>
      </c>
      <c r="J29" s="369">
        <v>2.0200900000000002</v>
      </c>
      <c r="K29" s="369">
        <v>0.70611000000000002</v>
      </c>
      <c r="L29" s="369"/>
      <c r="M29" s="369">
        <f t="shared" si="0"/>
        <v>4.5154899999999998</v>
      </c>
      <c r="N29" s="369">
        <f t="shared" si="1"/>
        <v>98.034954407294833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2.31</v>
      </c>
      <c r="F30" s="369">
        <v>0.23050000000000001</v>
      </c>
      <c r="G30" s="369">
        <v>5.0500000000000003E-2</v>
      </c>
      <c r="H30" s="369">
        <v>0.49519999999999997</v>
      </c>
      <c r="I30" s="369">
        <v>0.21</v>
      </c>
      <c r="J30" s="369">
        <v>0.36</v>
      </c>
      <c r="K30" s="369">
        <v>0.30499999999999999</v>
      </c>
      <c r="L30" s="369"/>
      <c r="M30" s="369">
        <f t="shared" si="0"/>
        <v>1.6512</v>
      </c>
      <c r="N30" s="369">
        <f t="shared" si="1"/>
        <v>71.480519480519476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58.621200000000002</v>
      </c>
      <c r="E32" s="371">
        <f t="shared" ref="E32:M32" si="2">SUM(E23:E31)</f>
        <v>58.591200000000008</v>
      </c>
      <c r="F32" s="371">
        <f t="shared" si="2"/>
        <v>1.1345399999999999</v>
      </c>
      <c r="G32" s="371">
        <f t="shared" si="2"/>
        <v>13.950729999999998</v>
      </c>
      <c r="H32" s="371">
        <f t="shared" si="2"/>
        <v>9.6680700000000019</v>
      </c>
      <c r="I32" s="371">
        <f t="shared" si="2"/>
        <v>17.451569999999997</v>
      </c>
      <c r="J32" s="371">
        <f t="shared" si="2"/>
        <v>8.7252200000000002</v>
      </c>
      <c r="K32" s="371">
        <f t="shared" si="2"/>
        <v>4.4734599999999993</v>
      </c>
      <c r="L32" s="371">
        <f t="shared" si="2"/>
        <v>0</v>
      </c>
      <c r="M32" s="371">
        <f t="shared" si="2"/>
        <v>55.403590000000001</v>
      </c>
      <c r="N32" s="369">
        <f t="shared" si="1"/>
        <v>94.559575499392395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rintOptions horizontalCentered="1" verticalCentered="1"/>
  <pageMargins left="0.31496062992125984" right="0.31496062992125984" top="0.59055118110236227" bottom="0.39370078740157483" header="0.31496062992125984" footer="0.31496062992125984"/>
  <pageSetup scale="8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857" t="s">
        <v>167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</row>
    <row r="2" spans="1:14">
      <c r="A2" s="857" t="s">
        <v>4659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</row>
    <row r="3" spans="1:14">
      <c r="A3" s="808" t="s">
        <v>4176</v>
      </c>
      <c r="B3" s="808"/>
      <c r="C3" s="808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>
      <c r="A4" s="46" t="s">
        <v>4347</v>
      </c>
      <c r="B4" s="843" t="s">
        <v>4660</v>
      </c>
      <c r="C4" s="844"/>
      <c r="D4" s="46" t="s">
        <v>4349</v>
      </c>
      <c r="E4" s="46"/>
      <c r="F4" s="843" t="s">
        <v>4661</v>
      </c>
      <c r="G4" s="844"/>
      <c r="H4" s="851" t="s">
        <v>5</v>
      </c>
      <c r="I4" s="852"/>
      <c r="J4" s="47">
        <v>323.7</v>
      </c>
      <c r="K4" s="46" t="s">
        <v>436</v>
      </c>
      <c r="L4" s="46"/>
      <c r="M4" s="47">
        <v>783.65</v>
      </c>
      <c r="N4" s="46"/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43" t="s">
        <v>4662</v>
      </c>
      <c r="C6" s="844"/>
      <c r="D6" s="46" t="s">
        <v>1208</v>
      </c>
      <c r="E6" s="46"/>
      <c r="F6" s="843" t="s">
        <v>4663</v>
      </c>
      <c r="G6" s="844"/>
      <c r="H6" s="48"/>
      <c r="I6" s="48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46" t="s">
        <v>4353</v>
      </c>
      <c r="B8" s="843" t="s">
        <v>4664</v>
      </c>
      <c r="C8" s="844"/>
      <c r="D8" s="46" t="s">
        <v>4355</v>
      </c>
      <c r="E8" s="46"/>
      <c r="F8" s="858" t="s">
        <v>4665</v>
      </c>
      <c r="G8" s="859"/>
      <c r="H8" s="859"/>
      <c r="I8" s="860"/>
      <c r="J8" s="46"/>
      <c r="K8" s="46"/>
      <c r="L8" s="46"/>
      <c r="M8" s="46"/>
      <c r="N8" s="46"/>
    </row>
    <row r="9" spans="1:14">
      <c r="A9" s="46"/>
      <c r="B9" s="46"/>
      <c r="C9" s="46"/>
      <c r="D9" s="46" t="s">
        <v>4357</v>
      </c>
      <c r="E9" s="46"/>
      <c r="F9" s="861"/>
      <c r="G9" s="862"/>
      <c r="H9" s="862"/>
      <c r="I9" s="863"/>
      <c r="J9" s="46"/>
      <c r="K9" s="46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364" t="s">
        <v>838</v>
      </c>
      <c r="B11" s="853" t="s">
        <v>3773</v>
      </c>
      <c r="C11" s="853"/>
      <c r="D11" s="853" t="s">
        <v>4666</v>
      </c>
      <c r="E11" s="853"/>
      <c r="F11" s="853"/>
      <c r="G11" s="854" t="s">
        <v>4667</v>
      </c>
      <c r="H11" s="854"/>
      <c r="I11" s="854"/>
      <c r="J11" s="854"/>
      <c r="K11" s="854"/>
      <c r="L11" s="854"/>
      <c r="M11" s="46"/>
      <c r="N11" s="46"/>
    </row>
    <row r="12" spans="1:14">
      <c r="A12" s="364" t="s">
        <v>840</v>
      </c>
      <c r="B12" s="853" t="s">
        <v>4668</v>
      </c>
      <c r="C12" s="853"/>
      <c r="D12" s="853" t="s">
        <v>4669</v>
      </c>
      <c r="E12" s="853"/>
      <c r="F12" s="853"/>
      <c r="G12" s="854" t="s">
        <v>4670</v>
      </c>
      <c r="H12" s="854"/>
      <c r="I12" s="854"/>
      <c r="J12" s="854"/>
      <c r="K12" s="854"/>
      <c r="L12" s="854"/>
      <c r="M12" s="46"/>
      <c r="N12" s="46"/>
    </row>
    <row r="13" spans="1:14">
      <c r="A13" s="364" t="s">
        <v>4361</v>
      </c>
      <c r="B13" s="853" t="s">
        <v>4671</v>
      </c>
      <c r="C13" s="853"/>
      <c r="D13" s="853" t="s">
        <v>4672</v>
      </c>
      <c r="E13" s="853"/>
      <c r="F13" s="853"/>
      <c r="G13" s="854" t="s">
        <v>4673</v>
      </c>
      <c r="H13" s="854"/>
      <c r="I13" s="854"/>
      <c r="J13" s="854"/>
      <c r="K13" s="854"/>
      <c r="L13" s="854"/>
      <c r="M13" s="46"/>
      <c r="N13" s="46"/>
    </row>
    <row r="14" spans="1:14" ht="22.5">
      <c r="A14" s="364" t="s">
        <v>420</v>
      </c>
      <c r="B14" s="853" t="s">
        <v>4674</v>
      </c>
      <c r="C14" s="853"/>
      <c r="D14" s="853" t="s">
        <v>4675</v>
      </c>
      <c r="E14" s="853"/>
      <c r="F14" s="853"/>
      <c r="G14" s="854" t="s">
        <v>4676</v>
      </c>
      <c r="H14" s="854"/>
      <c r="I14" s="854"/>
      <c r="J14" s="854"/>
      <c r="K14" s="854"/>
      <c r="L14" s="854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 t="s">
        <v>4365</v>
      </c>
      <c r="B16" s="47">
        <v>3</v>
      </c>
      <c r="C16" s="46" t="s">
        <v>4366</v>
      </c>
      <c r="D16" s="46"/>
      <c r="E16" s="46"/>
      <c r="F16" s="47">
        <v>3</v>
      </c>
      <c r="G16" s="46" t="s">
        <v>1491</v>
      </c>
      <c r="H16" s="47">
        <v>30</v>
      </c>
      <c r="I16" s="46" t="s">
        <v>1492</v>
      </c>
      <c r="J16" s="47"/>
      <c r="K16" s="46" t="s">
        <v>1493</v>
      </c>
      <c r="L16" s="47">
        <v>14</v>
      </c>
      <c r="M16" s="46"/>
      <c r="N16" s="46"/>
    </row>
    <row r="17" spans="1:14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 ht="22.5">
      <c r="A19" s="46" t="s">
        <v>646</v>
      </c>
      <c r="B19" s="46"/>
      <c r="C19" s="46" t="s">
        <v>204</v>
      </c>
      <c r="D19" s="47"/>
      <c r="E19" s="46" t="s">
        <v>205</v>
      </c>
      <c r="F19" s="47"/>
      <c r="G19" s="46" t="s">
        <v>206</v>
      </c>
      <c r="H19" s="47"/>
      <c r="I19" s="46" t="s">
        <v>230</v>
      </c>
      <c r="J19" s="47">
        <v>327</v>
      </c>
      <c r="K19" s="46" t="s">
        <v>207</v>
      </c>
      <c r="L19" s="47">
        <v>150</v>
      </c>
      <c r="M19" s="72" t="s">
        <v>4367</v>
      </c>
      <c r="N19" s="47">
        <v>16</v>
      </c>
    </row>
    <row r="20" spans="1:14">
      <c r="A20" s="46" t="s">
        <v>209</v>
      </c>
      <c r="B20" s="46"/>
      <c r="C20" s="46" t="s">
        <v>210</v>
      </c>
      <c r="D20" s="47">
        <v>324</v>
      </c>
      <c r="E20" s="46" t="s">
        <v>211</v>
      </c>
      <c r="F20" s="47">
        <v>134</v>
      </c>
      <c r="G20" s="46" t="s">
        <v>212</v>
      </c>
      <c r="H20" s="47">
        <v>33</v>
      </c>
      <c r="I20" s="46" t="s">
        <v>411</v>
      </c>
      <c r="J20" s="47">
        <f>H20+F20+D20</f>
        <v>491</v>
      </c>
      <c r="K20" s="46"/>
      <c r="L20" s="46"/>
      <c r="M20" s="46"/>
      <c r="N20" s="46"/>
    </row>
    <row r="21" spans="1:14">
      <c r="A21" s="46"/>
      <c r="B21" s="46"/>
      <c r="C21" s="46" t="s">
        <v>213</v>
      </c>
      <c r="D21" s="47">
        <v>279</v>
      </c>
      <c r="E21" s="46" t="s">
        <v>214</v>
      </c>
      <c r="F21" s="47">
        <v>145</v>
      </c>
      <c r="G21" s="46" t="s">
        <v>1494</v>
      </c>
      <c r="H21" s="47">
        <v>32</v>
      </c>
      <c r="I21" s="46" t="s">
        <v>410</v>
      </c>
      <c r="J21" s="47">
        <f>H21+F21+D21</f>
        <v>456</v>
      </c>
      <c r="K21" s="46"/>
      <c r="L21" s="46"/>
      <c r="M21" s="46"/>
      <c r="N21" s="46"/>
    </row>
    <row r="22" spans="1:14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4">
      <c r="A23" s="365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>
      <c r="A24" s="856" t="s">
        <v>217</v>
      </c>
      <c r="B24" s="856" t="s">
        <v>218</v>
      </c>
      <c r="C24" s="856" t="s">
        <v>219</v>
      </c>
      <c r="D24" s="856" t="s">
        <v>407</v>
      </c>
      <c r="E24" s="856" t="s">
        <v>864</v>
      </c>
      <c r="F24" s="855" t="s">
        <v>4368</v>
      </c>
      <c r="G24" s="855"/>
      <c r="H24" s="855"/>
      <c r="I24" s="855"/>
      <c r="J24" s="855"/>
      <c r="K24" s="855"/>
      <c r="L24" s="855"/>
      <c r="M24" s="855"/>
      <c r="N24" s="855"/>
    </row>
    <row r="25" spans="1:14">
      <c r="A25" s="856"/>
      <c r="B25" s="856"/>
      <c r="C25" s="856"/>
      <c r="D25" s="856"/>
      <c r="E25" s="856"/>
      <c r="F25" s="366" t="s">
        <v>224</v>
      </c>
      <c r="G25" s="366" t="s">
        <v>225</v>
      </c>
      <c r="H25" s="366" t="s">
        <v>226</v>
      </c>
      <c r="I25" s="366" t="s">
        <v>227</v>
      </c>
      <c r="J25" s="366" t="s">
        <v>228</v>
      </c>
      <c r="K25" s="366" t="s">
        <v>229</v>
      </c>
      <c r="L25" s="366">
        <v>7</v>
      </c>
      <c r="M25" s="366" t="s">
        <v>230</v>
      </c>
      <c r="N25" s="366" t="s">
        <v>231</v>
      </c>
    </row>
    <row r="26" spans="1:14">
      <c r="A26" s="364" t="s">
        <v>232</v>
      </c>
      <c r="B26" s="364">
        <v>8000</v>
      </c>
      <c r="C26" s="367" t="s">
        <v>4369</v>
      </c>
      <c r="D26" s="372">
        <f>B26*J4/100000</f>
        <v>25.896000000000001</v>
      </c>
      <c r="E26" s="373">
        <v>25.896000000000001</v>
      </c>
      <c r="F26" s="373">
        <v>0.47342000000000001</v>
      </c>
      <c r="G26" s="373">
        <v>10.334580000000001</v>
      </c>
      <c r="H26" s="373">
        <v>4.3079000000000001</v>
      </c>
      <c r="I26" s="373">
        <v>9.8149599999999992</v>
      </c>
      <c r="J26" s="373">
        <v>0.96462999999999999</v>
      </c>
      <c r="K26" s="373">
        <v>0</v>
      </c>
      <c r="L26" s="373"/>
      <c r="M26" s="373">
        <f>SUM(F26:L26)</f>
        <v>25.895490000000002</v>
      </c>
      <c r="N26" s="373">
        <f>M26/E26*100</f>
        <v>99.99803058387397</v>
      </c>
    </row>
    <row r="27" spans="1:14" ht="22.5">
      <c r="A27" s="364" t="s">
        <v>234</v>
      </c>
      <c r="B27" s="364">
        <v>7000</v>
      </c>
      <c r="C27" s="367" t="s">
        <v>4369</v>
      </c>
      <c r="D27" s="372">
        <v>5.6</v>
      </c>
      <c r="E27" s="373">
        <v>5.6</v>
      </c>
      <c r="F27" s="373">
        <v>0</v>
      </c>
      <c r="G27" s="373">
        <v>0</v>
      </c>
      <c r="H27" s="373">
        <v>1.34056</v>
      </c>
      <c r="I27" s="373">
        <v>7.0809999999999998E-2</v>
      </c>
      <c r="J27" s="373">
        <v>3.0001799999999998</v>
      </c>
      <c r="K27" s="373">
        <v>0.63132999999999995</v>
      </c>
      <c r="L27" s="373"/>
      <c r="M27" s="373">
        <f t="shared" ref="M27:M34" si="0">SUM(F27:L27)</f>
        <v>5.0428800000000003</v>
      </c>
      <c r="N27" s="373">
        <f t="shared" ref="N27:N35" si="1">M27/E27*100</f>
        <v>90.051428571428588</v>
      </c>
    </row>
    <row r="28" spans="1:14" ht="22.5">
      <c r="A28" s="364" t="s">
        <v>235</v>
      </c>
      <c r="B28" s="364">
        <v>43000</v>
      </c>
      <c r="C28" s="367" t="s">
        <v>236</v>
      </c>
      <c r="D28" s="372">
        <v>0.43</v>
      </c>
      <c r="E28" s="373">
        <v>0.43</v>
      </c>
      <c r="F28" s="373">
        <v>0</v>
      </c>
      <c r="G28" s="373">
        <v>0</v>
      </c>
      <c r="H28" s="373">
        <v>0</v>
      </c>
      <c r="I28" s="373">
        <v>0.1</v>
      </c>
      <c r="J28" s="373">
        <v>0</v>
      </c>
      <c r="K28" s="373">
        <v>0.10904999999999999</v>
      </c>
      <c r="L28" s="373"/>
      <c r="M28" s="373">
        <f t="shared" si="0"/>
        <v>0.20905000000000001</v>
      </c>
      <c r="N28" s="373">
        <f t="shared" si="1"/>
        <v>48.616279069767451</v>
      </c>
    </row>
    <row r="29" spans="1:14" ht="22.5">
      <c r="A29" s="364" t="s">
        <v>237</v>
      </c>
      <c r="B29" s="364">
        <v>37000</v>
      </c>
      <c r="C29" s="367" t="s">
        <v>236</v>
      </c>
      <c r="D29" s="372">
        <v>0.37</v>
      </c>
      <c r="E29" s="373">
        <v>0.34</v>
      </c>
      <c r="F29" s="373">
        <v>0</v>
      </c>
      <c r="G29" s="373">
        <v>0</v>
      </c>
      <c r="H29" s="373">
        <v>0</v>
      </c>
      <c r="I29" s="373">
        <v>0.30603999999999998</v>
      </c>
      <c r="J29" s="373">
        <v>3.3959999999999997E-2</v>
      </c>
      <c r="K29" s="373">
        <v>0</v>
      </c>
      <c r="L29" s="373"/>
      <c r="M29" s="373">
        <f t="shared" si="0"/>
        <v>0.33999999999999997</v>
      </c>
      <c r="N29" s="373">
        <f t="shared" si="1"/>
        <v>99.999999999999986</v>
      </c>
    </row>
    <row r="30" spans="1:14">
      <c r="A30" s="364" t="s">
        <v>238</v>
      </c>
      <c r="B30" s="364">
        <v>1200</v>
      </c>
      <c r="C30" s="367" t="s">
        <v>4369</v>
      </c>
      <c r="D30" s="372">
        <f>B30*J4/100000</f>
        <v>3.8843999999999999</v>
      </c>
      <c r="E30" s="373">
        <v>4.8</v>
      </c>
      <c r="F30" s="373">
        <v>0</v>
      </c>
      <c r="G30" s="373">
        <v>0</v>
      </c>
      <c r="H30" s="373">
        <v>2.85</v>
      </c>
      <c r="I30" s="373">
        <v>0.97406000000000004</v>
      </c>
      <c r="J30" s="373">
        <v>1.81254</v>
      </c>
      <c r="K30" s="373">
        <v>0</v>
      </c>
      <c r="L30" s="373"/>
      <c r="M30" s="373">
        <f t="shared" si="0"/>
        <v>5.6366000000000005</v>
      </c>
      <c r="N30" s="373">
        <f t="shared" si="1"/>
        <v>117.42916666666667</v>
      </c>
    </row>
    <row r="31" spans="1:14">
      <c r="A31" s="364" t="s">
        <v>667</v>
      </c>
      <c r="B31" s="364">
        <v>565</v>
      </c>
      <c r="C31" s="367" t="s">
        <v>1036</v>
      </c>
      <c r="D31" s="372">
        <v>2.83</v>
      </c>
      <c r="E31" s="373">
        <v>2.83</v>
      </c>
      <c r="F31" s="373">
        <v>0</v>
      </c>
      <c r="G31" s="373">
        <v>0</v>
      </c>
      <c r="H31" s="373">
        <v>0.6</v>
      </c>
      <c r="I31" s="373">
        <v>1.0455700000000001</v>
      </c>
      <c r="J31" s="373">
        <v>0</v>
      </c>
      <c r="K31" s="373">
        <v>0</v>
      </c>
      <c r="L31" s="373"/>
      <c r="M31" s="373">
        <f t="shared" si="0"/>
        <v>1.6455700000000002</v>
      </c>
      <c r="N31" s="373">
        <f t="shared" si="1"/>
        <v>58.147349823321562</v>
      </c>
    </row>
    <row r="32" spans="1:14">
      <c r="A32" s="364" t="s">
        <v>240</v>
      </c>
      <c r="B32" s="364">
        <v>1000</v>
      </c>
      <c r="C32" s="367" t="s">
        <v>1036</v>
      </c>
      <c r="D32" s="372">
        <f>B32*J4/100000</f>
        <v>3.2370000000000001</v>
      </c>
      <c r="E32" s="373">
        <v>3.2370000000000001</v>
      </c>
      <c r="F32" s="373">
        <v>0</v>
      </c>
      <c r="G32" s="373">
        <v>1</v>
      </c>
      <c r="H32" s="373">
        <v>0</v>
      </c>
      <c r="I32" s="373">
        <v>0.76015999999999995</v>
      </c>
      <c r="J32" s="373">
        <v>1.22289</v>
      </c>
      <c r="K32" s="373">
        <v>0.17330000000000001</v>
      </c>
      <c r="L32" s="373"/>
      <c r="M32" s="373">
        <f t="shared" si="0"/>
        <v>3.1563499999999998</v>
      </c>
      <c r="N32" s="373">
        <f t="shared" si="1"/>
        <v>97.508495520543704</v>
      </c>
    </row>
    <row r="33" spans="1:14">
      <c r="A33" s="364" t="s">
        <v>241</v>
      </c>
      <c r="B33" s="364">
        <v>2750</v>
      </c>
      <c r="C33" s="367" t="s">
        <v>1036</v>
      </c>
      <c r="D33" s="372">
        <v>2.31</v>
      </c>
      <c r="E33" s="373">
        <v>2.31</v>
      </c>
      <c r="F33" s="373">
        <v>0.13550000000000001</v>
      </c>
      <c r="G33" s="373">
        <v>0.21249999999999999</v>
      </c>
      <c r="H33" s="373">
        <v>0.34</v>
      </c>
      <c r="I33" s="373">
        <v>0.21</v>
      </c>
      <c r="J33" s="373">
        <v>0.23499999999999999</v>
      </c>
      <c r="K33" s="373">
        <v>0.34200000000000003</v>
      </c>
      <c r="L33" s="373"/>
      <c r="M33" s="373">
        <f t="shared" si="0"/>
        <v>1.4750000000000001</v>
      </c>
      <c r="N33" s="373">
        <f t="shared" si="1"/>
        <v>63.852813852813853</v>
      </c>
    </row>
    <row r="34" spans="1:14">
      <c r="A34" s="364" t="s">
        <v>670</v>
      </c>
      <c r="B34" s="364">
        <v>10000</v>
      </c>
      <c r="C34" s="367" t="s">
        <v>244</v>
      </c>
      <c r="D34" s="372">
        <v>0.1</v>
      </c>
      <c r="E34" s="373">
        <v>0.1</v>
      </c>
      <c r="F34" s="373"/>
      <c r="G34" s="373"/>
      <c r="H34" s="373"/>
      <c r="I34" s="373"/>
      <c r="J34" s="373"/>
      <c r="K34" s="373"/>
      <c r="L34" s="373"/>
      <c r="M34" s="373">
        <f t="shared" si="0"/>
        <v>0</v>
      </c>
      <c r="N34" s="373">
        <f t="shared" si="1"/>
        <v>0</v>
      </c>
    </row>
    <row r="35" spans="1:14">
      <c r="A35" s="370" t="s">
        <v>245</v>
      </c>
      <c r="B35" s="370"/>
      <c r="C35" s="366"/>
      <c r="D35" s="374">
        <f>SUM(D26:D34)</f>
        <v>44.657400000000003</v>
      </c>
      <c r="E35" s="374">
        <f t="shared" ref="E35:M35" si="2">SUM(E26:E34)</f>
        <v>45.543000000000006</v>
      </c>
      <c r="F35" s="374">
        <f t="shared" si="2"/>
        <v>0.60892000000000002</v>
      </c>
      <c r="G35" s="374">
        <f t="shared" si="2"/>
        <v>11.547080000000001</v>
      </c>
      <c r="H35" s="374">
        <f t="shared" si="2"/>
        <v>9.4384599999999992</v>
      </c>
      <c r="I35" s="374">
        <f t="shared" si="2"/>
        <v>13.281599999999997</v>
      </c>
      <c r="J35" s="374">
        <f t="shared" si="2"/>
        <v>7.2692000000000005</v>
      </c>
      <c r="K35" s="374">
        <f t="shared" si="2"/>
        <v>1.2556799999999999</v>
      </c>
      <c r="L35" s="374">
        <f t="shared" si="2"/>
        <v>0</v>
      </c>
      <c r="M35" s="374">
        <f t="shared" si="2"/>
        <v>43.400939999999999</v>
      </c>
      <c r="N35" s="373">
        <f t="shared" si="1"/>
        <v>95.296620775969942</v>
      </c>
    </row>
  </sheetData>
  <mergeCells count="32">
    <mergeCell ref="B14:C14"/>
    <mergeCell ref="D14:F14"/>
    <mergeCell ref="G14:I14"/>
    <mergeCell ref="J14:L14"/>
    <mergeCell ref="A24:A25"/>
    <mergeCell ref="B24:B25"/>
    <mergeCell ref="C24:C25"/>
    <mergeCell ref="D24:D25"/>
    <mergeCell ref="E24:E25"/>
    <mergeCell ref="F24:N24"/>
    <mergeCell ref="B12:C12"/>
    <mergeCell ref="D12:F12"/>
    <mergeCell ref="G12:I12"/>
    <mergeCell ref="J12:L12"/>
    <mergeCell ref="B13:C13"/>
    <mergeCell ref="D13:F13"/>
    <mergeCell ref="G13:I13"/>
    <mergeCell ref="J13:L13"/>
    <mergeCell ref="J11:L11"/>
    <mergeCell ref="A1:N1"/>
    <mergeCell ref="A2:N2"/>
    <mergeCell ref="B4:C4"/>
    <mergeCell ref="F4:G4"/>
    <mergeCell ref="H4:I4"/>
    <mergeCell ref="B6:C6"/>
    <mergeCell ref="F6:G6"/>
    <mergeCell ref="B8:C8"/>
    <mergeCell ref="F8:I9"/>
    <mergeCell ref="B11:C11"/>
    <mergeCell ref="D11:F11"/>
    <mergeCell ref="G11:I11"/>
    <mergeCell ref="A3:C3"/>
  </mergeCells>
  <hyperlinks>
    <hyperlink ref="A3" location="'Fact Sheet of VDC'!A1" display="&lt;&lt;Back"/>
  </hyperlinks>
  <printOptions horizontalCentered="1" verticalCentered="1"/>
  <pageMargins left="0.31496062992125984" right="0.31496062992125984" top="0.59055118110236227" bottom="0.39370078740157483" header="0.31496062992125984" footer="0.31496062992125984"/>
  <pageSetup scale="89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46" t="s">
        <v>4347</v>
      </c>
      <c r="B1" s="843" t="s">
        <v>4677</v>
      </c>
      <c r="C1" s="844"/>
      <c r="D1" s="46" t="s">
        <v>4349</v>
      </c>
      <c r="E1" s="46"/>
      <c r="F1" s="843" t="s">
        <v>4678</v>
      </c>
      <c r="G1" s="844"/>
      <c r="H1" s="851" t="s">
        <v>5</v>
      </c>
      <c r="I1" s="852"/>
      <c r="J1" s="47">
        <v>654.73</v>
      </c>
      <c r="K1" s="46" t="s">
        <v>436</v>
      </c>
      <c r="L1" s="46"/>
      <c r="M1" s="47">
        <v>272.64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4679</v>
      </c>
      <c r="C3" s="844"/>
      <c r="D3" s="46" t="s">
        <v>1208</v>
      </c>
      <c r="E3" s="46"/>
      <c r="F3" s="843" t="s">
        <v>4680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/>
      <c r="C5" s="844"/>
      <c r="D5" s="46" t="s">
        <v>4355</v>
      </c>
      <c r="E5" s="46"/>
      <c r="F5" s="845" t="s">
        <v>4681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4682</v>
      </c>
      <c r="C8" s="853"/>
      <c r="D8" s="853" t="s">
        <v>4683</v>
      </c>
      <c r="E8" s="853"/>
      <c r="F8" s="853"/>
      <c r="G8" s="854" t="s">
        <v>4684</v>
      </c>
      <c r="H8" s="854"/>
      <c r="I8" s="854"/>
      <c r="J8" s="854" t="s">
        <v>4685</v>
      </c>
      <c r="K8" s="854"/>
      <c r="L8" s="854"/>
      <c r="M8" s="46"/>
      <c r="N8" s="46"/>
    </row>
    <row r="9" spans="1:14">
      <c r="A9" s="364" t="s">
        <v>840</v>
      </c>
      <c r="B9" s="853" t="s">
        <v>4686</v>
      </c>
      <c r="C9" s="853"/>
      <c r="D9" s="853" t="s">
        <v>4687</v>
      </c>
      <c r="E9" s="853"/>
      <c r="F9" s="853"/>
      <c r="G9" s="854"/>
      <c r="H9" s="854"/>
      <c r="I9" s="854"/>
      <c r="J9" s="854" t="s">
        <v>4688</v>
      </c>
      <c r="K9" s="854"/>
      <c r="L9" s="854"/>
      <c r="M9" s="46"/>
      <c r="N9" s="46"/>
    </row>
    <row r="10" spans="1:14">
      <c r="A10" s="364" t="s">
        <v>4361</v>
      </c>
      <c r="B10" s="853" t="s">
        <v>4689</v>
      </c>
      <c r="C10" s="853"/>
      <c r="D10" s="853" t="s">
        <v>4690</v>
      </c>
      <c r="E10" s="853"/>
      <c r="F10" s="853"/>
      <c r="G10" s="854"/>
      <c r="H10" s="854"/>
      <c r="I10" s="854"/>
      <c r="J10" s="854" t="s">
        <v>4691</v>
      </c>
      <c r="K10" s="854"/>
      <c r="L10" s="854"/>
      <c r="M10" s="46"/>
      <c r="N10" s="46"/>
    </row>
    <row r="11" spans="1:14" ht="22.5">
      <c r="A11" s="364" t="s">
        <v>420</v>
      </c>
      <c r="B11" s="853" t="s">
        <v>4686</v>
      </c>
      <c r="C11" s="853"/>
      <c r="D11" s="853" t="s">
        <v>4686</v>
      </c>
      <c r="E11" s="853"/>
      <c r="F11" s="853"/>
      <c r="G11" s="854" t="s">
        <v>4692</v>
      </c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>
        <v>4</v>
      </c>
      <c r="G13" s="46" t="s">
        <v>1491</v>
      </c>
      <c r="H13" s="47">
        <v>8</v>
      </c>
      <c r="I13" s="46" t="s">
        <v>1492</v>
      </c>
      <c r="J13" s="47">
        <v>4</v>
      </c>
      <c r="K13" s="46" t="s">
        <v>1493</v>
      </c>
      <c r="L13" s="47">
        <v>28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/>
      <c r="E16" s="46" t="s">
        <v>205</v>
      </c>
      <c r="F16" s="47"/>
      <c r="G16" s="46" t="s">
        <v>206</v>
      </c>
      <c r="H16" s="47"/>
      <c r="I16" s="46" t="s">
        <v>230</v>
      </c>
      <c r="J16" s="47">
        <v>103</v>
      </c>
      <c r="K16" s="46" t="s">
        <v>207</v>
      </c>
      <c r="L16" s="47">
        <v>40</v>
      </c>
      <c r="M16" s="72" t="s">
        <v>4367</v>
      </c>
      <c r="N16" s="47">
        <v>29</v>
      </c>
    </row>
    <row r="17" spans="1:14">
      <c r="A17" s="46" t="s">
        <v>209</v>
      </c>
      <c r="B17" s="46"/>
      <c r="C17" s="46" t="s">
        <v>210</v>
      </c>
      <c r="D17" s="47">
        <v>141</v>
      </c>
      <c r="E17" s="46" t="s">
        <v>211</v>
      </c>
      <c r="F17" s="47">
        <v>0</v>
      </c>
      <c r="G17" s="46" t="s">
        <v>212</v>
      </c>
      <c r="H17" s="47">
        <v>5</v>
      </c>
      <c r="I17" s="46" t="s">
        <v>411</v>
      </c>
      <c r="J17" s="47">
        <f>H17+F17+D17</f>
        <v>146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135</v>
      </c>
      <c r="E18" s="46" t="s">
        <v>214</v>
      </c>
      <c r="F18" s="47">
        <v>0</v>
      </c>
      <c r="G18" s="46" t="s">
        <v>1494</v>
      </c>
      <c r="H18" s="47">
        <v>5</v>
      </c>
      <c r="I18" s="46" t="s">
        <v>410</v>
      </c>
      <c r="J18" s="47">
        <f>H18+F18+D18</f>
        <v>140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224</v>
      </c>
      <c r="G22" s="366" t="s">
        <v>225</v>
      </c>
      <c r="H22" s="366" t="s">
        <v>226</v>
      </c>
      <c r="I22" s="366" t="s">
        <v>227</v>
      </c>
      <c r="J22" s="366" t="s">
        <v>228</v>
      </c>
      <c r="K22" s="366" t="s">
        <v>229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52.378399999999999</v>
      </c>
      <c r="E23" s="369">
        <v>52.378399999999999</v>
      </c>
      <c r="F23" s="369">
        <v>0.66422000000000003</v>
      </c>
      <c r="G23" s="369">
        <v>15.82061</v>
      </c>
      <c r="H23" s="369">
        <v>10.43271</v>
      </c>
      <c r="I23" s="369">
        <v>14.23488</v>
      </c>
      <c r="J23" s="369">
        <v>10.71288</v>
      </c>
      <c r="K23" s="369">
        <v>0</v>
      </c>
      <c r="L23" s="369"/>
      <c r="M23" s="369">
        <f>SUM(F23:L23)</f>
        <v>51.865299999999998</v>
      </c>
      <c r="N23" s="369">
        <f>M23/E23*100</f>
        <v>99.020397721198051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v>5.6</v>
      </c>
      <c r="E24" s="369">
        <v>4.7</v>
      </c>
      <c r="F24" s="369">
        <v>0</v>
      </c>
      <c r="G24" s="369">
        <v>0</v>
      </c>
      <c r="H24" s="369">
        <v>0.47039999999999998</v>
      </c>
      <c r="I24" s="369">
        <v>0</v>
      </c>
      <c r="J24" s="369">
        <v>2.21834</v>
      </c>
      <c r="K24" s="369">
        <v>0.54979999999999996</v>
      </c>
      <c r="L24" s="369"/>
      <c r="M24" s="369">
        <f t="shared" ref="M24:M31" si="0">SUM(F24:L24)</f>
        <v>3.23854</v>
      </c>
      <c r="N24" s="369">
        <f t="shared" ref="N24:N32" si="1">M24/E24*100</f>
        <v>68.905106382978715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v>0.43</v>
      </c>
      <c r="E25" s="369">
        <v>0.43</v>
      </c>
      <c r="F25" s="369">
        <v>0</v>
      </c>
      <c r="G25" s="369">
        <v>0</v>
      </c>
      <c r="H25" s="369">
        <v>0.17</v>
      </c>
      <c r="I25" s="369">
        <v>0.28000000000000003</v>
      </c>
      <c r="J25" s="369">
        <v>0.20910000000000001</v>
      </c>
      <c r="K25" s="369">
        <v>0</v>
      </c>
      <c r="L25" s="369"/>
      <c r="M25" s="369">
        <f t="shared" si="0"/>
        <v>0.65910000000000002</v>
      </c>
      <c r="N25" s="369">
        <f t="shared" si="1"/>
        <v>153.27906976744188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0.34</v>
      </c>
      <c r="F26" s="369">
        <v>0</v>
      </c>
      <c r="G26" s="369">
        <v>0</v>
      </c>
      <c r="H26" s="369">
        <v>0.23949999999999999</v>
      </c>
      <c r="I26" s="369">
        <v>3.4700000000000002E-2</v>
      </c>
      <c r="J26" s="369">
        <v>6.5799999999999997E-2</v>
      </c>
      <c r="K26" s="369">
        <v>0</v>
      </c>
      <c r="L26" s="369"/>
      <c r="M26" s="369">
        <f t="shared" si="0"/>
        <v>0.33999999999999997</v>
      </c>
      <c r="N26" s="369">
        <f t="shared" si="1"/>
        <v>99.999999999999986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7.8567600000000004</v>
      </c>
      <c r="E27" s="369">
        <v>7.8567600000000004</v>
      </c>
      <c r="F27" s="369">
        <v>0</v>
      </c>
      <c r="G27" s="369">
        <v>0</v>
      </c>
      <c r="H27" s="369">
        <v>0.46226</v>
      </c>
      <c r="I27" s="369">
        <v>1.4056999999999999</v>
      </c>
      <c r="J27" s="369">
        <v>3.4455399999999998</v>
      </c>
      <c r="K27" s="369">
        <v>1.0496700000000001</v>
      </c>
      <c r="L27" s="369"/>
      <c r="M27" s="369">
        <f t="shared" si="0"/>
        <v>6.3631699999999993</v>
      </c>
      <c r="N27" s="369">
        <f t="shared" si="1"/>
        <v>80.989746409461389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>
        <v>0</v>
      </c>
      <c r="G28" s="369">
        <v>0</v>
      </c>
      <c r="H28" s="369">
        <v>0.6</v>
      </c>
      <c r="I28" s="369">
        <v>3.0158999999999998</v>
      </c>
      <c r="J28" s="369">
        <v>-0.15</v>
      </c>
      <c r="K28" s="369">
        <v>0</v>
      </c>
      <c r="L28" s="369"/>
      <c r="M28" s="369">
        <f t="shared" si="0"/>
        <v>3.4659</v>
      </c>
      <c r="N28" s="369">
        <f t="shared" si="1"/>
        <v>122.46996466431095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6.5472999999999999</v>
      </c>
      <c r="E29" s="369">
        <v>5.2346000000000004</v>
      </c>
      <c r="F29" s="369">
        <v>0</v>
      </c>
      <c r="G29" s="369">
        <v>0.97</v>
      </c>
      <c r="H29" s="369">
        <v>0.03</v>
      </c>
      <c r="I29" s="369">
        <v>0</v>
      </c>
      <c r="J29" s="369">
        <v>1.4347099999999999</v>
      </c>
      <c r="K29" s="369">
        <v>1.8761699999999999</v>
      </c>
      <c r="L29" s="369"/>
      <c r="M29" s="369">
        <f t="shared" si="0"/>
        <v>4.31088</v>
      </c>
      <c r="N29" s="369">
        <f t="shared" si="1"/>
        <v>82.353570473388601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2.31</v>
      </c>
      <c r="F30" s="369">
        <v>0.23050000000000001</v>
      </c>
      <c r="G30" s="369">
        <v>0.12</v>
      </c>
      <c r="H30" s="369">
        <v>0.504</v>
      </c>
      <c r="I30" s="369">
        <v>0.1525</v>
      </c>
      <c r="J30" s="369">
        <v>0.08</v>
      </c>
      <c r="K30" s="369">
        <v>7.0000000000000007E-2</v>
      </c>
      <c r="L30" s="369"/>
      <c r="M30" s="369">
        <f t="shared" si="0"/>
        <v>1.1570000000000003</v>
      </c>
      <c r="N30" s="369">
        <f t="shared" si="1"/>
        <v>50.086580086580099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78.422460000000001</v>
      </c>
      <c r="E32" s="371">
        <f t="shared" ref="E32:M32" si="2">SUM(E23:E31)</f>
        <v>76.179760000000002</v>
      </c>
      <c r="F32" s="371">
        <f t="shared" si="2"/>
        <v>0.89472000000000007</v>
      </c>
      <c r="G32" s="371">
        <f t="shared" si="2"/>
        <v>16.910610000000002</v>
      </c>
      <c r="H32" s="371">
        <f t="shared" si="2"/>
        <v>12.908869999999999</v>
      </c>
      <c r="I32" s="371">
        <f t="shared" si="2"/>
        <v>19.12368</v>
      </c>
      <c r="J32" s="371">
        <f t="shared" si="2"/>
        <v>18.016369999999998</v>
      </c>
      <c r="K32" s="371">
        <f t="shared" si="2"/>
        <v>3.5456400000000001</v>
      </c>
      <c r="L32" s="371">
        <f t="shared" si="2"/>
        <v>0</v>
      </c>
      <c r="M32" s="371">
        <f t="shared" si="2"/>
        <v>71.399889999999999</v>
      </c>
      <c r="N32" s="369">
        <f t="shared" si="1"/>
        <v>93.72553812193685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3" right="0.33" top="0.61" bottom="0.38" header="0.3" footer="0.3"/>
  <pageSetup scale="90" orientation="landscape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46" t="s">
        <v>4347</v>
      </c>
      <c r="B1" s="843" t="s">
        <v>4693</v>
      </c>
      <c r="C1" s="844"/>
      <c r="D1" s="46" t="s">
        <v>4349</v>
      </c>
      <c r="E1" s="46"/>
      <c r="F1" s="843" t="s">
        <v>4694</v>
      </c>
      <c r="G1" s="844"/>
      <c r="H1" s="851" t="s">
        <v>5</v>
      </c>
      <c r="I1" s="852"/>
      <c r="J1" s="47">
        <v>568.05999999999995</v>
      </c>
      <c r="K1" s="46" t="s">
        <v>436</v>
      </c>
      <c r="L1" s="46"/>
      <c r="M1" s="47">
        <v>422.38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4695</v>
      </c>
      <c r="C3" s="844"/>
      <c r="D3" s="46" t="s">
        <v>1208</v>
      </c>
      <c r="E3" s="46"/>
      <c r="F3" s="843" t="s">
        <v>4696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4646</v>
      </c>
      <c r="C5" s="844"/>
      <c r="D5" s="46" t="s">
        <v>4355</v>
      </c>
      <c r="E5" s="46"/>
      <c r="F5" s="845" t="s">
        <v>4697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4698</v>
      </c>
      <c r="C8" s="853"/>
      <c r="D8" s="853" t="s">
        <v>4699</v>
      </c>
      <c r="E8" s="853"/>
      <c r="F8" s="853"/>
      <c r="G8" s="854" t="s">
        <v>4700</v>
      </c>
      <c r="H8" s="854"/>
      <c r="I8" s="854"/>
      <c r="J8" s="854" t="s">
        <v>4701</v>
      </c>
      <c r="K8" s="854"/>
      <c r="L8" s="854"/>
      <c r="M8" s="46"/>
      <c r="N8" s="46"/>
    </row>
    <row r="9" spans="1:14">
      <c r="A9" s="364" t="s">
        <v>840</v>
      </c>
      <c r="B9" s="853" t="s">
        <v>4702</v>
      </c>
      <c r="C9" s="853"/>
      <c r="D9" s="853" t="s">
        <v>4703</v>
      </c>
      <c r="E9" s="853"/>
      <c r="F9" s="853"/>
      <c r="G9" s="854" t="s">
        <v>4704</v>
      </c>
      <c r="H9" s="854"/>
      <c r="I9" s="854"/>
      <c r="J9" s="854" t="s">
        <v>4705</v>
      </c>
      <c r="K9" s="854"/>
      <c r="L9" s="854"/>
      <c r="M9" s="46"/>
      <c r="N9" s="46"/>
    </row>
    <row r="10" spans="1:14">
      <c r="A10" s="364" t="s">
        <v>4361</v>
      </c>
      <c r="B10" s="853" t="s">
        <v>4706</v>
      </c>
      <c r="C10" s="853"/>
      <c r="D10" s="853" t="s">
        <v>4707</v>
      </c>
      <c r="E10" s="853"/>
      <c r="F10" s="853"/>
      <c r="G10" s="854" t="s">
        <v>4708</v>
      </c>
      <c r="H10" s="854"/>
      <c r="I10" s="854"/>
      <c r="J10" s="854" t="s">
        <v>4709</v>
      </c>
      <c r="K10" s="854"/>
      <c r="L10" s="854"/>
      <c r="M10" s="46"/>
      <c r="N10" s="46"/>
    </row>
    <row r="11" spans="1:14" ht="22.5">
      <c r="A11" s="364" t="s">
        <v>420</v>
      </c>
      <c r="B11" s="853" t="s">
        <v>4710</v>
      </c>
      <c r="C11" s="853"/>
      <c r="D11" s="853" t="s">
        <v>4711</v>
      </c>
      <c r="E11" s="853"/>
      <c r="F11" s="853"/>
      <c r="G11" s="854" t="s">
        <v>4712</v>
      </c>
      <c r="H11" s="854"/>
      <c r="I11" s="854"/>
      <c r="J11" s="854" t="s">
        <v>4713</v>
      </c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>
        <v>4</v>
      </c>
      <c r="G13" s="46" t="s">
        <v>1491</v>
      </c>
      <c r="H13" s="47">
        <v>15</v>
      </c>
      <c r="I13" s="46" t="s">
        <v>1492</v>
      </c>
      <c r="J13" s="47">
        <v>4</v>
      </c>
      <c r="K13" s="46" t="s">
        <v>1493</v>
      </c>
      <c r="L13" s="47">
        <v>32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/>
      <c r="E16" s="46" t="s">
        <v>205</v>
      </c>
      <c r="F16" s="47"/>
      <c r="G16" s="46" t="s">
        <v>206</v>
      </c>
      <c r="H16" s="47"/>
      <c r="I16" s="46" t="s">
        <v>230</v>
      </c>
      <c r="J16" s="47">
        <v>184</v>
      </c>
      <c r="K16" s="46" t="s">
        <v>207</v>
      </c>
      <c r="L16" s="47">
        <v>101</v>
      </c>
      <c r="M16" s="72" t="s">
        <v>4367</v>
      </c>
      <c r="N16" s="47">
        <v>28</v>
      </c>
    </row>
    <row r="17" spans="1:14">
      <c r="A17" s="46" t="s">
        <v>209</v>
      </c>
      <c r="B17" s="46"/>
      <c r="C17" s="46" t="s">
        <v>210</v>
      </c>
      <c r="D17" s="47">
        <v>269</v>
      </c>
      <c r="E17" s="46" t="s">
        <v>211</v>
      </c>
      <c r="F17" s="47">
        <v>2</v>
      </c>
      <c r="G17" s="46" t="s">
        <v>212</v>
      </c>
      <c r="H17" s="47">
        <v>0</v>
      </c>
      <c r="I17" s="46" t="s">
        <v>411</v>
      </c>
      <c r="J17" s="47">
        <f>H17+F17+D17</f>
        <v>271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293</v>
      </c>
      <c r="E18" s="46" t="s">
        <v>214</v>
      </c>
      <c r="F18" s="47">
        <v>2</v>
      </c>
      <c r="G18" s="46" t="s">
        <v>1494</v>
      </c>
      <c r="H18" s="47">
        <v>0</v>
      </c>
      <c r="I18" s="46" t="s">
        <v>410</v>
      </c>
      <c r="J18" s="47">
        <f>H18+F18+D18</f>
        <v>295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224</v>
      </c>
      <c r="G22" s="366" t="s">
        <v>225</v>
      </c>
      <c r="H22" s="366" t="s">
        <v>226</v>
      </c>
      <c r="I22" s="366" t="s">
        <v>227</v>
      </c>
      <c r="J22" s="366" t="s">
        <v>228</v>
      </c>
      <c r="K22" s="366" t="s">
        <v>229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45.444800000000001</v>
      </c>
      <c r="E23" s="369">
        <v>45.444800000000001</v>
      </c>
      <c r="F23" s="369">
        <v>0.64407000000000003</v>
      </c>
      <c r="G23" s="369">
        <v>15.874219999999999</v>
      </c>
      <c r="H23" s="369">
        <v>4.8337199999999996</v>
      </c>
      <c r="I23" s="369">
        <v>21.767389999999999</v>
      </c>
      <c r="J23" s="369">
        <v>2.0965699999999998</v>
      </c>
      <c r="K23" s="369">
        <v>0</v>
      </c>
      <c r="L23" s="369"/>
      <c r="M23" s="369">
        <f>SUM(F23:L23)</f>
        <v>45.215969999999999</v>
      </c>
      <c r="N23" s="369">
        <f>M23/E23*100</f>
        <v>99.496466042319469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v>5.6</v>
      </c>
      <c r="E24" s="369">
        <v>5.6</v>
      </c>
      <c r="F24" s="369">
        <v>0</v>
      </c>
      <c r="G24" s="369">
        <v>0</v>
      </c>
      <c r="H24" s="369">
        <v>0.94338</v>
      </c>
      <c r="I24" s="369">
        <v>1.35761</v>
      </c>
      <c r="J24" s="369">
        <v>2.39181</v>
      </c>
      <c r="K24" s="369">
        <v>0.47860000000000003</v>
      </c>
      <c r="L24" s="369"/>
      <c r="M24" s="369">
        <f t="shared" ref="M24:M31" si="0">SUM(F24:L24)</f>
        <v>5.1714000000000002</v>
      </c>
      <c r="N24" s="369">
        <f t="shared" ref="N24:N32" si="1">M24/E24*100</f>
        <v>92.346428571428589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v>0.43</v>
      </c>
      <c r="E25" s="369">
        <v>0.43</v>
      </c>
      <c r="F25" s="369">
        <v>0</v>
      </c>
      <c r="G25" s="369">
        <v>0</v>
      </c>
      <c r="H25" s="369">
        <v>0.42849999999999999</v>
      </c>
      <c r="I25" s="369">
        <v>0.1</v>
      </c>
      <c r="J25" s="369">
        <v>0</v>
      </c>
      <c r="K25" s="369">
        <v>0.26290999999999998</v>
      </c>
      <c r="L25" s="369"/>
      <c r="M25" s="369">
        <f t="shared" si="0"/>
        <v>0.79140999999999995</v>
      </c>
      <c r="N25" s="369">
        <f t="shared" si="1"/>
        <v>184.04883720930232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0.34</v>
      </c>
      <c r="F26" s="369">
        <v>0</v>
      </c>
      <c r="G26" s="369">
        <v>0</v>
      </c>
      <c r="H26" s="369">
        <v>0.23419999999999999</v>
      </c>
      <c r="I26" s="369">
        <v>6.1199999999999997E-2</v>
      </c>
      <c r="J26" s="369">
        <v>4.4600000000000001E-2</v>
      </c>
      <c r="K26" s="369">
        <v>0</v>
      </c>
      <c r="L26" s="369"/>
      <c r="M26" s="369">
        <f t="shared" si="0"/>
        <v>0.33999999999999997</v>
      </c>
      <c r="N26" s="369">
        <f t="shared" si="1"/>
        <v>99.999999999999986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6.8167199999999992</v>
      </c>
      <c r="E27" s="369">
        <v>6.8167200000000001</v>
      </c>
      <c r="F27" s="369">
        <v>0</v>
      </c>
      <c r="G27" s="369">
        <v>0</v>
      </c>
      <c r="H27" s="369">
        <v>0</v>
      </c>
      <c r="I27" s="369">
        <v>0.47266999999999998</v>
      </c>
      <c r="J27" s="369">
        <v>4.4252599999999997</v>
      </c>
      <c r="K27" s="369">
        <v>0</v>
      </c>
      <c r="L27" s="369"/>
      <c r="M27" s="369">
        <f t="shared" si="0"/>
        <v>4.8979299999999997</v>
      </c>
      <c r="N27" s="369">
        <f t="shared" si="1"/>
        <v>71.85171167364949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>
        <v>0</v>
      </c>
      <c r="G28" s="369">
        <v>0</v>
      </c>
      <c r="H28" s="369">
        <v>0.3</v>
      </c>
      <c r="I28" s="369">
        <v>2.8762099999999999</v>
      </c>
      <c r="J28" s="369">
        <v>0</v>
      </c>
      <c r="K28" s="369">
        <v>0</v>
      </c>
      <c r="L28" s="369"/>
      <c r="M28" s="369">
        <f t="shared" si="0"/>
        <v>3.1762099999999998</v>
      </c>
      <c r="N28" s="369">
        <f t="shared" si="1"/>
        <v>112.23356890459364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5.6806000000000001</v>
      </c>
      <c r="E29" s="369">
        <v>5.6806000000000001</v>
      </c>
      <c r="F29" s="369">
        <v>0</v>
      </c>
      <c r="G29" s="369">
        <v>0</v>
      </c>
      <c r="H29" s="369">
        <v>0.81123000000000001</v>
      </c>
      <c r="I29" s="369">
        <v>0</v>
      </c>
      <c r="J29" s="369">
        <v>1.81463</v>
      </c>
      <c r="K29" s="369">
        <v>1.3172600000000001</v>
      </c>
      <c r="L29" s="369"/>
      <c r="M29" s="369">
        <f t="shared" si="0"/>
        <v>3.94312</v>
      </c>
      <c r="N29" s="369">
        <f t="shared" si="1"/>
        <v>69.413794317501669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2.31</v>
      </c>
      <c r="F30" s="369">
        <v>0.23050000000000001</v>
      </c>
      <c r="G30" s="369">
        <v>0.155</v>
      </c>
      <c r="H30" s="369">
        <v>0.4279</v>
      </c>
      <c r="I30" s="369">
        <v>0.25</v>
      </c>
      <c r="J30" s="369">
        <v>0.2175</v>
      </c>
      <c r="K30" s="369">
        <v>0.28999999999999998</v>
      </c>
      <c r="L30" s="369"/>
      <c r="M30" s="369">
        <f t="shared" si="0"/>
        <v>1.5709000000000002</v>
      </c>
      <c r="N30" s="369">
        <f t="shared" si="1"/>
        <v>68.004329004329009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69.582119999999989</v>
      </c>
      <c r="E32" s="371">
        <f t="shared" ref="E32:M32" si="2">SUM(E23:E31)</f>
        <v>69.552120000000002</v>
      </c>
      <c r="F32" s="371">
        <f t="shared" si="2"/>
        <v>0.87457000000000007</v>
      </c>
      <c r="G32" s="371">
        <f t="shared" si="2"/>
        <v>16.029219999999999</v>
      </c>
      <c r="H32" s="371">
        <f t="shared" si="2"/>
        <v>7.9789300000000001</v>
      </c>
      <c r="I32" s="371">
        <f t="shared" si="2"/>
        <v>26.885080000000002</v>
      </c>
      <c r="J32" s="371">
        <f t="shared" si="2"/>
        <v>10.990369999999999</v>
      </c>
      <c r="K32" s="371">
        <f t="shared" si="2"/>
        <v>2.34877</v>
      </c>
      <c r="L32" s="371">
        <f t="shared" si="2"/>
        <v>0</v>
      </c>
      <c r="M32" s="371">
        <f t="shared" si="2"/>
        <v>65.106939999999994</v>
      </c>
      <c r="N32" s="369">
        <f t="shared" si="1"/>
        <v>93.608850456319644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3" right="0.33" top="0.61" bottom="0.38" header="0.3" footer="0.3"/>
  <pageSetup scale="90" orientation="landscape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46" t="s">
        <v>4347</v>
      </c>
      <c r="B1" s="843" t="s">
        <v>4714</v>
      </c>
      <c r="C1" s="844"/>
      <c r="D1" s="46" t="s">
        <v>4349</v>
      </c>
      <c r="E1" s="46"/>
      <c r="F1" s="843" t="s">
        <v>4715</v>
      </c>
      <c r="G1" s="844"/>
      <c r="H1" s="851" t="s">
        <v>5</v>
      </c>
      <c r="I1" s="852"/>
      <c r="J1" s="47">
        <v>300.95999999999998</v>
      </c>
      <c r="K1" s="46" t="s">
        <v>436</v>
      </c>
      <c r="L1" s="46"/>
      <c r="M1" s="47">
        <v>156.03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4716</v>
      </c>
      <c r="C3" s="844"/>
      <c r="D3" s="46" t="s">
        <v>1208</v>
      </c>
      <c r="E3" s="46"/>
      <c r="F3" s="843" t="s">
        <v>4717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4718</v>
      </c>
      <c r="C5" s="844"/>
      <c r="D5" s="46" t="s">
        <v>4355</v>
      </c>
      <c r="E5" s="46"/>
      <c r="F5" s="845" t="s">
        <v>4719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4720</v>
      </c>
      <c r="C8" s="853"/>
      <c r="D8" s="853" t="s">
        <v>4721</v>
      </c>
      <c r="E8" s="853"/>
      <c r="F8" s="853"/>
      <c r="G8" s="854" t="s">
        <v>4722</v>
      </c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4723</v>
      </c>
      <c r="C9" s="853"/>
      <c r="D9" s="853" t="s">
        <v>4724</v>
      </c>
      <c r="E9" s="853"/>
      <c r="F9" s="853"/>
      <c r="G9" s="854" t="s">
        <v>4725</v>
      </c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4726</v>
      </c>
      <c r="C10" s="853"/>
      <c r="D10" s="853" t="s">
        <v>4727</v>
      </c>
      <c r="E10" s="853"/>
      <c r="F10" s="853"/>
      <c r="G10" s="854" t="s">
        <v>4728</v>
      </c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4729</v>
      </c>
      <c r="C11" s="853"/>
      <c r="D11" s="853" t="s">
        <v>4730</v>
      </c>
      <c r="E11" s="853"/>
      <c r="F11" s="853"/>
      <c r="G11" s="854">
        <v>0</v>
      </c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3</v>
      </c>
      <c r="C13" s="46" t="s">
        <v>4366</v>
      </c>
      <c r="D13" s="46"/>
      <c r="E13" s="46"/>
      <c r="F13" s="47">
        <v>3</v>
      </c>
      <c r="G13" s="46" t="s">
        <v>1491</v>
      </c>
      <c r="H13" s="47">
        <v>10</v>
      </c>
      <c r="I13" s="46" t="s">
        <v>1492</v>
      </c>
      <c r="J13" s="47">
        <v>3</v>
      </c>
      <c r="K13" s="46" t="s">
        <v>1493</v>
      </c>
      <c r="L13" s="47">
        <v>16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/>
      <c r="E16" s="46" t="s">
        <v>205</v>
      </c>
      <c r="F16" s="47"/>
      <c r="G16" s="46" t="s">
        <v>206</v>
      </c>
      <c r="H16" s="47"/>
      <c r="I16" s="46" t="s">
        <v>230</v>
      </c>
      <c r="J16" s="47">
        <v>126</v>
      </c>
      <c r="K16" s="46" t="s">
        <v>207</v>
      </c>
      <c r="L16" s="47">
        <v>36</v>
      </c>
      <c r="M16" s="72" t="s">
        <v>4367</v>
      </c>
      <c r="N16" s="47">
        <v>29</v>
      </c>
    </row>
    <row r="17" spans="1:14">
      <c r="A17" s="46" t="s">
        <v>209</v>
      </c>
      <c r="B17" s="46"/>
      <c r="C17" s="46" t="s">
        <v>210</v>
      </c>
      <c r="D17" s="47">
        <v>124</v>
      </c>
      <c r="E17" s="46" t="s">
        <v>211</v>
      </c>
      <c r="F17" s="47">
        <v>0</v>
      </c>
      <c r="G17" s="46" t="s">
        <v>212</v>
      </c>
      <c r="H17" s="47">
        <v>0</v>
      </c>
      <c r="I17" s="46" t="s">
        <v>411</v>
      </c>
      <c r="J17" s="47">
        <f>H17+F17+D17</f>
        <v>124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190</v>
      </c>
      <c r="E18" s="46" t="s">
        <v>214</v>
      </c>
      <c r="F18" s="47">
        <v>0</v>
      </c>
      <c r="G18" s="46" t="s">
        <v>1494</v>
      </c>
      <c r="H18" s="47">
        <v>0</v>
      </c>
      <c r="I18" s="46" t="s">
        <v>410</v>
      </c>
      <c r="J18" s="47">
        <f>H18+F18+D18</f>
        <v>190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224</v>
      </c>
      <c r="G22" s="366" t="s">
        <v>225</v>
      </c>
      <c r="H22" s="366" t="s">
        <v>226</v>
      </c>
      <c r="I22" s="366" t="s">
        <v>227</v>
      </c>
      <c r="J22" s="366" t="s">
        <v>228</v>
      </c>
      <c r="K22" s="366" t="s">
        <v>229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24.076799999999999</v>
      </c>
      <c r="E23" s="369">
        <v>24.076799999999999</v>
      </c>
      <c r="F23" s="369">
        <v>1.0649900000000001</v>
      </c>
      <c r="G23" s="369">
        <v>8.5868699999999993</v>
      </c>
      <c r="H23" s="369">
        <v>4.9843900000000003</v>
      </c>
      <c r="I23" s="369">
        <v>8.7024399999999993</v>
      </c>
      <c r="J23" s="369">
        <v>0.73811000000000004</v>
      </c>
      <c r="K23" s="369">
        <v>0</v>
      </c>
      <c r="L23" s="369"/>
      <c r="M23" s="369">
        <f>SUM(F23:L23)</f>
        <v>24.076799999999999</v>
      </c>
      <c r="N23" s="369">
        <f>M23/E23*100</f>
        <v>100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v>5.6</v>
      </c>
      <c r="E24" s="369">
        <v>4.2</v>
      </c>
      <c r="F24" s="369">
        <v>0</v>
      </c>
      <c r="G24" s="369">
        <v>0</v>
      </c>
      <c r="H24" s="369">
        <v>0.65932000000000002</v>
      </c>
      <c r="I24" s="369">
        <v>0.68552999999999997</v>
      </c>
      <c r="J24" s="369">
        <v>2.06732</v>
      </c>
      <c r="K24" s="369">
        <v>0.26855000000000001</v>
      </c>
      <c r="L24" s="369"/>
      <c r="M24" s="369">
        <f t="shared" ref="M24:M31" si="0">SUM(F24:L24)</f>
        <v>3.68072</v>
      </c>
      <c r="N24" s="369">
        <f t="shared" ref="N24:N32" si="1">M24/E24*100</f>
        <v>87.636190476190464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v>0.43</v>
      </c>
      <c r="E25" s="369">
        <v>0.43</v>
      </c>
      <c r="F25" s="369">
        <v>0</v>
      </c>
      <c r="G25" s="369">
        <v>0</v>
      </c>
      <c r="H25" s="369">
        <v>0.05</v>
      </c>
      <c r="I25" s="369">
        <v>0.1</v>
      </c>
      <c r="J25" s="369">
        <v>0</v>
      </c>
      <c r="K25" s="369">
        <v>9.4549999999999995E-2</v>
      </c>
      <c r="L25" s="369"/>
      <c r="M25" s="369">
        <f t="shared" si="0"/>
        <v>0.24455000000000002</v>
      </c>
      <c r="N25" s="369">
        <f t="shared" si="1"/>
        <v>56.872093023255822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0.34</v>
      </c>
      <c r="F26" s="369">
        <v>0</v>
      </c>
      <c r="G26" s="369">
        <v>0</v>
      </c>
      <c r="H26" s="369">
        <v>1.0500000000000001E-2</v>
      </c>
      <c r="I26" s="369">
        <v>0.29039999999999999</v>
      </c>
      <c r="J26" s="369">
        <v>3.9100000000000003E-2</v>
      </c>
      <c r="K26" s="369">
        <v>0</v>
      </c>
      <c r="L26" s="369"/>
      <c r="M26" s="369">
        <f t="shared" si="0"/>
        <v>0.34</v>
      </c>
      <c r="N26" s="369">
        <f t="shared" si="1"/>
        <v>100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3.6115200000000001</v>
      </c>
      <c r="E27" s="369">
        <v>3.6115200000000001</v>
      </c>
      <c r="F27" s="369">
        <v>0</v>
      </c>
      <c r="G27" s="369">
        <v>0</v>
      </c>
      <c r="H27" s="369">
        <v>0</v>
      </c>
      <c r="I27" s="369">
        <v>1</v>
      </c>
      <c r="J27" s="369">
        <v>2.6115200000000001</v>
      </c>
      <c r="K27" s="369">
        <v>0</v>
      </c>
      <c r="L27" s="369"/>
      <c r="M27" s="369">
        <f t="shared" si="0"/>
        <v>3.6115200000000001</v>
      </c>
      <c r="N27" s="369">
        <f t="shared" si="1"/>
        <v>100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>
        <v>0</v>
      </c>
      <c r="G28" s="369">
        <v>0</v>
      </c>
      <c r="H28" s="369">
        <v>0.2</v>
      </c>
      <c r="I28" s="369">
        <v>1.41709</v>
      </c>
      <c r="J28" s="369">
        <v>-0.1</v>
      </c>
      <c r="K28" s="369">
        <v>0</v>
      </c>
      <c r="L28" s="369"/>
      <c r="M28" s="369">
        <f t="shared" si="0"/>
        <v>1.5170899999999998</v>
      </c>
      <c r="N28" s="369">
        <f t="shared" si="1"/>
        <v>53.607420494699639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3.0095999999999998</v>
      </c>
      <c r="E29" s="369">
        <v>3.0095999999999998</v>
      </c>
      <c r="F29" s="369">
        <v>0</v>
      </c>
      <c r="G29" s="369">
        <v>0</v>
      </c>
      <c r="H29" s="369">
        <v>0.95579999999999998</v>
      </c>
      <c r="I29" s="369">
        <v>0</v>
      </c>
      <c r="J29" s="369">
        <v>1.6652400000000001</v>
      </c>
      <c r="K29" s="369">
        <v>0.91</v>
      </c>
      <c r="L29" s="369"/>
      <c r="M29" s="369">
        <f t="shared" si="0"/>
        <v>3.53104</v>
      </c>
      <c r="N29" s="369">
        <f t="shared" si="1"/>
        <v>117.32589048378523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2.31</v>
      </c>
      <c r="F30" s="369">
        <v>0.23050000000000001</v>
      </c>
      <c r="G30" s="369">
        <v>0.29249999999999998</v>
      </c>
      <c r="H30" s="369">
        <v>0.27200000000000002</v>
      </c>
      <c r="I30" s="369">
        <v>0.2</v>
      </c>
      <c r="J30" s="369">
        <v>0.20499999999999999</v>
      </c>
      <c r="K30" s="369">
        <v>0.372</v>
      </c>
      <c r="L30" s="369"/>
      <c r="M30" s="369">
        <f t="shared" si="0"/>
        <v>1.5720000000000001</v>
      </c>
      <c r="N30" s="369">
        <f t="shared" si="1"/>
        <v>68.051948051948045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42.337920000000004</v>
      </c>
      <c r="E32" s="371">
        <f t="shared" ref="E32:M32" si="2">SUM(E23:E31)</f>
        <v>40.907919999999997</v>
      </c>
      <c r="F32" s="371">
        <f t="shared" si="2"/>
        <v>1.29549</v>
      </c>
      <c r="G32" s="371">
        <f t="shared" si="2"/>
        <v>8.8793699999999998</v>
      </c>
      <c r="H32" s="371">
        <f t="shared" si="2"/>
        <v>7.1320100000000011</v>
      </c>
      <c r="I32" s="371">
        <f t="shared" si="2"/>
        <v>12.395459999999998</v>
      </c>
      <c r="J32" s="371">
        <f t="shared" si="2"/>
        <v>7.2262900000000005</v>
      </c>
      <c r="K32" s="371">
        <f t="shared" si="2"/>
        <v>1.6450999999999998</v>
      </c>
      <c r="L32" s="371">
        <f t="shared" si="2"/>
        <v>0</v>
      </c>
      <c r="M32" s="371">
        <f t="shared" si="2"/>
        <v>38.573720000000002</v>
      </c>
      <c r="N32" s="369">
        <f t="shared" si="1"/>
        <v>94.294014459791669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3" right="0.33" top="0.61" bottom="0.38" header="0.3" footer="0.3"/>
  <pageSetup scale="90" orientation="landscape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46" t="s">
        <v>4347</v>
      </c>
      <c r="B1" s="843" t="s">
        <v>4731</v>
      </c>
      <c r="C1" s="844"/>
      <c r="D1" s="46" t="s">
        <v>4349</v>
      </c>
      <c r="E1" s="46"/>
      <c r="F1" s="843" t="s">
        <v>4732</v>
      </c>
      <c r="G1" s="844"/>
      <c r="H1" s="851" t="s">
        <v>5</v>
      </c>
      <c r="I1" s="852"/>
      <c r="J1" s="47">
        <v>495.98</v>
      </c>
      <c r="K1" s="46" t="s">
        <v>436</v>
      </c>
      <c r="L1" s="46"/>
      <c r="M1" s="47">
        <v>300.52999999999997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4733</v>
      </c>
      <c r="C3" s="844"/>
      <c r="D3" s="46" t="s">
        <v>1208</v>
      </c>
      <c r="E3" s="46"/>
      <c r="F3" s="843" t="s">
        <v>4734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4735</v>
      </c>
      <c r="C5" s="844"/>
      <c r="D5" s="46" t="s">
        <v>4355</v>
      </c>
      <c r="E5" s="46"/>
      <c r="F5" s="845" t="s">
        <v>4736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4737</v>
      </c>
      <c r="C8" s="853"/>
      <c r="D8" s="853" t="s">
        <v>4738</v>
      </c>
      <c r="E8" s="853"/>
      <c r="F8" s="853"/>
      <c r="G8" s="854" t="s">
        <v>4739</v>
      </c>
      <c r="H8" s="854"/>
      <c r="I8" s="854"/>
      <c r="J8" s="854" t="s">
        <v>4740</v>
      </c>
      <c r="K8" s="854"/>
      <c r="L8" s="854"/>
      <c r="M8" s="46"/>
      <c r="N8" s="46"/>
    </row>
    <row r="9" spans="1:14">
      <c r="A9" s="364" t="s">
        <v>840</v>
      </c>
      <c r="B9" s="853" t="s">
        <v>4741</v>
      </c>
      <c r="C9" s="853"/>
      <c r="D9" s="853" t="s">
        <v>4742</v>
      </c>
      <c r="E9" s="853"/>
      <c r="F9" s="853"/>
      <c r="G9" s="854" t="s">
        <v>4743</v>
      </c>
      <c r="H9" s="854"/>
      <c r="I9" s="854"/>
      <c r="J9" s="854" t="s">
        <v>4744</v>
      </c>
      <c r="K9" s="854"/>
      <c r="L9" s="854"/>
      <c r="M9" s="46"/>
      <c r="N9" s="46"/>
    </row>
    <row r="10" spans="1:14">
      <c r="A10" s="364" t="s">
        <v>4361</v>
      </c>
      <c r="B10" s="853" t="s">
        <v>4745</v>
      </c>
      <c r="C10" s="853"/>
      <c r="D10" s="853" t="s">
        <v>4746</v>
      </c>
      <c r="E10" s="853"/>
      <c r="F10" s="853"/>
      <c r="G10" s="854" t="s">
        <v>4747</v>
      </c>
      <c r="H10" s="854"/>
      <c r="I10" s="854"/>
      <c r="J10" s="854" t="s">
        <v>4748</v>
      </c>
      <c r="K10" s="854"/>
      <c r="L10" s="854"/>
      <c r="M10" s="46"/>
      <c r="N10" s="46"/>
    </row>
    <row r="11" spans="1:14" ht="22.5">
      <c r="A11" s="364" t="s">
        <v>420</v>
      </c>
      <c r="B11" s="853" t="s">
        <v>4749</v>
      </c>
      <c r="C11" s="853"/>
      <c r="D11" s="853" t="s">
        <v>4749</v>
      </c>
      <c r="E11" s="853"/>
      <c r="F11" s="853"/>
      <c r="G11" s="854" t="s">
        <v>4750</v>
      </c>
      <c r="H11" s="854"/>
      <c r="I11" s="854"/>
      <c r="J11" s="854" t="s">
        <v>4750</v>
      </c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>
        <v>4</v>
      </c>
      <c r="G13" s="46" t="s">
        <v>1491</v>
      </c>
      <c r="H13" s="47">
        <v>12</v>
      </c>
      <c r="I13" s="46" t="s">
        <v>1492</v>
      </c>
      <c r="J13" s="47">
        <v>4</v>
      </c>
      <c r="K13" s="46" t="s">
        <v>1493</v>
      </c>
      <c r="L13" s="47">
        <v>42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/>
      <c r="E16" s="46" t="s">
        <v>205</v>
      </c>
      <c r="F16" s="47"/>
      <c r="G16" s="46" t="s">
        <v>206</v>
      </c>
      <c r="H16" s="47"/>
      <c r="I16" s="46" t="s">
        <v>230</v>
      </c>
      <c r="J16" s="47">
        <v>158</v>
      </c>
      <c r="K16" s="46" t="s">
        <v>207</v>
      </c>
      <c r="L16" s="47">
        <v>54</v>
      </c>
      <c r="M16" s="72" t="s">
        <v>4367</v>
      </c>
      <c r="N16" s="47">
        <v>47</v>
      </c>
    </row>
    <row r="17" spans="1:14">
      <c r="A17" s="46" t="s">
        <v>209</v>
      </c>
      <c r="B17" s="46"/>
      <c r="C17" s="46" t="s">
        <v>210</v>
      </c>
      <c r="D17" s="47">
        <v>175</v>
      </c>
      <c r="E17" s="46" t="s">
        <v>211</v>
      </c>
      <c r="F17" s="47">
        <v>3</v>
      </c>
      <c r="G17" s="46" t="s">
        <v>212</v>
      </c>
      <c r="H17" s="47">
        <v>11</v>
      </c>
      <c r="I17" s="46" t="s">
        <v>411</v>
      </c>
      <c r="J17" s="47">
        <f>H17+F17+D17</f>
        <v>189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185</v>
      </c>
      <c r="E18" s="46" t="s">
        <v>214</v>
      </c>
      <c r="F18" s="47">
        <v>4</v>
      </c>
      <c r="G18" s="46" t="s">
        <v>1494</v>
      </c>
      <c r="H18" s="47">
        <v>11</v>
      </c>
      <c r="I18" s="46" t="s">
        <v>410</v>
      </c>
      <c r="J18" s="47">
        <f>H18+F18+D18</f>
        <v>200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224</v>
      </c>
      <c r="G22" s="366" t="s">
        <v>225</v>
      </c>
      <c r="H22" s="366" t="s">
        <v>226</v>
      </c>
      <c r="I22" s="366" t="s">
        <v>227</v>
      </c>
      <c r="J22" s="366" t="s">
        <v>228</v>
      </c>
      <c r="K22" s="366" t="s">
        <v>229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39.678400000000003</v>
      </c>
      <c r="E23" s="369">
        <v>39.678400000000003</v>
      </c>
      <c r="F23" s="369">
        <v>0.73051999999999995</v>
      </c>
      <c r="G23" s="369">
        <v>10.20243</v>
      </c>
      <c r="H23" s="369">
        <v>10.95743</v>
      </c>
      <c r="I23" s="369">
        <v>13.45208</v>
      </c>
      <c r="J23" s="369">
        <v>4.3359399999999999</v>
      </c>
      <c r="K23" s="369">
        <v>0.87660000000000005</v>
      </c>
      <c r="L23" s="369"/>
      <c r="M23" s="369">
        <f>SUM(F23:L23)</f>
        <v>40.555000000000007</v>
      </c>
      <c r="N23" s="369">
        <f>M23/E23*100</f>
        <v>102.2092624702609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v>5.6</v>
      </c>
      <c r="E24" s="369">
        <v>4.9000000000000004</v>
      </c>
      <c r="F24" s="369">
        <v>0</v>
      </c>
      <c r="G24" s="369">
        <v>0.35475000000000001</v>
      </c>
      <c r="H24" s="369">
        <v>1.32667</v>
      </c>
      <c r="I24" s="369">
        <v>0.95416999999999996</v>
      </c>
      <c r="J24" s="369">
        <v>1.3628199999999999</v>
      </c>
      <c r="K24" s="369">
        <v>0.95160999999999996</v>
      </c>
      <c r="L24" s="369"/>
      <c r="M24" s="369">
        <f t="shared" ref="M24:M31" si="0">SUM(F24:L24)</f>
        <v>4.9500199999999994</v>
      </c>
      <c r="N24" s="369">
        <f t="shared" ref="N24:N32" si="1">M24/E24*100</f>
        <v>101.02081632653059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v>0.43</v>
      </c>
      <c r="E25" s="369">
        <v>0.43</v>
      </c>
      <c r="F25" s="369">
        <v>0</v>
      </c>
      <c r="G25" s="369">
        <v>0</v>
      </c>
      <c r="H25" s="369">
        <v>0</v>
      </c>
      <c r="I25" s="369">
        <v>0.20599999999999999</v>
      </c>
      <c r="J25" s="369">
        <v>0.23</v>
      </c>
      <c r="K25" s="369">
        <v>0.19994999999999999</v>
      </c>
      <c r="L25" s="369"/>
      <c r="M25" s="369">
        <f t="shared" si="0"/>
        <v>0.63595000000000002</v>
      </c>
      <c r="N25" s="369">
        <f t="shared" si="1"/>
        <v>147.89534883720933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0.34</v>
      </c>
      <c r="F26" s="369">
        <v>0</v>
      </c>
      <c r="G26" s="369">
        <v>0</v>
      </c>
      <c r="H26" s="369">
        <v>0</v>
      </c>
      <c r="I26" s="369">
        <v>0.29204000000000002</v>
      </c>
      <c r="J26" s="369">
        <v>4.7960000000000003E-2</v>
      </c>
      <c r="K26" s="369">
        <v>0</v>
      </c>
      <c r="L26" s="369"/>
      <c r="M26" s="369">
        <f t="shared" si="0"/>
        <v>0.34</v>
      </c>
      <c r="N26" s="369">
        <f t="shared" si="1"/>
        <v>100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5.9517600000000002</v>
      </c>
      <c r="E27" s="369">
        <v>5.9517600000000002</v>
      </c>
      <c r="F27" s="369">
        <v>0</v>
      </c>
      <c r="G27" s="369">
        <v>0</v>
      </c>
      <c r="H27" s="369">
        <v>0</v>
      </c>
      <c r="I27" s="369">
        <v>0.45626</v>
      </c>
      <c r="J27" s="369">
        <v>3.4901300000000002</v>
      </c>
      <c r="K27" s="369">
        <v>0.23898</v>
      </c>
      <c r="L27" s="369"/>
      <c r="M27" s="369">
        <f t="shared" si="0"/>
        <v>4.1853699999999998</v>
      </c>
      <c r="N27" s="369">
        <f t="shared" si="1"/>
        <v>70.321551944298818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>
        <v>0</v>
      </c>
      <c r="G28" s="369">
        <v>0</v>
      </c>
      <c r="H28" s="369">
        <v>0</v>
      </c>
      <c r="I28" s="369">
        <v>2.6189499999999999</v>
      </c>
      <c r="J28" s="369">
        <v>0</v>
      </c>
      <c r="K28" s="369">
        <v>0</v>
      </c>
      <c r="L28" s="369"/>
      <c r="M28" s="369">
        <f t="shared" si="0"/>
        <v>2.6189499999999999</v>
      </c>
      <c r="N28" s="369">
        <f t="shared" si="1"/>
        <v>92.542402826855124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4.9598000000000004</v>
      </c>
      <c r="E29" s="369">
        <v>4.9598000000000004</v>
      </c>
      <c r="F29" s="369">
        <v>0</v>
      </c>
      <c r="G29" s="369">
        <v>1.1100000000000001</v>
      </c>
      <c r="H29" s="369">
        <v>0</v>
      </c>
      <c r="I29" s="369">
        <v>0</v>
      </c>
      <c r="J29" s="369">
        <v>3.8498000000000001</v>
      </c>
      <c r="K29" s="369">
        <v>1.24207</v>
      </c>
      <c r="L29" s="369"/>
      <c r="M29" s="369">
        <f t="shared" si="0"/>
        <v>6.2018700000000004</v>
      </c>
      <c r="N29" s="369">
        <f t="shared" si="1"/>
        <v>125.04274365901851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2.31</v>
      </c>
      <c r="F30" s="369">
        <v>0.23050000000000001</v>
      </c>
      <c r="G30" s="369">
        <v>0.34</v>
      </c>
      <c r="H30" s="369">
        <v>0.217</v>
      </c>
      <c r="I30" s="369">
        <v>0.25</v>
      </c>
      <c r="J30" s="369">
        <v>0.26075999999999999</v>
      </c>
      <c r="K30" s="369">
        <v>0.39400000000000002</v>
      </c>
      <c r="L30" s="369"/>
      <c r="M30" s="369">
        <f t="shared" si="0"/>
        <v>1.6922600000000001</v>
      </c>
      <c r="N30" s="369">
        <f t="shared" si="1"/>
        <v>73.258008658008649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62.229960000000005</v>
      </c>
      <c r="E32" s="371">
        <f t="shared" ref="E32:M32" si="2">SUM(E23:E31)</f>
        <v>61.499960000000009</v>
      </c>
      <c r="F32" s="371">
        <f t="shared" si="2"/>
        <v>0.96101999999999999</v>
      </c>
      <c r="G32" s="371">
        <f t="shared" si="2"/>
        <v>12.007179999999998</v>
      </c>
      <c r="H32" s="371">
        <f t="shared" si="2"/>
        <v>12.501100000000001</v>
      </c>
      <c r="I32" s="371">
        <f t="shared" si="2"/>
        <v>18.229500000000002</v>
      </c>
      <c r="J32" s="371">
        <f t="shared" si="2"/>
        <v>13.57741</v>
      </c>
      <c r="K32" s="371">
        <f t="shared" si="2"/>
        <v>3.9032100000000001</v>
      </c>
      <c r="L32" s="371">
        <f t="shared" si="2"/>
        <v>0</v>
      </c>
      <c r="M32" s="371">
        <f t="shared" si="2"/>
        <v>61.179420000000007</v>
      </c>
      <c r="N32" s="369">
        <f t="shared" si="1"/>
        <v>99.478796408973267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3" right="0.33" top="0.61" bottom="0.38" header="0.3" footer="0.3"/>
  <pageSetup scale="90" orientation="landscape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46" t="s">
        <v>4347</v>
      </c>
      <c r="B1" s="843" t="s">
        <v>4751</v>
      </c>
      <c r="C1" s="844"/>
      <c r="D1" s="46" t="s">
        <v>4349</v>
      </c>
      <c r="E1" s="46"/>
      <c r="F1" s="843" t="s">
        <v>4752</v>
      </c>
      <c r="G1" s="844"/>
      <c r="H1" s="851" t="s">
        <v>5</v>
      </c>
      <c r="I1" s="852"/>
      <c r="J1" s="47">
        <v>568.30999999999995</v>
      </c>
      <c r="K1" s="46" t="s">
        <v>436</v>
      </c>
      <c r="L1" s="46"/>
      <c r="M1" s="47">
        <v>698.4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4753</v>
      </c>
      <c r="C3" s="844"/>
      <c r="D3" s="46" t="s">
        <v>1208</v>
      </c>
      <c r="E3" s="46"/>
      <c r="F3" s="843" t="s">
        <v>4754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4755</v>
      </c>
      <c r="C5" s="844"/>
      <c r="D5" s="46" t="s">
        <v>4355</v>
      </c>
      <c r="E5" s="46"/>
      <c r="F5" s="845" t="s">
        <v>4756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4757</v>
      </c>
      <c r="C8" s="853"/>
      <c r="D8" s="853" t="s">
        <v>4758</v>
      </c>
      <c r="E8" s="853"/>
      <c r="F8" s="853"/>
      <c r="G8" s="854" t="s">
        <v>4759</v>
      </c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4760</v>
      </c>
      <c r="C9" s="853"/>
      <c r="D9" s="853" t="s">
        <v>4761</v>
      </c>
      <c r="E9" s="853"/>
      <c r="F9" s="853"/>
      <c r="G9" s="854" t="s">
        <v>4762</v>
      </c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4763</v>
      </c>
      <c r="C10" s="853"/>
      <c r="D10" s="853" t="s">
        <v>4764</v>
      </c>
      <c r="E10" s="853"/>
      <c r="F10" s="853"/>
      <c r="G10" s="854" t="s">
        <v>4765</v>
      </c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4766</v>
      </c>
      <c r="C11" s="853"/>
      <c r="D11" s="853" t="s">
        <v>4767</v>
      </c>
      <c r="E11" s="853"/>
      <c r="F11" s="853"/>
      <c r="G11" s="854" t="s">
        <v>4768</v>
      </c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3</v>
      </c>
      <c r="C13" s="46" t="s">
        <v>4366</v>
      </c>
      <c r="D13" s="46"/>
      <c r="E13" s="46"/>
      <c r="F13" s="47">
        <v>3</v>
      </c>
      <c r="G13" s="46" t="s">
        <v>1491</v>
      </c>
      <c r="H13" s="47">
        <v>10</v>
      </c>
      <c r="I13" s="46" t="s">
        <v>1492</v>
      </c>
      <c r="J13" s="47">
        <v>3</v>
      </c>
      <c r="K13" s="46" t="s">
        <v>1493</v>
      </c>
      <c r="L13" s="47">
        <v>28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/>
      <c r="E16" s="46" t="s">
        <v>205</v>
      </c>
      <c r="F16" s="47"/>
      <c r="G16" s="46" t="s">
        <v>206</v>
      </c>
      <c r="H16" s="47"/>
      <c r="I16" s="46" t="s">
        <v>230</v>
      </c>
      <c r="J16" s="47">
        <v>133</v>
      </c>
      <c r="K16" s="46" t="s">
        <v>207</v>
      </c>
      <c r="L16" s="47">
        <v>106</v>
      </c>
      <c r="M16" s="72" t="s">
        <v>4367</v>
      </c>
      <c r="N16" s="47">
        <v>18</v>
      </c>
    </row>
    <row r="17" spans="1:14">
      <c r="A17" s="46" t="s">
        <v>209</v>
      </c>
      <c r="B17" s="46"/>
      <c r="C17" s="46" t="s">
        <v>210</v>
      </c>
      <c r="D17" s="47">
        <v>138</v>
      </c>
      <c r="E17" s="46" t="s">
        <v>211</v>
      </c>
      <c r="F17" s="47">
        <v>0</v>
      </c>
      <c r="G17" s="46" t="s">
        <v>212</v>
      </c>
      <c r="H17" s="47">
        <v>0</v>
      </c>
      <c r="I17" s="46" t="s">
        <v>411</v>
      </c>
      <c r="J17" s="47">
        <f>H17+F17+D17</f>
        <v>138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130</v>
      </c>
      <c r="E18" s="46" t="s">
        <v>214</v>
      </c>
      <c r="F18" s="47">
        <v>0</v>
      </c>
      <c r="G18" s="46" t="s">
        <v>1494</v>
      </c>
      <c r="H18" s="47">
        <v>0</v>
      </c>
      <c r="I18" s="46" t="s">
        <v>410</v>
      </c>
      <c r="J18" s="47">
        <f>H18+F18+D18</f>
        <v>130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224</v>
      </c>
      <c r="G22" s="366" t="s">
        <v>225</v>
      </c>
      <c r="H22" s="366" t="s">
        <v>226</v>
      </c>
      <c r="I22" s="366" t="s">
        <v>227</v>
      </c>
      <c r="J22" s="366" t="s">
        <v>228</v>
      </c>
      <c r="K22" s="366" t="s">
        <v>229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45.464799999999997</v>
      </c>
      <c r="E23" s="369">
        <v>45.464799999999997</v>
      </c>
      <c r="F23" s="369">
        <v>0.4572</v>
      </c>
      <c r="G23" s="369">
        <v>18.500129999999999</v>
      </c>
      <c r="H23" s="369">
        <v>4.2406800000000002</v>
      </c>
      <c r="I23" s="369">
        <v>20.501539999999999</v>
      </c>
      <c r="J23" s="369">
        <v>1.76525</v>
      </c>
      <c r="K23" s="369">
        <v>0</v>
      </c>
      <c r="L23" s="369"/>
      <c r="M23" s="369">
        <f>SUM(F23:L23)</f>
        <v>45.464800000000004</v>
      </c>
      <c r="N23" s="369">
        <f>M23/E23*100</f>
        <v>100.00000000000003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v>5.6</v>
      </c>
      <c r="E24" s="369">
        <v>7</v>
      </c>
      <c r="F24" s="369">
        <v>0</v>
      </c>
      <c r="G24" s="369">
        <v>0</v>
      </c>
      <c r="H24" s="369">
        <v>1.34175</v>
      </c>
      <c r="I24" s="369">
        <v>1.9452100000000001</v>
      </c>
      <c r="J24" s="369">
        <v>3.7130399999999999</v>
      </c>
      <c r="K24" s="369">
        <v>0.7</v>
      </c>
      <c r="L24" s="369"/>
      <c r="M24" s="369">
        <f t="shared" ref="M24:M31" si="0">SUM(F24:L24)</f>
        <v>7.7</v>
      </c>
      <c r="N24" s="369">
        <f t="shared" ref="N24:N32" si="1">M24/E24*100</f>
        <v>110.00000000000001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v>0.43</v>
      </c>
      <c r="E25" s="369">
        <v>0.43</v>
      </c>
      <c r="F25" s="369">
        <v>0</v>
      </c>
      <c r="G25" s="369">
        <v>0</v>
      </c>
      <c r="H25" s="369">
        <v>0.1145</v>
      </c>
      <c r="I25" s="369">
        <v>0.12</v>
      </c>
      <c r="J25" s="369">
        <v>0.17399999999999999</v>
      </c>
      <c r="K25" s="369">
        <v>0.1472</v>
      </c>
      <c r="L25" s="369"/>
      <c r="M25" s="369">
        <f t="shared" si="0"/>
        <v>0.55569999999999997</v>
      </c>
      <c r="N25" s="369">
        <f t="shared" si="1"/>
        <v>129.23255813953486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0.34</v>
      </c>
      <c r="F26" s="369">
        <v>0</v>
      </c>
      <c r="G26" s="369">
        <v>0</v>
      </c>
      <c r="H26" s="369">
        <v>1.0500000000000001E-2</v>
      </c>
      <c r="I26" s="369">
        <v>0.28499999999999998</v>
      </c>
      <c r="J26" s="369">
        <v>4.4499999999999998E-2</v>
      </c>
      <c r="K26" s="369">
        <v>0</v>
      </c>
      <c r="L26" s="369"/>
      <c r="M26" s="369">
        <f t="shared" si="0"/>
        <v>0.33999999999999997</v>
      </c>
      <c r="N26" s="369">
        <f t="shared" si="1"/>
        <v>99.999999999999986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6.8197199999999984</v>
      </c>
      <c r="E27" s="369">
        <v>6.8197200000000002</v>
      </c>
      <c r="F27" s="369">
        <v>0</v>
      </c>
      <c r="G27" s="369">
        <v>0</v>
      </c>
      <c r="H27" s="369">
        <v>0.46603</v>
      </c>
      <c r="I27" s="369">
        <v>0.95557999999999998</v>
      </c>
      <c r="J27" s="369">
        <v>3.7877200000000002</v>
      </c>
      <c r="K27" s="369">
        <v>0.4985</v>
      </c>
      <c r="L27" s="369"/>
      <c r="M27" s="369">
        <f t="shared" si="0"/>
        <v>5.7078300000000004</v>
      </c>
      <c r="N27" s="369">
        <f t="shared" si="1"/>
        <v>83.69595819183192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>
        <v>0</v>
      </c>
      <c r="G28" s="369">
        <v>0</v>
      </c>
      <c r="H28" s="369">
        <v>0.35</v>
      </c>
      <c r="I28" s="369">
        <v>2.7776100000000001</v>
      </c>
      <c r="J28" s="369">
        <v>0</v>
      </c>
      <c r="K28" s="369">
        <v>0</v>
      </c>
      <c r="L28" s="369"/>
      <c r="M28" s="369">
        <f t="shared" si="0"/>
        <v>3.1276100000000002</v>
      </c>
      <c r="N28" s="369">
        <f t="shared" si="1"/>
        <v>110.51625441696113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5.6830999999999996</v>
      </c>
      <c r="E29" s="369">
        <v>5.6830999999999996</v>
      </c>
      <c r="F29" s="369">
        <v>0</v>
      </c>
      <c r="G29" s="369">
        <v>0.69599999999999995</v>
      </c>
      <c r="H29" s="369">
        <v>0.21</v>
      </c>
      <c r="I29" s="369">
        <v>1.5853200000000001</v>
      </c>
      <c r="J29" s="369">
        <v>2.8035000000000001</v>
      </c>
      <c r="K29" s="369">
        <v>0.56511</v>
      </c>
      <c r="L29" s="369"/>
      <c r="M29" s="369">
        <f t="shared" si="0"/>
        <v>5.8599299999999994</v>
      </c>
      <c r="N29" s="369">
        <f t="shared" si="1"/>
        <v>103.11150604423642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2.31</v>
      </c>
      <c r="F30" s="369">
        <v>0.23050000000000001</v>
      </c>
      <c r="G30" s="369">
        <v>0.23</v>
      </c>
      <c r="H30" s="369">
        <v>0.35599999999999998</v>
      </c>
      <c r="I30" s="369">
        <v>0.32750000000000001</v>
      </c>
      <c r="J30" s="369">
        <v>0.11824999999999999</v>
      </c>
      <c r="K30" s="369">
        <v>0.1575</v>
      </c>
      <c r="L30" s="369"/>
      <c r="M30" s="369">
        <f t="shared" si="0"/>
        <v>1.4197500000000001</v>
      </c>
      <c r="N30" s="369">
        <f t="shared" si="1"/>
        <v>61.461038961038959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69.607619999999983</v>
      </c>
      <c r="E32" s="371">
        <f t="shared" ref="E32:M32" si="2">SUM(E23:E31)</f>
        <v>70.977619999999987</v>
      </c>
      <c r="F32" s="371">
        <f t="shared" si="2"/>
        <v>0.68769999999999998</v>
      </c>
      <c r="G32" s="371">
        <f t="shared" si="2"/>
        <v>19.426130000000001</v>
      </c>
      <c r="H32" s="371">
        <f t="shared" si="2"/>
        <v>7.0894599999999999</v>
      </c>
      <c r="I32" s="371">
        <f t="shared" si="2"/>
        <v>28.49776</v>
      </c>
      <c r="J32" s="371">
        <f t="shared" si="2"/>
        <v>12.40626</v>
      </c>
      <c r="K32" s="371">
        <f t="shared" si="2"/>
        <v>2.0683099999999999</v>
      </c>
      <c r="L32" s="371">
        <f t="shared" si="2"/>
        <v>0</v>
      </c>
      <c r="M32" s="371">
        <f t="shared" si="2"/>
        <v>70.175620000000009</v>
      </c>
      <c r="N32" s="369">
        <f t="shared" si="1"/>
        <v>98.870066367398664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3" right="0.33" top="0.61" bottom="0.38" header="0.3" footer="0.3"/>
  <pageSetup scale="90" orientation="landscape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46" t="s">
        <v>4347</v>
      </c>
      <c r="B1" s="843" t="s">
        <v>4598</v>
      </c>
      <c r="C1" s="844"/>
      <c r="D1" s="46" t="s">
        <v>4349</v>
      </c>
      <c r="E1" s="46"/>
      <c r="F1" s="843" t="s">
        <v>4769</v>
      </c>
      <c r="G1" s="844"/>
      <c r="H1" s="851" t="s">
        <v>5</v>
      </c>
      <c r="I1" s="852"/>
      <c r="J1" s="47">
        <v>401.07</v>
      </c>
      <c r="K1" s="46" t="s">
        <v>436</v>
      </c>
      <c r="L1" s="46"/>
      <c r="M1" s="47">
        <v>299.36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4770</v>
      </c>
      <c r="C3" s="844"/>
      <c r="D3" s="46" t="s">
        <v>1208</v>
      </c>
      <c r="E3" s="46"/>
      <c r="F3" s="843" t="s">
        <v>4771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4772</v>
      </c>
      <c r="C5" s="844"/>
      <c r="D5" s="46" t="s">
        <v>4355</v>
      </c>
      <c r="E5" s="46"/>
      <c r="F5" s="845" t="s">
        <v>4773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4774</v>
      </c>
      <c r="C8" s="853"/>
      <c r="D8" s="853" t="s">
        <v>4775</v>
      </c>
      <c r="E8" s="853"/>
      <c r="F8" s="853"/>
      <c r="G8" s="854" t="s">
        <v>4776</v>
      </c>
      <c r="H8" s="854"/>
      <c r="I8" s="854"/>
      <c r="J8" s="854" t="s">
        <v>4777</v>
      </c>
      <c r="K8" s="854"/>
      <c r="L8" s="854"/>
      <c r="M8" s="46"/>
      <c r="N8" s="46"/>
    </row>
    <row r="9" spans="1:14">
      <c r="A9" s="364" t="s">
        <v>840</v>
      </c>
      <c r="B9" s="853" t="s">
        <v>4778</v>
      </c>
      <c r="C9" s="853"/>
      <c r="D9" s="853" t="s">
        <v>3215</v>
      </c>
      <c r="E9" s="853"/>
      <c r="F9" s="853"/>
      <c r="G9" s="854" t="s">
        <v>4779</v>
      </c>
      <c r="H9" s="854"/>
      <c r="I9" s="854"/>
      <c r="J9" s="854" t="s">
        <v>4780</v>
      </c>
      <c r="K9" s="854"/>
      <c r="L9" s="854"/>
      <c r="M9" s="46"/>
      <c r="N9" s="46"/>
    </row>
    <row r="10" spans="1:14">
      <c r="A10" s="364" t="s">
        <v>4361</v>
      </c>
      <c r="B10" s="853" t="s">
        <v>4781</v>
      </c>
      <c r="C10" s="853"/>
      <c r="D10" s="853" t="s">
        <v>4782</v>
      </c>
      <c r="E10" s="853"/>
      <c r="F10" s="853"/>
      <c r="G10" s="854" t="s">
        <v>4783</v>
      </c>
      <c r="H10" s="854"/>
      <c r="I10" s="854"/>
      <c r="J10" s="854" t="s">
        <v>4784</v>
      </c>
      <c r="K10" s="854"/>
      <c r="L10" s="854"/>
      <c r="M10" s="46"/>
      <c r="N10" s="46"/>
    </row>
    <row r="11" spans="1:14" ht="22.5">
      <c r="A11" s="364" t="s">
        <v>420</v>
      </c>
      <c r="B11" s="853" t="s">
        <v>4785</v>
      </c>
      <c r="C11" s="853"/>
      <c r="D11" s="853" t="s">
        <v>4786</v>
      </c>
      <c r="E11" s="853"/>
      <c r="F11" s="853"/>
      <c r="G11" s="854" t="s">
        <v>4785</v>
      </c>
      <c r="H11" s="854"/>
      <c r="I11" s="854"/>
      <c r="J11" s="854" t="s">
        <v>4786</v>
      </c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>
        <v>4</v>
      </c>
      <c r="G13" s="46" t="s">
        <v>1491</v>
      </c>
      <c r="H13" s="47">
        <v>6</v>
      </c>
      <c r="I13" s="46" t="s">
        <v>1492</v>
      </c>
      <c r="J13" s="47">
        <v>4</v>
      </c>
      <c r="K13" s="46" t="s">
        <v>1493</v>
      </c>
      <c r="L13" s="47">
        <v>18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/>
      <c r="E16" s="46" t="s">
        <v>205</v>
      </c>
      <c r="F16" s="47"/>
      <c r="G16" s="46" t="s">
        <v>206</v>
      </c>
      <c r="H16" s="47"/>
      <c r="I16" s="46" t="s">
        <v>230</v>
      </c>
      <c r="J16" s="47">
        <v>62</v>
      </c>
      <c r="K16" s="46" t="s">
        <v>207</v>
      </c>
      <c r="L16" s="47">
        <v>38</v>
      </c>
      <c r="M16" s="72" t="s">
        <v>4367</v>
      </c>
      <c r="N16" s="47">
        <v>21</v>
      </c>
    </row>
    <row r="17" spans="1:14">
      <c r="A17" s="46" t="s">
        <v>209</v>
      </c>
      <c r="B17" s="46"/>
      <c r="C17" s="46" t="s">
        <v>210</v>
      </c>
      <c r="D17" s="47">
        <v>161</v>
      </c>
      <c r="E17" s="46" t="s">
        <v>211</v>
      </c>
      <c r="F17" s="47">
        <v>0</v>
      </c>
      <c r="G17" s="46" t="s">
        <v>212</v>
      </c>
      <c r="H17" s="47">
        <v>2</v>
      </c>
      <c r="I17" s="46" t="s">
        <v>411</v>
      </c>
      <c r="J17" s="47">
        <f>H17+F17+D17</f>
        <v>163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167</v>
      </c>
      <c r="E18" s="46" t="s">
        <v>214</v>
      </c>
      <c r="F18" s="47">
        <v>0</v>
      </c>
      <c r="G18" s="46" t="s">
        <v>1494</v>
      </c>
      <c r="H18" s="47">
        <v>2</v>
      </c>
      <c r="I18" s="46" t="s">
        <v>410</v>
      </c>
      <c r="J18" s="47">
        <f>H18+F18+D18</f>
        <v>169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224</v>
      </c>
      <c r="G22" s="366" t="s">
        <v>225</v>
      </c>
      <c r="H22" s="366" t="s">
        <v>226</v>
      </c>
      <c r="I22" s="366" t="s">
        <v>227</v>
      </c>
      <c r="J22" s="366" t="s">
        <v>228</v>
      </c>
      <c r="K22" s="366" t="s">
        <v>229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32.085599999999999</v>
      </c>
      <c r="E23" s="369">
        <v>32.085599999999999</v>
      </c>
      <c r="F23" s="369">
        <v>0.86551</v>
      </c>
      <c r="G23" s="369">
        <v>10.74095</v>
      </c>
      <c r="H23" s="369">
        <v>7.9977400000000003</v>
      </c>
      <c r="I23" s="369">
        <v>12.046849999999999</v>
      </c>
      <c r="J23" s="369">
        <v>0.43495</v>
      </c>
      <c r="K23" s="369">
        <v>0</v>
      </c>
      <c r="L23" s="369"/>
      <c r="M23" s="369">
        <f>SUM(F23:L23)</f>
        <v>32.085999999999999</v>
      </c>
      <c r="N23" s="369">
        <f>M23/E23*100</f>
        <v>100.00124666517067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v>5.6</v>
      </c>
      <c r="E24" s="369">
        <v>4.2</v>
      </c>
      <c r="F24" s="369">
        <v>0</v>
      </c>
      <c r="G24" s="369">
        <v>0.08</v>
      </c>
      <c r="H24" s="369">
        <v>0.84204999999999997</v>
      </c>
      <c r="I24" s="369">
        <v>0.78824000000000005</v>
      </c>
      <c r="J24" s="369">
        <v>1.67794</v>
      </c>
      <c r="K24" s="369">
        <v>1.2593000000000001</v>
      </c>
      <c r="L24" s="369"/>
      <c r="M24" s="369">
        <f t="shared" ref="M24:M31" si="0">SUM(F24:L24)</f>
        <v>4.6475299999999997</v>
      </c>
      <c r="N24" s="369">
        <f t="shared" ref="N24:N32" si="1">M24/E24*100</f>
        <v>110.65547619047618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v>0.43</v>
      </c>
      <c r="E25" s="369">
        <v>0.43</v>
      </c>
      <c r="F25" s="369">
        <v>0</v>
      </c>
      <c r="G25" s="369">
        <v>0</v>
      </c>
      <c r="H25" s="369">
        <v>0.123</v>
      </c>
      <c r="I25" s="369">
        <v>0.1</v>
      </c>
      <c r="J25" s="369">
        <v>0.19270000000000001</v>
      </c>
      <c r="K25" s="369">
        <v>0.56805000000000005</v>
      </c>
      <c r="L25" s="369"/>
      <c r="M25" s="369">
        <f t="shared" si="0"/>
        <v>0.98375000000000012</v>
      </c>
      <c r="N25" s="369">
        <f t="shared" si="1"/>
        <v>228.77906976744188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0.34</v>
      </c>
      <c r="F26" s="369">
        <v>0</v>
      </c>
      <c r="G26" s="369">
        <v>0</v>
      </c>
      <c r="H26" s="369">
        <v>1.4E-2</v>
      </c>
      <c r="I26" s="369">
        <v>0.28599999999999998</v>
      </c>
      <c r="J26" s="369">
        <v>0.04</v>
      </c>
      <c r="K26" s="369">
        <v>0</v>
      </c>
      <c r="L26" s="369"/>
      <c r="M26" s="369">
        <f t="shared" si="0"/>
        <v>0.33999999999999997</v>
      </c>
      <c r="N26" s="369">
        <f t="shared" si="1"/>
        <v>99.999999999999986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4.8128399999999996</v>
      </c>
      <c r="E27" s="369">
        <v>4.8128399999999996</v>
      </c>
      <c r="F27" s="369">
        <v>0</v>
      </c>
      <c r="G27" s="369">
        <v>0</v>
      </c>
      <c r="H27" s="369">
        <v>1</v>
      </c>
      <c r="I27" s="369">
        <v>0.67029000000000005</v>
      </c>
      <c r="J27" s="369">
        <v>3.1310600000000002</v>
      </c>
      <c r="K27" s="369">
        <v>0</v>
      </c>
      <c r="L27" s="369"/>
      <c r="M27" s="369">
        <f t="shared" si="0"/>
        <v>4.8013500000000002</v>
      </c>
      <c r="N27" s="369">
        <f t="shared" si="1"/>
        <v>99.761263619817015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>
        <v>0</v>
      </c>
      <c r="G28" s="369">
        <v>0</v>
      </c>
      <c r="H28" s="369">
        <v>0.2</v>
      </c>
      <c r="I28" s="369">
        <v>1.9327000000000001</v>
      </c>
      <c r="J28" s="369">
        <v>0</v>
      </c>
      <c r="K28" s="369">
        <v>0</v>
      </c>
      <c r="L28" s="369"/>
      <c r="M28" s="369">
        <f t="shared" si="0"/>
        <v>2.1327000000000003</v>
      </c>
      <c r="N28" s="369">
        <f t="shared" si="1"/>
        <v>75.360424028268554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4.0106999999999999</v>
      </c>
      <c r="E29" s="369">
        <v>4.0106999999999999</v>
      </c>
      <c r="F29" s="369">
        <v>0</v>
      </c>
      <c r="G29" s="369">
        <v>0.97011999999999998</v>
      </c>
      <c r="H29" s="369">
        <v>0</v>
      </c>
      <c r="I29" s="369">
        <v>1.0142100000000001</v>
      </c>
      <c r="J29" s="369">
        <v>1.8000499999999999</v>
      </c>
      <c r="K29" s="369">
        <v>1.04579</v>
      </c>
      <c r="L29" s="369"/>
      <c r="M29" s="369">
        <f t="shared" si="0"/>
        <v>4.8301699999999999</v>
      </c>
      <c r="N29" s="369">
        <f t="shared" si="1"/>
        <v>120.43209414815368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2.31</v>
      </c>
      <c r="F30" s="369">
        <v>0.22550000000000001</v>
      </c>
      <c r="G30" s="369">
        <v>0.1575</v>
      </c>
      <c r="H30" s="369">
        <v>0.28599999999999998</v>
      </c>
      <c r="I30" s="369">
        <v>0.38101000000000002</v>
      </c>
      <c r="J30" s="369">
        <v>0.24</v>
      </c>
      <c r="K30" s="369">
        <v>0.308</v>
      </c>
      <c r="L30" s="369"/>
      <c r="M30" s="369">
        <f t="shared" si="0"/>
        <v>1.5980100000000002</v>
      </c>
      <c r="N30" s="369">
        <f t="shared" si="1"/>
        <v>69.177922077922076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52.549140000000001</v>
      </c>
      <c r="E32" s="371">
        <f t="shared" ref="E32:M32" si="2">SUM(E23:E31)</f>
        <v>51.119140000000009</v>
      </c>
      <c r="F32" s="371">
        <f t="shared" si="2"/>
        <v>1.09101</v>
      </c>
      <c r="G32" s="371">
        <f t="shared" si="2"/>
        <v>11.94857</v>
      </c>
      <c r="H32" s="371">
        <f t="shared" si="2"/>
        <v>10.462789999999998</v>
      </c>
      <c r="I32" s="371">
        <f t="shared" si="2"/>
        <v>17.219299999999997</v>
      </c>
      <c r="J32" s="371">
        <f t="shared" si="2"/>
        <v>7.5167000000000002</v>
      </c>
      <c r="K32" s="371">
        <f t="shared" si="2"/>
        <v>3.1811400000000001</v>
      </c>
      <c r="L32" s="371">
        <f t="shared" si="2"/>
        <v>0</v>
      </c>
      <c r="M32" s="371">
        <f t="shared" si="2"/>
        <v>51.41951000000001</v>
      </c>
      <c r="N32" s="369">
        <f t="shared" si="1"/>
        <v>100.5875881323512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3" right="0.33" top="0.61" bottom="0.38" header="0.3" footer="0.3"/>
  <pageSetup scale="90" orientation="landscape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46" t="s">
        <v>4347</v>
      </c>
      <c r="B1" s="843" t="s">
        <v>4787</v>
      </c>
      <c r="C1" s="844"/>
      <c r="D1" s="46" t="s">
        <v>4349</v>
      </c>
      <c r="E1" s="46"/>
      <c r="F1" s="843" t="s">
        <v>4788</v>
      </c>
      <c r="G1" s="844"/>
      <c r="H1" s="851" t="s">
        <v>5</v>
      </c>
      <c r="I1" s="852"/>
      <c r="J1" s="47">
        <v>423.73</v>
      </c>
      <c r="K1" s="46" t="s">
        <v>436</v>
      </c>
      <c r="L1" s="46"/>
      <c r="M1" s="47">
        <v>281.13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4789</v>
      </c>
      <c r="C3" s="844"/>
      <c r="D3" s="46" t="s">
        <v>1208</v>
      </c>
      <c r="E3" s="46"/>
      <c r="F3" s="843" t="s">
        <v>4790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 t="s">
        <v>4646</v>
      </c>
      <c r="C5" s="844"/>
      <c r="D5" s="46" t="s">
        <v>4355</v>
      </c>
      <c r="E5" s="46"/>
      <c r="F5" s="845" t="s">
        <v>4791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4792</v>
      </c>
      <c r="C8" s="853"/>
      <c r="D8" s="853" t="s">
        <v>4793</v>
      </c>
      <c r="E8" s="853"/>
      <c r="F8" s="853"/>
      <c r="G8" s="854" t="s">
        <v>4794</v>
      </c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4795</v>
      </c>
      <c r="C9" s="853"/>
      <c r="D9" s="853" t="s">
        <v>4796</v>
      </c>
      <c r="E9" s="853"/>
      <c r="F9" s="853"/>
      <c r="G9" s="854" t="s">
        <v>4797</v>
      </c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4798</v>
      </c>
      <c r="C10" s="853"/>
      <c r="D10" s="853" t="s">
        <v>4799</v>
      </c>
      <c r="E10" s="853"/>
      <c r="F10" s="853"/>
      <c r="G10" s="854" t="s">
        <v>4800</v>
      </c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4801</v>
      </c>
      <c r="C11" s="853"/>
      <c r="D11" s="853" t="s">
        <v>4802</v>
      </c>
      <c r="E11" s="853"/>
      <c r="F11" s="853"/>
      <c r="G11" s="853" t="s">
        <v>4802</v>
      </c>
      <c r="H11" s="853"/>
      <c r="I11" s="853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3</v>
      </c>
      <c r="C13" s="46" t="s">
        <v>4366</v>
      </c>
      <c r="D13" s="46"/>
      <c r="E13" s="46"/>
      <c r="F13" s="47">
        <v>3</v>
      </c>
      <c r="G13" s="46" t="s">
        <v>1491</v>
      </c>
      <c r="H13" s="47">
        <v>14</v>
      </c>
      <c r="I13" s="46" t="s">
        <v>1492</v>
      </c>
      <c r="J13" s="47">
        <v>3</v>
      </c>
      <c r="K13" s="46" t="s">
        <v>1493</v>
      </c>
      <c r="L13" s="47">
        <v>22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/>
      <c r="E16" s="46" t="s">
        <v>205</v>
      </c>
      <c r="F16" s="47"/>
      <c r="G16" s="46" t="s">
        <v>206</v>
      </c>
      <c r="H16" s="47"/>
      <c r="I16" s="46" t="s">
        <v>230</v>
      </c>
      <c r="J16" s="47">
        <v>144</v>
      </c>
      <c r="K16" s="46" t="s">
        <v>207</v>
      </c>
      <c r="L16" s="47">
        <v>78</v>
      </c>
      <c r="M16" s="72" t="s">
        <v>4367</v>
      </c>
      <c r="N16" s="47">
        <v>28</v>
      </c>
    </row>
    <row r="17" spans="1:14">
      <c r="A17" s="46" t="s">
        <v>209</v>
      </c>
      <c r="B17" s="46"/>
      <c r="C17" s="46" t="s">
        <v>210</v>
      </c>
      <c r="D17" s="47">
        <v>160</v>
      </c>
      <c r="E17" s="46" t="s">
        <v>211</v>
      </c>
      <c r="F17" s="47">
        <v>0</v>
      </c>
      <c r="G17" s="46" t="s">
        <v>212</v>
      </c>
      <c r="H17" s="47">
        <v>0</v>
      </c>
      <c r="I17" s="46" t="s">
        <v>411</v>
      </c>
      <c r="J17" s="47">
        <f>H17+F17+D17</f>
        <v>160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176</v>
      </c>
      <c r="E18" s="46" t="s">
        <v>214</v>
      </c>
      <c r="F18" s="47">
        <v>0</v>
      </c>
      <c r="G18" s="46" t="s">
        <v>1494</v>
      </c>
      <c r="H18" s="47">
        <v>0</v>
      </c>
      <c r="I18" s="46" t="s">
        <v>410</v>
      </c>
      <c r="J18" s="47">
        <f>H18+F18+D18</f>
        <v>176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224</v>
      </c>
      <c r="G22" s="366" t="s">
        <v>225</v>
      </c>
      <c r="H22" s="366" t="s">
        <v>226</v>
      </c>
      <c r="I22" s="366" t="s">
        <v>227</v>
      </c>
      <c r="J22" s="366" t="s">
        <v>228</v>
      </c>
      <c r="K22" s="366" t="s">
        <v>229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33.898400000000002</v>
      </c>
      <c r="E23" s="369">
        <v>33.898400000000002</v>
      </c>
      <c r="F23" s="369">
        <v>0.73043999999999998</v>
      </c>
      <c r="G23" s="369">
        <v>10.654960000000001</v>
      </c>
      <c r="H23" s="369">
        <v>16.03444</v>
      </c>
      <c r="I23" s="369">
        <v>8.86937</v>
      </c>
      <c r="J23" s="369">
        <v>3.1591900000000002</v>
      </c>
      <c r="K23" s="369">
        <v>0</v>
      </c>
      <c r="L23" s="369"/>
      <c r="M23" s="369">
        <f>SUM(F23:L23)</f>
        <v>39.448399999999999</v>
      </c>
      <c r="N23" s="369">
        <f>M23/E23*100</f>
        <v>116.37245415712836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v>5.6</v>
      </c>
      <c r="E24" s="369">
        <v>5.6</v>
      </c>
      <c r="F24" s="369">
        <v>0</v>
      </c>
      <c r="G24" s="369">
        <v>0</v>
      </c>
      <c r="H24" s="369">
        <v>1.2272000000000001</v>
      </c>
      <c r="I24" s="369">
        <v>1.71106</v>
      </c>
      <c r="J24" s="369">
        <v>2.0629499999999998</v>
      </c>
      <c r="K24" s="369">
        <v>0.59879000000000004</v>
      </c>
      <c r="L24" s="369"/>
      <c r="M24" s="369">
        <f t="shared" ref="M24:M31" si="0">SUM(F24:L24)</f>
        <v>5.6000000000000005</v>
      </c>
      <c r="N24" s="369">
        <f t="shared" ref="N24:N32" si="1">M24/E24*100</f>
        <v>100.00000000000003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v>0.43</v>
      </c>
      <c r="E25" s="369">
        <v>0.43</v>
      </c>
      <c r="F25" s="369">
        <v>0</v>
      </c>
      <c r="G25" s="369">
        <v>0</v>
      </c>
      <c r="H25" s="369">
        <v>0</v>
      </c>
      <c r="I25" s="369">
        <v>0.48259999999999997</v>
      </c>
      <c r="J25" s="369">
        <v>0.20699999999999999</v>
      </c>
      <c r="K25" s="369">
        <v>0.27995999999999999</v>
      </c>
      <c r="L25" s="369"/>
      <c r="M25" s="369">
        <f t="shared" si="0"/>
        <v>0.96955999999999998</v>
      </c>
      <c r="N25" s="369">
        <f t="shared" si="1"/>
        <v>225.47906976744184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0.34</v>
      </c>
      <c r="F26" s="369">
        <v>0</v>
      </c>
      <c r="G26" s="369">
        <v>0</v>
      </c>
      <c r="H26" s="369">
        <v>1.0500000000000001E-2</v>
      </c>
      <c r="I26" s="369">
        <v>0.29143999999999998</v>
      </c>
      <c r="J26" s="369">
        <v>3.8059999999999997E-2</v>
      </c>
      <c r="K26" s="369">
        <v>0</v>
      </c>
      <c r="L26" s="369"/>
      <c r="M26" s="369">
        <f t="shared" si="0"/>
        <v>0.33999999999999997</v>
      </c>
      <c r="N26" s="369">
        <f t="shared" si="1"/>
        <v>99.999999999999986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5.0847600000000002</v>
      </c>
      <c r="E27" s="369">
        <v>5.0847600000000002</v>
      </c>
      <c r="F27" s="369">
        <v>0</v>
      </c>
      <c r="G27" s="369">
        <v>0</v>
      </c>
      <c r="H27" s="369">
        <v>0</v>
      </c>
      <c r="I27" s="369">
        <v>0</v>
      </c>
      <c r="J27" s="369">
        <v>0.47356999999999999</v>
      </c>
      <c r="K27" s="369">
        <v>2.2110699999999999</v>
      </c>
      <c r="L27" s="369"/>
      <c r="M27" s="369">
        <f t="shared" si="0"/>
        <v>2.6846399999999999</v>
      </c>
      <c r="N27" s="369">
        <f t="shared" si="1"/>
        <v>52.797772166237934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>
        <v>0</v>
      </c>
      <c r="G28" s="369">
        <v>0</v>
      </c>
      <c r="H28" s="369">
        <v>0.05</v>
      </c>
      <c r="I28" s="369">
        <v>2.1107499999999999</v>
      </c>
      <c r="J28" s="369">
        <v>0</v>
      </c>
      <c r="K28" s="369">
        <v>0</v>
      </c>
      <c r="L28" s="369"/>
      <c r="M28" s="369">
        <f t="shared" si="0"/>
        <v>2.1607499999999997</v>
      </c>
      <c r="N28" s="369">
        <f t="shared" si="1"/>
        <v>76.351590106007052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4.2373000000000003</v>
      </c>
      <c r="E29" s="369">
        <v>5.6830999999999996</v>
      </c>
      <c r="F29" s="369">
        <v>0</v>
      </c>
      <c r="G29" s="369">
        <v>1.4231</v>
      </c>
      <c r="H29" s="369">
        <v>0</v>
      </c>
      <c r="I29" s="369">
        <v>0</v>
      </c>
      <c r="J29" s="369">
        <v>0</v>
      </c>
      <c r="K29" s="369">
        <v>0</v>
      </c>
      <c r="L29" s="369"/>
      <c r="M29" s="369">
        <f t="shared" si="0"/>
        <v>1.4231</v>
      </c>
      <c r="N29" s="369">
        <f t="shared" si="1"/>
        <v>25.040910770530171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2.31</v>
      </c>
      <c r="F30" s="369">
        <v>0.22800000000000001</v>
      </c>
      <c r="G30" s="369">
        <v>0.2455</v>
      </c>
      <c r="H30" s="369">
        <v>0.28499999999999998</v>
      </c>
      <c r="I30" s="369">
        <v>0.40500000000000003</v>
      </c>
      <c r="J30" s="369">
        <v>0.24</v>
      </c>
      <c r="K30" s="369">
        <v>0.24</v>
      </c>
      <c r="L30" s="369"/>
      <c r="M30" s="369">
        <f t="shared" si="0"/>
        <v>1.6435</v>
      </c>
      <c r="N30" s="369">
        <f t="shared" si="1"/>
        <v>71.147186147186147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54.860460000000003</v>
      </c>
      <c r="E32" s="371">
        <f t="shared" ref="E32:M32" si="2">SUM(E23:E31)</f>
        <v>56.276260000000015</v>
      </c>
      <c r="F32" s="371">
        <f t="shared" si="2"/>
        <v>0.95843999999999996</v>
      </c>
      <c r="G32" s="371">
        <f t="shared" si="2"/>
        <v>12.323560000000001</v>
      </c>
      <c r="H32" s="371">
        <f t="shared" si="2"/>
        <v>17.607140000000001</v>
      </c>
      <c r="I32" s="371">
        <f t="shared" si="2"/>
        <v>13.870219999999998</v>
      </c>
      <c r="J32" s="371">
        <f t="shared" si="2"/>
        <v>6.180769999999999</v>
      </c>
      <c r="K32" s="371">
        <f t="shared" si="2"/>
        <v>3.3298199999999998</v>
      </c>
      <c r="L32" s="371">
        <f t="shared" si="2"/>
        <v>0</v>
      </c>
      <c r="M32" s="371">
        <f t="shared" si="2"/>
        <v>54.269950000000009</v>
      </c>
      <c r="N32" s="369">
        <f t="shared" si="1"/>
        <v>96.434891017988747</v>
      </c>
    </row>
  </sheetData>
  <mergeCells count="30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B8:C8"/>
    <mergeCell ref="D8:F8"/>
    <mergeCell ref="G8:I8"/>
    <mergeCell ref="J8:L8"/>
    <mergeCell ref="B9:C9"/>
    <mergeCell ref="D9:F9"/>
    <mergeCell ref="G9:I9"/>
    <mergeCell ref="J9:L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3" right="0.33" top="0.61" bottom="0.38" header="0.3" footer="0.3"/>
  <pageSetup scale="90" orientation="landscape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85546875" bestFit="1" customWidth="1"/>
    <col min="5" max="5" width="14.28515625" bestFit="1" customWidth="1"/>
    <col min="7" max="7" width="10.140625" bestFit="1" customWidth="1"/>
  </cols>
  <sheetData>
    <row r="1" spans="1:14">
      <c r="A1" s="46" t="s">
        <v>4347</v>
      </c>
      <c r="B1" s="843" t="s">
        <v>4803</v>
      </c>
      <c r="C1" s="844"/>
      <c r="D1" s="46" t="s">
        <v>4349</v>
      </c>
      <c r="E1" s="46"/>
      <c r="F1" s="843" t="s">
        <v>4804</v>
      </c>
      <c r="G1" s="844"/>
      <c r="H1" s="851" t="s">
        <v>5</v>
      </c>
      <c r="I1" s="852"/>
      <c r="J1" s="47">
        <v>630.88</v>
      </c>
      <c r="K1" s="46" t="s">
        <v>436</v>
      </c>
      <c r="L1" s="46"/>
      <c r="M1" s="47">
        <v>374.43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4805</v>
      </c>
      <c r="C3" s="844"/>
      <c r="D3" s="46" t="s">
        <v>1208</v>
      </c>
      <c r="E3" s="46"/>
      <c r="F3" s="843" t="s">
        <v>4806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43"/>
      <c r="C5" s="844"/>
      <c r="D5" s="46" t="s">
        <v>4355</v>
      </c>
      <c r="E5" s="46"/>
      <c r="F5" s="845" t="s">
        <v>4807</v>
      </c>
      <c r="G5" s="846"/>
      <c r="H5" s="846"/>
      <c r="I5" s="847"/>
      <c r="J5" s="46"/>
      <c r="K5" s="46"/>
      <c r="L5" s="46"/>
      <c r="M5" s="46"/>
      <c r="N5" s="46"/>
    </row>
    <row r="6" spans="1:14">
      <c r="A6" s="46"/>
      <c r="B6" s="46"/>
      <c r="C6" s="46"/>
      <c r="D6" s="46" t="s">
        <v>4357</v>
      </c>
      <c r="E6" s="46"/>
      <c r="F6" s="848"/>
      <c r="G6" s="849"/>
      <c r="H6" s="849"/>
      <c r="I6" s="850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4808</v>
      </c>
      <c r="C8" s="853"/>
      <c r="D8" s="853" t="s">
        <v>4809</v>
      </c>
      <c r="E8" s="853"/>
      <c r="F8" s="853"/>
      <c r="G8" s="854" t="s">
        <v>4810</v>
      </c>
      <c r="H8" s="854"/>
      <c r="I8" s="854"/>
      <c r="J8" s="854" t="s">
        <v>4811</v>
      </c>
      <c r="K8" s="854"/>
      <c r="L8" s="854"/>
      <c r="M8" s="854" t="s">
        <v>4812</v>
      </c>
      <c r="N8" s="854"/>
    </row>
    <row r="9" spans="1:14">
      <c r="A9" s="364" t="s">
        <v>840</v>
      </c>
      <c r="B9" s="853" t="s">
        <v>4813</v>
      </c>
      <c r="C9" s="853"/>
      <c r="D9" s="853" t="s">
        <v>4814</v>
      </c>
      <c r="E9" s="853"/>
      <c r="F9" s="853"/>
      <c r="G9" s="854" t="s">
        <v>4815</v>
      </c>
      <c r="H9" s="854"/>
      <c r="I9" s="854"/>
      <c r="J9" s="854" t="s">
        <v>4816</v>
      </c>
      <c r="K9" s="854"/>
      <c r="L9" s="854"/>
      <c r="M9" s="854" t="s">
        <v>4817</v>
      </c>
      <c r="N9" s="854"/>
    </row>
    <row r="10" spans="1:14">
      <c r="A10" s="364" t="s">
        <v>4361</v>
      </c>
      <c r="B10" s="853" t="s">
        <v>4818</v>
      </c>
      <c r="C10" s="853"/>
      <c r="D10" s="853" t="s">
        <v>4819</v>
      </c>
      <c r="E10" s="853"/>
      <c r="F10" s="853"/>
      <c r="G10" s="854" t="s">
        <v>4820</v>
      </c>
      <c r="H10" s="854"/>
      <c r="I10" s="854"/>
      <c r="J10" s="854" t="s">
        <v>4821</v>
      </c>
      <c r="K10" s="854"/>
      <c r="L10" s="854"/>
      <c r="M10" s="854" t="s">
        <v>4822</v>
      </c>
      <c r="N10" s="854"/>
    </row>
    <row r="11" spans="1:14" ht="22.5">
      <c r="A11" s="364" t="s">
        <v>420</v>
      </c>
      <c r="B11" s="853"/>
      <c r="C11" s="853"/>
      <c r="D11" s="853"/>
      <c r="E11" s="853"/>
      <c r="F11" s="853"/>
      <c r="G11" s="854"/>
      <c r="H11" s="854"/>
      <c r="I11" s="854"/>
      <c r="J11" s="854"/>
      <c r="K11" s="854"/>
      <c r="L11" s="854"/>
      <c r="M11" s="854"/>
      <c r="N11" s="854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5</v>
      </c>
      <c r="C13" s="46" t="s">
        <v>4366</v>
      </c>
      <c r="D13" s="46"/>
      <c r="E13" s="46"/>
      <c r="F13" s="47">
        <v>5</v>
      </c>
      <c r="G13" s="46" t="s">
        <v>1491</v>
      </c>
      <c r="H13" s="47">
        <v>9</v>
      </c>
      <c r="I13" s="46" t="s">
        <v>1492</v>
      </c>
      <c r="J13" s="47">
        <v>4</v>
      </c>
      <c r="K13" s="46" t="s">
        <v>1493</v>
      </c>
      <c r="L13" s="47">
        <v>38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/>
      <c r="E16" s="46" t="s">
        <v>205</v>
      </c>
      <c r="F16" s="47"/>
      <c r="G16" s="46" t="s">
        <v>206</v>
      </c>
      <c r="H16" s="47"/>
      <c r="I16" s="46" t="s">
        <v>230</v>
      </c>
      <c r="J16" s="47">
        <v>102</v>
      </c>
      <c r="K16" s="46" t="s">
        <v>207</v>
      </c>
      <c r="L16" s="47">
        <v>4</v>
      </c>
      <c r="M16" s="72" t="s">
        <v>4367</v>
      </c>
      <c r="N16" s="47">
        <v>35</v>
      </c>
    </row>
    <row r="17" spans="1:14">
      <c r="A17" s="46" t="s">
        <v>209</v>
      </c>
      <c r="B17" s="46"/>
      <c r="C17" s="46" t="s">
        <v>210</v>
      </c>
      <c r="D17" s="47">
        <v>235</v>
      </c>
      <c r="E17" s="46" t="s">
        <v>211</v>
      </c>
      <c r="F17" s="47">
        <v>0</v>
      </c>
      <c r="G17" s="46" t="s">
        <v>212</v>
      </c>
      <c r="H17" s="47">
        <v>0</v>
      </c>
      <c r="I17" s="46" t="s">
        <v>411</v>
      </c>
      <c r="J17" s="47">
        <f>H17+F17+D17</f>
        <v>235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225</v>
      </c>
      <c r="E18" s="46" t="s">
        <v>214</v>
      </c>
      <c r="F18" s="47">
        <v>0</v>
      </c>
      <c r="G18" s="46" t="s">
        <v>1494</v>
      </c>
      <c r="H18" s="47">
        <v>0</v>
      </c>
      <c r="I18" s="46" t="s">
        <v>410</v>
      </c>
      <c r="J18" s="47">
        <f>H18+F18+D18</f>
        <v>225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224</v>
      </c>
      <c r="G22" s="366" t="s">
        <v>225</v>
      </c>
      <c r="H22" s="366" t="s">
        <v>226</v>
      </c>
      <c r="I22" s="366" t="s">
        <v>227</v>
      </c>
      <c r="J22" s="366" t="s">
        <v>228</v>
      </c>
      <c r="K22" s="366" t="s">
        <v>229</v>
      </c>
      <c r="L22" s="366">
        <v>7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50.470399999999998</v>
      </c>
      <c r="E23" s="369">
        <v>50.470399999999998</v>
      </c>
      <c r="F23" s="369">
        <v>0.28738000000000002</v>
      </c>
      <c r="G23" s="369">
        <v>12.43106</v>
      </c>
      <c r="H23" s="369">
        <v>14.706849999999999</v>
      </c>
      <c r="I23" s="369">
        <v>20.14695</v>
      </c>
      <c r="J23" s="369">
        <v>2.90544</v>
      </c>
      <c r="K23" s="369">
        <v>0</v>
      </c>
      <c r="L23" s="369"/>
      <c r="M23" s="369">
        <f>SUM(F23:L23)</f>
        <v>50.477679999999999</v>
      </c>
      <c r="N23" s="369">
        <f>M23/E23*100</f>
        <v>100.01442429622116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v>5.6</v>
      </c>
      <c r="E24" s="369">
        <v>5.6</v>
      </c>
      <c r="F24" s="369">
        <v>0</v>
      </c>
      <c r="G24" s="369">
        <v>0</v>
      </c>
      <c r="H24" s="369">
        <v>1.2074</v>
      </c>
      <c r="I24" s="369">
        <v>1.64438</v>
      </c>
      <c r="J24" s="369">
        <v>2.7482199999999999</v>
      </c>
      <c r="K24" s="369">
        <v>1.396E-2</v>
      </c>
      <c r="L24" s="369"/>
      <c r="M24" s="369">
        <f t="shared" ref="M24:M31" si="0">SUM(F24:L24)</f>
        <v>5.6139599999999996</v>
      </c>
      <c r="N24" s="369">
        <f t="shared" ref="N24:N32" si="1">M24/E24*100</f>
        <v>100.2492857142857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v>0.43</v>
      </c>
      <c r="E25" s="369">
        <v>0.43</v>
      </c>
      <c r="F25" s="369">
        <v>0</v>
      </c>
      <c r="G25" s="369">
        <v>0</v>
      </c>
      <c r="H25" s="369">
        <v>0</v>
      </c>
      <c r="I25" s="369">
        <v>0.48259999999999997</v>
      </c>
      <c r="J25" s="369">
        <v>0</v>
      </c>
      <c r="K25" s="369">
        <v>0.50034999999999996</v>
      </c>
      <c r="L25" s="369"/>
      <c r="M25" s="369">
        <f t="shared" si="0"/>
        <v>0.98294999999999999</v>
      </c>
      <c r="N25" s="369">
        <f t="shared" si="1"/>
        <v>228.59302325581393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0.34</v>
      </c>
      <c r="F26" s="369">
        <v>0</v>
      </c>
      <c r="G26" s="369">
        <v>0</v>
      </c>
      <c r="H26" s="369">
        <v>0</v>
      </c>
      <c r="I26" s="369">
        <v>0.29524</v>
      </c>
      <c r="J26" s="369">
        <v>4.4760000000000001E-2</v>
      </c>
      <c r="K26" s="369">
        <v>0</v>
      </c>
      <c r="L26" s="369"/>
      <c r="M26" s="369">
        <f t="shared" si="0"/>
        <v>0.34</v>
      </c>
      <c r="N26" s="369">
        <f t="shared" si="1"/>
        <v>100</v>
      </c>
    </row>
    <row r="27" spans="1:14">
      <c r="A27" s="364" t="s">
        <v>238</v>
      </c>
      <c r="B27" s="364">
        <v>1200</v>
      </c>
      <c r="C27" s="367" t="s">
        <v>4369</v>
      </c>
      <c r="D27" s="368">
        <f>B27*J1/100000</f>
        <v>7.5705600000000004</v>
      </c>
      <c r="E27" s="369">
        <v>6.65496</v>
      </c>
      <c r="F27" s="369">
        <v>0</v>
      </c>
      <c r="G27" s="369">
        <v>0</v>
      </c>
      <c r="H27" s="369">
        <v>0</v>
      </c>
      <c r="I27" s="369">
        <v>1.2350000000000001</v>
      </c>
      <c r="J27" s="369">
        <v>4.8306699999999996</v>
      </c>
      <c r="K27" s="369">
        <v>0</v>
      </c>
      <c r="L27" s="369"/>
      <c r="M27" s="369">
        <f t="shared" si="0"/>
        <v>6.0656699999999999</v>
      </c>
      <c r="N27" s="369">
        <f t="shared" si="1"/>
        <v>91.145100796999529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>
        <v>0</v>
      </c>
      <c r="G28" s="369">
        <v>0</v>
      </c>
      <c r="H28" s="369">
        <v>0.1</v>
      </c>
      <c r="I28" s="369">
        <v>3.33114</v>
      </c>
      <c r="J28" s="369">
        <v>0</v>
      </c>
      <c r="K28" s="369">
        <v>0</v>
      </c>
      <c r="L28" s="369"/>
      <c r="M28" s="369">
        <f t="shared" si="0"/>
        <v>3.4311400000000001</v>
      </c>
      <c r="N28" s="369">
        <f t="shared" si="1"/>
        <v>121.2416961130742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6.3087999999999997</v>
      </c>
      <c r="E29" s="369">
        <v>5.3087999999999997</v>
      </c>
      <c r="F29" s="369">
        <v>0</v>
      </c>
      <c r="G29" s="369">
        <v>0.86899999999999999</v>
      </c>
      <c r="H29" s="369">
        <v>0.13100000000000001</v>
      </c>
      <c r="I29" s="369">
        <v>1.6508100000000001</v>
      </c>
      <c r="J29" s="369">
        <v>0.44384000000000001</v>
      </c>
      <c r="K29" s="369">
        <v>1.31115</v>
      </c>
      <c r="L29" s="369"/>
      <c r="M29" s="369">
        <f t="shared" si="0"/>
        <v>4.4057999999999993</v>
      </c>
      <c r="N29" s="369">
        <f t="shared" si="1"/>
        <v>82.990506329113913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2.31</v>
      </c>
      <c r="F30" s="369">
        <v>0.153</v>
      </c>
      <c r="G30" s="369">
        <v>0.1731</v>
      </c>
      <c r="H30" s="369">
        <v>0.31319999999999998</v>
      </c>
      <c r="I30" s="369">
        <v>0.14000000000000001</v>
      </c>
      <c r="J30" s="369">
        <v>0.3</v>
      </c>
      <c r="K30" s="369">
        <v>0.54500000000000004</v>
      </c>
      <c r="L30" s="369"/>
      <c r="M30" s="369">
        <f t="shared" si="0"/>
        <v>1.6242999999999999</v>
      </c>
      <c r="N30" s="369">
        <f t="shared" si="1"/>
        <v>70.316017316017309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75.98975999999999</v>
      </c>
      <c r="E32" s="371">
        <f t="shared" ref="E32:M32" si="2">SUM(E23:E31)</f>
        <v>74.044160000000005</v>
      </c>
      <c r="F32" s="371">
        <f t="shared" si="2"/>
        <v>0.44037999999999999</v>
      </c>
      <c r="G32" s="371">
        <f t="shared" si="2"/>
        <v>13.47316</v>
      </c>
      <c r="H32" s="371">
        <f t="shared" si="2"/>
        <v>16.458449999999999</v>
      </c>
      <c r="I32" s="371">
        <f t="shared" si="2"/>
        <v>28.926120000000004</v>
      </c>
      <c r="J32" s="371">
        <f t="shared" si="2"/>
        <v>11.272930000000001</v>
      </c>
      <c r="K32" s="371">
        <f t="shared" si="2"/>
        <v>2.37046</v>
      </c>
      <c r="L32" s="371">
        <f t="shared" si="2"/>
        <v>0</v>
      </c>
      <c r="M32" s="371">
        <f t="shared" si="2"/>
        <v>72.941500000000005</v>
      </c>
      <c r="N32" s="369">
        <f t="shared" si="1"/>
        <v>98.510807604543018</v>
      </c>
    </row>
  </sheetData>
  <mergeCells count="34">
    <mergeCell ref="A21:A22"/>
    <mergeCell ref="B21:B22"/>
    <mergeCell ref="C21:C22"/>
    <mergeCell ref="D21:D22"/>
    <mergeCell ref="E21:E22"/>
    <mergeCell ref="F21:N21"/>
    <mergeCell ref="B10:C10"/>
    <mergeCell ref="D10:F10"/>
    <mergeCell ref="G10:I10"/>
    <mergeCell ref="J10:L10"/>
    <mergeCell ref="M10:N10"/>
    <mergeCell ref="B11:C11"/>
    <mergeCell ref="D11:F11"/>
    <mergeCell ref="G11:I11"/>
    <mergeCell ref="J11:L11"/>
    <mergeCell ref="M11:N11"/>
    <mergeCell ref="B8:C8"/>
    <mergeCell ref="D8:F8"/>
    <mergeCell ref="G8:I8"/>
    <mergeCell ref="J8:L8"/>
    <mergeCell ref="M8:N8"/>
    <mergeCell ref="B9:C9"/>
    <mergeCell ref="D9:F9"/>
    <mergeCell ref="G9:I9"/>
    <mergeCell ref="J9:L9"/>
    <mergeCell ref="M9:N9"/>
    <mergeCell ref="B5:C5"/>
    <mergeCell ref="F5:I6"/>
    <mergeCell ref="B1:C1"/>
    <mergeCell ref="F1:G1"/>
    <mergeCell ref="H1:I1"/>
    <mergeCell ref="B3:C3"/>
    <mergeCell ref="F3:G3"/>
    <mergeCell ref="A2:C2"/>
  </mergeCells>
  <hyperlinks>
    <hyperlink ref="A2" location="'Fact Sheet of VDC'!A1" display="&lt;&lt;Back"/>
  </hyperlinks>
  <pageMargins left="0.33" right="0.33" top="0.61" bottom="0.38" header="0.3" footer="0.3"/>
  <pageSetup scale="90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workbookViewId="0">
      <selection activeCell="A3" sqref="A3:C3"/>
    </sheetView>
  </sheetViews>
  <sheetFormatPr defaultRowHeight="15"/>
  <sheetData>
    <row r="1" spans="1:14">
      <c r="A1" t="s">
        <v>167</v>
      </c>
    </row>
    <row r="2" spans="1:14">
      <c r="A2" t="s">
        <v>168</v>
      </c>
    </row>
    <row r="3" spans="1:14">
      <c r="A3" s="808" t="s">
        <v>4176</v>
      </c>
      <c r="B3" s="808"/>
      <c r="C3" s="808"/>
    </row>
    <row r="4" spans="1:14">
      <c r="A4" t="s">
        <v>169</v>
      </c>
      <c r="B4" t="s">
        <v>342</v>
      </c>
      <c r="F4" t="s">
        <v>171</v>
      </c>
      <c r="H4" t="s">
        <v>5704</v>
      </c>
      <c r="J4" t="s">
        <v>172</v>
      </c>
      <c r="K4">
        <v>508</v>
      </c>
      <c r="L4" t="s">
        <v>173</v>
      </c>
      <c r="N4">
        <v>40</v>
      </c>
    </row>
    <row r="6" spans="1:14">
      <c r="A6" t="s">
        <v>174</v>
      </c>
      <c r="B6" t="s">
        <v>5705</v>
      </c>
      <c r="F6" t="s">
        <v>176</v>
      </c>
      <c r="H6" t="s">
        <v>343</v>
      </c>
    </row>
    <row r="8" spans="1:14">
      <c r="A8" t="s">
        <v>178</v>
      </c>
      <c r="B8" t="s">
        <v>344</v>
      </c>
      <c r="F8" t="s">
        <v>180</v>
      </c>
      <c r="H8" t="s">
        <v>345</v>
      </c>
    </row>
    <row r="11" spans="1:14">
      <c r="A11" t="s">
        <v>182</v>
      </c>
      <c r="B11" t="s">
        <v>346</v>
      </c>
      <c r="E11" t="s">
        <v>347</v>
      </c>
      <c r="H11" t="s">
        <v>348</v>
      </c>
    </row>
    <row r="12" spans="1:14">
      <c r="A12" t="s">
        <v>187</v>
      </c>
      <c r="B12" t="s">
        <v>349</v>
      </c>
      <c r="E12" t="s">
        <v>301</v>
      </c>
      <c r="H12" t="s">
        <v>350</v>
      </c>
    </row>
    <row r="13" spans="1:14">
      <c r="A13" t="s">
        <v>192</v>
      </c>
      <c r="B13" t="s">
        <v>351</v>
      </c>
      <c r="E13" t="s">
        <v>352</v>
      </c>
      <c r="H13" t="s">
        <v>353</v>
      </c>
    </row>
    <row r="14" spans="1:14">
      <c r="A14" t="s">
        <v>197</v>
      </c>
    </row>
    <row r="16" spans="1:14">
      <c r="A16" t="s">
        <v>198</v>
      </c>
      <c r="B16">
        <v>3</v>
      </c>
      <c r="C16" t="s">
        <v>199</v>
      </c>
      <c r="F16">
        <v>3</v>
      </c>
      <c r="G16" t="s">
        <v>200</v>
      </c>
      <c r="H16">
        <v>12</v>
      </c>
      <c r="I16" t="s">
        <v>201</v>
      </c>
      <c r="J16">
        <v>1</v>
      </c>
      <c r="K16" t="s">
        <v>202</v>
      </c>
      <c r="L16">
        <v>14</v>
      </c>
    </row>
    <row r="18" spans="1:14">
      <c r="A18" t="s">
        <v>203</v>
      </c>
      <c r="B18" t="s">
        <v>204</v>
      </c>
      <c r="C18">
        <f>35+75+10</f>
        <v>120</v>
      </c>
      <c r="D18" t="s">
        <v>205</v>
      </c>
      <c r="E18">
        <f>13+6</f>
        <v>19</v>
      </c>
      <c r="F18" t="s">
        <v>206</v>
      </c>
      <c r="G18">
        <v>0</v>
      </c>
      <c r="H18" t="s">
        <v>207</v>
      </c>
      <c r="I18">
        <v>8</v>
      </c>
      <c r="J18" t="s">
        <v>208</v>
      </c>
    </row>
    <row r="19" spans="1:14">
      <c r="A19" t="s">
        <v>209</v>
      </c>
      <c r="B19" t="s">
        <v>210</v>
      </c>
      <c r="C19">
        <f>104+109+32</f>
        <v>245</v>
      </c>
      <c r="D19" t="s">
        <v>211</v>
      </c>
      <c r="E19">
        <f>33+22</f>
        <v>55</v>
      </c>
      <c r="F19" t="s">
        <v>212</v>
      </c>
    </row>
    <row r="20" spans="1:14">
      <c r="B20" t="s">
        <v>213</v>
      </c>
      <c r="C20">
        <f>38+21</f>
        <v>59</v>
      </c>
      <c r="D20" t="s">
        <v>214</v>
      </c>
      <c r="E20">
        <f>102+18</f>
        <v>120</v>
      </c>
      <c r="F20" t="s">
        <v>215</v>
      </c>
    </row>
    <row r="22" spans="1:14">
      <c r="A22" t="s">
        <v>216</v>
      </c>
    </row>
    <row r="24" spans="1:14">
      <c r="A24" t="s">
        <v>217</v>
      </c>
      <c r="B24" t="s">
        <v>218</v>
      </c>
      <c r="C24" t="s">
        <v>219</v>
      </c>
      <c r="D24" t="s">
        <v>220</v>
      </c>
      <c r="E24" t="s">
        <v>221</v>
      </c>
      <c r="F24" t="s">
        <v>222</v>
      </c>
    </row>
    <row r="25" spans="1:14">
      <c r="F25" t="s">
        <v>223</v>
      </c>
      <c r="G25" t="s">
        <v>224</v>
      </c>
      <c r="H25" t="s">
        <v>225</v>
      </c>
      <c r="I25" t="s">
        <v>226</v>
      </c>
      <c r="J25" t="s">
        <v>227</v>
      </c>
      <c r="K25" t="s">
        <v>228</v>
      </c>
      <c r="L25" t="s">
        <v>229</v>
      </c>
      <c r="M25" t="s">
        <v>230</v>
      </c>
      <c r="N25" t="s">
        <v>231</v>
      </c>
    </row>
    <row r="26" spans="1:14">
      <c r="A26" t="s">
        <v>232</v>
      </c>
      <c r="B26">
        <v>8000</v>
      </c>
      <c r="C26" t="s">
        <v>233</v>
      </c>
      <c r="D26">
        <f>+K4*B26/100000</f>
        <v>40.64</v>
      </c>
      <c r="E26">
        <v>40.64</v>
      </c>
      <c r="H26">
        <v>5.4577400000000003</v>
      </c>
      <c r="I26">
        <v>16.595369999999999</v>
      </c>
      <c r="J26">
        <v>11.36111</v>
      </c>
      <c r="K26">
        <v>1.3686100000000001</v>
      </c>
      <c r="L26">
        <v>3.0727000000000002</v>
      </c>
      <c r="M26">
        <f>+F26+G26+H26+I26+J26+K26+L26</f>
        <v>37.855529999999995</v>
      </c>
      <c r="N26">
        <f>+M26/E26*100</f>
        <v>93.148449803149589</v>
      </c>
    </row>
    <row r="27" spans="1:14">
      <c r="A27" t="s">
        <v>234</v>
      </c>
      <c r="B27">
        <v>7000</v>
      </c>
      <c r="C27" t="s">
        <v>233</v>
      </c>
      <c r="D27">
        <f>+N4*B27/100000</f>
        <v>2.8</v>
      </c>
      <c r="E27">
        <v>2.5</v>
      </c>
      <c r="J27">
        <v>0.77032</v>
      </c>
      <c r="K27">
        <v>1.2612399999999999</v>
      </c>
      <c r="L27">
        <v>0.72438000000000002</v>
      </c>
      <c r="M27">
        <f t="shared" ref="M27:M34" si="0">+F27+G27+H27+I27+J27+K27+L27</f>
        <v>2.7559399999999998</v>
      </c>
      <c r="N27">
        <f t="shared" ref="N27:N35" si="1">+M27/E27*100</f>
        <v>110.2376</v>
      </c>
    </row>
    <row r="28" spans="1:14">
      <c r="A28" t="s">
        <v>235</v>
      </c>
      <c r="B28">
        <v>86</v>
      </c>
      <c r="C28" t="s">
        <v>233</v>
      </c>
      <c r="D28">
        <v>0.44</v>
      </c>
      <c r="E28">
        <v>0.43</v>
      </c>
      <c r="J28">
        <v>0.18</v>
      </c>
      <c r="K28">
        <v>0.14385999999999999</v>
      </c>
      <c r="L28">
        <v>0.20250000000000001</v>
      </c>
      <c r="M28">
        <f t="shared" si="0"/>
        <v>0.52635999999999994</v>
      </c>
      <c r="N28">
        <f t="shared" si="1"/>
        <v>122.40930232558138</v>
      </c>
    </row>
    <row r="29" spans="1:14">
      <c r="A29" t="s">
        <v>237</v>
      </c>
      <c r="B29">
        <v>68</v>
      </c>
      <c r="C29" t="s">
        <v>233</v>
      </c>
      <c r="D29">
        <v>0.35</v>
      </c>
      <c r="E29">
        <v>0.34</v>
      </c>
      <c r="I29">
        <v>0.12784000000000001</v>
      </c>
      <c r="J29">
        <v>3.5000000000000003E-2</v>
      </c>
      <c r="K29">
        <v>0.12937000000000001</v>
      </c>
      <c r="M29">
        <f t="shared" si="0"/>
        <v>0.29221000000000003</v>
      </c>
      <c r="N29">
        <f t="shared" si="1"/>
        <v>85.944117647058832</v>
      </c>
    </row>
    <row r="30" spans="1:14">
      <c r="A30" t="s">
        <v>238</v>
      </c>
      <c r="B30">
        <v>1200</v>
      </c>
      <c r="C30" t="s">
        <v>233</v>
      </c>
      <c r="D30">
        <f>+K4*B30/100000</f>
        <v>6.0960000000000001</v>
      </c>
      <c r="E30">
        <v>6.0960000000000001</v>
      </c>
      <c r="I30">
        <f>0.35123+0.66699</f>
        <v>1.0182199999999999</v>
      </c>
      <c r="J30">
        <f>0.4018+2.8061</f>
        <v>3.2079</v>
      </c>
      <c r="K30">
        <v>2.3611200000000001</v>
      </c>
      <c r="L30">
        <v>-1.21462</v>
      </c>
      <c r="M30">
        <f t="shared" si="0"/>
        <v>5.3726199999999995</v>
      </c>
      <c r="N30">
        <f t="shared" si="1"/>
        <v>88.133530183727032</v>
      </c>
    </row>
    <row r="31" spans="1:14">
      <c r="A31" t="s">
        <v>239</v>
      </c>
      <c r="B31">
        <v>565</v>
      </c>
      <c r="C31" t="s">
        <v>233</v>
      </c>
      <c r="D31">
        <v>2.83</v>
      </c>
      <c r="E31">
        <v>2.7</v>
      </c>
      <c r="I31">
        <v>0.48499999999999999</v>
      </c>
      <c r="K31">
        <v>2.2149999999999999</v>
      </c>
      <c r="M31">
        <f t="shared" si="0"/>
        <v>2.6999999999999997</v>
      </c>
      <c r="N31">
        <f t="shared" si="1"/>
        <v>99.999999999999986</v>
      </c>
    </row>
    <row r="32" spans="1:14">
      <c r="A32" t="s">
        <v>240</v>
      </c>
      <c r="B32">
        <v>1000</v>
      </c>
      <c r="C32" t="s">
        <v>233</v>
      </c>
      <c r="D32">
        <f>+K4*B32/100000</f>
        <v>5.08</v>
      </c>
      <c r="E32">
        <v>5.08</v>
      </c>
      <c r="I32">
        <v>3.5110000000000002E-2</v>
      </c>
      <c r="J32">
        <v>0.14768999999999999</v>
      </c>
      <c r="K32">
        <v>0.12427000000000001</v>
      </c>
      <c r="L32">
        <v>-6.3930000000000001E-2</v>
      </c>
      <c r="M32">
        <f t="shared" si="0"/>
        <v>0.24314000000000002</v>
      </c>
      <c r="N32">
        <f t="shared" si="1"/>
        <v>4.7862204724409452</v>
      </c>
    </row>
    <row r="33" spans="1:14">
      <c r="A33" t="s">
        <v>241</v>
      </c>
      <c r="B33">
        <v>2750</v>
      </c>
      <c r="C33" t="s">
        <v>242</v>
      </c>
      <c r="D33">
        <v>2.31</v>
      </c>
      <c r="E33">
        <v>1.32</v>
      </c>
      <c r="H33">
        <v>0.23974999999999999</v>
      </c>
      <c r="I33">
        <v>0.31180999999999998</v>
      </c>
      <c r="J33">
        <v>0.28089999999999998</v>
      </c>
      <c r="K33">
        <v>0.29165000000000002</v>
      </c>
      <c r="L33">
        <v>0.11361</v>
      </c>
      <c r="M33">
        <f t="shared" si="0"/>
        <v>1.2377199999999999</v>
      </c>
      <c r="N33">
        <f t="shared" si="1"/>
        <v>93.766666666666652</v>
      </c>
    </row>
    <row r="34" spans="1:14">
      <c r="A34" t="s">
        <v>243</v>
      </c>
      <c r="B34">
        <v>10000</v>
      </c>
      <c r="C34" t="s">
        <v>244</v>
      </c>
      <c r="D34">
        <v>0.1</v>
      </c>
      <c r="E34">
        <v>0</v>
      </c>
      <c r="M34">
        <f t="shared" si="0"/>
        <v>0</v>
      </c>
    </row>
    <row r="35" spans="1:14">
      <c r="A35" t="s">
        <v>245</v>
      </c>
      <c r="D35">
        <f>SUM(D26:D34)</f>
        <v>60.645999999999994</v>
      </c>
      <c r="E35">
        <f t="shared" ref="E35:M35" si="2">SUM(E26:E34)</f>
        <v>59.106000000000002</v>
      </c>
      <c r="F35">
        <f t="shared" si="2"/>
        <v>0</v>
      </c>
      <c r="G35">
        <f t="shared" si="2"/>
        <v>0</v>
      </c>
      <c r="H35">
        <f t="shared" si="2"/>
        <v>5.6974900000000002</v>
      </c>
      <c r="I35">
        <f t="shared" si="2"/>
        <v>18.573349999999998</v>
      </c>
      <c r="J35">
        <f t="shared" si="2"/>
        <v>15.982920000000002</v>
      </c>
      <c r="K35">
        <f t="shared" si="2"/>
        <v>7.8951200000000004</v>
      </c>
      <c r="L35">
        <f t="shared" si="2"/>
        <v>2.8346400000000003</v>
      </c>
      <c r="M35">
        <f t="shared" si="2"/>
        <v>50.983519999999992</v>
      </c>
      <c r="N35">
        <f t="shared" si="1"/>
        <v>86.25777416844312</v>
      </c>
    </row>
  </sheetData>
  <mergeCells count="1">
    <mergeCell ref="A3:C3"/>
  </mergeCells>
  <hyperlinks>
    <hyperlink ref="A3" location="'Fact Sheet of VDC'!A1" display="&lt;&lt;Back"/>
  </hyperlinks>
  <printOptions horizontalCentered="1" verticalCentered="1" gridLines="1"/>
  <pageMargins left="0.74803149606299213" right="0.74803149606299213" top="0.98425196850393704" bottom="0.98425196850393704" header="0.51181102362204722" footer="0.51181102362204722"/>
  <pageSetup paperSize="9" scale="88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46" t="s">
        <v>4347</v>
      </c>
      <c r="B1" s="843" t="s">
        <v>4823</v>
      </c>
      <c r="C1" s="844"/>
      <c r="D1" s="46" t="s">
        <v>4349</v>
      </c>
      <c r="E1" s="46"/>
      <c r="F1" s="865" t="s">
        <v>4824</v>
      </c>
      <c r="G1" s="844"/>
      <c r="H1" s="851" t="s">
        <v>5</v>
      </c>
      <c r="I1" s="852"/>
      <c r="J1" s="47">
        <v>467.86</v>
      </c>
      <c r="K1" s="46" t="s">
        <v>436</v>
      </c>
      <c r="L1" s="46"/>
      <c r="M1" s="47">
        <v>80</v>
      </c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4825</v>
      </c>
      <c r="C3" s="844"/>
      <c r="D3" s="46" t="s">
        <v>1208</v>
      </c>
      <c r="E3" s="46"/>
      <c r="F3" s="843" t="s">
        <v>4826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64" t="s">
        <v>4827</v>
      </c>
      <c r="C5" s="864"/>
      <c r="D5" s="46" t="s">
        <v>4355</v>
      </c>
      <c r="E5" s="46"/>
      <c r="F5" s="854" t="s">
        <v>4828</v>
      </c>
      <c r="G5" s="854"/>
      <c r="H5" s="854"/>
      <c r="I5" s="854"/>
      <c r="J5" s="854"/>
      <c r="K5" s="46"/>
      <c r="L5" s="46"/>
      <c r="M5" s="46"/>
      <c r="N5" s="46"/>
    </row>
    <row r="6" spans="1:14">
      <c r="A6" s="46"/>
      <c r="B6" s="864"/>
      <c r="C6" s="864"/>
      <c r="D6" s="46" t="s">
        <v>4357</v>
      </c>
      <c r="E6" s="46"/>
      <c r="F6" s="854"/>
      <c r="G6" s="854"/>
      <c r="H6" s="854"/>
      <c r="I6" s="854"/>
      <c r="J6" s="854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4829</v>
      </c>
      <c r="C8" s="853"/>
      <c r="D8" s="853" t="s">
        <v>4830</v>
      </c>
      <c r="E8" s="853"/>
      <c r="F8" s="853"/>
      <c r="G8" s="854"/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2438</v>
      </c>
      <c r="C9" s="853"/>
      <c r="D9" s="853"/>
      <c r="E9" s="853"/>
      <c r="F9" s="853"/>
      <c r="G9" s="854"/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2438</v>
      </c>
      <c r="C10" s="853"/>
      <c r="D10" s="853"/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2438</v>
      </c>
      <c r="C11" s="853"/>
      <c r="D11" s="853"/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2</v>
      </c>
      <c r="C13" s="46" t="s">
        <v>4366</v>
      </c>
      <c r="D13" s="46"/>
      <c r="E13" s="46"/>
      <c r="F13" s="47">
        <v>0</v>
      </c>
      <c r="G13" s="46" t="s">
        <v>1491</v>
      </c>
      <c r="H13" s="47">
        <v>8</v>
      </c>
      <c r="I13" s="46" t="s">
        <v>1492</v>
      </c>
      <c r="J13" s="47">
        <v>2</v>
      </c>
      <c r="K13" s="46" t="s">
        <v>1493</v>
      </c>
      <c r="L13" s="47">
        <v>43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>
        <v>115</v>
      </c>
      <c r="E16" s="46" t="s">
        <v>205</v>
      </c>
      <c r="F16" s="47">
        <v>6</v>
      </c>
      <c r="G16" s="46" t="s">
        <v>206</v>
      </c>
      <c r="H16" s="47">
        <v>0</v>
      </c>
      <c r="I16" s="46" t="s">
        <v>230</v>
      </c>
      <c r="J16" s="47">
        <v>121</v>
      </c>
      <c r="K16" s="46" t="s">
        <v>207</v>
      </c>
      <c r="L16" s="47">
        <v>16</v>
      </c>
      <c r="M16" s="72" t="s">
        <v>4367</v>
      </c>
      <c r="N16" s="47"/>
    </row>
    <row r="17" spans="1:14">
      <c r="A17" s="46" t="s">
        <v>209</v>
      </c>
      <c r="B17" s="46"/>
      <c r="C17" s="46" t="s">
        <v>210</v>
      </c>
      <c r="D17" s="47">
        <v>261</v>
      </c>
      <c r="E17" s="46" t="s">
        <v>211</v>
      </c>
      <c r="F17" s="47">
        <v>12</v>
      </c>
      <c r="G17" s="46" t="s">
        <v>212</v>
      </c>
      <c r="H17" s="47">
        <v>0</v>
      </c>
      <c r="I17" s="46" t="s">
        <v>411</v>
      </c>
      <c r="J17" s="47">
        <f>H17+F17+D17</f>
        <v>273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265</v>
      </c>
      <c r="E18" s="46" t="s">
        <v>214</v>
      </c>
      <c r="F18" s="47">
        <v>9</v>
      </c>
      <c r="G18" s="46" t="s">
        <v>1494</v>
      </c>
      <c r="H18" s="47">
        <v>0</v>
      </c>
      <c r="I18" s="46" t="s">
        <v>410</v>
      </c>
      <c r="J18" s="47">
        <f>H18+F18+D18</f>
        <v>274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227</v>
      </c>
      <c r="G22" s="366" t="s">
        <v>228</v>
      </c>
      <c r="H22" s="366" t="s">
        <v>229</v>
      </c>
      <c r="I22" s="366" t="s">
        <v>1499</v>
      </c>
      <c r="J22" s="366" t="s">
        <v>4831</v>
      </c>
      <c r="K22" s="366" t="s">
        <v>4832</v>
      </c>
      <c r="L22" s="366" t="s">
        <v>4833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37.428800000000003</v>
      </c>
      <c r="E23" s="364">
        <v>18</v>
      </c>
      <c r="F23" s="364"/>
      <c r="G23" s="369">
        <v>2.4231199999999999</v>
      </c>
      <c r="H23" s="369">
        <v>9.9070599999999995</v>
      </c>
      <c r="I23" s="80"/>
      <c r="J23" s="80"/>
      <c r="K23" s="80"/>
      <c r="L23" s="364"/>
      <c r="M23" s="369">
        <f>SUM(F23:L23)</f>
        <v>12.330179999999999</v>
      </c>
      <c r="N23" s="369">
        <f>M23/E23*100</f>
        <v>68.500999999999991</v>
      </c>
    </row>
    <row r="24" spans="1:14" ht="22.5">
      <c r="A24" s="364" t="s">
        <v>234</v>
      </c>
      <c r="B24" s="364">
        <v>7000</v>
      </c>
      <c r="C24" s="367" t="s">
        <v>4369</v>
      </c>
      <c r="D24" s="375">
        <f>5.6-2.7</f>
        <v>2.8999999999999995</v>
      </c>
      <c r="E24" s="364">
        <v>2.56</v>
      </c>
      <c r="F24" s="364"/>
      <c r="G24" s="364">
        <v>0</v>
      </c>
      <c r="H24" s="369">
        <v>1.7922499999999999</v>
      </c>
      <c r="I24" s="80"/>
      <c r="J24" s="80"/>
      <c r="K24" s="80"/>
      <c r="L24" s="364"/>
      <c r="M24" s="369">
        <f t="shared" ref="M24:M31" si="0">SUM(F24:L24)</f>
        <v>1.7922499999999999</v>
      </c>
      <c r="N24" s="369">
        <f t="shared" ref="N24:N32" si="1">M24/E24*100</f>
        <v>70.009765625</v>
      </c>
    </row>
    <row r="25" spans="1:14" ht="22.5">
      <c r="A25" s="364" t="s">
        <v>235</v>
      </c>
      <c r="B25" s="364">
        <v>43000</v>
      </c>
      <c r="C25" s="367" t="s">
        <v>236</v>
      </c>
      <c r="D25" s="375">
        <f>0.43+2.7</f>
        <v>3.1300000000000003</v>
      </c>
      <c r="E25" s="364">
        <v>0.35</v>
      </c>
      <c r="F25" s="364"/>
      <c r="G25" s="369">
        <v>0.17427999999999999</v>
      </c>
      <c r="H25" s="369">
        <v>8.2589999999999997E-2</v>
      </c>
      <c r="I25" s="80"/>
      <c r="J25" s="80"/>
      <c r="K25" s="80"/>
      <c r="L25" s="364"/>
      <c r="M25" s="369">
        <f t="shared" si="0"/>
        <v>0.25686999999999999</v>
      </c>
      <c r="N25" s="369">
        <f t="shared" si="1"/>
        <v>73.391428571428577</v>
      </c>
    </row>
    <row r="26" spans="1:14" ht="22.5">
      <c r="A26" s="364" t="s">
        <v>237</v>
      </c>
      <c r="B26" s="364">
        <v>37000</v>
      </c>
      <c r="C26" s="367" t="s">
        <v>236</v>
      </c>
      <c r="D26" s="375">
        <v>0.37</v>
      </c>
      <c r="E26" s="364">
        <v>0.32</v>
      </c>
      <c r="F26" s="364"/>
      <c r="G26" s="369">
        <v>0.10949</v>
      </c>
      <c r="H26" s="369">
        <v>1.4999999999999999E-2</v>
      </c>
      <c r="I26" s="80"/>
      <c r="J26" s="80"/>
      <c r="K26" s="80"/>
      <c r="L26" s="364"/>
      <c r="M26" s="369">
        <f t="shared" si="0"/>
        <v>0.12449</v>
      </c>
      <c r="N26" s="369">
        <f t="shared" si="1"/>
        <v>38.903125000000003</v>
      </c>
    </row>
    <row r="27" spans="1:14" ht="22.5">
      <c r="A27" s="364" t="s">
        <v>238</v>
      </c>
      <c r="B27" s="364">
        <v>1200</v>
      </c>
      <c r="C27" s="367" t="s">
        <v>4369</v>
      </c>
      <c r="D27" s="368">
        <f>B27*J1/100000</f>
        <v>5.6143200000000002</v>
      </c>
      <c r="E27" s="364">
        <v>2</v>
      </c>
      <c r="F27" s="364"/>
      <c r="G27" s="364">
        <v>0</v>
      </c>
      <c r="H27" s="369">
        <v>1.3788800000000001</v>
      </c>
      <c r="I27" s="80"/>
      <c r="J27" s="80"/>
      <c r="K27" s="80"/>
      <c r="L27" s="364"/>
      <c r="M27" s="369">
        <f t="shared" si="0"/>
        <v>1.3788800000000001</v>
      </c>
      <c r="N27" s="369">
        <f t="shared" si="1"/>
        <v>68.944000000000003</v>
      </c>
    </row>
    <row r="28" spans="1:14">
      <c r="A28" s="364" t="s">
        <v>667</v>
      </c>
      <c r="B28" s="364">
        <v>565</v>
      </c>
      <c r="C28" s="367" t="s">
        <v>1036</v>
      </c>
      <c r="D28" s="375">
        <v>2.83</v>
      </c>
      <c r="E28" s="364">
        <v>2.83</v>
      </c>
      <c r="F28" s="364"/>
      <c r="G28" s="369">
        <v>2.6434099999999998</v>
      </c>
      <c r="H28" s="364">
        <v>0</v>
      </c>
      <c r="I28" s="80"/>
      <c r="J28" s="80"/>
      <c r="K28" s="80"/>
      <c r="L28" s="364"/>
      <c r="M28" s="369">
        <f t="shared" si="0"/>
        <v>2.6434099999999998</v>
      </c>
      <c r="N28" s="369">
        <f t="shared" si="1"/>
        <v>93.406713780918722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4.6786000000000003</v>
      </c>
      <c r="E29" s="364">
        <v>0</v>
      </c>
      <c r="F29" s="364"/>
      <c r="G29" s="364">
        <v>0</v>
      </c>
      <c r="H29" s="364">
        <v>0</v>
      </c>
      <c r="I29" s="80"/>
      <c r="J29" s="80"/>
      <c r="K29" s="80"/>
      <c r="L29" s="364"/>
      <c r="M29" s="369">
        <f t="shared" si="0"/>
        <v>0</v>
      </c>
      <c r="N29" s="369" t="e">
        <f t="shared" si="1"/>
        <v>#DIV/0!</v>
      </c>
    </row>
    <row r="30" spans="1:14">
      <c r="A30" s="364" t="s">
        <v>241</v>
      </c>
      <c r="B30" s="364">
        <v>2750</v>
      </c>
      <c r="C30" s="367" t="s">
        <v>1036</v>
      </c>
      <c r="D30" s="375">
        <v>2.31</v>
      </c>
      <c r="E30" s="364">
        <v>0.6</v>
      </c>
      <c r="F30" s="364"/>
      <c r="G30" s="369">
        <v>0.10687000000000001</v>
      </c>
      <c r="H30" s="369">
        <v>0.35399999999999998</v>
      </c>
      <c r="I30" s="80"/>
      <c r="J30" s="80"/>
      <c r="K30" s="80"/>
      <c r="L30" s="364"/>
      <c r="M30" s="369">
        <f t="shared" si="0"/>
        <v>0.46087</v>
      </c>
      <c r="N30" s="369">
        <f t="shared" si="1"/>
        <v>76.811666666666667</v>
      </c>
    </row>
    <row r="31" spans="1:14">
      <c r="A31" s="364" t="s">
        <v>670</v>
      </c>
      <c r="B31" s="364">
        <v>10000</v>
      </c>
      <c r="C31" s="367" t="s">
        <v>244</v>
      </c>
      <c r="D31" s="375">
        <v>0.1</v>
      </c>
      <c r="E31" s="364">
        <v>0.1</v>
      </c>
      <c r="F31" s="364"/>
      <c r="G31" s="364"/>
      <c r="H31" s="364"/>
      <c r="I31" s="364"/>
      <c r="J31" s="364"/>
      <c r="K31" s="364"/>
      <c r="L31" s="364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59.361720000000005</v>
      </c>
      <c r="E32" s="376">
        <f t="shared" ref="E32:M32" si="2">SUM(E23:E31)</f>
        <v>26.760000000000005</v>
      </c>
      <c r="F32" s="376">
        <f t="shared" si="2"/>
        <v>0</v>
      </c>
      <c r="G32" s="371">
        <f t="shared" si="2"/>
        <v>5.4571699999999996</v>
      </c>
      <c r="H32" s="371">
        <f t="shared" si="2"/>
        <v>13.529779999999999</v>
      </c>
      <c r="I32" s="376">
        <f t="shared" si="2"/>
        <v>0</v>
      </c>
      <c r="J32" s="376">
        <f t="shared" si="2"/>
        <v>0</v>
      </c>
      <c r="K32" s="376">
        <f t="shared" si="2"/>
        <v>0</v>
      </c>
      <c r="L32" s="376">
        <f t="shared" si="2"/>
        <v>0</v>
      </c>
      <c r="M32" s="371">
        <f t="shared" si="2"/>
        <v>18.986949999999997</v>
      </c>
      <c r="N32" s="369">
        <f t="shared" si="1"/>
        <v>70.952727952167379</v>
      </c>
    </row>
  </sheetData>
  <mergeCells count="30">
    <mergeCell ref="B5:C6"/>
    <mergeCell ref="F5:J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A21:A22"/>
    <mergeCell ref="B21:B22"/>
    <mergeCell ref="C21:C22"/>
    <mergeCell ref="D21:D22"/>
    <mergeCell ref="E21:E22"/>
  </mergeCells>
  <hyperlinks>
    <hyperlink ref="A2" location="'Fact Sheet of VDC'!A1" display="&lt;&lt;Back"/>
  </hyperlinks>
  <pageMargins left="0.34" right="0.19" top="0.45" bottom="0.4" header="0.3" footer="0.3"/>
  <pageSetup orientation="landscape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3" sqref="A3:C3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>
      <c r="A2" s="46" t="s">
        <v>4347</v>
      </c>
      <c r="B2" s="843" t="s">
        <v>4834</v>
      </c>
      <c r="C2" s="844"/>
      <c r="D2" s="46" t="s">
        <v>4349</v>
      </c>
      <c r="E2" s="46"/>
      <c r="F2" s="865" t="s">
        <v>4835</v>
      </c>
      <c r="G2" s="844"/>
      <c r="H2" s="851" t="s">
        <v>5</v>
      </c>
      <c r="I2" s="852"/>
      <c r="J2" s="47">
        <v>528.39</v>
      </c>
      <c r="K2" s="46" t="s">
        <v>436</v>
      </c>
      <c r="L2" s="46"/>
      <c r="M2" s="47"/>
      <c r="N2" s="46"/>
    </row>
    <row r="3" spans="1:14">
      <c r="A3" s="808" t="s">
        <v>4176</v>
      </c>
      <c r="B3" s="808"/>
      <c r="C3" s="808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>
      <c r="A4" s="46" t="s">
        <v>832</v>
      </c>
      <c r="B4" s="843" t="s">
        <v>4836</v>
      </c>
      <c r="C4" s="844"/>
      <c r="D4" s="46" t="s">
        <v>1208</v>
      </c>
      <c r="E4" s="46"/>
      <c r="F4" s="843" t="s">
        <v>4837</v>
      </c>
      <c r="G4" s="844"/>
      <c r="H4" s="48"/>
      <c r="I4" s="48"/>
      <c r="J4" s="46"/>
      <c r="K4" s="46"/>
      <c r="L4" s="46"/>
      <c r="M4" s="46"/>
      <c r="N4" s="46"/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4353</v>
      </c>
      <c r="B6" s="843" t="s">
        <v>4838</v>
      </c>
      <c r="C6" s="844"/>
      <c r="D6" s="46" t="s">
        <v>4355</v>
      </c>
      <c r="E6" s="46"/>
      <c r="F6" s="854" t="s">
        <v>4839</v>
      </c>
      <c r="G6" s="854"/>
      <c r="H6" s="854"/>
      <c r="I6" s="854"/>
      <c r="J6" s="854"/>
      <c r="K6" s="46"/>
      <c r="L6" s="46"/>
      <c r="M6" s="46"/>
      <c r="N6" s="46"/>
    </row>
    <row r="7" spans="1:14">
      <c r="A7" s="46"/>
      <c r="B7" s="46"/>
      <c r="C7" s="46"/>
      <c r="D7" s="46" t="s">
        <v>4357</v>
      </c>
      <c r="E7" s="46"/>
      <c r="F7" s="854"/>
      <c r="G7" s="854"/>
      <c r="H7" s="854"/>
      <c r="I7" s="854"/>
      <c r="J7" s="854"/>
      <c r="K7" s="46"/>
      <c r="L7" s="46"/>
      <c r="M7" s="46"/>
      <c r="N7" s="46"/>
    </row>
    <row r="8" spans="1:14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</row>
    <row r="9" spans="1:14">
      <c r="A9" s="364" t="s">
        <v>838</v>
      </c>
      <c r="B9" s="853" t="s">
        <v>4840</v>
      </c>
      <c r="C9" s="853"/>
      <c r="D9" s="853" t="s">
        <v>4841</v>
      </c>
      <c r="E9" s="853"/>
      <c r="F9" s="853"/>
      <c r="G9" s="854" t="s">
        <v>2484</v>
      </c>
      <c r="H9" s="854"/>
      <c r="I9" s="854"/>
      <c r="J9" s="854"/>
      <c r="K9" s="854"/>
      <c r="L9" s="854"/>
      <c r="M9" s="46"/>
      <c r="N9" s="46"/>
    </row>
    <row r="10" spans="1:14">
      <c r="A10" s="364" t="s">
        <v>840</v>
      </c>
      <c r="B10" s="853" t="s">
        <v>2438</v>
      </c>
      <c r="C10" s="853"/>
      <c r="D10" s="853"/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>
      <c r="A11" s="364" t="s">
        <v>4361</v>
      </c>
      <c r="B11" s="853" t="s">
        <v>2438</v>
      </c>
      <c r="C11" s="853"/>
      <c r="D11" s="853"/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 ht="22.5">
      <c r="A12" s="364" t="s">
        <v>420</v>
      </c>
      <c r="B12" s="853" t="s">
        <v>2438</v>
      </c>
      <c r="C12" s="853"/>
      <c r="D12" s="853"/>
      <c r="E12" s="853"/>
      <c r="F12" s="853"/>
      <c r="G12" s="854"/>
      <c r="H12" s="854"/>
      <c r="I12" s="854"/>
      <c r="J12" s="854"/>
      <c r="K12" s="854"/>
      <c r="L12" s="854"/>
      <c r="M12" s="46"/>
      <c r="N12" s="46"/>
    </row>
    <row r="13" spans="1:14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1:14">
      <c r="A14" s="46" t="s">
        <v>4365</v>
      </c>
      <c r="B14" s="47">
        <v>3</v>
      </c>
      <c r="C14" s="46" t="s">
        <v>4366</v>
      </c>
      <c r="D14" s="46"/>
      <c r="E14" s="46"/>
      <c r="F14" s="47" t="s">
        <v>2438</v>
      </c>
      <c r="G14" s="46" t="s">
        <v>1491</v>
      </c>
      <c r="H14" s="47">
        <v>12</v>
      </c>
      <c r="I14" s="46" t="s">
        <v>1492</v>
      </c>
      <c r="J14" s="47">
        <v>3</v>
      </c>
      <c r="K14" s="46" t="s">
        <v>1493</v>
      </c>
      <c r="L14" s="47">
        <v>54</v>
      </c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 ht="22.5">
      <c r="A17" s="46" t="s">
        <v>646</v>
      </c>
      <c r="B17" s="46"/>
      <c r="C17" s="46" t="s">
        <v>204</v>
      </c>
      <c r="D17" s="47">
        <v>87</v>
      </c>
      <c r="E17" s="46" t="s">
        <v>205</v>
      </c>
      <c r="F17" s="47">
        <v>25</v>
      </c>
      <c r="G17" s="46" t="s">
        <v>206</v>
      </c>
      <c r="H17" s="47">
        <v>32</v>
      </c>
      <c r="I17" s="46" t="s">
        <v>230</v>
      </c>
      <c r="J17" s="47">
        <v>144</v>
      </c>
      <c r="K17" s="46" t="s">
        <v>207</v>
      </c>
      <c r="L17" s="47">
        <v>39</v>
      </c>
      <c r="M17" s="72" t="s">
        <v>4367</v>
      </c>
      <c r="N17" s="47"/>
    </row>
    <row r="18" spans="1:14">
      <c r="A18" s="46" t="s">
        <v>209</v>
      </c>
      <c r="B18" s="46"/>
      <c r="C18" s="46" t="s">
        <v>210</v>
      </c>
      <c r="D18" s="47">
        <v>175</v>
      </c>
      <c r="E18" s="46" t="s">
        <v>211</v>
      </c>
      <c r="F18" s="47">
        <v>54</v>
      </c>
      <c r="G18" s="46" t="s">
        <v>212</v>
      </c>
      <c r="H18" s="47">
        <v>63</v>
      </c>
      <c r="I18" s="46" t="s">
        <v>411</v>
      </c>
      <c r="J18" s="47">
        <f>H18+F18+D18</f>
        <v>292</v>
      </c>
      <c r="K18" s="46"/>
      <c r="L18" s="46"/>
      <c r="M18" s="46"/>
      <c r="N18" s="46"/>
    </row>
    <row r="19" spans="1:14">
      <c r="A19" s="46"/>
      <c r="B19" s="46"/>
      <c r="C19" s="46" t="s">
        <v>213</v>
      </c>
      <c r="D19" s="47">
        <v>171</v>
      </c>
      <c r="E19" s="46" t="s">
        <v>214</v>
      </c>
      <c r="F19" s="47">
        <v>46</v>
      </c>
      <c r="G19" s="46" t="s">
        <v>1494</v>
      </c>
      <c r="H19" s="47">
        <v>65</v>
      </c>
      <c r="I19" s="46" t="s">
        <v>410</v>
      </c>
      <c r="J19" s="47">
        <f>H19+F19+D19</f>
        <v>282</v>
      </c>
      <c r="K19" s="46"/>
      <c r="L19" s="46"/>
      <c r="M19" s="46"/>
      <c r="N19" s="46"/>
    </row>
    <row r="20" spans="1:14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365" t="s">
        <v>216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4">
      <c r="A22" s="856" t="s">
        <v>217</v>
      </c>
      <c r="B22" s="856" t="s">
        <v>218</v>
      </c>
      <c r="C22" s="856" t="s">
        <v>219</v>
      </c>
      <c r="D22" s="856" t="s">
        <v>407</v>
      </c>
      <c r="E22" s="856" t="s">
        <v>864</v>
      </c>
      <c r="F22" s="855" t="s">
        <v>4368</v>
      </c>
      <c r="G22" s="855"/>
      <c r="H22" s="855"/>
      <c r="I22" s="855"/>
      <c r="J22" s="855"/>
      <c r="K22" s="855"/>
      <c r="L22" s="855"/>
      <c r="M22" s="855"/>
      <c r="N22" s="855"/>
    </row>
    <row r="23" spans="1:14">
      <c r="A23" s="856"/>
      <c r="B23" s="856"/>
      <c r="C23" s="856"/>
      <c r="D23" s="856"/>
      <c r="E23" s="856"/>
      <c r="F23" s="366" t="s">
        <v>227</v>
      </c>
      <c r="G23" s="366" t="s">
        <v>228</v>
      </c>
      <c r="H23" s="366" t="s">
        <v>229</v>
      </c>
      <c r="I23" s="366" t="s">
        <v>1499</v>
      </c>
      <c r="J23" s="366" t="s">
        <v>4831</v>
      </c>
      <c r="K23" s="366" t="s">
        <v>4832</v>
      </c>
      <c r="L23" s="366" t="s">
        <v>4833</v>
      </c>
      <c r="M23" s="366" t="s">
        <v>230</v>
      </c>
      <c r="N23" s="366" t="s">
        <v>231</v>
      </c>
    </row>
    <row r="24" spans="1:14">
      <c r="A24" s="364" t="s">
        <v>232</v>
      </c>
      <c r="B24" s="364">
        <v>8000</v>
      </c>
      <c r="C24" s="367" t="s">
        <v>4369</v>
      </c>
      <c r="D24" s="375">
        <f>B24*J2/100000</f>
        <v>42.2712</v>
      </c>
      <c r="E24" s="364">
        <v>18</v>
      </c>
      <c r="F24" s="364"/>
      <c r="G24" s="369">
        <v>1.9999499999999999</v>
      </c>
      <c r="H24" s="369">
        <v>12.52656</v>
      </c>
      <c r="I24" s="80"/>
      <c r="J24" s="80"/>
      <c r="K24" s="80"/>
      <c r="L24" s="364"/>
      <c r="M24" s="369">
        <f>SUM(F24:L24)</f>
        <v>14.52651</v>
      </c>
      <c r="N24" s="369">
        <f>M24/E24*100</f>
        <v>80.702833333333331</v>
      </c>
    </row>
    <row r="25" spans="1:14" ht="22.5">
      <c r="A25" s="364" t="s">
        <v>234</v>
      </c>
      <c r="B25" s="364">
        <v>7000</v>
      </c>
      <c r="C25" s="367" t="s">
        <v>4369</v>
      </c>
      <c r="D25" s="375">
        <f>5.6-2.7</f>
        <v>2.8999999999999995</v>
      </c>
      <c r="E25" s="364">
        <v>2.56</v>
      </c>
      <c r="F25" s="364"/>
      <c r="G25" s="364">
        <v>0</v>
      </c>
      <c r="H25" s="369">
        <v>1.56812</v>
      </c>
      <c r="I25" s="80"/>
      <c r="J25" s="80"/>
      <c r="K25" s="80"/>
      <c r="L25" s="364"/>
      <c r="M25" s="369">
        <f t="shared" ref="M25:M32" si="0">SUM(F25:L25)</f>
        <v>1.56812</v>
      </c>
      <c r="N25" s="369">
        <f t="shared" ref="N25:N33" si="1">M25/E25*100</f>
        <v>61.254687499999996</v>
      </c>
    </row>
    <row r="26" spans="1:14" ht="22.5">
      <c r="A26" s="364" t="s">
        <v>235</v>
      </c>
      <c r="B26" s="364">
        <v>43000</v>
      </c>
      <c r="C26" s="367" t="s">
        <v>236</v>
      </c>
      <c r="D26" s="375">
        <f>0.43+2.7</f>
        <v>3.1300000000000003</v>
      </c>
      <c r="E26" s="364">
        <v>0.35</v>
      </c>
      <c r="F26" s="364"/>
      <c r="G26" s="369">
        <v>0.14277999999999999</v>
      </c>
      <c r="H26" s="369">
        <v>7.5749999999999998E-2</v>
      </c>
      <c r="I26" s="80"/>
      <c r="J26" s="80"/>
      <c r="K26" s="80"/>
      <c r="L26" s="364"/>
      <c r="M26" s="369">
        <f t="shared" si="0"/>
        <v>0.21853</v>
      </c>
      <c r="N26" s="369">
        <f t="shared" si="1"/>
        <v>62.437142857142859</v>
      </c>
    </row>
    <row r="27" spans="1:14" ht="22.5">
      <c r="A27" s="364" t="s">
        <v>237</v>
      </c>
      <c r="B27" s="364">
        <v>37000</v>
      </c>
      <c r="C27" s="367" t="s">
        <v>236</v>
      </c>
      <c r="D27" s="375">
        <v>0.37</v>
      </c>
      <c r="E27" s="364">
        <v>0.32</v>
      </c>
      <c r="F27" s="364"/>
      <c r="G27" s="369">
        <v>0.10949</v>
      </c>
      <c r="H27" s="364">
        <v>0</v>
      </c>
      <c r="I27" s="80"/>
      <c r="J27" s="80"/>
      <c r="K27" s="80"/>
      <c r="L27" s="364"/>
      <c r="M27" s="369">
        <f t="shared" si="0"/>
        <v>0.10949</v>
      </c>
      <c r="N27" s="369">
        <f t="shared" si="1"/>
        <v>34.215625000000003</v>
      </c>
    </row>
    <row r="28" spans="1:14" ht="22.5">
      <c r="A28" s="364" t="s">
        <v>238</v>
      </c>
      <c r="B28" s="364">
        <v>1200</v>
      </c>
      <c r="C28" s="367" t="s">
        <v>4369</v>
      </c>
      <c r="D28" s="375">
        <f>B28*J2/100000</f>
        <v>6.3406799999999999</v>
      </c>
      <c r="E28" s="364">
        <v>2</v>
      </c>
      <c r="F28" s="364"/>
      <c r="G28" s="364">
        <v>0</v>
      </c>
      <c r="H28" s="369">
        <v>0.51290000000000002</v>
      </c>
      <c r="I28" s="80"/>
      <c r="J28" s="80"/>
      <c r="K28" s="80"/>
      <c r="L28" s="364"/>
      <c r="M28" s="369">
        <f t="shared" si="0"/>
        <v>0.51290000000000002</v>
      </c>
      <c r="N28" s="369">
        <f t="shared" si="1"/>
        <v>25.645</v>
      </c>
    </row>
    <row r="29" spans="1:14">
      <c r="A29" s="364" t="s">
        <v>667</v>
      </c>
      <c r="B29" s="364">
        <v>565</v>
      </c>
      <c r="C29" s="367" t="s">
        <v>1036</v>
      </c>
      <c r="D29" s="375">
        <v>2.83</v>
      </c>
      <c r="E29" s="364">
        <v>2.83</v>
      </c>
      <c r="F29" s="364"/>
      <c r="G29" s="369">
        <v>2.9853999999999998</v>
      </c>
      <c r="H29" s="364">
        <v>0</v>
      </c>
      <c r="I29" s="80"/>
      <c r="J29" s="80"/>
      <c r="K29" s="80"/>
      <c r="L29" s="364"/>
      <c r="M29" s="369">
        <f t="shared" si="0"/>
        <v>2.9853999999999998</v>
      </c>
      <c r="N29" s="369">
        <f t="shared" si="1"/>
        <v>105.4911660777385</v>
      </c>
    </row>
    <row r="30" spans="1:14">
      <c r="A30" s="364" t="s">
        <v>240</v>
      </c>
      <c r="B30" s="364">
        <v>1000</v>
      </c>
      <c r="C30" s="367" t="s">
        <v>1036</v>
      </c>
      <c r="D30" s="375">
        <f>B30*J2/100000</f>
        <v>5.2839</v>
      </c>
      <c r="E30" s="364">
        <v>0</v>
      </c>
      <c r="F30" s="364"/>
      <c r="G30" s="364">
        <v>0</v>
      </c>
      <c r="H30" s="364">
        <v>0</v>
      </c>
      <c r="I30" s="80"/>
      <c r="J30" s="80"/>
      <c r="K30" s="80"/>
      <c r="L30" s="364"/>
      <c r="M30" s="369">
        <f t="shared" si="0"/>
        <v>0</v>
      </c>
      <c r="N30" s="369" t="e">
        <f t="shared" si="1"/>
        <v>#DIV/0!</v>
      </c>
    </row>
    <row r="31" spans="1:14">
      <c r="A31" s="364" t="s">
        <v>241</v>
      </c>
      <c r="B31" s="364">
        <v>2750</v>
      </c>
      <c r="C31" s="367" t="s">
        <v>1036</v>
      </c>
      <c r="D31" s="375">
        <v>2.31</v>
      </c>
      <c r="E31" s="364">
        <v>0.6</v>
      </c>
      <c r="F31" s="364"/>
      <c r="G31" s="369">
        <v>0.17813000000000001</v>
      </c>
      <c r="H31" s="369">
        <v>0.34439999999999998</v>
      </c>
      <c r="I31" s="80"/>
      <c r="J31" s="80"/>
      <c r="K31" s="80"/>
      <c r="L31" s="364"/>
      <c r="M31" s="369">
        <f t="shared" si="0"/>
        <v>0.52252999999999994</v>
      </c>
      <c r="N31" s="369">
        <f t="shared" si="1"/>
        <v>87.088333333333324</v>
      </c>
    </row>
    <row r="32" spans="1:14">
      <c r="A32" s="364" t="s">
        <v>670</v>
      </c>
      <c r="B32" s="364">
        <v>10000</v>
      </c>
      <c r="C32" s="367" t="s">
        <v>244</v>
      </c>
      <c r="D32" s="375">
        <v>0.1</v>
      </c>
      <c r="E32" s="364">
        <v>0.1</v>
      </c>
      <c r="F32" s="364"/>
      <c r="G32" s="364"/>
      <c r="H32" s="364"/>
      <c r="I32" s="364"/>
      <c r="J32" s="364"/>
      <c r="K32" s="364"/>
      <c r="L32" s="364"/>
      <c r="M32" s="369">
        <f t="shared" si="0"/>
        <v>0</v>
      </c>
      <c r="N32" s="369">
        <f t="shared" si="1"/>
        <v>0</v>
      </c>
    </row>
    <row r="33" spans="1:14">
      <c r="A33" s="370" t="s">
        <v>245</v>
      </c>
      <c r="B33" s="370"/>
      <c r="C33" s="366"/>
      <c r="D33" s="371">
        <f>SUM(D24:D32)</f>
        <v>65.535779999999988</v>
      </c>
      <c r="E33" s="376">
        <f t="shared" ref="E33:M33" si="2">SUM(E24:E32)</f>
        <v>26.760000000000005</v>
      </c>
      <c r="F33" s="376">
        <f t="shared" si="2"/>
        <v>0</v>
      </c>
      <c r="G33" s="371">
        <f t="shared" si="2"/>
        <v>5.4157500000000001</v>
      </c>
      <c r="H33" s="371">
        <f t="shared" si="2"/>
        <v>15.02773</v>
      </c>
      <c r="I33" s="376">
        <f t="shared" si="2"/>
        <v>0</v>
      </c>
      <c r="J33" s="376">
        <f t="shared" si="2"/>
        <v>0</v>
      </c>
      <c r="K33" s="376">
        <f t="shared" si="2"/>
        <v>0</v>
      </c>
      <c r="L33" s="376">
        <f t="shared" si="2"/>
        <v>0</v>
      </c>
      <c r="M33" s="371">
        <f t="shared" si="2"/>
        <v>20.443479999999997</v>
      </c>
      <c r="N33" s="369">
        <f t="shared" si="1"/>
        <v>76.39566517189833</v>
      </c>
    </row>
  </sheetData>
  <mergeCells count="30">
    <mergeCell ref="B6:C6"/>
    <mergeCell ref="F6:J7"/>
    <mergeCell ref="B2:C2"/>
    <mergeCell ref="F2:G2"/>
    <mergeCell ref="H2:I2"/>
    <mergeCell ref="B4:C4"/>
    <mergeCell ref="F4:G4"/>
    <mergeCell ref="A3:C3"/>
    <mergeCell ref="B9:C9"/>
    <mergeCell ref="D9:F9"/>
    <mergeCell ref="G9:I9"/>
    <mergeCell ref="J9:L9"/>
    <mergeCell ref="B10:C10"/>
    <mergeCell ref="D10:F10"/>
    <mergeCell ref="G10:I10"/>
    <mergeCell ref="J10:L10"/>
    <mergeCell ref="F22:N22"/>
    <mergeCell ref="B11:C11"/>
    <mergeCell ref="D11:F11"/>
    <mergeCell ref="G11:I11"/>
    <mergeCell ref="J11:L11"/>
    <mergeCell ref="B12:C12"/>
    <mergeCell ref="D12:F12"/>
    <mergeCell ref="G12:I12"/>
    <mergeCell ref="J12:L12"/>
    <mergeCell ref="A22:A23"/>
    <mergeCell ref="B22:B23"/>
    <mergeCell ref="C22:C23"/>
    <mergeCell ref="D22:D23"/>
    <mergeCell ref="E22:E23"/>
  </mergeCells>
  <hyperlinks>
    <hyperlink ref="A3" location="'Fact Sheet of VDC'!A1" display="&lt;&lt;Back"/>
  </hyperlinks>
  <pageMargins left="0.34" right="0.19" top="0.45" bottom="0.4" header="0.3" footer="0.3"/>
  <pageSetup orientation="landscape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3" sqref="A3:C3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>
      <c r="A2" s="46" t="s">
        <v>4347</v>
      </c>
      <c r="B2" s="843" t="s">
        <v>3118</v>
      </c>
      <c r="C2" s="844"/>
      <c r="D2" s="46" t="s">
        <v>4349</v>
      </c>
      <c r="E2" s="46"/>
      <c r="F2" s="865" t="s">
        <v>4842</v>
      </c>
      <c r="G2" s="844"/>
      <c r="H2" s="851" t="s">
        <v>5</v>
      </c>
      <c r="I2" s="852"/>
      <c r="J2" s="47">
        <v>411.23</v>
      </c>
      <c r="K2" s="46" t="s">
        <v>436</v>
      </c>
      <c r="L2" s="46"/>
      <c r="M2" s="47"/>
      <c r="N2" s="46"/>
    </row>
    <row r="3" spans="1:14">
      <c r="A3" s="808" t="s">
        <v>4176</v>
      </c>
      <c r="B3" s="808"/>
      <c r="C3" s="808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>
      <c r="A4" s="46" t="s">
        <v>832</v>
      </c>
      <c r="B4" s="843" t="s">
        <v>4843</v>
      </c>
      <c r="C4" s="844"/>
      <c r="D4" s="46" t="s">
        <v>1208</v>
      </c>
      <c r="E4" s="46"/>
      <c r="F4" s="843" t="s">
        <v>4844</v>
      </c>
      <c r="G4" s="844"/>
      <c r="H4" s="48"/>
      <c r="I4" s="48"/>
      <c r="J4" s="46"/>
      <c r="K4" s="46"/>
      <c r="L4" s="46"/>
      <c r="M4" s="46"/>
      <c r="N4" s="46"/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4353</v>
      </c>
      <c r="B6" s="864" t="s">
        <v>4845</v>
      </c>
      <c r="C6" s="864"/>
      <c r="D6" s="46" t="s">
        <v>4355</v>
      </c>
      <c r="E6" s="46"/>
      <c r="F6" s="854" t="s">
        <v>4846</v>
      </c>
      <c r="G6" s="854"/>
      <c r="H6" s="854"/>
      <c r="I6" s="854"/>
      <c r="J6" s="854"/>
      <c r="K6" s="46"/>
      <c r="L6" s="46"/>
      <c r="M6" s="46"/>
      <c r="N6" s="46"/>
    </row>
    <row r="7" spans="1:14">
      <c r="A7" s="46"/>
      <c r="B7" s="864"/>
      <c r="C7" s="864"/>
      <c r="D7" s="46" t="s">
        <v>4357</v>
      </c>
      <c r="E7" s="46"/>
      <c r="F7" s="854"/>
      <c r="G7" s="854"/>
      <c r="H7" s="854"/>
      <c r="I7" s="854"/>
      <c r="J7" s="854"/>
      <c r="K7" s="46"/>
      <c r="L7" s="46"/>
      <c r="M7" s="46"/>
      <c r="N7" s="46"/>
    </row>
    <row r="8" spans="1:14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</row>
    <row r="9" spans="1:14">
      <c r="A9" s="364" t="s">
        <v>838</v>
      </c>
      <c r="B9" s="853" t="s">
        <v>4847</v>
      </c>
      <c r="C9" s="853"/>
      <c r="D9" s="853" t="s">
        <v>4848</v>
      </c>
      <c r="E9" s="853"/>
      <c r="F9" s="853"/>
      <c r="G9" s="854"/>
      <c r="H9" s="854"/>
      <c r="I9" s="854"/>
      <c r="J9" s="854"/>
      <c r="K9" s="854"/>
      <c r="L9" s="854"/>
      <c r="M9" s="46"/>
      <c r="N9" s="46"/>
    </row>
    <row r="10" spans="1:14">
      <c r="A10" s="364" t="s">
        <v>840</v>
      </c>
      <c r="B10" s="853" t="s">
        <v>2438</v>
      </c>
      <c r="C10" s="853"/>
      <c r="D10" s="853"/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>
      <c r="A11" s="364" t="s">
        <v>4361</v>
      </c>
      <c r="B11" s="853" t="s">
        <v>2438</v>
      </c>
      <c r="C11" s="853"/>
      <c r="D11" s="853"/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 ht="22.5">
      <c r="A12" s="364" t="s">
        <v>420</v>
      </c>
      <c r="B12" s="853" t="s">
        <v>2438</v>
      </c>
      <c r="C12" s="853"/>
      <c r="D12" s="853"/>
      <c r="E12" s="853"/>
      <c r="F12" s="853"/>
      <c r="G12" s="854"/>
      <c r="H12" s="854"/>
      <c r="I12" s="854"/>
      <c r="J12" s="854"/>
      <c r="K12" s="854"/>
      <c r="L12" s="854"/>
      <c r="M12" s="46"/>
      <c r="N12" s="46"/>
    </row>
    <row r="13" spans="1:14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1:14">
      <c r="A14" s="46" t="s">
        <v>4365</v>
      </c>
      <c r="B14" s="47">
        <v>2</v>
      </c>
      <c r="C14" s="46" t="s">
        <v>4366</v>
      </c>
      <c r="D14" s="46"/>
      <c r="E14" s="46"/>
      <c r="F14" s="47">
        <v>0</v>
      </c>
      <c r="G14" s="46" t="s">
        <v>1491</v>
      </c>
      <c r="H14" s="47">
        <v>8</v>
      </c>
      <c r="I14" s="46" t="s">
        <v>1492</v>
      </c>
      <c r="J14" s="47">
        <v>2</v>
      </c>
      <c r="K14" s="46" t="s">
        <v>1493</v>
      </c>
      <c r="L14" s="47">
        <v>34</v>
      </c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 ht="22.5">
      <c r="A17" s="46" t="s">
        <v>646</v>
      </c>
      <c r="B17" s="46"/>
      <c r="C17" s="46" t="s">
        <v>204</v>
      </c>
      <c r="D17" s="47">
        <v>91</v>
      </c>
      <c r="E17" s="46" t="s">
        <v>205</v>
      </c>
      <c r="F17" s="47">
        <v>31</v>
      </c>
      <c r="G17" s="46" t="s">
        <v>206</v>
      </c>
      <c r="H17" s="47">
        <v>31</v>
      </c>
      <c r="I17" s="46" t="s">
        <v>230</v>
      </c>
      <c r="J17" s="47">
        <v>153</v>
      </c>
      <c r="K17" s="46" t="s">
        <v>207</v>
      </c>
      <c r="L17" s="47">
        <v>21</v>
      </c>
      <c r="M17" s="72" t="s">
        <v>4367</v>
      </c>
      <c r="N17" s="47"/>
    </row>
    <row r="18" spans="1:14">
      <c r="A18" s="46" t="s">
        <v>209</v>
      </c>
      <c r="B18" s="46"/>
      <c r="C18" s="46" t="s">
        <v>210</v>
      </c>
      <c r="D18" s="47">
        <v>188</v>
      </c>
      <c r="E18" s="46" t="s">
        <v>211</v>
      </c>
      <c r="F18" s="47">
        <v>63</v>
      </c>
      <c r="G18" s="46" t="s">
        <v>212</v>
      </c>
      <c r="H18" s="47">
        <v>79</v>
      </c>
      <c r="I18" s="46" t="s">
        <v>411</v>
      </c>
      <c r="J18" s="47">
        <f>H18+F18+D18</f>
        <v>330</v>
      </c>
      <c r="K18" s="46"/>
      <c r="L18" s="46"/>
      <c r="M18" s="46"/>
      <c r="N18" s="46"/>
    </row>
    <row r="19" spans="1:14">
      <c r="A19" s="46"/>
      <c r="B19" s="46"/>
      <c r="C19" s="46" t="s">
        <v>213</v>
      </c>
      <c r="D19" s="47">
        <v>209</v>
      </c>
      <c r="E19" s="46" t="s">
        <v>214</v>
      </c>
      <c r="F19" s="47">
        <v>71</v>
      </c>
      <c r="G19" s="46" t="s">
        <v>1494</v>
      </c>
      <c r="H19" s="47">
        <v>64</v>
      </c>
      <c r="I19" s="46" t="s">
        <v>410</v>
      </c>
      <c r="J19" s="47">
        <f>H19+F19+D19</f>
        <v>344</v>
      </c>
      <c r="K19" s="46"/>
      <c r="L19" s="46"/>
      <c r="M19" s="46"/>
      <c r="N19" s="46"/>
    </row>
    <row r="20" spans="1:14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365" t="s">
        <v>216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4">
      <c r="A22" s="856" t="s">
        <v>217</v>
      </c>
      <c r="B22" s="856" t="s">
        <v>218</v>
      </c>
      <c r="C22" s="856" t="s">
        <v>219</v>
      </c>
      <c r="D22" s="856" t="s">
        <v>407</v>
      </c>
      <c r="E22" s="856" t="s">
        <v>864</v>
      </c>
      <c r="F22" s="855" t="s">
        <v>4368</v>
      </c>
      <c r="G22" s="855"/>
      <c r="H22" s="855"/>
      <c r="I22" s="855"/>
      <c r="J22" s="855"/>
      <c r="K22" s="855"/>
      <c r="L22" s="855"/>
      <c r="M22" s="855"/>
      <c r="N22" s="855"/>
    </row>
    <row r="23" spans="1:14">
      <c r="A23" s="856"/>
      <c r="B23" s="856"/>
      <c r="C23" s="856"/>
      <c r="D23" s="856"/>
      <c r="E23" s="856"/>
      <c r="F23" s="366" t="s">
        <v>227</v>
      </c>
      <c r="G23" s="366" t="s">
        <v>228</v>
      </c>
      <c r="H23" s="366" t="s">
        <v>229</v>
      </c>
      <c r="I23" s="80" t="s">
        <v>1499</v>
      </c>
      <c r="J23" s="80" t="s">
        <v>4831</v>
      </c>
      <c r="K23" s="80" t="s">
        <v>4832</v>
      </c>
      <c r="L23" s="366" t="s">
        <v>4833</v>
      </c>
      <c r="M23" s="366" t="s">
        <v>230</v>
      </c>
      <c r="N23" s="366" t="s">
        <v>231</v>
      </c>
    </row>
    <row r="24" spans="1:14">
      <c r="A24" s="364" t="s">
        <v>232</v>
      </c>
      <c r="B24" s="364">
        <v>8000</v>
      </c>
      <c r="C24" s="367" t="s">
        <v>4369</v>
      </c>
      <c r="D24" s="368">
        <f>B24*J2/100000</f>
        <v>32.898400000000002</v>
      </c>
      <c r="E24" s="369">
        <v>18</v>
      </c>
      <c r="F24" s="369"/>
      <c r="G24" s="369">
        <v>2.1576499999999998</v>
      </c>
      <c r="H24" s="369">
        <v>9.0154999999999994</v>
      </c>
      <c r="I24" s="369"/>
      <c r="J24" s="300"/>
      <c r="K24" s="300"/>
      <c r="L24" s="369"/>
      <c r="M24" s="369">
        <f>SUM(F24:L24)</f>
        <v>11.17315</v>
      </c>
      <c r="N24" s="369">
        <f>M24/E24*100</f>
        <v>62.073055555555555</v>
      </c>
    </row>
    <row r="25" spans="1:14" ht="22.5">
      <c r="A25" s="364" t="s">
        <v>234</v>
      </c>
      <c r="B25" s="364">
        <v>7000</v>
      </c>
      <c r="C25" s="367" t="s">
        <v>4369</v>
      </c>
      <c r="D25" s="368">
        <f>5.6-2.7</f>
        <v>2.8999999999999995</v>
      </c>
      <c r="E25" s="369">
        <v>2.56</v>
      </c>
      <c r="F25" s="369"/>
      <c r="G25" s="369">
        <v>0</v>
      </c>
      <c r="H25" s="369">
        <v>1.2867500000000001</v>
      </c>
      <c r="I25" s="369"/>
      <c r="J25" s="300"/>
      <c r="K25" s="300"/>
      <c r="L25" s="369"/>
      <c r="M25" s="369">
        <f t="shared" ref="M25:M32" si="0">SUM(F25:L25)</f>
        <v>1.2867500000000001</v>
      </c>
      <c r="N25" s="369">
        <f t="shared" ref="N25:N33" si="1">M25/E25*100</f>
        <v>50.263671875000007</v>
      </c>
    </row>
    <row r="26" spans="1:14" ht="22.5">
      <c r="A26" s="364" t="s">
        <v>235</v>
      </c>
      <c r="B26" s="364">
        <v>43000</v>
      </c>
      <c r="C26" s="367" t="s">
        <v>236</v>
      </c>
      <c r="D26" s="368">
        <f>0.43+2.7</f>
        <v>3.1300000000000003</v>
      </c>
      <c r="E26" s="369">
        <v>0.35</v>
      </c>
      <c r="F26" s="369"/>
      <c r="G26" s="369">
        <v>0.16442000000000001</v>
      </c>
      <c r="H26" s="369">
        <v>0.16505</v>
      </c>
      <c r="I26" s="369"/>
      <c r="J26" s="300"/>
      <c r="K26" s="300"/>
      <c r="L26" s="369"/>
      <c r="M26" s="369">
        <f t="shared" si="0"/>
        <v>0.32947000000000004</v>
      </c>
      <c r="N26" s="369">
        <f t="shared" si="1"/>
        <v>94.134285714285738</v>
      </c>
    </row>
    <row r="27" spans="1:14" ht="22.5">
      <c r="A27" s="364" t="s">
        <v>237</v>
      </c>
      <c r="B27" s="364">
        <v>37000</v>
      </c>
      <c r="C27" s="367" t="s">
        <v>236</v>
      </c>
      <c r="D27" s="368">
        <v>0.37</v>
      </c>
      <c r="E27" s="369">
        <v>0.32</v>
      </c>
      <c r="F27" s="369"/>
      <c r="G27" s="369">
        <v>0.10949</v>
      </c>
      <c r="H27" s="369">
        <v>0</v>
      </c>
      <c r="I27" s="369"/>
      <c r="J27" s="300"/>
      <c r="K27" s="300"/>
      <c r="L27" s="369"/>
      <c r="M27" s="369">
        <f t="shared" si="0"/>
        <v>0.10949</v>
      </c>
      <c r="N27" s="369">
        <f t="shared" si="1"/>
        <v>34.215625000000003</v>
      </c>
    </row>
    <row r="28" spans="1:14" ht="22.5">
      <c r="A28" s="364" t="s">
        <v>238</v>
      </c>
      <c r="B28" s="364">
        <v>1200</v>
      </c>
      <c r="C28" s="367" t="s">
        <v>4369</v>
      </c>
      <c r="D28" s="368">
        <f>B28*J2/100000</f>
        <v>4.9347599999999998</v>
      </c>
      <c r="E28" s="369">
        <v>2</v>
      </c>
      <c r="F28" s="369"/>
      <c r="G28" s="369">
        <v>0</v>
      </c>
      <c r="H28" s="369">
        <v>0.92090000000000005</v>
      </c>
      <c r="I28" s="369"/>
      <c r="J28" s="300"/>
      <c r="K28" s="300"/>
      <c r="L28" s="369"/>
      <c r="M28" s="369">
        <f t="shared" si="0"/>
        <v>0.92090000000000005</v>
      </c>
      <c r="N28" s="369">
        <f t="shared" si="1"/>
        <v>46.045000000000002</v>
      </c>
    </row>
    <row r="29" spans="1:14">
      <c r="A29" s="364" t="s">
        <v>667</v>
      </c>
      <c r="B29" s="364">
        <v>565</v>
      </c>
      <c r="C29" s="367" t="s">
        <v>1036</v>
      </c>
      <c r="D29" s="368">
        <f>B29*J2/100000</f>
        <v>2.3234495000000002</v>
      </c>
      <c r="E29" s="369">
        <v>2.3199999999999998</v>
      </c>
      <c r="F29" s="369"/>
      <c r="G29" s="369">
        <v>2.3234499999999998</v>
      </c>
      <c r="H29" s="369">
        <v>0</v>
      </c>
      <c r="I29" s="369"/>
      <c r="J29" s="300"/>
      <c r="K29" s="300"/>
      <c r="L29" s="369"/>
      <c r="M29" s="369">
        <f t="shared" si="0"/>
        <v>2.3234499999999998</v>
      </c>
      <c r="N29" s="369">
        <f t="shared" si="1"/>
        <v>100.14870689655173</v>
      </c>
    </row>
    <row r="30" spans="1:14">
      <c r="A30" s="364" t="s">
        <v>240</v>
      </c>
      <c r="B30" s="364">
        <v>1000</v>
      </c>
      <c r="C30" s="367" t="s">
        <v>1036</v>
      </c>
      <c r="D30" s="368">
        <f>B30*J2/100000</f>
        <v>4.1123000000000003</v>
      </c>
      <c r="E30" s="369">
        <v>0</v>
      </c>
      <c r="F30" s="369"/>
      <c r="G30" s="369">
        <v>0</v>
      </c>
      <c r="H30" s="369">
        <v>0</v>
      </c>
      <c r="I30" s="369"/>
      <c r="J30" s="300"/>
      <c r="K30" s="300"/>
      <c r="L30" s="369"/>
      <c r="M30" s="369">
        <f t="shared" si="0"/>
        <v>0</v>
      </c>
      <c r="N30" s="369" t="e">
        <f t="shared" si="1"/>
        <v>#DIV/0!</v>
      </c>
    </row>
    <row r="31" spans="1:14">
      <c r="A31" s="364" t="s">
        <v>241</v>
      </c>
      <c r="B31" s="364">
        <v>2750</v>
      </c>
      <c r="C31" s="367" t="s">
        <v>1036</v>
      </c>
      <c r="D31" s="368">
        <v>2.31</v>
      </c>
      <c r="E31" s="369">
        <v>0.6</v>
      </c>
      <c r="F31" s="369"/>
      <c r="G31" s="369">
        <v>0.19162999999999999</v>
      </c>
      <c r="H31" s="369">
        <v>0.32400000000000001</v>
      </c>
      <c r="I31" s="369"/>
      <c r="J31" s="300"/>
      <c r="K31" s="300"/>
      <c r="L31" s="369"/>
      <c r="M31" s="369">
        <f t="shared" si="0"/>
        <v>0.51563000000000003</v>
      </c>
      <c r="N31" s="369">
        <f t="shared" si="1"/>
        <v>85.938333333333333</v>
      </c>
    </row>
    <row r="32" spans="1:14">
      <c r="A32" s="364" t="s">
        <v>670</v>
      </c>
      <c r="B32" s="364">
        <v>10000</v>
      </c>
      <c r="C32" s="367" t="s">
        <v>244</v>
      </c>
      <c r="D32" s="368">
        <v>0.1</v>
      </c>
      <c r="E32" s="369">
        <v>0.1</v>
      </c>
      <c r="F32" s="369"/>
      <c r="G32" s="369"/>
      <c r="H32" s="369"/>
      <c r="I32" s="369"/>
      <c r="J32" s="369"/>
      <c r="K32" s="369"/>
      <c r="L32" s="369"/>
      <c r="M32" s="369">
        <f t="shared" si="0"/>
        <v>0</v>
      </c>
      <c r="N32" s="369">
        <f t="shared" si="1"/>
        <v>0</v>
      </c>
    </row>
    <row r="33" spans="1:14">
      <c r="A33" s="370" t="s">
        <v>245</v>
      </c>
      <c r="B33" s="370"/>
      <c r="C33" s="366"/>
      <c r="D33" s="371">
        <f>SUM(D24:D32)</f>
        <v>53.078909500000002</v>
      </c>
      <c r="E33" s="371">
        <f t="shared" ref="E33:M33" si="2">SUM(E24:E32)</f>
        <v>26.250000000000004</v>
      </c>
      <c r="F33" s="371">
        <f t="shared" si="2"/>
        <v>0</v>
      </c>
      <c r="G33" s="371">
        <f t="shared" si="2"/>
        <v>4.9466400000000004</v>
      </c>
      <c r="H33" s="371">
        <f t="shared" si="2"/>
        <v>11.712199999999999</v>
      </c>
      <c r="I33" s="371">
        <f t="shared" si="2"/>
        <v>0</v>
      </c>
      <c r="J33" s="371">
        <f t="shared" si="2"/>
        <v>0</v>
      </c>
      <c r="K33" s="371">
        <f t="shared" si="2"/>
        <v>0</v>
      </c>
      <c r="L33" s="371">
        <f t="shared" si="2"/>
        <v>0</v>
      </c>
      <c r="M33" s="371">
        <f t="shared" si="2"/>
        <v>16.658840000000001</v>
      </c>
      <c r="N33" s="369">
        <f t="shared" si="1"/>
        <v>63.462247619047616</v>
      </c>
    </row>
  </sheetData>
  <mergeCells count="30">
    <mergeCell ref="B6:C7"/>
    <mergeCell ref="F6:J7"/>
    <mergeCell ref="B2:C2"/>
    <mergeCell ref="F2:G2"/>
    <mergeCell ref="H2:I2"/>
    <mergeCell ref="B4:C4"/>
    <mergeCell ref="F4:G4"/>
    <mergeCell ref="A3:C3"/>
    <mergeCell ref="B9:C9"/>
    <mergeCell ref="D9:F9"/>
    <mergeCell ref="G9:I9"/>
    <mergeCell ref="J9:L9"/>
    <mergeCell ref="B10:C10"/>
    <mergeCell ref="D10:F10"/>
    <mergeCell ref="G10:I10"/>
    <mergeCell ref="J10:L10"/>
    <mergeCell ref="F22:N22"/>
    <mergeCell ref="B11:C11"/>
    <mergeCell ref="D11:F11"/>
    <mergeCell ref="G11:I11"/>
    <mergeCell ref="J11:L11"/>
    <mergeCell ref="B12:C12"/>
    <mergeCell ref="D12:F12"/>
    <mergeCell ref="G12:I12"/>
    <mergeCell ref="J12:L12"/>
    <mergeCell ref="A22:A23"/>
    <mergeCell ref="B22:B23"/>
    <mergeCell ref="C22:C23"/>
    <mergeCell ref="D22:D23"/>
    <mergeCell ref="E22:E23"/>
  </mergeCells>
  <hyperlinks>
    <hyperlink ref="A3" location="'Fact Sheet of VDC'!A1" display="&lt;&lt;Back"/>
  </hyperlinks>
  <pageMargins left="0.34" right="0.19" top="0.45" bottom="0.4" header="0.3" footer="0.3"/>
  <pageSetup orientation="landscape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3" sqref="A3:C3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>
      <c r="A2" s="46" t="s">
        <v>4347</v>
      </c>
      <c r="B2" s="843" t="s">
        <v>3119</v>
      </c>
      <c r="C2" s="844"/>
      <c r="D2" s="46" t="s">
        <v>4349</v>
      </c>
      <c r="E2" s="46"/>
      <c r="F2" s="865" t="s">
        <v>4849</v>
      </c>
      <c r="G2" s="844"/>
      <c r="H2" s="851" t="s">
        <v>5</v>
      </c>
      <c r="I2" s="852"/>
      <c r="J2" s="47">
        <v>532.36</v>
      </c>
      <c r="K2" s="46" t="s">
        <v>436</v>
      </c>
      <c r="L2" s="46"/>
      <c r="M2" s="47"/>
      <c r="N2" s="46"/>
    </row>
    <row r="3" spans="1:14">
      <c r="A3" s="808" t="s">
        <v>4176</v>
      </c>
      <c r="B3" s="808"/>
      <c r="C3" s="808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>
      <c r="A4" s="46" t="s">
        <v>832</v>
      </c>
      <c r="B4" s="843" t="s">
        <v>4850</v>
      </c>
      <c r="C4" s="844"/>
      <c r="D4" s="46" t="s">
        <v>1208</v>
      </c>
      <c r="E4" s="46"/>
      <c r="F4" s="843" t="s">
        <v>4851</v>
      </c>
      <c r="G4" s="844"/>
      <c r="H4" s="48"/>
      <c r="I4" s="48"/>
      <c r="J4" s="46"/>
      <c r="K4" s="46"/>
      <c r="L4" s="46"/>
      <c r="M4" s="46"/>
      <c r="N4" s="46"/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4353</v>
      </c>
      <c r="B6" s="864" t="s">
        <v>4852</v>
      </c>
      <c r="C6" s="864"/>
      <c r="D6" s="46" t="s">
        <v>4355</v>
      </c>
      <c r="E6" s="46"/>
      <c r="F6" s="858" t="s">
        <v>4853</v>
      </c>
      <c r="G6" s="859"/>
      <c r="H6" s="859"/>
      <c r="I6" s="859"/>
      <c r="J6" s="860"/>
      <c r="K6" s="46"/>
      <c r="L6" s="46"/>
      <c r="M6" s="46"/>
      <c r="N6" s="46"/>
    </row>
    <row r="7" spans="1:14">
      <c r="A7" s="46"/>
      <c r="B7" s="864"/>
      <c r="C7" s="864"/>
      <c r="D7" s="46" t="s">
        <v>4357</v>
      </c>
      <c r="E7" s="46"/>
      <c r="F7" s="861"/>
      <c r="G7" s="862"/>
      <c r="H7" s="862"/>
      <c r="I7" s="862"/>
      <c r="J7" s="863"/>
      <c r="K7" s="46"/>
      <c r="L7" s="46"/>
      <c r="M7" s="46"/>
      <c r="N7" s="46"/>
    </row>
    <row r="8" spans="1:14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</row>
    <row r="9" spans="1:14">
      <c r="A9" s="364" t="s">
        <v>838</v>
      </c>
      <c r="B9" s="853" t="s">
        <v>4854</v>
      </c>
      <c r="C9" s="853"/>
      <c r="D9" s="853" t="s">
        <v>4855</v>
      </c>
      <c r="E9" s="853"/>
      <c r="F9" s="853"/>
      <c r="G9" s="854"/>
      <c r="H9" s="854"/>
      <c r="I9" s="854"/>
      <c r="J9" s="854"/>
      <c r="K9" s="854"/>
      <c r="L9" s="854"/>
      <c r="M9" s="46"/>
      <c r="N9" s="46"/>
    </row>
    <row r="10" spans="1:14">
      <c r="A10" s="364" t="s">
        <v>840</v>
      </c>
      <c r="B10" s="853" t="s">
        <v>2438</v>
      </c>
      <c r="C10" s="853"/>
      <c r="D10" s="853"/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>
      <c r="A11" s="364" t="s">
        <v>4361</v>
      </c>
      <c r="B11" s="853" t="s">
        <v>2438</v>
      </c>
      <c r="C11" s="853"/>
      <c r="D11" s="853"/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 ht="22.5">
      <c r="A12" s="364" t="s">
        <v>420</v>
      </c>
      <c r="B12" s="853" t="s">
        <v>2438</v>
      </c>
      <c r="C12" s="853"/>
      <c r="D12" s="853"/>
      <c r="E12" s="853"/>
      <c r="F12" s="853"/>
      <c r="G12" s="854"/>
      <c r="H12" s="854"/>
      <c r="I12" s="854"/>
      <c r="J12" s="854"/>
      <c r="K12" s="854"/>
      <c r="L12" s="854"/>
      <c r="M12" s="46"/>
      <c r="N12" s="46"/>
    </row>
    <row r="13" spans="1:14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1:14">
      <c r="A14" s="46" t="s">
        <v>4365</v>
      </c>
      <c r="B14" s="47">
        <v>2</v>
      </c>
      <c r="C14" s="46" t="s">
        <v>4366</v>
      </c>
      <c r="D14" s="46"/>
      <c r="E14" s="46"/>
      <c r="F14" s="47">
        <v>0</v>
      </c>
      <c r="G14" s="46" t="s">
        <v>1491</v>
      </c>
      <c r="H14" s="47">
        <v>9</v>
      </c>
      <c r="I14" s="46" t="s">
        <v>1492</v>
      </c>
      <c r="J14" s="47">
        <v>2</v>
      </c>
      <c r="K14" s="46" t="s">
        <v>1493</v>
      </c>
      <c r="L14" s="47">
        <v>39</v>
      </c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 ht="22.5">
      <c r="A17" s="46" t="s">
        <v>646</v>
      </c>
      <c r="B17" s="46"/>
      <c r="C17" s="46" t="s">
        <v>204</v>
      </c>
      <c r="D17" s="47">
        <v>108</v>
      </c>
      <c r="E17" s="46" t="s">
        <v>205</v>
      </c>
      <c r="F17" s="47">
        <v>8</v>
      </c>
      <c r="G17" s="46" t="s">
        <v>206</v>
      </c>
      <c r="H17" s="47">
        <v>1</v>
      </c>
      <c r="I17" s="46" t="s">
        <v>230</v>
      </c>
      <c r="J17" s="47">
        <v>117</v>
      </c>
      <c r="K17" s="46" t="s">
        <v>207</v>
      </c>
      <c r="L17" s="47">
        <v>5</v>
      </c>
      <c r="M17" s="72" t="s">
        <v>4367</v>
      </c>
      <c r="N17" s="47"/>
    </row>
    <row r="18" spans="1:14">
      <c r="A18" s="46" t="s">
        <v>209</v>
      </c>
      <c r="B18" s="46"/>
      <c r="C18" s="46" t="s">
        <v>210</v>
      </c>
      <c r="D18" s="47">
        <v>227</v>
      </c>
      <c r="E18" s="46" t="s">
        <v>211</v>
      </c>
      <c r="F18" s="47">
        <v>12</v>
      </c>
      <c r="G18" s="46" t="s">
        <v>212</v>
      </c>
      <c r="H18" s="47">
        <v>2</v>
      </c>
      <c r="I18" s="46" t="s">
        <v>411</v>
      </c>
      <c r="J18" s="47">
        <f>H18+F18+D18</f>
        <v>241</v>
      </c>
      <c r="K18" s="46"/>
      <c r="L18" s="46"/>
      <c r="M18" s="46"/>
      <c r="N18" s="46"/>
    </row>
    <row r="19" spans="1:14">
      <c r="A19" s="46"/>
      <c r="B19" s="46"/>
      <c r="C19" s="46" t="s">
        <v>213</v>
      </c>
      <c r="D19" s="47">
        <v>218</v>
      </c>
      <c r="E19" s="46" t="s">
        <v>214</v>
      </c>
      <c r="F19" s="47">
        <v>16</v>
      </c>
      <c r="G19" s="46" t="s">
        <v>1494</v>
      </c>
      <c r="H19" s="47">
        <v>4</v>
      </c>
      <c r="I19" s="46" t="s">
        <v>410</v>
      </c>
      <c r="J19" s="47">
        <f>H19+F19+D19</f>
        <v>238</v>
      </c>
      <c r="K19" s="46"/>
      <c r="L19" s="46"/>
      <c r="M19" s="46"/>
      <c r="N19" s="46"/>
    </row>
    <row r="20" spans="1:14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365" t="s">
        <v>216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4">
      <c r="A22" s="856" t="s">
        <v>217</v>
      </c>
      <c r="B22" s="856" t="s">
        <v>218</v>
      </c>
      <c r="C22" s="856" t="s">
        <v>219</v>
      </c>
      <c r="D22" s="856" t="s">
        <v>407</v>
      </c>
      <c r="E22" s="856" t="s">
        <v>864</v>
      </c>
      <c r="F22" s="855" t="s">
        <v>4368</v>
      </c>
      <c r="G22" s="855"/>
      <c r="H22" s="855"/>
      <c r="I22" s="855"/>
      <c r="J22" s="855"/>
      <c r="K22" s="855"/>
      <c r="L22" s="855"/>
      <c r="M22" s="855"/>
      <c r="N22" s="855"/>
    </row>
    <row r="23" spans="1:14">
      <c r="A23" s="856"/>
      <c r="B23" s="856"/>
      <c r="C23" s="856"/>
      <c r="D23" s="856"/>
      <c r="E23" s="856"/>
      <c r="F23" s="366" t="s">
        <v>227</v>
      </c>
      <c r="G23" s="366" t="s">
        <v>228</v>
      </c>
      <c r="H23" s="366" t="s">
        <v>229</v>
      </c>
      <c r="I23" s="80" t="s">
        <v>1499</v>
      </c>
      <c r="J23" s="80" t="s">
        <v>4831</v>
      </c>
      <c r="K23" s="80" t="s">
        <v>4832</v>
      </c>
      <c r="L23" s="366" t="s">
        <v>4833</v>
      </c>
      <c r="M23" s="366" t="s">
        <v>230</v>
      </c>
      <c r="N23" s="366" t="s">
        <v>231</v>
      </c>
    </row>
    <row r="24" spans="1:14">
      <c r="A24" s="364" t="s">
        <v>232</v>
      </c>
      <c r="B24" s="364">
        <v>8000</v>
      </c>
      <c r="C24" s="47" t="s">
        <v>1036</v>
      </c>
      <c r="D24" s="368">
        <f>B24*J2/100000</f>
        <v>42.588799999999999</v>
      </c>
      <c r="E24" s="369">
        <v>18</v>
      </c>
      <c r="F24" s="369"/>
      <c r="G24" s="369">
        <v>1.15025</v>
      </c>
      <c r="H24" s="369">
        <v>15.886900000000001</v>
      </c>
      <c r="I24" s="369"/>
      <c r="J24" s="300"/>
      <c r="K24" s="300"/>
      <c r="L24" s="369"/>
      <c r="M24" s="369">
        <f>SUM(F24:L24)</f>
        <v>17.03715</v>
      </c>
      <c r="N24" s="369">
        <f>M24/E24*100</f>
        <v>94.650833333333338</v>
      </c>
    </row>
    <row r="25" spans="1:14" ht="22.5">
      <c r="A25" s="364" t="s">
        <v>234</v>
      </c>
      <c r="B25" s="364">
        <v>7000</v>
      </c>
      <c r="C25" s="367" t="s">
        <v>1036</v>
      </c>
      <c r="D25" s="368">
        <f>5.6-2.7</f>
        <v>2.8999999999999995</v>
      </c>
      <c r="E25" s="369">
        <v>2.56</v>
      </c>
      <c r="F25" s="369"/>
      <c r="G25" s="369">
        <v>0</v>
      </c>
      <c r="H25" s="369">
        <v>1.19831</v>
      </c>
      <c r="I25" s="369"/>
      <c r="J25" s="300"/>
      <c r="K25" s="300"/>
      <c r="L25" s="369"/>
      <c r="M25" s="369">
        <f t="shared" ref="M25:M32" si="0">SUM(F25:L25)</f>
        <v>1.19831</v>
      </c>
      <c r="N25" s="369">
        <f t="shared" ref="N25:N33" si="1">M25/E25*100</f>
        <v>46.808984375000001</v>
      </c>
    </row>
    <row r="26" spans="1:14" ht="22.5">
      <c r="A26" s="364" t="s">
        <v>235</v>
      </c>
      <c r="B26" s="364">
        <v>43000</v>
      </c>
      <c r="C26" s="367" t="s">
        <v>236</v>
      </c>
      <c r="D26" s="368">
        <f>0.43+2.7</f>
        <v>3.1300000000000003</v>
      </c>
      <c r="E26" s="369">
        <v>0.35</v>
      </c>
      <c r="F26" s="369"/>
      <c r="G26" s="369">
        <v>0.18224000000000001</v>
      </c>
      <c r="H26" s="369">
        <v>0.14615</v>
      </c>
      <c r="I26" s="369"/>
      <c r="J26" s="300"/>
      <c r="K26" s="300"/>
      <c r="L26" s="369"/>
      <c r="M26" s="369">
        <f t="shared" si="0"/>
        <v>0.32839000000000002</v>
      </c>
      <c r="N26" s="369">
        <f t="shared" si="1"/>
        <v>93.825714285714298</v>
      </c>
    </row>
    <row r="27" spans="1:14" ht="22.5">
      <c r="A27" s="364" t="s">
        <v>237</v>
      </c>
      <c r="B27" s="364">
        <v>37000</v>
      </c>
      <c r="C27" s="367" t="s">
        <v>236</v>
      </c>
      <c r="D27" s="368">
        <v>0.37</v>
      </c>
      <c r="E27" s="369">
        <v>0.32</v>
      </c>
      <c r="F27" s="369"/>
      <c r="G27" s="369">
        <v>0.10949</v>
      </c>
      <c r="H27" s="369">
        <v>0</v>
      </c>
      <c r="I27" s="369"/>
      <c r="J27" s="300"/>
      <c r="K27" s="300"/>
      <c r="L27" s="369"/>
      <c r="M27" s="369">
        <f t="shared" si="0"/>
        <v>0.10949</v>
      </c>
      <c r="N27" s="369">
        <f t="shared" si="1"/>
        <v>34.215625000000003</v>
      </c>
    </row>
    <row r="28" spans="1:14" ht="22.5">
      <c r="A28" s="364" t="s">
        <v>238</v>
      </c>
      <c r="B28" s="364">
        <v>1200</v>
      </c>
      <c r="C28" s="47" t="s">
        <v>1036</v>
      </c>
      <c r="D28" s="368">
        <f>B28*J2/100000</f>
        <v>6.3883200000000002</v>
      </c>
      <c r="E28" s="369">
        <v>2</v>
      </c>
      <c r="F28" s="369"/>
      <c r="G28" s="369">
        <v>0</v>
      </c>
      <c r="H28" s="369">
        <v>1.01692</v>
      </c>
      <c r="I28" s="369"/>
      <c r="J28" s="300"/>
      <c r="K28" s="300"/>
      <c r="L28" s="369"/>
      <c r="M28" s="369">
        <f t="shared" si="0"/>
        <v>1.01692</v>
      </c>
      <c r="N28" s="369">
        <f t="shared" si="1"/>
        <v>50.846000000000004</v>
      </c>
    </row>
    <row r="29" spans="1:14">
      <c r="A29" s="364" t="s">
        <v>667</v>
      </c>
      <c r="B29" s="364">
        <v>565</v>
      </c>
      <c r="C29" s="367" t="s">
        <v>1036</v>
      </c>
      <c r="D29" s="368">
        <f>B29*J2/100000</f>
        <v>3.0078340000000003</v>
      </c>
      <c r="E29" s="369">
        <v>3.01</v>
      </c>
      <c r="F29" s="369"/>
      <c r="G29" s="369">
        <v>3.0078299999999998</v>
      </c>
      <c r="H29" s="369">
        <v>0</v>
      </c>
      <c r="I29" s="369"/>
      <c r="J29" s="300"/>
      <c r="K29" s="300"/>
      <c r="L29" s="369"/>
      <c r="M29" s="369">
        <f t="shared" si="0"/>
        <v>3.0078299999999998</v>
      </c>
      <c r="N29" s="369">
        <f t="shared" si="1"/>
        <v>99.927906976744183</v>
      </c>
    </row>
    <row r="30" spans="1:14">
      <c r="A30" s="364" t="s">
        <v>240</v>
      </c>
      <c r="B30" s="364">
        <v>1000</v>
      </c>
      <c r="C30" s="367" t="s">
        <v>1036</v>
      </c>
      <c r="D30" s="368">
        <f>B30*J2/100000</f>
        <v>5.3235999999999999</v>
      </c>
      <c r="E30" s="369">
        <v>0</v>
      </c>
      <c r="F30" s="369"/>
      <c r="G30" s="369">
        <v>0</v>
      </c>
      <c r="H30" s="369">
        <v>0</v>
      </c>
      <c r="I30" s="369"/>
      <c r="J30" s="300"/>
      <c r="K30" s="300"/>
      <c r="L30" s="369"/>
      <c r="M30" s="369">
        <f t="shared" si="0"/>
        <v>0</v>
      </c>
      <c r="N30" s="369" t="e">
        <f t="shared" si="1"/>
        <v>#DIV/0!</v>
      </c>
    </row>
    <row r="31" spans="1:14">
      <c r="A31" s="364" t="s">
        <v>241</v>
      </c>
      <c r="B31" s="364">
        <v>2750</v>
      </c>
      <c r="C31" s="367" t="s">
        <v>1036</v>
      </c>
      <c r="D31" s="368">
        <v>2.31</v>
      </c>
      <c r="E31" s="369">
        <v>0.6</v>
      </c>
      <c r="F31" s="369"/>
      <c r="G31" s="369">
        <v>0.21412999999999999</v>
      </c>
      <c r="H31" s="369">
        <v>0.33779999999999999</v>
      </c>
      <c r="I31" s="369"/>
      <c r="J31" s="300"/>
      <c r="K31" s="300"/>
      <c r="L31" s="369"/>
      <c r="M31" s="369">
        <f t="shared" si="0"/>
        <v>0.55193000000000003</v>
      </c>
      <c r="N31" s="369">
        <f t="shared" si="1"/>
        <v>91.988333333333344</v>
      </c>
    </row>
    <row r="32" spans="1:14">
      <c r="A32" s="364" t="s">
        <v>670</v>
      </c>
      <c r="B32" s="364">
        <v>10000</v>
      </c>
      <c r="C32" s="367" t="s">
        <v>244</v>
      </c>
      <c r="D32" s="368">
        <v>0.1</v>
      </c>
      <c r="E32" s="369">
        <v>0.1</v>
      </c>
      <c r="F32" s="369"/>
      <c r="G32" s="369"/>
      <c r="H32" s="369"/>
      <c r="I32" s="369"/>
      <c r="J32" s="300"/>
      <c r="K32" s="300"/>
      <c r="L32" s="369"/>
      <c r="M32" s="369">
        <f t="shared" si="0"/>
        <v>0</v>
      </c>
      <c r="N32" s="369">
        <f t="shared" si="1"/>
        <v>0</v>
      </c>
    </row>
    <row r="33" spans="1:14">
      <c r="A33" s="370" t="s">
        <v>245</v>
      </c>
      <c r="B33" s="370"/>
      <c r="C33" s="366"/>
      <c r="D33" s="371">
        <f>SUM(D24:D32)</f>
        <v>66.118553999999989</v>
      </c>
      <c r="E33" s="371">
        <f t="shared" ref="E33:M33" si="2">SUM(E24:E32)</f>
        <v>26.940000000000005</v>
      </c>
      <c r="F33" s="371">
        <f t="shared" si="2"/>
        <v>0</v>
      </c>
      <c r="G33" s="371">
        <f t="shared" si="2"/>
        <v>4.6639399999999993</v>
      </c>
      <c r="H33" s="371">
        <f t="shared" si="2"/>
        <v>18.586079999999999</v>
      </c>
      <c r="I33" s="371">
        <f t="shared" si="2"/>
        <v>0</v>
      </c>
      <c r="J33" s="371">
        <f t="shared" si="2"/>
        <v>0</v>
      </c>
      <c r="K33" s="371">
        <f t="shared" si="2"/>
        <v>0</v>
      </c>
      <c r="L33" s="371">
        <f t="shared" si="2"/>
        <v>0</v>
      </c>
      <c r="M33" s="371">
        <f t="shared" si="2"/>
        <v>23.250019999999996</v>
      </c>
      <c r="N33" s="369">
        <f t="shared" si="1"/>
        <v>86.30296956198957</v>
      </c>
    </row>
  </sheetData>
  <mergeCells count="30">
    <mergeCell ref="B6:C7"/>
    <mergeCell ref="F6:J7"/>
    <mergeCell ref="B2:C2"/>
    <mergeCell ref="F2:G2"/>
    <mergeCell ref="H2:I2"/>
    <mergeCell ref="B4:C4"/>
    <mergeCell ref="F4:G4"/>
    <mergeCell ref="A3:C3"/>
    <mergeCell ref="B9:C9"/>
    <mergeCell ref="D9:F9"/>
    <mergeCell ref="G9:I9"/>
    <mergeCell ref="J9:L9"/>
    <mergeCell ref="B10:C10"/>
    <mergeCell ref="D10:F10"/>
    <mergeCell ref="G10:I10"/>
    <mergeCell ref="J10:L10"/>
    <mergeCell ref="F22:N22"/>
    <mergeCell ref="B11:C11"/>
    <mergeCell ref="D11:F11"/>
    <mergeCell ref="G11:I11"/>
    <mergeCell ref="J11:L11"/>
    <mergeCell ref="B12:C12"/>
    <mergeCell ref="D12:F12"/>
    <mergeCell ref="G12:I12"/>
    <mergeCell ref="J12:L12"/>
    <mergeCell ref="A22:A23"/>
    <mergeCell ref="B22:B23"/>
    <mergeCell ref="C22:C23"/>
    <mergeCell ref="D22:D23"/>
    <mergeCell ref="E22:E23"/>
  </mergeCells>
  <hyperlinks>
    <hyperlink ref="A3" location="'Fact Sheet of VDC'!A1" display="&lt;&lt;Back"/>
  </hyperlinks>
  <pageMargins left="0.34" right="0.19" top="0.45" bottom="0.4" header="0.3" footer="0.3"/>
  <pageSetup orientation="landscape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46" t="s">
        <v>4347</v>
      </c>
      <c r="B1" s="843" t="s">
        <v>3120</v>
      </c>
      <c r="C1" s="844"/>
      <c r="D1" s="46" t="s">
        <v>4349</v>
      </c>
      <c r="E1" s="46"/>
      <c r="F1" s="865" t="s">
        <v>4856</v>
      </c>
      <c r="G1" s="844"/>
      <c r="H1" s="851" t="s">
        <v>5</v>
      </c>
      <c r="I1" s="852"/>
      <c r="J1" s="47">
        <v>629.51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4857</v>
      </c>
      <c r="C3" s="844"/>
      <c r="D3" s="46" t="s">
        <v>1208</v>
      </c>
      <c r="E3" s="46"/>
      <c r="F3" s="843" t="s">
        <v>4858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64" t="s">
        <v>4859</v>
      </c>
      <c r="C5" s="864"/>
      <c r="D5" s="46" t="s">
        <v>4355</v>
      </c>
      <c r="E5" s="46"/>
      <c r="F5" s="854" t="s">
        <v>4860</v>
      </c>
      <c r="G5" s="854"/>
      <c r="H5" s="854"/>
      <c r="I5" s="854"/>
      <c r="J5" s="854"/>
      <c r="K5" s="46"/>
      <c r="L5" s="46"/>
      <c r="M5" s="46"/>
      <c r="N5" s="46"/>
    </row>
    <row r="6" spans="1:14">
      <c r="A6" s="46"/>
      <c r="B6" s="864"/>
      <c r="C6" s="864"/>
      <c r="D6" s="46" t="s">
        <v>4357</v>
      </c>
      <c r="E6" s="46"/>
      <c r="F6" s="854"/>
      <c r="G6" s="854"/>
      <c r="H6" s="854"/>
      <c r="I6" s="854"/>
      <c r="J6" s="854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4861</v>
      </c>
      <c r="C8" s="853"/>
      <c r="D8" s="853" t="s">
        <v>4862</v>
      </c>
      <c r="E8" s="853"/>
      <c r="F8" s="853"/>
      <c r="G8" s="854" t="s">
        <v>4863</v>
      </c>
      <c r="H8" s="854"/>
      <c r="I8" s="854"/>
      <c r="J8" s="854" t="s">
        <v>4864</v>
      </c>
      <c r="K8" s="854"/>
      <c r="L8" s="854"/>
      <c r="M8" s="46"/>
      <c r="N8" s="46"/>
    </row>
    <row r="9" spans="1:14">
      <c r="A9" s="364" t="s">
        <v>840</v>
      </c>
      <c r="B9" s="866" t="s">
        <v>4865</v>
      </c>
      <c r="C9" s="867"/>
      <c r="D9" s="866" t="s">
        <v>4866</v>
      </c>
      <c r="E9" s="868"/>
      <c r="F9" s="867"/>
      <c r="G9" s="854" t="s">
        <v>4867</v>
      </c>
      <c r="H9" s="854"/>
      <c r="I9" s="854"/>
      <c r="J9" s="854" t="s">
        <v>4868</v>
      </c>
      <c r="K9" s="854"/>
      <c r="L9" s="854"/>
      <c r="M9" s="46"/>
      <c r="N9" s="46"/>
    </row>
    <row r="10" spans="1:14">
      <c r="A10" s="364" t="s">
        <v>4361</v>
      </c>
      <c r="B10" s="853"/>
      <c r="C10" s="853"/>
      <c r="D10" s="853"/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/>
      <c r="C11" s="853"/>
      <c r="D11" s="853"/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4</v>
      </c>
      <c r="C13" s="46" t="s">
        <v>4366</v>
      </c>
      <c r="D13" s="46"/>
      <c r="E13" s="46"/>
      <c r="F13" s="47">
        <v>2</v>
      </c>
      <c r="G13" s="46" t="s">
        <v>1491</v>
      </c>
      <c r="H13" s="47">
        <v>11</v>
      </c>
      <c r="I13" s="46" t="s">
        <v>1492</v>
      </c>
      <c r="J13" s="47">
        <v>3</v>
      </c>
      <c r="K13" s="46" t="s">
        <v>1493</v>
      </c>
      <c r="L13" s="47">
        <v>34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>
        <v>84</v>
      </c>
      <c r="E16" s="46" t="s">
        <v>205</v>
      </c>
      <c r="F16" s="47">
        <v>25</v>
      </c>
      <c r="G16" s="46" t="s">
        <v>206</v>
      </c>
      <c r="H16" s="47">
        <v>45</v>
      </c>
      <c r="I16" s="46" t="s">
        <v>230</v>
      </c>
      <c r="J16" s="47">
        <v>154</v>
      </c>
      <c r="K16" s="46" t="s">
        <v>207</v>
      </c>
      <c r="L16" s="47">
        <v>22</v>
      </c>
      <c r="M16" s="72" t="s">
        <v>4367</v>
      </c>
      <c r="N16" s="47"/>
    </row>
    <row r="17" spans="1:14">
      <c r="A17" s="46" t="s">
        <v>209</v>
      </c>
      <c r="B17" s="46"/>
      <c r="C17" s="46" t="s">
        <v>210</v>
      </c>
      <c r="D17" s="47">
        <v>175</v>
      </c>
      <c r="E17" s="46" t="s">
        <v>211</v>
      </c>
      <c r="F17" s="47">
        <v>48</v>
      </c>
      <c r="G17" s="46" t="s">
        <v>212</v>
      </c>
      <c r="H17" s="47">
        <v>86</v>
      </c>
      <c r="I17" s="46" t="s">
        <v>411</v>
      </c>
      <c r="J17" s="47">
        <f>H17+F17+D17</f>
        <v>309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176</v>
      </c>
      <c r="E18" s="46" t="s">
        <v>214</v>
      </c>
      <c r="F18" s="47">
        <v>49</v>
      </c>
      <c r="G18" s="46" t="s">
        <v>1494</v>
      </c>
      <c r="H18" s="47">
        <v>75</v>
      </c>
      <c r="I18" s="46" t="s">
        <v>410</v>
      </c>
      <c r="J18" s="47">
        <f>H18+F18+D18</f>
        <v>300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227</v>
      </c>
      <c r="G22" s="366" t="s">
        <v>228</v>
      </c>
      <c r="H22" s="366" t="s">
        <v>229</v>
      </c>
      <c r="I22" s="366" t="s">
        <v>1499</v>
      </c>
      <c r="J22" s="366" t="s">
        <v>4831</v>
      </c>
      <c r="K22" s="366" t="s">
        <v>4832</v>
      </c>
      <c r="L22" s="366" t="s">
        <v>4833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50.360799999999998</v>
      </c>
      <c r="E23" s="369">
        <v>18</v>
      </c>
      <c r="F23" s="369"/>
      <c r="G23" s="369">
        <v>2.8095500000000002</v>
      </c>
      <c r="H23" s="369">
        <v>10.39611</v>
      </c>
      <c r="I23" s="300"/>
      <c r="J23" s="300"/>
      <c r="K23" s="300"/>
      <c r="L23" s="369"/>
      <c r="M23" s="369">
        <f>SUM(F23:L23)</f>
        <v>13.20566</v>
      </c>
      <c r="N23" s="369">
        <f>M23/E23*100</f>
        <v>73.364777777777775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f>5.6-2.7</f>
        <v>2.8999999999999995</v>
      </c>
      <c r="E24" s="369">
        <v>2.56</v>
      </c>
      <c r="F24" s="369"/>
      <c r="G24" s="369">
        <v>0</v>
      </c>
      <c r="H24" s="369">
        <v>2.3338000000000001</v>
      </c>
      <c r="I24" s="300"/>
      <c r="J24" s="300"/>
      <c r="K24" s="300"/>
      <c r="L24" s="369"/>
      <c r="M24" s="369">
        <f t="shared" ref="M24:M31" si="0">SUM(F24:L24)</f>
        <v>2.3338000000000001</v>
      </c>
      <c r="N24" s="369">
        <f t="shared" ref="N24:N32" si="1">M24/E24*100</f>
        <v>91.1640625</v>
      </c>
    </row>
    <row r="25" spans="1:14" ht="22.5">
      <c r="A25" s="364" t="s">
        <v>235</v>
      </c>
      <c r="B25" s="364">
        <v>43000</v>
      </c>
      <c r="C25" s="367" t="s">
        <v>236</v>
      </c>
      <c r="D25" s="368">
        <f>0.43+2.7</f>
        <v>3.1300000000000003</v>
      </c>
      <c r="E25" s="369">
        <v>0.35</v>
      </c>
      <c r="F25" s="369"/>
      <c r="G25" s="369">
        <v>0.15795999999999999</v>
      </c>
      <c r="H25" s="369">
        <v>0</v>
      </c>
      <c r="I25" s="300"/>
      <c r="J25" s="300"/>
      <c r="K25" s="300"/>
      <c r="L25" s="369"/>
      <c r="M25" s="369">
        <f t="shared" si="0"/>
        <v>0.15795999999999999</v>
      </c>
      <c r="N25" s="369">
        <f t="shared" si="1"/>
        <v>45.131428571428572</v>
      </c>
    </row>
    <row r="26" spans="1:14" ht="22.5">
      <c r="A26" s="364" t="s">
        <v>237</v>
      </c>
      <c r="B26" s="364">
        <v>37000</v>
      </c>
      <c r="C26" s="367" t="s">
        <v>236</v>
      </c>
      <c r="D26" s="368">
        <v>0.37</v>
      </c>
      <c r="E26" s="369">
        <v>0.32</v>
      </c>
      <c r="F26" s="369"/>
      <c r="G26" s="369">
        <v>0.10949</v>
      </c>
      <c r="H26" s="369">
        <v>0</v>
      </c>
      <c r="I26" s="300"/>
      <c r="J26" s="300"/>
      <c r="K26" s="300"/>
      <c r="L26" s="369"/>
      <c r="M26" s="369">
        <f t="shared" si="0"/>
        <v>0.10949</v>
      </c>
      <c r="N26" s="369">
        <f t="shared" si="1"/>
        <v>34.215625000000003</v>
      </c>
    </row>
    <row r="27" spans="1:14" ht="22.5">
      <c r="A27" s="364" t="s">
        <v>238</v>
      </c>
      <c r="B27" s="364">
        <v>1200</v>
      </c>
      <c r="C27" s="367" t="s">
        <v>4369</v>
      </c>
      <c r="D27" s="368">
        <f>B27*J1/100000</f>
        <v>7.5541200000000002</v>
      </c>
      <c r="E27" s="369">
        <v>2</v>
      </c>
      <c r="F27" s="369"/>
      <c r="G27" s="369">
        <v>0</v>
      </c>
      <c r="H27" s="369">
        <v>0.92090000000000005</v>
      </c>
      <c r="I27" s="300"/>
      <c r="J27" s="300"/>
      <c r="K27" s="300"/>
      <c r="L27" s="369"/>
      <c r="M27" s="369">
        <f t="shared" si="0"/>
        <v>0.92090000000000005</v>
      </c>
      <c r="N27" s="369">
        <f t="shared" si="1"/>
        <v>46.045000000000002</v>
      </c>
    </row>
    <row r="28" spans="1:14">
      <c r="A28" s="364" t="s">
        <v>667</v>
      </c>
      <c r="B28" s="364">
        <v>565</v>
      </c>
      <c r="C28" s="367" t="s">
        <v>1036</v>
      </c>
      <c r="D28" s="368">
        <v>2.83</v>
      </c>
      <c r="E28" s="369">
        <v>2.83</v>
      </c>
      <c r="F28" s="369"/>
      <c r="G28" s="369">
        <v>3.5567299999999999</v>
      </c>
      <c r="H28" s="369">
        <v>0</v>
      </c>
      <c r="I28" s="300"/>
      <c r="J28" s="300"/>
      <c r="K28" s="300"/>
      <c r="L28" s="369"/>
      <c r="M28" s="369">
        <f t="shared" si="0"/>
        <v>3.5567299999999999</v>
      </c>
      <c r="N28" s="369">
        <f t="shared" si="1"/>
        <v>125.67950530035334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6.2950999999999997</v>
      </c>
      <c r="E29" s="369">
        <v>0</v>
      </c>
      <c r="F29" s="369"/>
      <c r="G29" s="369">
        <v>0</v>
      </c>
      <c r="H29" s="369">
        <v>0</v>
      </c>
      <c r="I29" s="300"/>
      <c r="J29" s="300"/>
      <c r="K29" s="300"/>
      <c r="L29" s="369"/>
      <c r="M29" s="369">
        <f t="shared" si="0"/>
        <v>0</v>
      </c>
      <c r="N29" s="369" t="e">
        <f t="shared" si="1"/>
        <v>#DIV/0!</v>
      </c>
    </row>
    <row r="30" spans="1:14">
      <c r="A30" s="364" t="s">
        <v>241</v>
      </c>
      <c r="B30" s="364">
        <v>2750</v>
      </c>
      <c r="C30" s="367" t="s">
        <v>1036</v>
      </c>
      <c r="D30" s="368">
        <v>2.31</v>
      </c>
      <c r="E30" s="369">
        <v>0.6</v>
      </c>
      <c r="F30" s="369"/>
      <c r="G30" s="369">
        <v>0.25155</v>
      </c>
      <c r="H30" s="369">
        <v>0.41199999999999998</v>
      </c>
      <c r="I30" s="300"/>
      <c r="J30" s="300"/>
      <c r="K30" s="300"/>
      <c r="L30" s="369"/>
      <c r="M30" s="369">
        <f t="shared" si="0"/>
        <v>0.66354999999999997</v>
      </c>
      <c r="N30" s="369">
        <f t="shared" si="1"/>
        <v>110.59166666666667</v>
      </c>
    </row>
    <row r="31" spans="1:14">
      <c r="A31" s="364" t="s">
        <v>670</v>
      </c>
      <c r="B31" s="364">
        <v>10000</v>
      </c>
      <c r="C31" s="367" t="s">
        <v>244</v>
      </c>
      <c r="D31" s="368">
        <v>0.1</v>
      </c>
      <c r="E31" s="369">
        <v>0.1</v>
      </c>
      <c r="F31" s="369"/>
      <c r="G31" s="369"/>
      <c r="H31" s="369"/>
      <c r="I31" s="369"/>
      <c r="J31" s="369"/>
      <c r="K31" s="369"/>
      <c r="L31" s="369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75.850020000000001</v>
      </c>
      <c r="E32" s="371">
        <f t="shared" ref="E32:M32" si="2">SUM(E23:E31)</f>
        <v>26.760000000000005</v>
      </c>
      <c r="F32" s="371">
        <f t="shared" si="2"/>
        <v>0</v>
      </c>
      <c r="G32" s="371">
        <f t="shared" si="2"/>
        <v>6.8852799999999998</v>
      </c>
      <c r="H32" s="371">
        <f t="shared" si="2"/>
        <v>14.062810000000001</v>
      </c>
      <c r="I32" s="371">
        <f t="shared" si="2"/>
        <v>0</v>
      </c>
      <c r="J32" s="371">
        <f t="shared" si="2"/>
        <v>0</v>
      </c>
      <c r="K32" s="371">
        <f t="shared" si="2"/>
        <v>0</v>
      </c>
      <c r="L32" s="371">
        <f t="shared" si="2"/>
        <v>0</v>
      </c>
      <c r="M32" s="371">
        <f t="shared" si="2"/>
        <v>20.948090000000001</v>
      </c>
      <c r="N32" s="369">
        <f t="shared" si="1"/>
        <v>78.281352765321373</v>
      </c>
    </row>
  </sheetData>
  <mergeCells count="30">
    <mergeCell ref="B5:C6"/>
    <mergeCell ref="F5:J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A21:A22"/>
    <mergeCell ref="B21:B22"/>
    <mergeCell ref="C21:C22"/>
    <mergeCell ref="D21:D22"/>
    <mergeCell ref="E21:E22"/>
  </mergeCells>
  <hyperlinks>
    <hyperlink ref="A2" location="'Fact Sheet of VDC'!A1" display="&lt;&lt;Back"/>
  </hyperlinks>
  <pageMargins left="0.34" right="0.19" top="0.45" bottom="0.4" header="0.3" footer="0.3"/>
  <pageSetup orientation="landscape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3" sqref="A3:C3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>
      <c r="A2" s="46" t="s">
        <v>4347</v>
      </c>
      <c r="B2" s="843" t="s">
        <v>3121</v>
      </c>
      <c r="C2" s="844"/>
      <c r="D2" s="46" t="s">
        <v>4349</v>
      </c>
      <c r="E2" s="46"/>
      <c r="F2" s="865" t="s">
        <v>4869</v>
      </c>
      <c r="G2" s="844"/>
      <c r="H2" s="851" t="s">
        <v>5</v>
      </c>
      <c r="I2" s="852"/>
      <c r="J2" s="47">
        <v>487.69</v>
      </c>
      <c r="K2" s="46" t="s">
        <v>436</v>
      </c>
      <c r="L2" s="46"/>
      <c r="M2" s="47"/>
      <c r="N2" s="46"/>
    </row>
    <row r="3" spans="1:14">
      <c r="A3" s="808" t="s">
        <v>4176</v>
      </c>
      <c r="B3" s="808"/>
      <c r="C3" s="808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>
      <c r="A4" s="46" t="s">
        <v>832</v>
      </c>
      <c r="B4" s="843" t="s">
        <v>4870</v>
      </c>
      <c r="C4" s="844"/>
      <c r="D4" s="46" t="s">
        <v>1208</v>
      </c>
      <c r="E4" s="46"/>
      <c r="F4" s="843" t="s">
        <v>4871</v>
      </c>
      <c r="G4" s="844"/>
      <c r="H4" s="48"/>
      <c r="I4" s="48"/>
      <c r="J4" s="46"/>
      <c r="K4" s="46"/>
      <c r="L4" s="46"/>
      <c r="M4" s="46"/>
      <c r="N4" s="46"/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4353</v>
      </c>
      <c r="B6" s="843" t="s">
        <v>4838</v>
      </c>
      <c r="C6" s="844"/>
      <c r="D6" s="46" t="s">
        <v>4355</v>
      </c>
      <c r="E6" s="46"/>
      <c r="F6" s="869" t="s">
        <v>4872</v>
      </c>
      <c r="G6" s="869"/>
      <c r="H6" s="869"/>
      <c r="I6" s="869"/>
      <c r="J6" s="869"/>
      <c r="K6" s="46"/>
      <c r="L6" s="46"/>
      <c r="M6" s="46"/>
      <c r="N6" s="46"/>
    </row>
    <row r="7" spans="1:14">
      <c r="A7" s="46"/>
      <c r="B7" s="46"/>
      <c r="C7" s="46"/>
      <c r="D7" s="46" t="s">
        <v>4357</v>
      </c>
      <c r="E7" s="46"/>
      <c r="F7" s="869"/>
      <c r="G7" s="869"/>
      <c r="H7" s="869"/>
      <c r="I7" s="869"/>
      <c r="J7" s="869"/>
      <c r="K7" s="46"/>
      <c r="L7" s="46"/>
      <c r="M7" s="46"/>
      <c r="N7" s="46"/>
    </row>
    <row r="8" spans="1:14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</row>
    <row r="9" spans="1:14">
      <c r="A9" s="364" t="s">
        <v>838</v>
      </c>
      <c r="B9" s="853" t="s">
        <v>4873</v>
      </c>
      <c r="C9" s="853"/>
      <c r="D9" s="853" t="s">
        <v>4874</v>
      </c>
      <c r="E9" s="853"/>
      <c r="F9" s="853"/>
      <c r="G9" s="854"/>
      <c r="H9" s="854"/>
      <c r="I9" s="854"/>
      <c r="J9" s="854"/>
      <c r="K9" s="854"/>
      <c r="L9" s="854"/>
      <c r="M9" s="46"/>
      <c r="N9" s="46"/>
    </row>
    <row r="10" spans="1:14">
      <c r="A10" s="364" t="s">
        <v>840</v>
      </c>
      <c r="B10" s="853" t="s">
        <v>2438</v>
      </c>
      <c r="C10" s="853"/>
      <c r="D10" s="853"/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>
      <c r="A11" s="364" t="s">
        <v>4361</v>
      </c>
      <c r="B11" s="853" t="s">
        <v>2438</v>
      </c>
      <c r="C11" s="853"/>
      <c r="D11" s="853"/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 ht="22.5">
      <c r="A12" s="364" t="s">
        <v>420</v>
      </c>
      <c r="B12" s="853" t="s">
        <v>2438</v>
      </c>
      <c r="C12" s="853"/>
      <c r="D12" s="853"/>
      <c r="E12" s="853"/>
      <c r="F12" s="853"/>
      <c r="G12" s="854"/>
      <c r="H12" s="854"/>
      <c r="I12" s="854"/>
      <c r="J12" s="854"/>
      <c r="K12" s="854"/>
      <c r="L12" s="854"/>
      <c r="M12" s="46"/>
      <c r="N12" s="46"/>
    </row>
    <row r="13" spans="1:14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1:14">
      <c r="A14" s="46" t="s">
        <v>4365</v>
      </c>
      <c r="B14" s="47">
        <v>2</v>
      </c>
      <c r="C14" s="46" t="s">
        <v>4366</v>
      </c>
      <c r="D14" s="46"/>
      <c r="E14" s="46"/>
      <c r="F14" s="47" t="s">
        <v>2438</v>
      </c>
      <c r="G14" s="46" t="s">
        <v>1491</v>
      </c>
      <c r="H14" s="47">
        <v>5</v>
      </c>
      <c r="I14" s="46" t="s">
        <v>1492</v>
      </c>
      <c r="J14" s="47">
        <v>2</v>
      </c>
      <c r="K14" s="46" t="s">
        <v>1493</v>
      </c>
      <c r="L14" s="47">
        <v>48</v>
      </c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 ht="22.5">
      <c r="A17" s="46" t="s">
        <v>646</v>
      </c>
      <c r="B17" s="46"/>
      <c r="C17" s="46" t="s">
        <v>204</v>
      </c>
      <c r="D17" s="47">
        <v>43</v>
      </c>
      <c r="E17" s="46" t="s">
        <v>205</v>
      </c>
      <c r="F17" s="47">
        <v>0</v>
      </c>
      <c r="G17" s="46" t="s">
        <v>206</v>
      </c>
      <c r="H17" s="47">
        <v>12</v>
      </c>
      <c r="I17" s="46" t="s">
        <v>230</v>
      </c>
      <c r="J17" s="47">
        <v>55</v>
      </c>
      <c r="K17" s="46" t="s">
        <v>207</v>
      </c>
      <c r="L17" s="47">
        <v>18</v>
      </c>
      <c r="M17" s="72" t="s">
        <v>4367</v>
      </c>
      <c r="N17" s="47"/>
    </row>
    <row r="18" spans="1:14">
      <c r="A18" s="46" t="s">
        <v>209</v>
      </c>
      <c r="B18" s="46"/>
      <c r="C18" s="46" t="s">
        <v>210</v>
      </c>
      <c r="D18" s="47">
        <v>68</v>
      </c>
      <c r="E18" s="46" t="s">
        <v>211</v>
      </c>
      <c r="F18" s="47">
        <v>0</v>
      </c>
      <c r="G18" s="46" t="s">
        <v>212</v>
      </c>
      <c r="H18" s="47">
        <v>25</v>
      </c>
      <c r="I18" s="46" t="s">
        <v>411</v>
      </c>
      <c r="J18" s="47">
        <f>H18+F18+D18</f>
        <v>93</v>
      </c>
      <c r="K18" s="46"/>
      <c r="L18" s="46"/>
      <c r="M18" s="46"/>
      <c r="N18" s="46"/>
    </row>
    <row r="19" spans="1:14">
      <c r="A19" s="46"/>
      <c r="B19" s="46"/>
      <c r="C19" s="46" t="s">
        <v>213</v>
      </c>
      <c r="D19" s="47">
        <v>75</v>
      </c>
      <c r="E19" s="46" t="s">
        <v>214</v>
      </c>
      <c r="F19" s="47">
        <v>0</v>
      </c>
      <c r="G19" s="46" t="s">
        <v>1494</v>
      </c>
      <c r="H19" s="47">
        <v>30</v>
      </c>
      <c r="I19" s="46" t="s">
        <v>410</v>
      </c>
      <c r="J19" s="47">
        <f>H19+F19+D19</f>
        <v>105</v>
      </c>
      <c r="K19" s="46"/>
      <c r="L19" s="46"/>
      <c r="M19" s="46"/>
      <c r="N19" s="46"/>
    </row>
    <row r="20" spans="1:14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365" t="s">
        <v>216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4">
      <c r="A22" s="856" t="s">
        <v>217</v>
      </c>
      <c r="B22" s="856" t="s">
        <v>218</v>
      </c>
      <c r="C22" s="856" t="s">
        <v>219</v>
      </c>
      <c r="D22" s="856" t="s">
        <v>407</v>
      </c>
      <c r="E22" s="856" t="s">
        <v>864</v>
      </c>
      <c r="F22" s="855" t="s">
        <v>4368</v>
      </c>
      <c r="G22" s="855"/>
      <c r="H22" s="855"/>
      <c r="I22" s="855"/>
      <c r="J22" s="855"/>
      <c r="K22" s="855"/>
      <c r="L22" s="855"/>
      <c r="M22" s="855"/>
      <c r="N22" s="855"/>
    </row>
    <row r="23" spans="1:14">
      <c r="A23" s="856"/>
      <c r="B23" s="856"/>
      <c r="C23" s="856"/>
      <c r="D23" s="856"/>
      <c r="E23" s="856"/>
      <c r="F23" s="366" t="s">
        <v>227</v>
      </c>
      <c r="G23" s="366" t="s">
        <v>228</v>
      </c>
      <c r="H23" s="366" t="s">
        <v>229</v>
      </c>
      <c r="I23" s="366" t="s">
        <v>1499</v>
      </c>
      <c r="J23" s="366" t="s">
        <v>4831</v>
      </c>
      <c r="K23" s="366" t="s">
        <v>4832</v>
      </c>
      <c r="L23" s="366" t="s">
        <v>4833</v>
      </c>
      <c r="M23" s="366" t="s">
        <v>230</v>
      </c>
      <c r="N23" s="366" t="s">
        <v>231</v>
      </c>
    </row>
    <row r="24" spans="1:14">
      <c r="A24" s="364" t="s">
        <v>232</v>
      </c>
      <c r="B24" s="364">
        <v>8000</v>
      </c>
      <c r="C24" s="367" t="s">
        <v>4369</v>
      </c>
      <c r="D24" s="368">
        <f>B24*J2/100000</f>
        <v>39.0152</v>
      </c>
      <c r="E24" s="364">
        <v>18</v>
      </c>
      <c r="F24" s="364"/>
      <c r="G24" s="369">
        <v>1.5263</v>
      </c>
      <c r="H24" s="369">
        <v>13.186439999999999</v>
      </c>
      <c r="I24" s="364"/>
      <c r="J24" s="369"/>
      <c r="K24" s="369"/>
      <c r="L24" s="364"/>
      <c r="M24" s="369">
        <f>SUM(F24:L24)</f>
        <v>14.71274</v>
      </c>
      <c r="N24" s="369">
        <f>M24/E24*100</f>
        <v>81.737444444444435</v>
      </c>
    </row>
    <row r="25" spans="1:14" ht="22.5">
      <c r="A25" s="364" t="s">
        <v>234</v>
      </c>
      <c r="B25" s="364">
        <v>7000</v>
      </c>
      <c r="C25" s="367" t="s">
        <v>4369</v>
      </c>
      <c r="D25" s="372">
        <f>5.6-2.7</f>
        <v>2.8999999999999995</v>
      </c>
      <c r="E25" s="364">
        <v>2.56</v>
      </c>
      <c r="F25" s="364"/>
      <c r="G25" s="364">
        <v>0</v>
      </c>
      <c r="H25" s="369">
        <v>2.3584000000000001</v>
      </c>
      <c r="I25" s="364"/>
      <c r="J25" s="364"/>
      <c r="K25" s="369"/>
      <c r="L25" s="364"/>
      <c r="M25" s="369">
        <f t="shared" ref="M25:M32" si="0">SUM(F25:L25)</f>
        <v>2.3584000000000001</v>
      </c>
      <c r="N25" s="369">
        <f t="shared" ref="N25:N33" si="1">M25/E25*100</f>
        <v>92.125</v>
      </c>
    </row>
    <row r="26" spans="1:14" ht="22.5">
      <c r="A26" s="364" t="s">
        <v>235</v>
      </c>
      <c r="B26" s="364">
        <v>43000</v>
      </c>
      <c r="C26" s="367" t="s">
        <v>236</v>
      </c>
      <c r="D26" s="375">
        <f>0.43+2.7</f>
        <v>3.1300000000000003</v>
      </c>
      <c r="E26" s="364">
        <v>0.35</v>
      </c>
      <c r="F26" s="364"/>
      <c r="G26" s="369">
        <v>0.18428</v>
      </c>
      <c r="H26" s="369">
        <v>8.7349999999999997E-2</v>
      </c>
      <c r="I26" s="364"/>
      <c r="J26" s="369"/>
      <c r="K26" s="369"/>
      <c r="L26" s="364"/>
      <c r="M26" s="369">
        <f t="shared" si="0"/>
        <v>0.27162999999999998</v>
      </c>
      <c r="N26" s="369">
        <f t="shared" si="1"/>
        <v>77.608571428571423</v>
      </c>
    </row>
    <row r="27" spans="1:14" ht="22.5">
      <c r="A27" s="364" t="s">
        <v>237</v>
      </c>
      <c r="B27" s="364">
        <v>37000</v>
      </c>
      <c r="C27" s="367" t="s">
        <v>236</v>
      </c>
      <c r="D27" s="375">
        <v>0.37</v>
      </c>
      <c r="E27" s="364">
        <v>0.32</v>
      </c>
      <c r="F27" s="364"/>
      <c r="G27" s="369">
        <v>0.10949</v>
      </c>
      <c r="H27" s="364">
        <v>0.01</v>
      </c>
      <c r="I27" s="364"/>
      <c r="J27" s="369"/>
      <c r="K27" s="364"/>
      <c r="L27" s="364"/>
      <c r="M27" s="369">
        <f t="shared" si="0"/>
        <v>0.11949</v>
      </c>
      <c r="N27" s="369">
        <f t="shared" si="1"/>
        <v>37.340625000000003</v>
      </c>
    </row>
    <row r="28" spans="1:14" ht="22.5">
      <c r="A28" s="364" t="s">
        <v>238</v>
      </c>
      <c r="B28" s="364">
        <v>1200</v>
      </c>
      <c r="C28" s="367" t="s">
        <v>4369</v>
      </c>
      <c r="D28" s="368">
        <f>B28*J2/100000</f>
        <v>5.8522800000000004</v>
      </c>
      <c r="E28" s="364">
        <v>2</v>
      </c>
      <c r="F28" s="364"/>
      <c r="G28" s="364">
        <v>0</v>
      </c>
      <c r="H28" s="369">
        <v>1.2414000000000001</v>
      </c>
      <c r="I28" s="364"/>
      <c r="J28" s="364"/>
      <c r="K28" s="369"/>
      <c r="L28" s="364"/>
      <c r="M28" s="369">
        <f t="shared" si="0"/>
        <v>1.2414000000000001</v>
      </c>
      <c r="N28" s="369">
        <f t="shared" si="1"/>
        <v>62.07</v>
      </c>
    </row>
    <row r="29" spans="1:14">
      <c r="A29" s="364" t="s">
        <v>667</v>
      </c>
      <c r="B29" s="364">
        <v>565</v>
      </c>
      <c r="C29" s="367" t="s">
        <v>1036</v>
      </c>
      <c r="D29" s="368">
        <f>B29*J2/100000</f>
        <v>2.7554485</v>
      </c>
      <c r="E29" s="364">
        <v>2.76</v>
      </c>
      <c r="F29" s="364"/>
      <c r="G29" s="369">
        <v>2.7554500000000002</v>
      </c>
      <c r="H29" s="364">
        <v>0</v>
      </c>
      <c r="I29" s="364"/>
      <c r="J29" s="369"/>
      <c r="K29" s="364"/>
      <c r="L29" s="364"/>
      <c r="M29" s="369">
        <f t="shared" si="0"/>
        <v>2.7554500000000002</v>
      </c>
      <c r="N29" s="369">
        <f t="shared" si="1"/>
        <v>99.835144927536248</v>
      </c>
    </row>
    <row r="30" spans="1:14">
      <c r="A30" s="364" t="s">
        <v>240</v>
      </c>
      <c r="B30" s="364">
        <v>1000</v>
      </c>
      <c r="C30" s="367" t="s">
        <v>1036</v>
      </c>
      <c r="D30" s="368">
        <f>B30*J2/100000</f>
        <v>4.8769</v>
      </c>
      <c r="E30" s="364">
        <v>0</v>
      </c>
      <c r="F30" s="364"/>
      <c r="G30" s="364">
        <v>0</v>
      </c>
      <c r="H30" s="364">
        <v>0</v>
      </c>
      <c r="I30" s="364"/>
      <c r="J30" s="364"/>
      <c r="K30" s="364"/>
      <c r="L30" s="364"/>
      <c r="M30" s="369">
        <f t="shared" si="0"/>
        <v>0</v>
      </c>
      <c r="N30" s="369" t="e">
        <f t="shared" si="1"/>
        <v>#DIV/0!</v>
      </c>
    </row>
    <row r="31" spans="1:14">
      <c r="A31" s="364" t="s">
        <v>241</v>
      </c>
      <c r="B31" s="364">
        <v>2750</v>
      </c>
      <c r="C31" s="367" t="s">
        <v>1036</v>
      </c>
      <c r="D31" s="375">
        <v>2.31</v>
      </c>
      <c r="E31" s="364">
        <v>0.6</v>
      </c>
      <c r="F31" s="364"/>
      <c r="G31" s="369">
        <v>0.23363</v>
      </c>
      <c r="H31" s="369">
        <v>0.35449999999999998</v>
      </c>
      <c r="I31" s="364"/>
      <c r="J31" s="369"/>
      <c r="K31" s="369"/>
      <c r="L31" s="364"/>
      <c r="M31" s="369">
        <f t="shared" si="0"/>
        <v>0.58813000000000004</v>
      </c>
      <c r="N31" s="369">
        <f t="shared" si="1"/>
        <v>98.021666666666675</v>
      </c>
    </row>
    <row r="32" spans="1:14">
      <c r="A32" s="364" t="s">
        <v>670</v>
      </c>
      <c r="B32" s="364">
        <v>10000</v>
      </c>
      <c r="C32" s="367" t="s">
        <v>244</v>
      </c>
      <c r="D32" s="375">
        <v>0.1</v>
      </c>
      <c r="E32" s="364">
        <v>0.1</v>
      </c>
      <c r="F32" s="364"/>
      <c r="G32" s="364">
        <v>0.1</v>
      </c>
      <c r="H32" s="364"/>
      <c r="I32" s="364"/>
      <c r="J32" s="364"/>
      <c r="K32" s="364"/>
      <c r="L32" s="364"/>
      <c r="M32" s="369">
        <f t="shared" si="0"/>
        <v>0.1</v>
      </c>
      <c r="N32" s="369">
        <f t="shared" si="1"/>
        <v>100</v>
      </c>
    </row>
    <row r="33" spans="1:14">
      <c r="A33" s="370" t="s">
        <v>245</v>
      </c>
      <c r="B33" s="370"/>
      <c r="C33" s="366"/>
      <c r="D33" s="371">
        <f>SUM(D24:D32)</f>
        <v>61.309828500000002</v>
      </c>
      <c r="E33" s="376">
        <f t="shared" ref="E33:M33" si="2">SUM(E24:E32)</f>
        <v>26.690000000000005</v>
      </c>
      <c r="F33" s="376">
        <f t="shared" si="2"/>
        <v>0</v>
      </c>
      <c r="G33" s="371">
        <f t="shared" si="2"/>
        <v>4.9091499999999995</v>
      </c>
      <c r="H33" s="371">
        <f t="shared" si="2"/>
        <v>17.23809</v>
      </c>
      <c r="I33" s="376">
        <f t="shared" si="2"/>
        <v>0</v>
      </c>
      <c r="J33" s="371">
        <f t="shared" si="2"/>
        <v>0</v>
      </c>
      <c r="K33" s="371">
        <f t="shared" si="2"/>
        <v>0</v>
      </c>
      <c r="L33" s="376">
        <f t="shared" si="2"/>
        <v>0</v>
      </c>
      <c r="M33" s="371">
        <f t="shared" si="2"/>
        <v>22.147239999999996</v>
      </c>
      <c r="N33" s="369">
        <f t="shared" si="1"/>
        <v>82.979542899962496</v>
      </c>
    </row>
  </sheetData>
  <mergeCells count="30">
    <mergeCell ref="B6:C6"/>
    <mergeCell ref="F6:J7"/>
    <mergeCell ref="B2:C2"/>
    <mergeCell ref="F2:G2"/>
    <mergeCell ref="H2:I2"/>
    <mergeCell ref="B4:C4"/>
    <mergeCell ref="F4:G4"/>
    <mergeCell ref="A3:C3"/>
    <mergeCell ref="B9:C9"/>
    <mergeCell ref="D9:F9"/>
    <mergeCell ref="G9:I9"/>
    <mergeCell ref="J9:L9"/>
    <mergeCell ref="B10:C10"/>
    <mergeCell ref="D10:F10"/>
    <mergeCell ref="G10:I10"/>
    <mergeCell ref="J10:L10"/>
    <mergeCell ref="F22:N22"/>
    <mergeCell ref="B11:C11"/>
    <mergeCell ref="D11:F11"/>
    <mergeCell ref="G11:I11"/>
    <mergeCell ref="J11:L11"/>
    <mergeCell ref="B12:C12"/>
    <mergeCell ref="D12:F12"/>
    <mergeCell ref="G12:I12"/>
    <mergeCell ref="J12:L12"/>
    <mergeCell ref="A22:A23"/>
    <mergeCell ref="B22:B23"/>
    <mergeCell ref="C22:C23"/>
    <mergeCell ref="D22:D23"/>
    <mergeCell ref="E22:E23"/>
  </mergeCells>
  <hyperlinks>
    <hyperlink ref="A3" location="'Fact Sheet of VDC'!A1" display="&lt;&lt;Back"/>
  </hyperlinks>
  <pageMargins left="0.34" right="0.19" top="0.45" bottom="0.4" header="0.3" footer="0.3"/>
  <pageSetup orientation="landscape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:N67"/>
  <sheetViews>
    <sheetView workbookViewId="0">
      <selection activeCell="A2" sqref="A2:C2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46" t="s">
        <v>4347</v>
      </c>
      <c r="B1" s="843" t="s">
        <v>4875</v>
      </c>
      <c r="C1" s="844"/>
      <c r="D1" s="46" t="s">
        <v>4349</v>
      </c>
      <c r="E1" s="46"/>
      <c r="F1" s="865" t="s">
        <v>4876</v>
      </c>
      <c r="G1" s="881"/>
      <c r="H1" s="851" t="s">
        <v>5</v>
      </c>
      <c r="I1" s="852"/>
      <c r="J1" s="47">
        <v>567.91999999999996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4877</v>
      </c>
      <c r="C3" s="844"/>
      <c r="D3" s="46" t="s">
        <v>1208</v>
      </c>
      <c r="E3" s="46"/>
      <c r="F3" s="843" t="s">
        <v>4878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76" t="s">
        <v>4879</v>
      </c>
      <c r="C5" s="877"/>
      <c r="D5" s="46" t="s">
        <v>4355</v>
      </c>
      <c r="E5" s="46"/>
      <c r="F5" s="845" t="s">
        <v>4880</v>
      </c>
      <c r="G5" s="846"/>
      <c r="H5" s="846"/>
      <c r="I5" s="846"/>
      <c r="J5" s="847"/>
      <c r="K5" s="46"/>
      <c r="L5" s="46"/>
      <c r="M5" s="46"/>
      <c r="N5" s="46"/>
    </row>
    <row r="6" spans="1:14">
      <c r="A6" s="46"/>
      <c r="B6" s="878"/>
      <c r="C6" s="879"/>
      <c r="D6" s="46" t="s">
        <v>4357</v>
      </c>
      <c r="E6" s="46"/>
      <c r="F6" s="848"/>
      <c r="G6" s="849"/>
      <c r="H6" s="849"/>
      <c r="I6" s="849"/>
      <c r="J6" s="850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66" t="s">
        <v>4881</v>
      </c>
      <c r="C8" s="867"/>
      <c r="D8" s="866"/>
      <c r="E8" s="868"/>
      <c r="F8" s="867"/>
      <c r="G8" s="843"/>
      <c r="H8" s="870"/>
      <c r="I8" s="844"/>
      <c r="J8" s="843"/>
      <c r="K8" s="870"/>
      <c r="L8" s="844"/>
      <c r="M8" s="46"/>
      <c r="N8" s="46"/>
    </row>
    <row r="9" spans="1:14">
      <c r="A9" s="364" t="s">
        <v>840</v>
      </c>
      <c r="B9" s="866" t="s">
        <v>2438</v>
      </c>
      <c r="C9" s="867"/>
      <c r="D9" s="866"/>
      <c r="E9" s="868"/>
      <c r="F9" s="867"/>
      <c r="G9" s="843"/>
      <c r="H9" s="870"/>
      <c r="I9" s="844"/>
      <c r="J9" s="843"/>
      <c r="K9" s="870"/>
      <c r="L9" s="844"/>
      <c r="M9" s="46"/>
      <c r="N9" s="46"/>
    </row>
    <row r="10" spans="1:14">
      <c r="A10" s="364" t="s">
        <v>4361</v>
      </c>
      <c r="B10" s="866" t="s">
        <v>2438</v>
      </c>
      <c r="C10" s="867"/>
      <c r="D10" s="866"/>
      <c r="E10" s="868"/>
      <c r="F10" s="867"/>
      <c r="G10" s="843"/>
      <c r="H10" s="870"/>
      <c r="I10" s="844"/>
      <c r="J10" s="843"/>
      <c r="K10" s="870"/>
      <c r="L10" s="844"/>
      <c r="M10" s="46"/>
      <c r="N10" s="46"/>
    </row>
    <row r="11" spans="1:14" ht="22.5">
      <c r="A11" s="364" t="s">
        <v>420</v>
      </c>
      <c r="B11" s="866" t="s">
        <v>2438</v>
      </c>
      <c r="C11" s="867"/>
      <c r="D11" s="866"/>
      <c r="E11" s="868"/>
      <c r="F11" s="867"/>
      <c r="G11" s="843"/>
      <c r="H11" s="870"/>
      <c r="I11" s="844"/>
      <c r="J11" s="843"/>
      <c r="K11" s="870"/>
      <c r="L11" s="84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1</v>
      </c>
      <c r="C13" s="46" t="s">
        <v>4366</v>
      </c>
      <c r="D13" s="46"/>
      <c r="E13" s="46"/>
      <c r="F13" s="47">
        <v>0</v>
      </c>
      <c r="G13" s="46" t="s">
        <v>1491</v>
      </c>
      <c r="H13" s="47">
        <v>4</v>
      </c>
      <c r="I13" s="46" t="s">
        <v>1492</v>
      </c>
      <c r="J13" s="47">
        <v>1</v>
      </c>
      <c r="K13" s="46" t="s">
        <v>1493</v>
      </c>
      <c r="L13" s="47">
        <v>24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>
        <v>34</v>
      </c>
      <c r="E16" s="46" t="s">
        <v>205</v>
      </c>
      <c r="F16" s="47">
        <v>7</v>
      </c>
      <c r="G16" s="46" t="s">
        <v>206</v>
      </c>
      <c r="H16" s="47">
        <v>20</v>
      </c>
      <c r="I16" s="46" t="s">
        <v>230</v>
      </c>
      <c r="J16" s="47">
        <v>61</v>
      </c>
      <c r="K16" s="46" t="s">
        <v>207</v>
      </c>
      <c r="L16" s="47">
        <v>8</v>
      </c>
      <c r="M16" s="72" t="s">
        <v>4367</v>
      </c>
      <c r="N16" s="47"/>
    </row>
    <row r="17" spans="1:14">
      <c r="A17" s="46" t="s">
        <v>209</v>
      </c>
      <c r="B17" s="46"/>
      <c r="C17" s="46" t="s">
        <v>210</v>
      </c>
      <c r="D17" s="47">
        <v>70</v>
      </c>
      <c r="E17" s="46" t="s">
        <v>211</v>
      </c>
      <c r="F17" s="47">
        <v>19</v>
      </c>
      <c r="G17" s="46" t="s">
        <v>212</v>
      </c>
      <c r="H17" s="47">
        <v>50</v>
      </c>
      <c r="I17" s="46" t="s">
        <v>411</v>
      </c>
      <c r="J17" s="47">
        <f>H17+F17+D17</f>
        <v>139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64</v>
      </c>
      <c r="E18" s="46" t="s">
        <v>214</v>
      </c>
      <c r="F18" s="47">
        <v>17</v>
      </c>
      <c r="G18" s="46" t="s">
        <v>1494</v>
      </c>
      <c r="H18" s="47">
        <v>38</v>
      </c>
      <c r="I18" s="46" t="s">
        <v>410</v>
      </c>
      <c r="J18" s="47">
        <f>H18+F18+D18</f>
        <v>119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 ht="15" customHeight="1">
      <c r="A21" s="871" t="s">
        <v>217</v>
      </c>
      <c r="B21" s="871" t="s">
        <v>218</v>
      </c>
      <c r="C21" s="871" t="s">
        <v>219</v>
      </c>
      <c r="D21" s="871" t="s">
        <v>407</v>
      </c>
      <c r="E21" s="871" t="s">
        <v>864</v>
      </c>
      <c r="F21" s="873" t="s">
        <v>4368</v>
      </c>
      <c r="G21" s="874"/>
      <c r="H21" s="874"/>
      <c r="I21" s="874"/>
      <c r="J21" s="874"/>
      <c r="K21" s="874"/>
      <c r="L21" s="874"/>
      <c r="M21" s="874"/>
      <c r="N21" s="875"/>
    </row>
    <row r="22" spans="1:14">
      <c r="A22" s="872"/>
      <c r="B22" s="872"/>
      <c r="C22" s="872"/>
      <c r="D22" s="872"/>
      <c r="E22" s="872"/>
      <c r="F22" s="366" t="s">
        <v>227</v>
      </c>
      <c r="G22" s="366" t="s">
        <v>228</v>
      </c>
      <c r="H22" s="366" t="s">
        <v>229</v>
      </c>
      <c r="I22" s="366" t="s">
        <v>1499</v>
      </c>
      <c r="J22" s="366" t="s">
        <v>4831</v>
      </c>
      <c r="K22" s="366" t="s">
        <v>4832</v>
      </c>
      <c r="L22" s="366" t="s">
        <v>4833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45.433599999999998</v>
      </c>
      <c r="E23" s="364">
        <v>18</v>
      </c>
      <c r="F23" s="364"/>
      <c r="G23" s="369">
        <v>1.0487500000000001</v>
      </c>
      <c r="H23" s="369">
        <v>7.5008499999999998</v>
      </c>
      <c r="I23" s="80"/>
      <c r="J23" s="80"/>
      <c r="K23" s="80"/>
      <c r="L23" s="364"/>
      <c r="M23" s="369">
        <f>SUM(F23:L23)</f>
        <v>8.5495999999999999</v>
      </c>
      <c r="N23" s="369">
        <f>M23/E23*100</f>
        <v>47.497777777777777</v>
      </c>
    </row>
    <row r="24" spans="1:14" ht="22.5">
      <c r="A24" s="364" t="s">
        <v>234</v>
      </c>
      <c r="B24" s="364">
        <v>7000</v>
      </c>
      <c r="C24" s="367" t="s">
        <v>4369</v>
      </c>
      <c r="D24" s="368">
        <f>5.6-2.7</f>
        <v>2.8999999999999995</v>
      </c>
      <c r="E24" s="364">
        <v>2.56</v>
      </c>
      <c r="F24" s="364"/>
      <c r="G24" s="364">
        <v>0</v>
      </c>
      <c r="H24" s="369">
        <v>0.75590000000000002</v>
      </c>
      <c r="I24" s="80"/>
      <c r="J24" s="80"/>
      <c r="K24" s="80"/>
      <c r="L24" s="364"/>
      <c r="M24" s="369">
        <f t="shared" ref="M24:M31" si="0">SUM(F24:L24)</f>
        <v>0.75590000000000002</v>
      </c>
      <c r="N24" s="369">
        <f t="shared" ref="N24:N32" si="1">M24/E24*100</f>
        <v>29.52734375</v>
      </c>
    </row>
    <row r="25" spans="1:14" ht="22.5">
      <c r="A25" s="364" t="s">
        <v>235</v>
      </c>
      <c r="B25" s="364">
        <v>43000</v>
      </c>
      <c r="C25" s="367" t="s">
        <v>236</v>
      </c>
      <c r="D25" s="375">
        <f>0.43+2.7</f>
        <v>3.1300000000000003</v>
      </c>
      <c r="E25" s="364">
        <v>0.35</v>
      </c>
      <c r="F25" s="364"/>
      <c r="G25" s="369">
        <v>0.11396000000000001</v>
      </c>
      <c r="H25" s="364">
        <v>0</v>
      </c>
      <c r="I25" s="80"/>
      <c r="J25" s="80"/>
      <c r="K25" s="80"/>
      <c r="L25" s="364"/>
      <c r="M25" s="369">
        <f t="shared" si="0"/>
        <v>0.11396000000000001</v>
      </c>
      <c r="N25" s="369">
        <f t="shared" si="1"/>
        <v>32.56</v>
      </c>
    </row>
    <row r="26" spans="1:14" ht="22.5">
      <c r="A26" s="364" t="s">
        <v>237</v>
      </c>
      <c r="B26" s="364">
        <v>37000</v>
      </c>
      <c r="C26" s="367" t="s">
        <v>236</v>
      </c>
      <c r="D26" s="375">
        <v>0.37</v>
      </c>
      <c r="E26" s="364">
        <v>0.32</v>
      </c>
      <c r="F26" s="364"/>
      <c r="G26" s="369">
        <v>0.10949</v>
      </c>
      <c r="H26" s="364">
        <v>0</v>
      </c>
      <c r="I26" s="80"/>
      <c r="J26" s="80"/>
      <c r="K26" s="80"/>
      <c r="L26" s="364"/>
      <c r="M26" s="369">
        <f t="shared" si="0"/>
        <v>0.10949</v>
      </c>
      <c r="N26" s="369">
        <f t="shared" si="1"/>
        <v>34.215625000000003</v>
      </c>
    </row>
    <row r="27" spans="1:14" ht="22.5">
      <c r="A27" s="364" t="s">
        <v>238</v>
      </c>
      <c r="B27" s="364">
        <v>1200</v>
      </c>
      <c r="C27" s="367" t="s">
        <v>4369</v>
      </c>
      <c r="D27" s="368">
        <f>B27*J1/100000</f>
        <v>6.8150399999999998</v>
      </c>
      <c r="E27" s="364">
        <v>2</v>
      </c>
      <c r="F27" s="364"/>
      <c r="G27" s="364">
        <v>0</v>
      </c>
      <c r="H27" s="364">
        <v>0</v>
      </c>
      <c r="I27" s="80"/>
      <c r="J27" s="80"/>
      <c r="K27" s="80"/>
      <c r="L27" s="364"/>
      <c r="M27" s="369">
        <f t="shared" si="0"/>
        <v>0</v>
      </c>
      <c r="N27" s="369">
        <f t="shared" si="1"/>
        <v>0</v>
      </c>
    </row>
    <row r="28" spans="1:14">
      <c r="A28" s="364" t="s">
        <v>667</v>
      </c>
      <c r="B28" s="364">
        <v>565</v>
      </c>
      <c r="C28" s="367" t="s">
        <v>1036</v>
      </c>
      <c r="D28" s="375">
        <v>2.83</v>
      </c>
      <c r="E28" s="364">
        <v>2.83</v>
      </c>
      <c r="F28" s="364"/>
      <c r="G28" s="369">
        <v>3.2087500000000002</v>
      </c>
      <c r="H28" s="364">
        <v>0</v>
      </c>
      <c r="I28" s="80"/>
      <c r="J28" s="80"/>
      <c r="K28" s="80"/>
      <c r="L28" s="364"/>
      <c r="M28" s="369">
        <f t="shared" si="0"/>
        <v>3.2087500000000002</v>
      </c>
      <c r="N28" s="369">
        <f t="shared" si="1"/>
        <v>113.38339222614842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5.6791999999999998</v>
      </c>
      <c r="E29" s="364">
        <v>0</v>
      </c>
      <c r="F29" s="364"/>
      <c r="G29" s="364">
        <v>0</v>
      </c>
      <c r="H29" s="364">
        <v>0</v>
      </c>
      <c r="I29" s="80"/>
      <c r="J29" s="80"/>
      <c r="K29" s="80"/>
      <c r="L29" s="364"/>
      <c r="M29" s="369">
        <f t="shared" si="0"/>
        <v>0</v>
      </c>
      <c r="N29" s="369" t="e">
        <f t="shared" si="1"/>
        <v>#DIV/0!</v>
      </c>
    </row>
    <row r="30" spans="1:14">
      <c r="A30" s="364" t="s">
        <v>241</v>
      </c>
      <c r="B30" s="364">
        <v>2750</v>
      </c>
      <c r="C30" s="367" t="s">
        <v>1036</v>
      </c>
      <c r="D30" s="375">
        <v>2.31</v>
      </c>
      <c r="E30" s="364">
        <v>0.6</v>
      </c>
      <c r="F30" s="364"/>
      <c r="G30" s="369">
        <v>0.13313</v>
      </c>
      <c r="H30" s="369">
        <v>0.30499999999999999</v>
      </c>
      <c r="I30" s="80"/>
      <c r="J30" s="80"/>
      <c r="K30" s="80"/>
      <c r="L30" s="364"/>
      <c r="M30" s="369">
        <f t="shared" si="0"/>
        <v>0.43813000000000002</v>
      </c>
      <c r="N30" s="369">
        <f t="shared" si="1"/>
        <v>73.021666666666675</v>
      </c>
    </row>
    <row r="31" spans="1:14">
      <c r="A31" s="364" t="s">
        <v>670</v>
      </c>
      <c r="B31" s="364">
        <v>10000</v>
      </c>
      <c r="C31" s="367" t="s">
        <v>244</v>
      </c>
      <c r="D31" s="375">
        <v>0.1</v>
      </c>
      <c r="E31" s="364">
        <v>0.1</v>
      </c>
      <c r="F31" s="364"/>
      <c r="G31" s="364"/>
      <c r="H31" s="364"/>
      <c r="I31" s="364"/>
      <c r="J31" s="364"/>
      <c r="K31" s="364"/>
      <c r="L31" s="364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69.56783999999999</v>
      </c>
      <c r="E32" s="376">
        <f t="shared" ref="E32:M32" si="2">SUM(E23:E31)</f>
        <v>26.760000000000005</v>
      </c>
      <c r="F32" s="376">
        <f t="shared" si="2"/>
        <v>0</v>
      </c>
      <c r="G32" s="371">
        <f t="shared" si="2"/>
        <v>4.6140800000000004</v>
      </c>
      <c r="H32" s="371">
        <f t="shared" si="2"/>
        <v>8.56175</v>
      </c>
      <c r="I32" s="376">
        <f t="shared" si="2"/>
        <v>0</v>
      </c>
      <c r="J32" s="376">
        <f t="shared" si="2"/>
        <v>0</v>
      </c>
      <c r="K32" s="376">
        <f t="shared" si="2"/>
        <v>0</v>
      </c>
      <c r="L32" s="376">
        <f t="shared" si="2"/>
        <v>0</v>
      </c>
      <c r="M32" s="371">
        <f t="shared" si="2"/>
        <v>13.175829999999999</v>
      </c>
      <c r="N32" s="369">
        <f t="shared" si="1"/>
        <v>49.237032884902824</v>
      </c>
    </row>
    <row r="33" spans="1:14">
      <c r="A33" s="880" t="s">
        <v>167</v>
      </c>
      <c r="B33" s="880"/>
      <c r="C33" s="880"/>
      <c r="D33" s="880"/>
      <c r="E33" s="880"/>
      <c r="F33" s="880"/>
      <c r="G33" s="880"/>
      <c r="H33" s="880"/>
      <c r="I33" s="880"/>
      <c r="J33" s="880"/>
      <c r="K33" s="880"/>
      <c r="L33" s="880"/>
      <c r="M33" s="880"/>
      <c r="N33" s="880"/>
    </row>
    <row r="34" spans="1:14">
      <c r="A34" s="857" t="s">
        <v>4882</v>
      </c>
      <c r="B34" s="857"/>
      <c r="C34" s="857"/>
      <c r="D34" s="857"/>
      <c r="E34" s="857"/>
      <c r="F34" s="857"/>
      <c r="G34" s="857"/>
      <c r="H34" s="857"/>
      <c r="I34" s="857"/>
      <c r="J34" s="857"/>
      <c r="K34" s="857"/>
      <c r="L34" s="857"/>
      <c r="M34" s="857"/>
      <c r="N34" s="857"/>
    </row>
    <row r="35" spans="1:14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</row>
    <row r="36" spans="1:14">
      <c r="A36" s="46" t="s">
        <v>4347</v>
      </c>
      <c r="B36" s="843" t="s">
        <v>3120</v>
      </c>
      <c r="C36" s="844"/>
      <c r="D36" s="46" t="s">
        <v>4349</v>
      </c>
      <c r="E36" s="46"/>
      <c r="F36" s="865" t="s">
        <v>4856</v>
      </c>
      <c r="G36" s="881"/>
      <c r="H36" s="851" t="s">
        <v>5</v>
      </c>
      <c r="I36" s="852"/>
      <c r="J36" s="47">
        <v>629.51</v>
      </c>
      <c r="K36" s="46" t="s">
        <v>436</v>
      </c>
      <c r="L36" s="46"/>
      <c r="M36" s="47"/>
      <c r="N36" s="46"/>
    </row>
    <row r="37" spans="1:14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</row>
    <row r="38" spans="1:14">
      <c r="A38" s="46" t="s">
        <v>832</v>
      </c>
      <c r="B38" s="843" t="s">
        <v>4857</v>
      </c>
      <c r="C38" s="844"/>
      <c r="D38" s="46" t="s">
        <v>1208</v>
      </c>
      <c r="E38" s="46"/>
      <c r="F38" s="843" t="s">
        <v>4858</v>
      </c>
      <c r="G38" s="844"/>
      <c r="H38" s="48"/>
      <c r="I38" s="48"/>
      <c r="J38" s="46"/>
      <c r="K38" s="46"/>
      <c r="L38" s="46"/>
      <c r="M38" s="46"/>
      <c r="N38" s="46"/>
    </row>
    <row r="39" spans="1:14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1:14">
      <c r="A40" s="46" t="s">
        <v>4353</v>
      </c>
      <c r="B40" s="876" t="s">
        <v>4859</v>
      </c>
      <c r="C40" s="877"/>
      <c r="D40" s="46" t="s">
        <v>4355</v>
      </c>
      <c r="E40" s="46"/>
      <c r="F40" s="845" t="s">
        <v>4860</v>
      </c>
      <c r="G40" s="846"/>
      <c r="H40" s="846"/>
      <c r="I40" s="846"/>
      <c r="J40" s="847"/>
      <c r="K40" s="46"/>
      <c r="L40" s="46"/>
      <c r="M40" s="46"/>
      <c r="N40" s="46"/>
    </row>
    <row r="41" spans="1:14">
      <c r="A41" s="46"/>
      <c r="B41" s="878"/>
      <c r="C41" s="879"/>
      <c r="D41" s="46" t="s">
        <v>4357</v>
      </c>
      <c r="E41" s="46"/>
      <c r="F41" s="848"/>
      <c r="G41" s="849"/>
      <c r="H41" s="849"/>
      <c r="I41" s="849"/>
      <c r="J41" s="850"/>
      <c r="K41" s="46"/>
      <c r="L41" s="46"/>
      <c r="M41" s="46"/>
      <c r="N41" s="46"/>
    </row>
    <row r="42" spans="1:14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</row>
    <row r="43" spans="1:14">
      <c r="A43" s="364" t="s">
        <v>838</v>
      </c>
      <c r="B43" s="866" t="s">
        <v>4861</v>
      </c>
      <c r="C43" s="867"/>
      <c r="D43" s="866" t="s">
        <v>4862</v>
      </c>
      <c r="E43" s="868"/>
      <c r="F43" s="867"/>
      <c r="G43" s="843" t="s">
        <v>4863</v>
      </c>
      <c r="H43" s="870"/>
      <c r="I43" s="844"/>
      <c r="J43" s="843" t="s">
        <v>4864</v>
      </c>
      <c r="K43" s="870"/>
      <c r="L43" s="844"/>
      <c r="M43" s="46"/>
      <c r="N43" s="46"/>
    </row>
    <row r="44" spans="1:14" ht="15" customHeight="1">
      <c r="A44" s="364" t="s">
        <v>840</v>
      </c>
      <c r="B44" s="866" t="s">
        <v>4865</v>
      </c>
      <c r="C44" s="867"/>
      <c r="D44" s="866" t="s">
        <v>4866</v>
      </c>
      <c r="E44" s="868"/>
      <c r="F44" s="867"/>
      <c r="G44" s="843" t="s">
        <v>4867</v>
      </c>
      <c r="H44" s="870"/>
      <c r="I44" s="844"/>
      <c r="J44" s="843" t="s">
        <v>4868</v>
      </c>
      <c r="K44" s="870"/>
      <c r="L44" s="844"/>
      <c r="M44" s="46"/>
      <c r="N44" s="46"/>
    </row>
    <row r="45" spans="1:14">
      <c r="A45" s="364" t="s">
        <v>4361</v>
      </c>
      <c r="B45" s="866"/>
      <c r="C45" s="867"/>
      <c r="D45" s="866"/>
      <c r="E45" s="868"/>
      <c r="F45" s="867"/>
      <c r="G45" s="843"/>
      <c r="H45" s="870"/>
      <c r="I45" s="844"/>
      <c r="J45" s="843"/>
      <c r="K45" s="870"/>
      <c r="L45" s="844"/>
      <c r="M45" s="46"/>
      <c r="N45" s="46"/>
    </row>
    <row r="46" spans="1:14" ht="22.5">
      <c r="A46" s="364" t="s">
        <v>420</v>
      </c>
      <c r="B46" s="866"/>
      <c r="C46" s="867"/>
      <c r="D46" s="866"/>
      <c r="E46" s="868"/>
      <c r="F46" s="867"/>
      <c r="G46" s="843"/>
      <c r="H46" s="870"/>
      <c r="I46" s="844"/>
      <c r="J46" s="843"/>
      <c r="K46" s="870"/>
      <c r="L46" s="844"/>
      <c r="M46" s="46"/>
      <c r="N46" s="46"/>
    </row>
    <row r="47" spans="1:14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</row>
    <row r="48" spans="1:14">
      <c r="A48" s="46" t="s">
        <v>4365</v>
      </c>
      <c r="B48" s="47">
        <v>4</v>
      </c>
      <c r="C48" s="46" t="s">
        <v>4366</v>
      </c>
      <c r="D48" s="46"/>
      <c r="E48" s="46"/>
      <c r="F48" s="47">
        <v>2</v>
      </c>
      <c r="G48" s="46" t="s">
        <v>1491</v>
      </c>
      <c r="H48" s="47">
        <v>11</v>
      </c>
      <c r="I48" s="46" t="s">
        <v>1492</v>
      </c>
      <c r="J48" s="47">
        <v>3</v>
      </c>
      <c r="K48" s="46" t="s">
        <v>1493</v>
      </c>
      <c r="L48" s="47">
        <v>34</v>
      </c>
      <c r="M48" s="46"/>
      <c r="N48" s="46"/>
    </row>
    <row r="49" spans="1:14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</row>
    <row r="50" spans="1:14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</row>
    <row r="51" spans="1:14" ht="22.5">
      <c r="A51" s="46" t="s">
        <v>646</v>
      </c>
      <c r="B51" s="46"/>
      <c r="C51" s="46" t="s">
        <v>204</v>
      </c>
      <c r="D51" s="47">
        <v>84</v>
      </c>
      <c r="E51" s="46" t="s">
        <v>205</v>
      </c>
      <c r="F51" s="47">
        <v>25</v>
      </c>
      <c r="G51" s="46" t="s">
        <v>206</v>
      </c>
      <c r="H51" s="47">
        <v>45</v>
      </c>
      <c r="I51" s="46" t="s">
        <v>230</v>
      </c>
      <c r="J51" s="47">
        <v>154</v>
      </c>
      <c r="K51" s="46" t="s">
        <v>207</v>
      </c>
      <c r="L51" s="47">
        <v>22</v>
      </c>
      <c r="M51" s="72" t="s">
        <v>4367</v>
      </c>
      <c r="N51" s="47"/>
    </row>
    <row r="52" spans="1:14">
      <c r="A52" s="46" t="s">
        <v>209</v>
      </c>
      <c r="B52" s="46"/>
      <c r="C52" s="46" t="s">
        <v>210</v>
      </c>
      <c r="D52" s="47">
        <v>175</v>
      </c>
      <c r="E52" s="46" t="s">
        <v>211</v>
      </c>
      <c r="F52" s="47">
        <v>48</v>
      </c>
      <c r="G52" s="46" t="s">
        <v>212</v>
      </c>
      <c r="H52" s="47">
        <v>86</v>
      </c>
      <c r="I52" s="46" t="s">
        <v>411</v>
      </c>
      <c r="J52" s="47">
        <f>H52+F52+D52</f>
        <v>309</v>
      </c>
      <c r="K52" s="46"/>
      <c r="L52" s="46"/>
      <c r="M52" s="46"/>
      <c r="N52" s="46"/>
    </row>
    <row r="53" spans="1:14">
      <c r="A53" s="46"/>
      <c r="B53" s="46"/>
      <c r="C53" s="46" t="s">
        <v>213</v>
      </c>
      <c r="D53" s="47">
        <v>176</v>
      </c>
      <c r="E53" s="46" t="s">
        <v>214</v>
      </c>
      <c r="F53" s="47">
        <v>49</v>
      </c>
      <c r="G53" s="46" t="s">
        <v>1494</v>
      </c>
      <c r="H53" s="47">
        <v>75</v>
      </c>
      <c r="I53" s="46" t="s">
        <v>410</v>
      </c>
      <c r="J53" s="47">
        <f>H53+F53+D53</f>
        <v>300</v>
      </c>
      <c r="K53" s="46"/>
      <c r="L53" s="46"/>
      <c r="M53" s="46"/>
      <c r="N53" s="46"/>
    </row>
    <row r="54" spans="1:14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</row>
    <row r="55" spans="1:14">
      <c r="A55" s="365" t="s">
        <v>216</v>
      </c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</row>
    <row r="56" spans="1:14" ht="15" customHeight="1">
      <c r="A56" s="871" t="s">
        <v>217</v>
      </c>
      <c r="B56" s="871" t="s">
        <v>218</v>
      </c>
      <c r="C56" s="871" t="s">
        <v>219</v>
      </c>
      <c r="D56" s="871" t="s">
        <v>407</v>
      </c>
      <c r="E56" s="871" t="s">
        <v>864</v>
      </c>
      <c r="F56" s="873" t="s">
        <v>4368</v>
      </c>
      <c r="G56" s="874"/>
      <c r="H56" s="874"/>
      <c r="I56" s="874"/>
      <c r="J56" s="874"/>
      <c r="K56" s="874"/>
      <c r="L56" s="874"/>
      <c r="M56" s="874"/>
      <c r="N56" s="875"/>
    </row>
    <row r="57" spans="1:14">
      <c r="A57" s="872"/>
      <c r="B57" s="872"/>
      <c r="C57" s="872"/>
      <c r="D57" s="872"/>
      <c r="E57" s="872"/>
      <c r="F57" s="366" t="s">
        <v>227</v>
      </c>
      <c r="G57" s="366" t="s">
        <v>228</v>
      </c>
      <c r="H57" s="366" t="s">
        <v>229</v>
      </c>
      <c r="I57" s="366" t="s">
        <v>1499</v>
      </c>
      <c r="J57" s="366" t="s">
        <v>4831</v>
      </c>
      <c r="K57" s="366" t="s">
        <v>4832</v>
      </c>
      <c r="L57" s="366" t="s">
        <v>4833</v>
      </c>
      <c r="M57" s="366" t="s">
        <v>230</v>
      </c>
      <c r="N57" s="366" t="s">
        <v>231</v>
      </c>
    </row>
    <row r="58" spans="1:14">
      <c r="A58" s="364" t="s">
        <v>232</v>
      </c>
      <c r="B58" s="364">
        <v>8000</v>
      </c>
      <c r="C58" s="367" t="s">
        <v>4369</v>
      </c>
      <c r="D58" s="368">
        <f>B58*J36/100000</f>
        <v>50.360799999999998</v>
      </c>
      <c r="E58" s="369">
        <v>18</v>
      </c>
      <c r="F58" s="369"/>
      <c r="G58" s="369">
        <v>2.8095500000000002</v>
      </c>
      <c r="H58" s="369">
        <v>10.39611</v>
      </c>
      <c r="I58" s="300"/>
      <c r="J58" s="300"/>
      <c r="K58" s="300"/>
      <c r="L58" s="369"/>
      <c r="M58" s="369">
        <f>SUM(F58:L58)</f>
        <v>13.20566</v>
      </c>
      <c r="N58" s="369">
        <f>M58/E58*100</f>
        <v>73.364777777777775</v>
      </c>
    </row>
    <row r="59" spans="1:14" ht="22.5">
      <c r="A59" s="364" t="s">
        <v>234</v>
      </c>
      <c r="B59" s="364">
        <v>7000</v>
      </c>
      <c r="C59" s="367" t="s">
        <v>4369</v>
      </c>
      <c r="D59" s="368">
        <f>5.6-2.7</f>
        <v>2.8999999999999995</v>
      </c>
      <c r="E59" s="369">
        <v>2.56</v>
      </c>
      <c r="F59" s="369"/>
      <c r="G59" s="369">
        <v>0</v>
      </c>
      <c r="H59" s="369">
        <v>2.3338000000000001</v>
      </c>
      <c r="I59" s="300"/>
      <c r="J59" s="300"/>
      <c r="K59" s="300"/>
      <c r="L59" s="369"/>
      <c r="M59" s="369">
        <f t="shared" ref="M59:M66" si="3">SUM(F59:L59)</f>
        <v>2.3338000000000001</v>
      </c>
      <c r="N59" s="369">
        <f t="shared" ref="N59:N67" si="4">M59/E59*100</f>
        <v>91.1640625</v>
      </c>
    </row>
    <row r="60" spans="1:14" ht="22.5">
      <c r="A60" s="364" t="s">
        <v>235</v>
      </c>
      <c r="B60" s="364">
        <v>43000</v>
      </c>
      <c r="C60" s="367" t="s">
        <v>236</v>
      </c>
      <c r="D60" s="368">
        <f>0.43+2.7</f>
        <v>3.1300000000000003</v>
      </c>
      <c r="E60" s="369">
        <v>0.35</v>
      </c>
      <c r="F60" s="369"/>
      <c r="G60" s="369">
        <v>0.15795999999999999</v>
      </c>
      <c r="H60" s="369">
        <v>0</v>
      </c>
      <c r="I60" s="300"/>
      <c r="J60" s="300"/>
      <c r="K60" s="300"/>
      <c r="L60" s="369"/>
      <c r="M60" s="369">
        <f t="shared" si="3"/>
        <v>0.15795999999999999</v>
      </c>
      <c r="N60" s="369">
        <f t="shared" si="4"/>
        <v>45.131428571428572</v>
      </c>
    </row>
    <row r="61" spans="1:14" ht="22.5">
      <c r="A61" s="364" t="s">
        <v>237</v>
      </c>
      <c r="B61" s="364">
        <v>37000</v>
      </c>
      <c r="C61" s="367" t="s">
        <v>236</v>
      </c>
      <c r="D61" s="368">
        <v>0.37</v>
      </c>
      <c r="E61" s="369">
        <v>0.32</v>
      </c>
      <c r="F61" s="369"/>
      <c r="G61" s="369">
        <v>0.10949</v>
      </c>
      <c r="H61" s="369">
        <v>0</v>
      </c>
      <c r="I61" s="300"/>
      <c r="J61" s="300"/>
      <c r="K61" s="300"/>
      <c r="L61" s="369"/>
      <c r="M61" s="369">
        <f t="shared" si="3"/>
        <v>0.10949</v>
      </c>
      <c r="N61" s="369">
        <f t="shared" si="4"/>
        <v>34.215625000000003</v>
      </c>
    </row>
    <row r="62" spans="1:14" ht="22.5">
      <c r="A62" s="364" t="s">
        <v>238</v>
      </c>
      <c r="B62" s="364">
        <v>1200</v>
      </c>
      <c r="C62" s="367" t="s">
        <v>4369</v>
      </c>
      <c r="D62" s="368">
        <f>B62*J36/100000</f>
        <v>7.5541200000000002</v>
      </c>
      <c r="E62" s="369">
        <v>2</v>
      </c>
      <c r="F62" s="369"/>
      <c r="G62" s="369">
        <v>0</v>
      </c>
      <c r="H62" s="369">
        <v>0.92090000000000005</v>
      </c>
      <c r="I62" s="300"/>
      <c r="J62" s="300"/>
      <c r="K62" s="300"/>
      <c r="L62" s="369"/>
      <c r="M62" s="369">
        <f t="shared" si="3"/>
        <v>0.92090000000000005</v>
      </c>
      <c r="N62" s="369">
        <f t="shared" si="4"/>
        <v>46.045000000000002</v>
      </c>
    </row>
    <row r="63" spans="1:14">
      <c r="A63" s="364" t="s">
        <v>667</v>
      </c>
      <c r="B63" s="364">
        <v>565</v>
      </c>
      <c r="C63" s="367" t="s">
        <v>1036</v>
      </c>
      <c r="D63" s="368">
        <v>2.83</v>
      </c>
      <c r="E63" s="369">
        <v>2.83</v>
      </c>
      <c r="F63" s="369"/>
      <c r="G63" s="369">
        <v>3.5567299999999999</v>
      </c>
      <c r="H63" s="369">
        <v>0</v>
      </c>
      <c r="I63" s="300"/>
      <c r="J63" s="300"/>
      <c r="K63" s="300"/>
      <c r="L63" s="369"/>
      <c r="M63" s="369">
        <f t="shared" si="3"/>
        <v>3.5567299999999999</v>
      </c>
      <c r="N63" s="369">
        <f t="shared" si="4"/>
        <v>125.67950530035334</v>
      </c>
    </row>
    <row r="64" spans="1:14">
      <c r="A64" s="364" t="s">
        <v>240</v>
      </c>
      <c r="B64" s="364">
        <v>1000</v>
      </c>
      <c r="C64" s="367" t="s">
        <v>1036</v>
      </c>
      <c r="D64" s="368">
        <f>B64*J36/100000</f>
        <v>6.2950999999999997</v>
      </c>
      <c r="E64" s="369">
        <v>0</v>
      </c>
      <c r="F64" s="369"/>
      <c r="G64" s="369">
        <v>0</v>
      </c>
      <c r="H64" s="369">
        <v>0</v>
      </c>
      <c r="I64" s="300"/>
      <c r="J64" s="300"/>
      <c r="K64" s="300"/>
      <c r="L64" s="369"/>
      <c r="M64" s="369">
        <f t="shared" si="3"/>
        <v>0</v>
      </c>
      <c r="N64" s="369" t="e">
        <f t="shared" si="4"/>
        <v>#DIV/0!</v>
      </c>
    </row>
    <row r="65" spans="1:14">
      <c r="A65" s="364" t="s">
        <v>241</v>
      </c>
      <c r="B65" s="364">
        <v>2750</v>
      </c>
      <c r="C65" s="367" t="s">
        <v>1036</v>
      </c>
      <c r="D65" s="368">
        <v>2.31</v>
      </c>
      <c r="E65" s="369">
        <v>0.6</v>
      </c>
      <c r="F65" s="369"/>
      <c r="G65" s="369">
        <v>0.25155</v>
      </c>
      <c r="H65" s="369">
        <v>0.41199999999999998</v>
      </c>
      <c r="I65" s="300"/>
      <c r="J65" s="300"/>
      <c r="K65" s="300"/>
      <c r="L65" s="369"/>
      <c r="M65" s="369">
        <f t="shared" si="3"/>
        <v>0.66354999999999997</v>
      </c>
      <c r="N65" s="369">
        <f t="shared" si="4"/>
        <v>110.59166666666667</v>
      </c>
    </row>
    <row r="66" spans="1:14">
      <c r="A66" s="364" t="s">
        <v>670</v>
      </c>
      <c r="B66" s="364">
        <v>10000</v>
      </c>
      <c r="C66" s="367" t="s">
        <v>244</v>
      </c>
      <c r="D66" s="368">
        <v>0.1</v>
      </c>
      <c r="E66" s="369">
        <v>0.1</v>
      </c>
      <c r="F66" s="369"/>
      <c r="G66" s="369"/>
      <c r="H66" s="369"/>
      <c r="I66" s="369"/>
      <c r="J66" s="369"/>
      <c r="K66" s="369"/>
      <c r="L66" s="369"/>
      <c r="M66" s="369">
        <f t="shared" si="3"/>
        <v>0</v>
      </c>
      <c r="N66" s="369">
        <f t="shared" si="4"/>
        <v>0</v>
      </c>
    </row>
    <row r="67" spans="1:14">
      <c r="A67" s="370" t="s">
        <v>245</v>
      </c>
      <c r="B67" s="370"/>
      <c r="C67" s="366"/>
      <c r="D67" s="371">
        <f>SUM(D58:D66)</f>
        <v>75.850020000000001</v>
      </c>
      <c r="E67" s="371">
        <f t="shared" ref="E67:M67" si="5">SUM(E58:E66)</f>
        <v>26.760000000000005</v>
      </c>
      <c r="F67" s="371">
        <f t="shared" si="5"/>
        <v>0</v>
      </c>
      <c r="G67" s="371">
        <f t="shared" si="5"/>
        <v>6.8852799999999998</v>
      </c>
      <c r="H67" s="371">
        <f t="shared" si="5"/>
        <v>14.062810000000001</v>
      </c>
      <c r="I67" s="371">
        <f t="shared" si="5"/>
        <v>0</v>
      </c>
      <c r="J67" s="371">
        <f t="shared" si="5"/>
        <v>0</v>
      </c>
      <c r="K67" s="371">
        <f t="shared" si="5"/>
        <v>0</v>
      </c>
      <c r="L67" s="371">
        <f t="shared" si="5"/>
        <v>0</v>
      </c>
      <c r="M67" s="371">
        <f t="shared" si="5"/>
        <v>20.948090000000001</v>
      </c>
      <c r="N67" s="369">
        <f t="shared" si="4"/>
        <v>78.281352765321373</v>
      </c>
    </row>
  </sheetData>
  <mergeCells count="61">
    <mergeCell ref="B5:C6"/>
    <mergeCell ref="F5:J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B10:C10"/>
    <mergeCell ref="D10:F10"/>
    <mergeCell ref="G10:I10"/>
    <mergeCell ref="J10:L10"/>
    <mergeCell ref="B11:C11"/>
    <mergeCell ref="D11:F11"/>
    <mergeCell ref="G11:I11"/>
    <mergeCell ref="J11:L11"/>
    <mergeCell ref="B38:C38"/>
    <mergeCell ref="F38:G38"/>
    <mergeCell ref="A21:A22"/>
    <mergeCell ref="B21:B22"/>
    <mergeCell ref="C21:C22"/>
    <mergeCell ref="D21:D22"/>
    <mergeCell ref="E21:E22"/>
    <mergeCell ref="F21:N21"/>
    <mergeCell ref="A33:N33"/>
    <mergeCell ref="A34:N34"/>
    <mergeCell ref="B36:C36"/>
    <mergeCell ref="F36:G36"/>
    <mergeCell ref="H36:I36"/>
    <mergeCell ref="B40:C41"/>
    <mergeCell ref="F40:J41"/>
    <mergeCell ref="B43:C43"/>
    <mergeCell ref="D43:F43"/>
    <mergeCell ref="G43:I43"/>
    <mergeCell ref="J43:L43"/>
    <mergeCell ref="B44:C44"/>
    <mergeCell ref="D44:F44"/>
    <mergeCell ref="G44:I44"/>
    <mergeCell ref="J44:L44"/>
    <mergeCell ref="B45:C45"/>
    <mergeCell ref="D45:F45"/>
    <mergeCell ref="G45:I45"/>
    <mergeCell ref="J45:L45"/>
    <mergeCell ref="B46:C46"/>
    <mergeCell ref="D46:F46"/>
    <mergeCell ref="G46:I46"/>
    <mergeCell ref="J46:L46"/>
    <mergeCell ref="A56:A57"/>
    <mergeCell ref="B56:B57"/>
    <mergeCell ref="C56:C57"/>
    <mergeCell ref="D56:D57"/>
    <mergeCell ref="E56:E57"/>
    <mergeCell ref="F56:N56"/>
  </mergeCells>
  <hyperlinks>
    <hyperlink ref="A2" location="'Fact Sheet of VDC'!A1" display="&lt;&lt;Back"/>
  </hyperlinks>
  <pageMargins left="0.34" right="0.19" top="0.45" bottom="0.4" header="0.3" footer="0.3"/>
  <pageSetup orientation="landscape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A1:N33"/>
  <sheetViews>
    <sheetView workbookViewId="0">
      <selection activeCell="A3" sqref="A3:C3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>
      <c r="A2" s="46" t="s">
        <v>4347</v>
      </c>
      <c r="B2" s="843" t="s">
        <v>3123</v>
      </c>
      <c r="C2" s="844"/>
      <c r="D2" s="46" t="s">
        <v>4349</v>
      </c>
      <c r="E2" s="46"/>
      <c r="F2" s="865" t="s">
        <v>4883</v>
      </c>
      <c r="G2" s="844"/>
      <c r="H2" s="851" t="s">
        <v>5</v>
      </c>
      <c r="I2" s="852"/>
      <c r="J2" s="47">
        <v>443.29</v>
      </c>
      <c r="K2" s="46" t="s">
        <v>436</v>
      </c>
      <c r="L2" s="46"/>
      <c r="M2" s="47"/>
      <c r="N2" s="46"/>
    </row>
    <row r="3" spans="1:14">
      <c r="A3" s="808" t="s">
        <v>4176</v>
      </c>
      <c r="B3" s="808"/>
      <c r="C3" s="808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>
      <c r="A4" s="46" t="s">
        <v>832</v>
      </c>
      <c r="B4" s="843" t="s">
        <v>4884</v>
      </c>
      <c r="C4" s="844"/>
      <c r="D4" s="46" t="s">
        <v>1208</v>
      </c>
      <c r="E4" s="46"/>
      <c r="F4" s="843" t="s">
        <v>4885</v>
      </c>
      <c r="G4" s="844"/>
      <c r="H4" s="48"/>
      <c r="I4" s="48"/>
      <c r="J4" s="46"/>
      <c r="K4" s="46"/>
      <c r="L4" s="46"/>
      <c r="M4" s="46"/>
      <c r="N4" s="46"/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4353</v>
      </c>
      <c r="B6" s="843" t="s">
        <v>4886</v>
      </c>
      <c r="C6" s="844"/>
      <c r="D6" s="46" t="s">
        <v>4355</v>
      </c>
      <c r="E6" s="46"/>
      <c r="F6" s="869" t="s">
        <v>4887</v>
      </c>
      <c r="G6" s="869"/>
      <c r="H6" s="869"/>
      <c r="I6" s="869"/>
      <c r="J6" s="869"/>
      <c r="K6" s="46"/>
      <c r="L6" s="46"/>
      <c r="M6" s="46"/>
      <c r="N6" s="46"/>
    </row>
    <row r="7" spans="1:14">
      <c r="A7" s="46"/>
      <c r="B7" s="46"/>
      <c r="C7" s="46"/>
      <c r="D7" s="46" t="s">
        <v>4357</v>
      </c>
      <c r="E7" s="46"/>
      <c r="F7" s="869"/>
      <c r="G7" s="869"/>
      <c r="H7" s="869"/>
      <c r="I7" s="869"/>
      <c r="J7" s="869"/>
      <c r="K7" s="46"/>
      <c r="L7" s="46"/>
      <c r="M7" s="46"/>
      <c r="N7" s="46"/>
    </row>
    <row r="8" spans="1:14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</row>
    <row r="9" spans="1:14">
      <c r="A9" s="364" t="s">
        <v>838</v>
      </c>
      <c r="B9" s="853" t="s">
        <v>4888</v>
      </c>
      <c r="C9" s="853"/>
      <c r="D9" s="853" t="s">
        <v>4889</v>
      </c>
      <c r="E9" s="853"/>
      <c r="F9" s="853"/>
      <c r="G9" s="854" t="s">
        <v>4890</v>
      </c>
      <c r="H9" s="854"/>
      <c r="I9" s="854"/>
      <c r="J9" s="854"/>
      <c r="K9" s="854"/>
      <c r="L9" s="854"/>
      <c r="M9" s="46"/>
      <c r="N9" s="46"/>
    </row>
    <row r="10" spans="1:14">
      <c r="A10" s="364" t="s">
        <v>840</v>
      </c>
      <c r="B10" s="853" t="s">
        <v>4891</v>
      </c>
      <c r="C10" s="853"/>
      <c r="D10" s="853" t="s">
        <v>4892</v>
      </c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>
      <c r="A11" s="364" t="s">
        <v>4361</v>
      </c>
      <c r="B11" s="853" t="s">
        <v>4893</v>
      </c>
      <c r="C11" s="853"/>
      <c r="D11" s="853" t="s">
        <v>4894</v>
      </c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 ht="22.5">
      <c r="A12" s="364" t="s">
        <v>420</v>
      </c>
      <c r="B12" s="853" t="s">
        <v>2438</v>
      </c>
      <c r="C12" s="853"/>
      <c r="D12" s="853"/>
      <c r="E12" s="853"/>
      <c r="F12" s="853"/>
      <c r="G12" s="854"/>
      <c r="H12" s="854"/>
      <c r="I12" s="854"/>
      <c r="J12" s="854"/>
      <c r="K12" s="854"/>
      <c r="L12" s="854"/>
      <c r="M12" s="46"/>
      <c r="N12" s="46"/>
    </row>
    <row r="13" spans="1:14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1:14">
      <c r="A14" s="46" t="s">
        <v>4365</v>
      </c>
      <c r="B14" s="47">
        <v>3</v>
      </c>
      <c r="C14" s="46" t="s">
        <v>4366</v>
      </c>
      <c r="D14" s="46"/>
      <c r="E14" s="46"/>
      <c r="F14" s="47">
        <v>2</v>
      </c>
      <c r="G14" s="46" t="s">
        <v>1491</v>
      </c>
      <c r="H14" s="47">
        <v>9</v>
      </c>
      <c r="I14" s="46" t="s">
        <v>1492</v>
      </c>
      <c r="J14" s="47">
        <v>2</v>
      </c>
      <c r="K14" s="46" t="s">
        <v>1493</v>
      </c>
      <c r="L14" s="47">
        <v>33</v>
      </c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4" ht="22.5">
      <c r="A17" s="46" t="s">
        <v>646</v>
      </c>
      <c r="B17" s="46"/>
      <c r="C17" s="46" t="s">
        <v>204</v>
      </c>
      <c r="D17" s="47">
        <v>75</v>
      </c>
      <c r="E17" s="46" t="s">
        <v>205</v>
      </c>
      <c r="F17" s="47">
        <v>42</v>
      </c>
      <c r="G17" s="46" t="s">
        <v>206</v>
      </c>
      <c r="H17" s="47">
        <v>39</v>
      </c>
      <c r="I17" s="46" t="s">
        <v>230</v>
      </c>
      <c r="J17" s="47">
        <v>156</v>
      </c>
      <c r="K17" s="46" t="s">
        <v>207</v>
      </c>
      <c r="L17" s="47">
        <v>63</v>
      </c>
      <c r="M17" s="72" t="s">
        <v>4367</v>
      </c>
      <c r="N17" s="47"/>
    </row>
    <row r="18" spans="1:14">
      <c r="A18" s="46" t="s">
        <v>209</v>
      </c>
      <c r="B18" s="46"/>
      <c r="C18" s="46" t="s">
        <v>210</v>
      </c>
      <c r="D18" s="47">
        <v>122</v>
      </c>
      <c r="E18" s="46" t="s">
        <v>211</v>
      </c>
      <c r="F18" s="47">
        <v>81</v>
      </c>
      <c r="G18" s="46" t="s">
        <v>212</v>
      </c>
      <c r="H18" s="47">
        <v>88</v>
      </c>
      <c r="I18" s="46" t="s">
        <v>411</v>
      </c>
      <c r="J18" s="47">
        <f>H18+F18+D18</f>
        <v>291</v>
      </c>
      <c r="K18" s="46"/>
      <c r="L18" s="46"/>
      <c r="M18" s="46"/>
      <c r="N18" s="46"/>
    </row>
    <row r="19" spans="1:14">
      <c r="A19" s="46"/>
      <c r="B19" s="46"/>
      <c r="C19" s="46" t="s">
        <v>213</v>
      </c>
      <c r="D19" s="47">
        <v>125</v>
      </c>
      <c r="E19" s="46" t="s">
        <v>214</v>
      </c>
      <c r="F19" s="47">
        <v>92</v>
      </c>
      <c r="G19" s="46" t="s">
        <v>1494</v>
      </c>
      <c r="H19" s="47">
        <v>65</v>
      </c>
      <c r="I19" s="46" t="s">
        <v>410</v>
      </c>
      <c r="J19" s="47">
        <f>H19+F19+D19</f>
        <v>282</v>
      </c>
      <c r="K19" s="46"/>
      <c r="L19" s="46"/>
      <c r="M19" s="46"/>
      <c r="N19" s="46"/>
    </row>
    <row r="20" spans="1:14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365" t="s">
        <v>216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4">
      <c r="A22" s="856" t="s">
        <v>217</v>
      </c>
      <c r="B22" s="856" t="s">
        <v>218</v>
      </c>
      <c r="C22" s="856" t="s">
        <v>219</v>
      </c>
      <c r="D22" s="856" t="s">
        <v>407</v>
      </c>
      <c r="E22" s="856" t="s">
        <v>864</v>
      </c>
      <c r="F22" s="855" t="s">
        <v>4368</v>
      </c>
      <c r="G22" s="855"/>
      <c r="H22" s="855"/>
      <c r="I22" s="855"/>
      <c r="J22" s="855"/>
      <c r="K22" s="855"/>
      <c r="L22" s="855"/>
      <c r="M22" s="855"/>
      <c r="N22" s="855"/>
    </row>
    <row r="23" spans="1:14">
      <c r="A23" s="856"/>
      <c r="B23" s="856"/>
      <c r="C23" s="856"/>
      <c r="D23" s="856"/>
      <c r="E23" s="856"/>
      <c r="F23" s="366" t="s">
        <v>227</v>
      </c>
      <c r="G23" s="366" t="s">
        <v>228</v>
      </c>
      <c r="H23" s="366" t="s">
        <v>229</v>
      </c>
      <c r="I23" s="80" t="s">
        <v>1499</v>
      </c>
      <c r="J23" s="80" t="s">
        <v>4831</v>
      </c>
      <c r="K23" s="80" t="s">
        <v>4832</v>
      </c>
      <c r="L23" s="366" t="s">
        <v>4833</v>
      </c>
      <c r="M23" s="366" t="s">
        <v>230</v>
      </c>
      <c r="N23" s="366" t="s">
        <v>231</v>
      </c>
    </row>
    <row r="24" spans="1:14">
      <c r="A24" s="364" t="s">
        <v>232</v>
      </c>
      <c r="B24" s="364">
        <v>8000</v>
      </c>
      <c r="C24" s="367" t="s">
        <v>4369</v>
      </c>
      <c r="D24" s="368">
        <f>B24*J2/100000</f>
        <v>35.463200000000001</v>
      </c>
      <c r="E24" s="364">
        <v>18</v>
      </c>
      <c r="F24" s="364"/>
      <c r="G24" s="369">
        <v>3.2902</v>
      </c>
      <c r="H24" s="369">
        <v>8.1422600000000003</v>
      </c>
      <c r="I24" s="364"/>
      <c r="J24" s="80"/>
      <c r="K24" s="80"/>
      <c r="L24" s="364"/>
      <c r="M24" s="369">
        <f>SUM(F24:L24)</f>
        <v>11.432460000000001</v>
      </c>
      <c r="N24" s="369">
        <f>M24/E24*100</f>
        <v>63.513666666666666</v>
      </c>
    </row>
    <row r="25" spans="1:14" ht="22.5">
      <c r="A25" s="364" t="s">
        <v>234</v>
      </c>
      <c r="B25" s="364">
        <v>7000</v>
      </c>
      <c r="C25" s="367" t="s">
        <v>4369</v>
      </c>
      <c r="D25" s="375">
        <f>5.6-2.7</f>
        <v>2.8999999999999995</v>
      </c>
      <c r="E25" s="364">
        <v>2.56</v>
      </c>
      <c r="F25" s="364"/>
      <c r="G25" s="369">
        <v>0</v>
      </c>
      <c r="H25" s="369">
        <v>0.8155</v>
      </c>
      <c r="I25" s="364"/>
      <c r="J25" s="80"/>
      <c r="K25" s="80"/>
      <c r="L25" s="364"/>
      <c r="M25" s="369">
        <f t="shared" ref="M25:M32" si="0">SUM(F25:L25)</f>
        <v>0.8155</v>
      </c>
      <c r="N25" s="369">
        <f t="shared" ref="N25:N33" si="1">M25/E25*100</f>
        <v>31.85546875</v>
      </c>
    </row>
    <row r="26" spans="1:14" ht="22.5">
      <c r="A26" s="364" t="s">
        <v>235</v>
      </c>
      <c r="B26" s="364">
        <v>43000</v>
      </c>
      <c r="C26" s="367" t="s">
        <v>236</v>
      </c>
      <c r="D26" s="375">
        <f>0.43+2.7</f>
        <v>3.1300000000000003</v>
      </c>
      <c r="E26" s="364">
        <v>0.35</v>
      </c>
      <c r="F26" s="364"/>
      <c r="G26" s="369">
        <v>0.12028</v>
      </c>
      <c r="H26" s="369">
        <v>4.3999999999999997E-2</v>
      </c>
      <c r="I26" s="364"/>
      <c r="J26" s="80"/>
      <c r="K26" s="80"/>
      <c r="L26" s="364"/>
      <c r="M26" s="369">
        <f t="shared" si="0"/>
        <v>0.16427999999999998</v>
      </c>
      <c r="N26" s="369">
        <f t="shared" si="1"/>
        <v>46.937142857142852</v>
      </c>
    </row>
    <row r="27" spans="1:14" ht="22.5">
      <c r="A27" s="364" t="s">
        <v>237</v>
      </c>
      <c r="B27" s="364">
        <v>37000</v>
      </c>
      <c r="C27" s="367" t="s">
        <v>236</v>
      </c>
      <c r="D27" s="375">
        <v>0.37</v>
      </c>
      <c r="E27" s="364">
        <v>0.32</v>
      </c>
      <c r="F27" s="364"/>
      <c r="G27" s="369">
        <v>0.10949</v>
      </c>
      <c r="H27" s="369">
        <v>0</v>
      </c>
      <c r="I27" s="364"/>
      <c r="J27" s="80"/>
      <c r="K27" s="80"/>
      <c r="L27" s="364"/>
      <c r="M27" s="369">
        <f t="shared" si="0"/>
        <v>0.10949</v>
      </c>
      <c r="N27" s="369">
        <f t="shared" si="1"/>
        <v>34.215625000000003</v>
      </c>
    </row>
    <row r="28" spans="1:14" ht="22.5">
      <c r="A28" s="364" t="s">
        <v>238</v>
      </c>
      <c r="B28" s="364">
        <v>1200</v>
      </c>
      <c r="C28" s="367" t="s">
        <v>4369</v>
      </c>
      <c r="D28" s="368">
        <f>B28*J2/100000</f>
        <v>5.3194800000000004</v>
      </c>
      <c r="E28" s="364">
        <v>2</v>
      </c>
      <c r="F28" s="364"/>
      <c r="G28" s="369">
        <v>0</v>
      </c>
      <c r="H28" s="369">
        <v>0</v>
      </c>
      <c r="I28" s="364"/>
      <c r="J28" s="80"/>
      <c r="K28" s="80"/>
      <c r="L28" s="364"/>
      <c r="M28" s="369">
        <f t="shared" si="0"/>
        <v>0</v>
      </c>
      <c r="N28" s="369">
        <f t="shared" si="1"/>
        <v>0</v>
      </c>
    </row>
    <row r="29" spans="1:14">
      <c r="A29" s="364" t="s">
        <v>667</v>
      </c>
      <c r="B29" s="364">
        <v>565</v>
      </c>
      <c r="C29" s="367" t="s">
        <v>1036</v>
      </c>
      <c r="D29" s="368">
        <f>B29*J2/100000</f>
        <v>2.5045885000000001</v>
      </c>
      <c r="E29" s="364">
        <v>2.5</v>
      </c>
      <c r="F29" s="364"/>
      <c r="G29" s="369">
        <v>2.5045899999999999</v>
      </c>
      <c r="H29" s="369">
        <v>0</v>
      </c>
      <c r="I29" s="364"/>
      <c r="J29" s="80"/>
      <c r="K29" s="80"/>
      <c r="L29" s="364"/>
      <c r="M29" s="369">
        <f t="shared" si="0"/>
        <v>2.5045899999999999</v>
      </c>
      <c r="N29" s="369">
        <f t="shared" si="1"/>
        <v>100.1836</v>
      </c>
    </row>
    <row r="30" spans="1:14">
      <c r="A30" s="364" t="s">
        <v>240</v>
      </c>
      <c r="B30" s="364">
        <v>1000</v>
      </c>
      <c r="C30" s="367" t="s">
        <v>1036</v>
      </c>
      <c r="D30" s="368">
        <f>B30*J2/100000</f>
        <v>4.4329000000000001</v>
      </c>
      <c r="E30" s="364">
        <v>0</v>
      </c>
      <c r="F30" s="364"/>
      <c r="G30" s="369">
        <v>0</v>
      </c>
      <c r="H30" s="369">
        <v>0</v>
      </c>
      <c r="I30" s="364"/>
      <c r="J30" s="80"/>
      <c r="K30" s="80"/>
      <c r="L30" s="364"/>
      <c r="M30" s="369">
        <f t="shared" si="0"/>
        <v>0</v>
      </c>
      <c r="N30" s="369" t="e">
        <f t="shared" si="1"/>
        <v>#DIV/0!</v>
      </c>
    </row>
    <row r="31" spans="1:14">
      <c r="A31" s="364" t="s">
        <v>241</v>
      </c>
      <c r="B31" s="364">
        <v>2750</v>
      </c>
      <c r="C31" s="367" t="s">
        <v>1036</v>
      </c>
      <c r="D31" s="375">
        <v>2.31</v>
      </c>
      <c r="E31" s="364">
        <v>0.6</v>
      </c>
      <c r="F31" s="364"/>
      <c r="G31" s="369">
        <v>0.13805000000000001</v>
      </c>
      <c r="H31" s="369">
        <v>0.20699999999999999</v>
      </c>
      <c r="I31" s="364"/>
      <c r="J31" s="80"/>
      <c r="K31" s="80"/>
      <c r="L31" s="364"/>
      <c r="M31" s="369">
        <f t="shared" si="0"/>
        <v>0.34504999999999997</v>
      </c>
      <c r="N31" s="369">
        <f t="shared" si="1"/>
        <v>57.508333333333326</v>
      </c>
    </row>
    <row r="32" spans="1:14">
      <c r="A32" s="364" t="s">
        <v>670</v>
      </c>
      <c r="B32" s="364">
        <v>10000</v>
      </c>
      <c r="C32" s="367" t="s">
        <v>244</v>
      </c>
      <c r="D32" s="375">
        <v>0.1</v>
      </c>
      <c r="E32" s="364">
        <v>0.1</v>
      </c>
      <c r="F32" s="364"/>
      <c r="G32" s="369"/>
      <c r="H32" s="369"/>
      <c r="I32" s="364"/>
      <c r="J32" s="364"/>
      <c r="K32" s="364"/>
      <c r="L32" s="364"/>
      <c r="M32" s="369">
        <f t="shared" si="0"/>
        <v>0</v>
      </c>
      <c r="N32" s="369">
        <f t="shared" si="1"/>
        <v>0</v>
      </c>
    </row>
    <row r="33" spans="1:14">
      <c r="A33" s="370" t="s">
        <v>245</v>
      </c>
      <c r="B33" s="370"/>
      <c r="C33" s="366"/>
      <c r="D33" s="371">
        <f>SUM(D24:D32)</f>
        <v>56.530168499999995</v>
      </c>
      <c r="E33" s="371">
        <f t="shared" ref="E33:M33" si="2">SUM(E24:E32)</f>
        <v>26.430000000000003</v>
      </c>
      <c r="F33" s="371">
        <f t="shared" si="2"/>
        <v>0</v>
      </c>
      <c r="G33" s="371">
        <f t="shared" si="2"/>
        <v>6.1626099999999999</v>
      </c>
      <c r="H33" s="371">
        <f t="shared" si="2"/>
        <v>9.2087600000000016</v>
      </c>
      <c r="I33" s="371">
        <f t="shared" si="2"/>
        <v>0</v>
      </c>
      <c r="J33" s="371">
        <f t="shared" si="2"/>
        <v>0</v>
      </c>
      <c r="K33" s="371">
        <f t="shared" si="2"/>
        <v>0</v>
      </c>
      <c r="L33" s="371">
        <f t="shared" si="2"/>
        <v>0</v>
      </c>
      <c r="M33" s="371">
        <f t="shared" si="2"/>
        <v>15.371370000000001</v>
      </c>
      <c r="N33" s="369">
        <f t="shared" si="1"/>
        <v>58.158796821793416</v>
      </c>
    </row>
  </sheetData>
  <mergeCells count="30">
    <mergeCell ref="B6:C6"/>
    <mergeCell ref="F6:J7"/>
    <mergeCell ref="B2:C2"/>
    <mergeCell ref="F2:G2"/>
    <mergeCell ref="H2:I2"/>
    <mergeCell ref="B4:C4"/>
    <mergeCell ref="F4:G4"/>
    <mergeCell ref="A3:C3"/>
    <mergeCell ref="B9:C9"/>
    <mergeCell ref="D9:F9"/>
    <mergeCell ref="G9:I9"/>
    <mergeCell ref="J9:L9"/>
    <mergeCell ref="B10:C10"/>
    <mergeCell ref="D10:F10"/>
    <mergeCell ref="G10:I10"/>
    <mergeCell ref="J10:L10"/>
    <mergeCell ref="F22:N22"/>
    <mergeCell ref="B11:C11"/>
    <mergeCell ref="D11:F11"/>
    <mergeCell ref="G11:I11"/>
    <mergeCell ref="J11:L11"/>
    <mergeCell ref="B12:C12"/>
    <mergeCell ref="D12:F12"/>
    <mergeCell ref="G12:I12"/>
    <mergeCell ref="J12:L12"/>
    <mergeCell ref="A22:A23"/>
    <mergeCell ref="B22:B23"/>
    <mergeCell ref="C22:C23"/>
    <mergeCell ref="D22:D23"/>
    <mergeCell ref="E22:E23"/>
  </mergeCells>
  <hyperlinks>
    <hyperlink ref="A3" location="'Fact Sheet of VDC'!A1" display="&lt;&lt;Back"/>
  </hyperlinks>
  <pageMargins left="0.34" right="0.19" top="0.45" bottom="0.4" header="0.3" footer="0.3"/>
  <pageSetup orientation="landscape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A3" sqref="A3:C3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857" t="s">
        <v>167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</row>
    <row r="2" spans="1:14">
      <c r="A2" s="857" t="s">
        <v>4882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</row>
    <row r="3" spans="1:14">
      <c r="A3" s="808" t="s">
        <v>4176</v>
      </c>
      <c r="B3" s="808"/>
      <c r="C3" s="808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>
      <c r="A4" s="46" t="s">
        <v>4347</v>
      </c>
      <c r="B4" s="843" t="s">
        <v>3124</v>
      </c>
      <c r="C4" s="844"/>
      <c r="D4" s="46" t="s">
        <v>4349</v>
      </c>
      <c r="E4" s="46"/>
      <c r="F4" s="865" t="s">
        <v>4895</v>
      </c>
      <c r="G4" s="844"/>
      <c r="H4" s="851" t="s">
        <v>5</v>
      </c>
      <c r="I4" s="852"/>
      <c r="J4" s="47">
        <v>536.55999999999995</v>
      </c>
      <c r="K4" s="46" t="s">
        <v>436</v>
      </c>
      <c r="L4" s="46"/>
      <c r="M4" s="47"/>
      <c r="N4" s="46"/>
    </row>
    <row r="5" spans="1:1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>
      <c r="A6" s="46" t="s">
        <v>832</v>
      </c>
      <c r="B6" s="843" t="s">
        <v>4896</v>
      </c>
      <c r="C6" s="844"/>
      <c r="D6" s="46" t="s">
        <v>1208</v>
      </c>
      <c r="E6" s="46"/>
      <c r="F6" s="843" t="s">
        <v>4897</v>
      </c>
      <c r="G6" s="844"/>
      <c r="H6" s="48"/>
      <c r="I6" s="48"/>
      <c r="J6" s="46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46" t="s">
        <v>4353</v>
      </c>
      <c r="B8" s="882" t="s">
        <v>4898</v>
      </c>
      <c r="C8" s="883"/>
      <c r="D8" s="46" t="s">
        <v>4355</v>
      </c>
      <c r="E8" s="46"/>
      <c r="F8" s="886" t="s">
        <v>4899</v>
      </c>
      <c r="G8" s="887"/>
      <c r="H8" s="887"/>
      <c r="I8" s="887"/>
      <c r="J8" s="888"/>
      <c r="K8" s="46"/>
      <c r="L8" s="46"/>
      <c r="M8" s="46"/>
      <c r="N8" s="46"/>
    </row>
    <row r="9" spans="1:14">
      <c r="A9" s="46"/>
      <c r="B9" s="884"/>
      <c r="C9" s="885"/>
      <c r="D9" s="46" t="s">
        <v>4357</v>
      </c>
      <c r="E9" s="46"/>
      <c r="F9" s="889"/>
      <c r="G9" s="890"/>
      <c r="H9" s="890"/>
      <c r="I9" s="890"/>
      <c r="J9" s="891"/>
      <c r="K9" s="46"/>
      <c r="L9" s="46"/>
      <c r="M9" s="46"/>
      <c r="N9" s="46"/>
    </row>
    <row r="10" spans="1:1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>
      <c r="A11" s="364" t="s">
        <v>838</v>
      </c>
      <c r="B11" s="853" t="s">
        <v>4900</v>
      </c>
      <c r="C11" s="853"/>
      <c r="D11" s="853"/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>
      <c r="A12" s="364" t="s">
        <v>840</v>
      </c>
      <c r="B12" s="853" t="s">
        <v>2438</v>
      </c>
      <c r="C12" s="853"/>
      <c r="D12" s="853"/>
      <c r="E12" s="853"/>
      <c r="F12" s="853"/>
      <c r="G12" s="854"/>
      <c r="H12" s="854"/>
      <c r="I12" s="854"/>
      <c r="J12" s="854"/>
      <c r="K12" s="854"/>
      <c r="L12" s="854"/>
      <c r="M12" s="46"/>
      <c r="N12" s="46"/>
    </row>
    <row r="13" spans="1:14">
      <c r="A13" s="364" t="s">
        <v>4361</v>
      </c>
      <c r="B13" s="853" t="s">
        <v>2438</v>
      </c>
      <c r="C13" s="853"/>
      <c r="D13" s="853"/>
      <c r="E13" s="853"/>
      <c r="F13" s="853"/>
      <c r="G13" s="854"/>
      <c r="H13" s="854"/>
      <c r="I13" s="854"/>
      <c r="J13" s="854"/>
      <c r="K13" s="854"/>
      <c r="L13" s="854"/>
      <c r="M13" s="46"/>
      <c r="N13" s="46"/>
    </row>
    <row r="14" spans="1:14" ht="22.5">
      <c r="A14" s="364" t="s">
        <v>420</v>
      </c>
      <c r="B14" s="853" t="s">
        <v>2438</v>
      </c>
      <c r="C14" s="853"/>
      <c r="D14" s="853"/>
      <c r="E14" s="853"/>
      <c r="F14" s="853"/>
      <c r="G14" s="854"/>
      <c r="H14" s="854"/>
      <c r="I14" s="854"/>
      <c r="J14" s="854"/>
      <c r="K14" s="854"/>
      <c r="L14" s="854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>
      <c r="A16" s="46" t="s">
        <v>4365</v>
      </c>
      <c r="B16" s="47">
        <v>1</v>
      </c>
      <c r="C16" s="46" t="s">
        <v>4366</v>
      </c>
      <c r="D16" s="46"/>
      <c r="E16" s="46"/>
      <c r="F16" s="47"/>
      <c r="G16" s="46" t="s">
        <v>1491</v>
      </c>
      <c r="H16" s="47">
        <v>5</v>
      </c>
      <c r="I16" s="46" t="s">
        <v>1492</v>
      </c>
      <c r="J16" s="47">
        <v>1</v>
      </c>
      <c r="K16" s="46" t="s">
        <v>1493</v>
      </c>
      <c r="L16" s="47">
        <v>28</v>
      </c>
      <c r="M16" s="46"/>
      <c r="N16" s="46"/>
    </row>
    <row r="17" spans="1:14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 ht="22.5">
      <c r="A19" s="46" t="s">
        <v>646</v>
      </c>
      <c r="B19" s="46"/>
      <c r="C19" s="46" t="s">
        <v>204</v>
      </c>
      <c r="D19" s="47">
        <v>76</v>
      </c>
      <c r="E19" s="46" t="s">
        <v>205</v>
      </c>
      <c r="F19" s="47">
        <v>0</v>
      </c>
      <c r="G19" s="46" t="s">
        <v>206</v>
      </c>
      <c r="H19" s="47">
        <v>0</v>
      </c>
      <c r="I19" s="46" t="s">
        <v>230</v>
      </c>
      <c r="J19" s="47">
        <v>76</v>
      </c>
      <c r="K19" s="46" t="s">
        <v>207</v>
      </c>
      <c r="L19" s="47">
        <v>11</v>
      </c>
      <c r="M19" s="72" t="s">
        <v>4367</v>
      </c>
      <c r="N19" s="47"/>
    </row>
    <row r="20" spans="1:14">
      <c r="A20" s="46" t="s">
        <v>209</v>
      </c>
      <c r="B20" s="46"/>
      <c r="C20" s="46" t="s">
        <v>210</v>
      </c>
      <c r="D20" s="47">
        <v>128</v>
      </c>
      <c r="E20" s="46" t="s">
        <v>211</v>
      </c>
      <c r="F20" s="47">
        <v>0</v>
      </c>
      <c r="G20" s="46" t="s">
        <v>212</v>
      </c>
      <c r="H20" s="47">
        <v>0</v>
      </c>
      <c r="I20" s="46" t="s">
        <v>411</v>
      </c>
      <c r="J20" s="47">
        <f>H20+F20+D20</f>
        <v>128</v>
      </c>
      <c r="K20" s="46"/>
      <c r="L20" s="46"/>
      <c r="M20" s="46"/>
      <c r="N20" s="46"/>
    </row>
    <row r="21" spans="1:14">
      <c r="A21" s="46"/>
      <c r="B21" s="46"/>
      <c r="C21" s="46" t="s">
        <v>213</v>
      </c>
      <c r="D21" s="47">
        <v>123</v>
      </c>
      <c r="E21" s="46" t="s">
        <v>214</v>
      </c>
      <c r="F21" s="47">
        <v>0</v>
      </c>
      <c r="G21" s="46" t="s">
        <v>1494</v>
      </c>
      <c r="H21" s="47">
        <v>0</v>
      </c>
      <c r="I21" s="46" t="s">
        <v>410</v>
      </c>
      <c r="J21" s="47">
        <f>H21+F21+D21</f>
        <v>123</v>
      </c>
      <c r="K21" s="46"/>
      <c r="L21" s="46"/>
      <c r="M21" s="46"/>
      <c r="N21" s="46"/>
    </row>
    <row r="22" spans="1:14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4">
      <c r="A23" s="365" t="s">
        <v>216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4">
      <c r="A24" s="856" t="s">
        <v>217</v>
      </c>
      <c r="B24" s="856" t="s">
        <v>218</v>
      </c>
      <c r="C24" s="856" t="s">
        <v>219</v>
      </c>
      <c r="D24" s="856" t="s">
        <v>407</v>
      </c>
      <c r="E24" s="856" t="s">
        <v>864</v>
      </c>
      <c r="F24" s="855" t="s">
        <v>4368</v>
      </c>
      <c r="G24" s="855"/>
      <c r="H24" s="855"/>
      <c r="I24" s="855"/>
      <c r="J24" s="855"/>
      <c r="K24" s="855"/>
      <c r="L24" s="855"/>
      <c r="M24" s="855"/>
      <c r="N24" s="855"/>
    </row>
    <row r="25" spans="1:14">
      <c r="A25" s="856"/>
      <c r="B25" s="856"/>
      <c r="C25" s="856"/>
      <c r="D25" s="856"/>
      <c r="E25" s="856"/>
      <c r="F25" s="366" t="s">
        <v>227</v>
      </c>
      <c r="G25" s="366" t="s">
        <v>228</v>
      </c>
      <c r="H25" s="366" t="s">
        <v>229</v>
      </c>
      <c r="I25" s="366" t="s">
        <v>1499</v>
      </c>
      <c r="J25" s="366" t="s">
        <v>4831</v>
      </c>
      <c r="K25" s="366" t="s">
        <v>4832</v>
      </c>
      <c r="L25" s="366" t="s">
        <v>4833</v>
      </c>
      <c r="M25" s="366" t="s">
        <v>230</v>
      </c>
      <c r="N25" s="366" t="s">
        <v>231</v>
      </c>
    </row>
    <row r="26" spans="1:14">
      <c r="A26" s="364" t="s">
        <v>232</v>
      </c>
      <c r="B26" s="364">
        <v>8000</v>
      </c>
      <c r="C26" s="367" t="s">
        <v>4369</v>
      </c>
      <c r="D26" s="368">
        <f>B26*J4/100000</f>
        <v>42.924799999999998</v>
      </c>
      <c r="E26" s="364">
        <v>18</v>
      </c>
      <c r="F26" s="364"/>
      <c r="G26" s="369">
        <v>1.8375900000000001</v>
      </c>
      <c r="H26" s="369">
        <v>7.2159599999999999</v>
      </c>
      <c r="I26" s="364"/>
      <c r="J26" s="369"/>
      <c r="K26" s="369"/>
      <c r="L26" s="364"/>
      <c r="M26" s="369">
        <f>SUM(F26:L26)</f>
        <v>9.0535499999999995</v>
      </c>
      <c r="N26" s="369">
        <f>M26/E26*100</f>
        <v>50.297499999999992</v>
      </c>
    </row>
    <row r="27" spans="1:14" ht="22.5">
      <c r="A27" s="364" t="s">
        <v>234</v>
      </c>
      <c r="B27" s="364">
        <v>7000</v>
      </c>
      <c r="C27" s="367" t="s">
        <v>4369</v>
      </c>
      <c r="D27" s="375">
        <f>5.6-2.7</f>
        <v>2.8999999999999995</v>
      </c>
      <c r="E27" s="364">
        <v>2.56</v>
      </c>
      <c r="F27" s="364"/>
      <c r="G27" s="364">
        <v>0</v>
      </c>
      <c r="H27" s="369">
        <v>0.75975000000000004</v>
      </c>
      <c r="I27" s="364"/>
      <c r="J27" s="364"/>
      <c r="K27" s="369"/>
      <c r="L27" s="364"/>
      <c r="M27" s="369">
        <f t="shared" ref="M27:M34" si="0">SUM(F27:L27)</f>
        <v>0.75975000000000004</v>
      </c>
      <c r="N27" s="369">
        <f t="shared" ref="N27:N35" si="1">M27/E27*100</f>
        <v>29.677734375000004</v>
      </c>
    </row>
    <row r="28" spans="1:14" ht="22.5">
      <c r="A28" s="364" t="s">
        <v>235</v>
      </c>
      <c r="B28" s="364">
        <v>43000</v>
      </c>
      <c r="C28" s="367" t="s">
        <v>236</v>
      </c>
      <c r="D28" s="375">
        <f>0.43+2.7</f>
        <v>3.1300000000000003</v>
      </c>
      <c r="E28" s="364">
        <v>0.35</v>
      </c>
      <c r="F28" s="364"/>
      <c r="G28" s="364">
        <v>0</v>
      </c>
      <c r="H28" s="364">
        <v>0</v>
      </c>
      <c r="I28" s="364"/>
      <c r="J28" s="364"/>
      <c r="K28" s="364"/>
      <c r="L28" s="364"/>
      <c r="M28" s="369">
        <f t="shared" si="0"/>
        <v>0</v>
      </c>
      <c r="N28" s="369">
        <f t="shared" si="1"/>
        <v>0</v>
      </c>
    </row>
    <row r="29" spans="1:14" ht="22.5">
      <c r="A29" s="364" t="s">
        <v>237</v>
      </c>
      <c r="B29" s="364">
        <v>37000</v>
      </c>
      <c r="C29" s="367" t="s">
        <v>236</v>
      </c>
      <c r="D29" s="375">
        <v>0.37</v>
      </c>
      <c r="E29" s="364">
        <v>0.32</v>
      </c>
      <c r="F29" s="364"/>
      <c r="G29" s="364">
        <v>0</v>
      </c>
      <c r="H29" s="364">
        <v>0</v>
      </c>
      <c r="I29" s="364"/>
      <c r="J29" s="364"/>
      <c r="K29" s="364"/>
      <c r="L29" s="364"/>
      <c r="M29" s="369">
        <f t="shared" si="0"/>
        <v>0</v>
      </c>
      <c r="N29" s="369">
        <f t="shared" si="1"/>
        <v>0</v>
      </c>
    </row>
    <row r="30" spans="1:14" ht="22.5">
      <c r="A30" s="364" t="s">
        <v>238</v>
      </c>
      <c r="B30" s="364">
        <v>1200</v>
      </c>
      <c r="C30" s="367" t="s">
        <v>4369</v>
      </c>
      <c r="D30" s="368">
        <f>B30*J4/100000</f>
        <v>6.4387199999999991</v>
      </c>
      <c r="E30" s="364">
        <v>2</v>
      </c>
      <c r="F30" s="364"/>
      <c r="G30" s="364">
        <v>0</v>
      </c>
      <c r="H30" s="364">
        <v>0</v>
      </c>
      <c r="I30" s="364"/>
      <c r="J30" s="364"/>
      <c r="K30" s="364"/>
      <c r="L30" s="364"/>
      <c r="M30" s="369">
        <f t="shared" si="0"/>
        <v>0</v>
      </c>
      <c r="N30" s="369">
        <f t="shared" si="1"/>
        <v>0</v>
      </c>
    </row>
    <row r="31" spans="1:14">
      <c r="A31" s="364" t="s">
        <v>667</v>
      </c>
      <c r="B31" s="364">
        <v>565</v>
      </c>
      <c r="C31" s="367" t="s">
        <v>1036</v>
      </c>
      <c r="D31" s="368">
        <f>B31*J4/100000</f>
        <v>3.0315639999999995</v>
      </c>
      <c r="E31" s="364">
        <v>3.03</v>
      </c>
      <c r="F31" s="364"/>
      <c r="G31" s="369">
        <v>3.0315599999999998</v>
      </c>
      <c r="H31" s="364">
        <v>0</v>
      </c>
      <c r="I31" s="364"/>
      <c r="J31" s="369"/>
      <c r="K31" s="364"/>
      <c r="L31" s="364"/>
      <c r="M31" s="369">
        <f t="shared" si="0"/>
        <v>3.0315599999999998</v>
      </c>
      <c r="N31" s="369">
        <f t="shared" si="1"/>
        <v>100.05148514851486</v>
      </c>
    </row>
    <row r="32" spans="1:14">
      <c r="A32" s="364" t="s">
        <v>240</v>
      </c>
      <c r="B32" s="364">
        <v>1000</v>
      </c>
      <c r="C32" s="367" t="s">
        <v>1036</v>
      </c>
      <c r="D32" s="368">
        <f>B32*J4/100000</f>
        <v>5.3655999999999997</v>
      </c>
      <c r="E32" s="364">
        <v>0</v>
      </c>
      <c r="F32" s="364"/>
      <c r="G32" s="364">
        <v>0</v>
      </c>
      <c r="H32" s="364">
        <v>0</v>
      </c>
      <c r="I32" s="364"/>
      <c r="J32" s="364"/>
      <c r="K32" s="364"/>
      <c r="L32" s="364"/>
      <c r="M32" s="369">
        <f t="shared" si="0"/>
        <v>0</v>
      </c>
      <c r="N32" s="369" t="e">
        <f t="shared" si="1"/>
        <v>#DIV/0!</v>
      </c>
    </row>
    <row r="33" spans="1:14">
      <c r="A33" s="364" t="s">
        <v>241</v>
      </c>
      <c r="B33" s="364">
        <v>2750</v>
      </c>
      <c r="C33" s="367" t="s">
        <v>1036</v>
      </c>
      <c r="D33" s="375">
        <f>B33*12*7/100000</f>
        <v>2.31</v>
      </c>
      <c r="E33" s="369">
        <v>0.59499999999999997</v>
      </c>
      <c r="F33" s="364"/>
      <c r="G33" s="369">
        <v>0.21243999999999999</v>
      </c>
      <c r="H33" s="369">
        <v>0.27150000000000002</v>
      </c>
      <c r="I33" s="364"/>
      <c r="J33" s="369"/>
      <c r="K33" s="369"/>
      <c r="L33" s="364"/>
      <c r="M33" s="369">
        <f t="shared" si="0"/>
        <v>0.48394000000000004</v>
      </c>
      <c r="N33" s="369">
        <f t="shared" si="1"/>
        <v>81.334453781512622</v>
      </c>
    </row>
    <row r="34" spans="1:14">
      <c r="A34" s="364" t="s">
        <v>670</v>
      </c>
      <c r="B34" s="364">
        <v>10000</v>
      </c>
      <c r="C34" s="367" t="s">
        <v>244</v>
      </c>
      <c r="D34" s="375">
        <v>0.1</v>
      </c>
      <c r="E34" s="364">
        <v>0.1</v>
      </c>
      <c r="F34" s="364"/>
      <c r="G34" s="364"/>
      <c r="H34" s="364"/>
      <c r="I34" s="364"/>
      <c r="J34" s="364"/>
      <c r="K34" s="364"/>
      <c r="L34" s="364"/>
      <c r="M34" s="369">
        <f t="shared" si="0"/>
        <v>0</v>
      </c>
      <c r="N34" s="369">
        <f t="shared" si="1"/>
        <v>0</v>
      </c>
    </row>
    <row r="35" spans="1:14">
      <c r="A35" s="370" t="s">
        <v>245</v>
      </c>
      <c r="B35" s="370"/>
      <c r="C35" s="366"/>
      <c r="D35" s="371">
        <f>SUM(D26:D34)</f>
        <v>66.570683999999986</v>
      </c>
      <c r="E35" s="371">
        <f t="shared" ref="E35:M35" si="2">SUM(E26:E34)</f>
        <v>26.955000000000002</v>
      </c>
      <c r="F35" s="371">
        <f t="shared" si="2"/>
        <v>0</v>
      </c>
      <c r="G35" s="371">
        <f t="shared" si="2"/>
        <v>5.0815899999999994</v>
      </c>
      <c r="H35" s="371">
        <f t="shared" si="2"/>
        <v>8.2472100000000008</v>
      </c>
      <c r="I35" s="371">
        <f t="shared" si="2"/>
        <v>0</v>
      </c>
      <c r="J35" s="371">
        <f t="shared" si="2"/>
        <v>0</v>
      </c>
      <c r="K35" s="371">
        <f t="shared" si="2"/>
        <v>0</v>
      </c>
      <c r="L35" s="371">
        <f t="shared" si="2"/>
        <v>0</v>
      </c>
      <c r="M35" s="371">
        <f t="shared" si="2"/>
        <v>13.328800000000001</v>
      </c>
      <c r="N35" s="369">
        <f t="shared" si="1"/>
        <v>49.448339825635315</v>
      </c>
    </row>
  </sheetData>
  <mergeCells count="32">
    <mergeCell ref="B6:C6"/>
    <mergeCell ref="F6:G6"/>
    <mergeCell ref="A1:N1"/>
    <mergeCell ref="A2:N2"/>
    <mergeCell ref="B4:C4"/>
    <mergeCell ref="F4:G4"/>
    <mergeCell ref="H4:I4"/>
    <mergeCell ref="A3:C3"/>
    <mergeCell ref="B8:C9"/>
    <mergeCell ref="F8:J9"/>
    <mergeCell ref="B11:C11"/>
    <mergeCell ref="D11:F11"/>
    <mergeCell ref="G11:I11"/>
    <mergeCell ref="J11:L11"/>
    <mergeCell ref="B12:C12"/>
    <mergeCell ref="D12:F12"/>
    <mergeCell ref="G12:I12"/>
    <mergeCell ref="J12:L12"/>
    <mergeCell ref="B13:C13"/>
    <mergeCell ref="D13:F13"/>
    <mergeCell ref="G13:I13"/>
    <mergeCell ref="J13:L13"/>
    <mergeCell ref="B14:C14"/>
    <mergeCell ref="D14:F14"/>
    <mergeCell ref="G14:I14"/>
    <mergeCell ref="J14:L14"/>
    <mergeCell ref="A24:A25"/>
    <mergeCell ref="B24:B25"/>
    <mergeCell ref="C24:C25"/>
    <mergeCell ref="D24:D25"/>
    <mergeCell ref="E24:E25"/>
    <mergeCell ref="F24:N24"/>
  </mergeCells>
  <hyperlinks>
    <hyperlink ref="A3" location="'Fact Sheet of VDC'!A1" display="&lt;&lt;Back"/>
  </hyperlinks>
  <pageMargins left="0.34" right="0.19" top="0.45" bottom="0.4" header="0.3" footer="0.3"/>
  <pageSetup orientation="landscape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A1:N32"/>
  <sheetViews>
    <sheetView workbookViewId="0">
      <selection activeCell="A2" sqref="A2:C2"/>
    </sheetView>
  </sheetViews>
  <sheetFormatPr defaultRowHeight="15"/>
  <cols>
    <col min="1" max="1" width="22.28515625" customWidth="1"/>
    <col min="2" max="2" width="7.28515625" customWidth="1"/>
    <col min="3" max="3" width="11.85546875" customWidth="1"/>
    <col min="5" max="5" width="10.5703125" customWidth="1"/>
    <col min="6" max="6" width="7.7109375" customWidth="1"/>
    <col min="7" max="7" width="10.140625" bestFit="1" customWidth="1"/>
    <col min="8" max="8" width="6.7109375" customWidth="1"/>
    <col min="9" max="9" width="9.7109375" bestFit="1" customWidth="1"/>
    <col min="10" max="10" width="7.7109375" bestFit="1" customWidth="1"/>
    <col min="11" max="11" width="7.140625" customWidth="1"/>
    <col min="12" max="12" width="8.140625" customWidth="1"/>
    <col min="14" max="14" width="10" bestFit="1" customWidth="1"/>
  </cols>
  <sheetData>
    <row r="1" spans="1:14">
      <c r="A1" s="46" t="s">
        <v>4347</v>
      </c>
      <c r="B1" s="843" t="s">
        <v>4901</v>
      </c>
      <c r="C1" s="844"/>
      <c r="D1" s="46" t="s">
        <v>4349</v>
      </c>
      <c r="E1" s="46"/>
      <c r="F1" s="865" t="s">
        <v>4902</v>
      </c>
      <c r="G1" s="844"/>
      <c r="H1" s="851" t="s">
        <v>5</v>
      </c>
      <c r="I1" s="852"/>
      <c r="J1" s="47">
        <v>478.37</v>
      </c>
      <c r="K1" s="46" t="s">
        <v>436</v>
      </c>
      <c r="L1" s="46"/>
      <c r="M1" s="47"/>
      <c r="N1" s="46"/>
    </row>
    <row r="2" spans="1:14">
      <c r="A2" s="808" t="s">
        <v>4176</v>
      </c>
      <c r="B2" s="808"/>
      <c r="C2" s="808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>
      <c r="A3" s="46" t="s">
        <v>832</v>
      </c>
      <c r="B3" s="843" t="s">
        <v>4903</v>
      </c>
      <c r="C3" s="844"/>
      <c r="D3" s="46" t="s">
        <v>1208</v>
      </c>
      <c r="E3" s="46"/>
      <c r="F3" s="843" t="s">
        <v>4904</v>
      </c>
      <c r="G3" s="844"/>
      <c r="H3" s="48"/>
      <c r="I3" s="48"/>
      <c r="J3" s="46"/>
      <c r="K3" s="46"/>
      <c r="L3" s="46"/>
      <c r="M3" s="46"/>
      <c r="N3" s="46"/>
    </row>
    <row r="4" spans="1:1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>
      <c r="A5" s="46" t="s">
        <v>4353</v>
      </c>
      <c r="B5" s="864" t="s">
        <v>4905</v>
      </c>
      <c r="C5" s="864"/>
      <c r="D5" s="46" t="s">
        <v>4355</v>
      </c>
      <c r="E5" s="46"/>
      <c r="F5" s="854" t="s">
        <v>4906</v>
      </c>
      <c r="G5" s="854"/>
      <c r="H5" s="854"/>
      <c r="I5" s="854"/>
      <c r="J5" s="854"/>
      <c r="K5" s="46"/>
      <c r="L5" s="46"/>
      <c r="M5" s="46"/>
      <c r="N5" s="46"/>
    </row>
    <row r="6" spans="1:14">
      <c r="A6" s="46"/>
      <c r="B6" s="864"/>
      <c r="C6" s="864"/>
      <c r="D6" s="46" t="s">
        <v>4357</v>
      </c>
      <c r="E6" s="46"/>
      <c r="F6" s="854"/>
      <c r="G6" s="854"/>
      <c r="H6" s="854"/>
      <c r="I6" s="854"/>
      <c r="J6" s="854"/>
      <c r="K6" s="46"/>
      <c r="L6" s="46"/>
      <c r="M6" s="46"/>
      <c r="N6" s="46"/>
    </row>
    <row r="7" spans="1:1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>
      <c r="A8" s="364" t="s">
        <v>838</v>
      </c>
      <c r="B8" s="853" t="s">
        <v>4907</v>
      </c>
      <c r="C8" s="853"/>
      <c r="D8" s="853" t="s">
        <v>4908</v>
      </c>
      <c r="E8" s="853"/>
      <c r="F8" s="853"/>
      <c r="G8" s="854" t="s">
        <v>4909</v>
      </c>
      <c r="H8" s="854"/>
      <c r="I8" s="854"/>
      <c r="J8" s="854"/>
      <c r="K8" s="854"/>
      <c r="L8" s="854"/>
      <c r="M8" s="46"/>
      <c r="N8" s="46"/>
    </row>
    <row r="9" spans="1:14">
      <c r="A9" s="364" t="s">
        <v>840</v>
      </c>
      <c r="B9" s="853" t="s">
        <v>2438</v>
      </c>
      <c r="C9" s="853"/>
      <c r="D9" s="853"/>
      <c r="E9" s="853"/>
      <c r="F9" s="853"/>
      <c r="G9" s="854"/>
      <c r="H9" s="854"/>
      <c r="I9" s="854"/>
      <c r="J9" s="854"/>
      <c r="K9" s="854"/>
      <c r="L9" s="854"/>
      <c r="M9" s="46"/>
      <c r="N9" s="46"/>
    </row>
    <row r="10" spans="1:14">
      <c r="A10" s="364" t="s">
        <v>4361</v>
      </c>
      <c r="B10" s="853" t="s">
        <v>2438</v>
      </c>
      <c r="C10" s="853"/>
      <c r="D10" s="853"/>
      <c r="E10" s="853"/>
      <c r="F10" s="853"/>
      <c r="G10" s="854"/>
      <c r="H10" s="854"/>
      <c r="I10" s="854"/>
      <c r="J10" s="854"/>
      <c r="K10" s="854"/>
      <c r="L10" s="854"/>
      <c r="M10" s="46"/>
      <c r="N10" s="46"/>
    </row>
    <row r="11" spans="1:14" ht="22.5">
      <c r="A11" s="364" t="s">
        <v>420</v>
      </c>
      <c r="B11" s="853" t="s">
        <v>2438</v>
      </c>
      <c r="C11" s="853"/>
      <c r="D11" s="853"/>
      <c r="E11" s="853"/>
      <c r="F11" s="853"/>
      <c r="G11" s="854"/>
      <c r="H11" s="854"/>
      <c r="I11" s="854"/>
      <c r="J11" s="854"/>
      <c r="K11" s="854"/>
      <c r="L11" s="854"/>
      <c r="M11" s="46"/>
      <c r="N11" s="46"/>
    </row>
    <row r="12" spans="1:1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4">
      <c r="A13" s="46" t="s">
        <v>4365</v>
      </c>
      <c r="B13" s="47">
        <v>3</v>
      </c>
      <c r="C13" s="46" t="s">
        <v>4366</v>
      </c>
      <c r="D13" s="46"/>
      <c r="E13" s="46"/>
      <c r="F13" s="47">
        <v>0</v>
      </c>
      <c r="G13" s="46" t="s">
        <v>1491</v>
      </c>
      <c r="H13" s="47">
        <v>12</v>
      </c>
      <c r="I13" s="46" t="s">
        <v>1492</v>
      </c>
      <c r="J13" s="47">
        <v>3</v>
      </c>
      <c r="K13" s="46" t="s">
        <v>1493</v>
      </c>
      <c r="L13" s="47">
        <v>39</v>
      </c>
      <c r="M13" s="46"/>
      <c r="N13" s="46"/>
    </row>
    <row r="14" spans="1:1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>
      <c r="A16" s="46" t="s">
        <v>646</v>
      </c>
      <c r="B16" s="46"/>
      <c r="C16" s="46" t="s">
        <v>204</v>
      </c>
      <c r="D16" s="47">
        <v>101</v>
      </c>
      <c r="E16" s="46" t="s">
        <v>205</v>
      </c>
      <c r="F16" s="47">
        <v>60</v>
      </c>
      <c r="G16" s="46" t="s">
        <v>206</v>
      </c>
      <c r="H16" s="47">
        <v>52</v>
      </c>
      <c r="I16" s="46" t="s">
        <v>230</v>
      </c>
      <c r="J16" s="47">
        <v>213</v>
      </c>
      <c r="K16" s="46" t="s">
        <v>207</v>
      </c>
      <c r="L16" s="47">
        <v>39</v>
      </c>
      <c r="M16" s="72" t="s">
        <v>4367</v>
      </c>
      <c r="N16" s="47"/>
    </row>
    <row r="17" spans="1:14">
      <c r="A17" s="46" t="s">
        <v>209</v>
      </c>
      <c r="B17" s="46"/>
      <c r="C17" s="46" t="s">
        <v>210</v>
      </c>
      <c r="D17" s="47">
        <v>179</v>
      </c>
      <c r="E17" s="46" t="s">
        <v>211</v>
      </c>
      <c r="F17" s="47">
        <v>118</v>
      </c>
      <c r="G17" s="46" t="s">
        <v>212</v>
      </c>
      <c r="H17" s="47">
        <v>85</v>
      </c>
      <c r="I17" s="46" t="s">
        <v>411</v>
      </c>
      <c r="J17" s="47">
        <f>H17+F17+D17</f>
        <v>382</v>
      </c>
      <c r="K17" s="46"/>
      <c r="L17" s="46"/>
      <c r="M17" s="46"/>
      <c r="N17" s="46"/>
    </row>
    <row r="18" spans="1:14">
      <c r="A18" s="46"/>
      <c r="B18" s="46"/>
      <c r="C18" s="46" t="s">
        <v>213</v>
      </c>
      <c r="D18" s="47">
        <v>158</v>
      </c>
      <c r="E18" s="46" t="s">
        <v>214</v>
      </c>
      <c r="F18" s="47">
        <v>115</v>
      </c>
      <c r="G18" s="46" t="s">
        <v>1494</v>
      </c>
      <c r="H18" s="47">
        <v>105</v>
      </c>
      <c r="I18" s="46" t="s">
        <v>410</v>
      </c>
      <c r="J18" s="47">
        <f>H18+F18+D18</f>
        <v>378</v>
      </c>
      <c r="K18" s="46"/>
      <c r="L18" s="46"/>
      <c r="M18" s="46"/>
      <c r="N18" s="46"/>
    </row>
    <row r="19" spans="1:14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4">
      <c r="A20" s="365" t="s">
        <v>216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>
      <c r="A21" s="856" t="s">
        <v>217</v>
      </c>
      <c r="B21" s="856" t="s">
        <v>218</v>
      </c>
      <c r="C21" s="856" t="s">
        <v>219</v>
      </c>
      <c r="D21" s="856" t="s">
        <v>407</v>
      </c>
      <c r="E21" s="856" t="s">
        <v>864</v>
      </c>
      <c r="F21" s="855" t="s">
        <v>4368</v>
      </c>
      <c r="G21" s="855"/>
      <c r="H21" s="855"/>
      <c r="I21" s="855"/>
      <c r="J21" s="855"/>
      <c r="K21" s="855"/>
      <c r="L21" s="855"/>
      <c r="M21" s="855"/>
      <c r="N21" s="855"/>
    </row>
    <row r="22" spans="1:14">
      <c r="A22" s="856"/>
      <c r="B22" s="856"/>
      <c r="C22" s="856"/>
      <c r="D22" s="856"/>
      <c r="E22" s="856"/>
      <c r="F22" s="366" t="s">
        <v>227</v>
      </c>
      <c r="G22" s="366" t="s">
        <v>228</v>
      </c>
      <c r="H22" s="366" t="s">
        <v>229</v>
      </c>
      <c r="I22" s="366" t="s">
        <v>1499</v>
      </c>
      <c r="J22" s="366" t="s">
        <v>4831</v>
      </c>
      <c r="K22" s="366" t="s">
        <v>4832</v>
      </c>
      <c r="L22" s="366" t="s">
        <v>4833</v>
      </c>
      <c r="M22" s="366" t="s">
        <v>230</v>
      </c>
      <c r="N22" s="366" t="s">
        <v>231</v>
      </c>
    </row>
    <row r="23" spans="1:14">
      <c r="A23" s="364" t="s">
        <v>232</v>
      </c>
      <c r="B23" s="364">
        <v>8000</v>
      </c>
      <c r="C23" s="367" t="s">
        <v>4369</v>
      </c>
      <c r="D23" s="368">
        <f>B23*J1/100000</f>
        <v>38.269599999999997</v>
      </c>
      <c r="E23" s="364">
        <v>18</v>
      </c>
      <c r="F23" s="364"/>
      <c r="G23" s="369">
        <v>2.8906499999999999</v>
      </c>
      <c r="H23" s="369">
        <v>6.5524899999999997</v>
      </c>
      <c r="I23" s="80"/>
      <c r="J23" s="80"/>
      <c r="K23" s="80"/>
      <c r="L23" s="364"/>
      <c r="M23" s="369">
        <f>SUM(F23:L23)</f>
        <v>9.4431399999999996</v>
      </c>
      <c r="N23" s="369">
        <f>M23/E23*100</f>
        <v>52.461888888888886</v>
      </c>
    </row>
    <row r="24" spans="1:14" ht="22.5">
      <c r="A24" s="364" t="s">
        <v>234</v>
      </c>
      <c r="B24" s="364">
        <v>7000</v>
      </c>
      <c r="C24" s="367" t="s">
        <v>4369</v>
      </c>
      <c r="D24" s="375">
        <f>5.6-2.7</f>
        <v>2.8999999999999995</v>
      </c>
      <c r="E24" s="364">
        <v>2.56</v>
      </c>
      <c r="F24" s="364"/>
      <c r="G24" s="364">
        <v>0</v>
      </c>
      <c r="H24" s="369">
        <v>2.1878500000000001</v>
      </c>
      <c r="I24" s="80"/>
      <c r="J24" s="80"/>
      <c r="K24" s="80"/>
      <c r="L24" s="364"/>
      <c r="M24" s="369">
        <f t="shared" ref="M24:M31" si="0">SUM(F24:L24)</f>
        <v>2.1878500000000001</v>
      </c>
      <c r="N24" s="369">
        <f t="shared" ref="N24:N32" si="1">M24/E24*100</f>
        <v>85.462890625</v>
      </c>
    </row>
    <row r="25" spans="1:14" ht="22.5">
      <c r="A25" s="364" t="s">
        <v>235</v>
      </c>
      <c r="B25" s="364">
        <v>43000</v>
      </c>
      <c r="C25" s="367" t="s">
        <v>236</v>
      </c>
      <c r="D25" s="375">
        <f>0.43+2.7</f>
        <v>3.1300000000000003</v>
      </c>
      <c r="E25" s="364">
        <v>0.35</v>
      </c>
      <c r="F25" s="364"/>
      <c r="G25" s="369">
        <v>0.18142</v>
      </c>
      <c r="H25" s="369">
        <v>3.7749999999999999E-2</v>
      </c>
      <c r="I25" s="80"/>
      <c r="J25" s="80"/>
      <c r="K25" s="80"/>
      <c r="L25" s="364"/>
      <c r="M25" s="369">
        <f t="shared" si="0"/>
        <v>0.21917</v>
      </c>
      <c r="N25" s="369">
        <f t="shared" si="1"/>
        <v>62.620000000000012</v>
      </c>
    </row>
    <row r="26" spans="1:14" ht="22.5">
      <c r="A26" s="364" t="s">
        <v>237</v>
      </c>
      <c r="B26" s="364">
        <v>37000</v>
      </c>
      <c r="C26" s="367" t="s">
        <v>236</v>
      </c>
      <c r="D26" s="375">
        <v>0.37</v>
      </c>
      <c r="E26" s="364">
        <v>0.32</v>
      </c>
      <c r="F26" s="364"/>
      <c r="G26" s="369">
        <v>0.10949</v>
      </c>
      <c r="H26" s="364">
        <v>0</v>
      </c>
      <c r="I26" s="80"/>
      <c r="J26" s="80"/>
      <c r="K26" s="80"/>
      <c r="L26" s="364"/>
      <c r="M26" s="369">
        <f t="shared" si="0"/>
        <v>0.10949</v>
      </c>
      <c r="N26" s="369">
        <f t="shared" si="1"/>
        <v>34.215625000000003</v>
      </c>
    </row>
    <row r="27" spans="1:14" ht="22.5">
      <c r="A27" s="364" t="s">
        <v>238</v>
      </c>
      <c r="B27" s="364">
        <v>1200</v>
      </c>
      <c r="C27" s="367" t="s">
        <v>4369</v>
      </c>
      <c r="D27" s="368">
        <f>B27*J1/100000</f>
        <v>5.7404400000000004</v>
      </c>
      <c r="E27" s="364">
        <v>2</v>
      </c>
      <c r="F27" s="364"/>
      <c r="G27" s="364">
        <v>0</v>
      </c>
      <c r="H27" s="369">
        <v>0.92090000000000005</v>
      </c>
      <c r="I27" s="80"/>
      <c r="J27" s="80"/>
      <c r="K27" s="80"/>
      <c r="L27" s="364"/>
      <c r="M27" s="369">
        <f t="shared" si="0"/>
        <v>0.92090000000000005</v>
      </c>
      <c r="N27" s="369">
        <f t="shared" si="1"/>
        <v>46.045000000000002</v>
      </c>
    </row>
    <row r="28" spans="1:14">
      <c r="A28" s="364" t="s">
        <v>667</v>
      </c>
      <c r="B28" s="364">
        <v>565</v>
      </c>
      <c r="C28" s="367" t="s">
        <v>1036</v>
      </c>
      <c r="D28" s="375">
        <v>2.83</v>
      </c>
      <c r="E28" s="364">
        <v>2.83</v>
      </c>
      <c r="F28" s="364"/>
      <c r="G28" s="369">
        <v>2.7027899999999998</v>
      </c>
      <c r="H28" s="364">
        <v>0</v>
      </c>
      <c r="I28" s="80"/>
      <c r="J28" s="80"/>
      <c r="K28" s="80"/>
      <c r="L28" s="364"/>
      <c r="M28" s="369">
        <f t="shared" si="0"/>
        <v>2.7027899999999998</v>
      </c>
      <c r="N28" s="369">
        <f t="shared" si="1"/>
        <v>95.504946996466415</v>
      </c>
    </row>
    <row r="29" spans="1:14">
      <c r="A29" s="364" t="s">
        <v>240</v>
      </c>
      <c r="B29" s="364">
        <v>1000</v>
      </c>
      <c r="C29" s="367" t="s">
        <v>1036</v>
      </c>
      <c r="D29" s="368">
        <f>B29*J1/100000</f>
        <v>4.7836999999999996</v>
      </c>
      <c r="E29" s="364">
        <v>0</v>
      </c>
      <c r="F29" s="364"/>
      <c r="G29" s="364">
        <v>0</v>
      </c>
      <c r="H29" s="364">
        <v>0</v>
      </c>
      <c r="I29" s="80"/>
      <c r="J29" s="80"/>
      <c r="K29" s="80"/>
      <c r="L29" s="364"/>
      <c r="M29" s="369">
        <f t="shared" si="0"/>
        <v>0</v>
      </c>
      <c r="N29" s="369" t="e">
        <f t="shared" si="1"/>
        <v>#DIV/0!</v>
      </c>
    </row>
    <row r="30" spans="1:14">
      <c r="A30" s="364" t="s">
        <v>241</v>
      </c>
      <c r="B30" s="364">
        <v>2750</v>
      </c>
      <c r="C30" s="367" t="s">
        <v>1036</v>
      </c>
      <c r="D30" s="375">
        <v>2.31</v>
      </c>
      <c r="E30" s="364">
        <v>0.6</v>
      </c>
      <c r="F30" s="364"/>
      <c r="G30" s="369">
        <v>0.26512999999999998</v>
      </c>
      <c r="H30" s="369">
        <v>0.19850000000000001</v>
      </c>
      <c r="I30" s="80"/>
      <c r="J30" s="80"/>
      <c r="K30" s="80"/>
      <c r="L30" s="364"/>
      <c r="M30" s="369">
        <f t="shared" si="0"/>
        <v>0.46362999999999999</v>
      </c>
      <c r="N30" s="369">
        <f t="shared" si="1"/>
        <v>77.271666666666675</v>
      </c>
    </row>
    <row r="31" spans="1:14">
      <c r="A31" s="364" t="s">
        <v>670</v>
      </c>
      <c r="B31" s="364">
        <v>10000</v>
      </c>
      <c r="C31" s="367" t="s">
        <v>244</v>
      </c>
      <c r="D31" s="375">
        <v>0.1</v>
      </c>
      <c r="E31" s="364">
        <v>0.1</v>
      </c>
      <c r="F31" s="364"/>
      <c r="G31" s="364"/>
      <c r="H31" s="364"/>
      <c r="I31" s="364"/>
      <c r="J31" s="364"/>
      <c r="K31" s="364"/>
      <c r="L31" s="364"/>
      <c r="M31" s="369">
        <f t="shared" si="0"/>
        <v>0</v>
      </c>
      <c r="N31" s="369">
        <f t="shared" si="1"/>
        <v>0</v>
      </c>
    </row>
    <row r="32" spans="1:14">
      <c r="A32" s="370" t="s">
        <v>245</v>
      </c>
      <c r="B32" s="370"/>
      <c r="C32" s="366"/>
      <c r="D32" s="371">
        <f>SUM(D23:D31)</f>
        <v>60.433739999999993</v>
      </c>
      <c r="E32" s="376">
        <f t="shared" ref="E32:M32" si="2">SUM(E23:E31)</f>
        <v>26.760000000000005</v>
      </c>
      <c r="F32" s="376">
        <f t="shared" si="2"/>
        <v>0</v>
      </c>
      <c r="G32" s="371">
        <f t="shared" si="2"/>
        <v>6.1494799999999996</v>
      </c>
      <c r="H32" s="371">
        <f t="shared" si="2"/>
        <v>9.8974899999999995</v>
      </c>
      <c r="I32" s="376">
        <f t="shared" si="2"/>
        <v>0</v>
      </c>
      <c r="J32" s="376">
        <f t="shared" si="2"/>
        <v>0</v>
      </c>
      <c r="K32" s="376">
        <f t="shared" si="2"/>
        <v>0</v>
      </c>
      <c r="L32" s="376">
        <f t="shared" si="2"/>
        <v>0</v>
      </c>
      <c r="M32" s="371">
        <f t="shared" si="2"/>
        <v>16.046969999999998</v>
      </c>
      <c r="N32" s="369">
        <f t="shared" si="1"/>
        <v>59.96625560538115</v>
      </c>
    </row>
  </sheetData>
  <mergeCells count="30">
    <mergeCell ref="B5:C6"/>
    <mergeCell ref="F5:J6"/>
    <mergeCell ref="B1:C1"/>
    <mergeCell ref="F1:G1"/>
    <mergeCell ref="H1:I1"/>
    <mergeCell ref="B3:C3"/>
    <mergeCell ref="F3:G3"/>
    <mergeCell ref="A2:C2"/>
    <mergeCell ref="B8:C8"/>
    <mergeCell ref="D8:F8"/>
    <mergeCell ref="G8:I8"/>
    <mergeCell ref="J8:L8"/>
    <mergeCell ref="B9:C9"/>
    <mergeCell ref="D9:F9"/>
    <mergeCell ref="G9:I9"/>
    <mergeCell ref="J9:L9"/>
    <mergeCell ref="F21:N21"/>
    <mergeCell ref="B10:C10"/>
    <mergeCell ref="D10:F10"/>
    <mergeCell ref="G10:I10"/>
    <mergeCell ref="J10:L10"/>
    <mergeCell ref="B11:C11"/>
    <mergeCell ref="D11:F11"/>
    <mergeCell ref="G11:I11"/>
    <mergeCell ref="J11:L11"/>
    <mergeCell ref="A21:A22"/>
    <mergeCell ref="B21:B22"/>
    <mergeCell ref="C21:C22"/>
    <mergeCell ref="D21:D22"/>
    <mergeCell ref="E21:E22"/>
  </mergeCells>
  <hyperlinks>
    <hyperlink ref="A2" location="'Fact Sheet of VDC'!A1" display="&lt;&lt;Back"/>
  </hyperlinks>
  <pageMargins left="0.34" right="0.19" top="0.45" bottom="0.4" header="0.3" footer="0.3"/>
  <pageSetup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360</vt:i4>
      </vt:variant>
      <vt:variant>
        <vt:lpstr>Named Ranges</vt:lpstr>
      </vt:variant>
      <vt:variant>
        <vt:i4>25</vt:i4>
      </vt:variant>
    </vt:vector>
  </HeadingPairs>
  <TitlesOfParts>
    <vt:vector size="385" baseType="lpstr">
      <vt:lpstr>Fact Sheet of VDC</vt:lpstr>
      <vt:lpstr>Mataji</vt:lpstr>
      <vt:lpstr>Kanbura</vt:lpstr>
      <vt:lpstr>Maa Thakurani</vt:lpstr>
      <vt:lpstr>Sikilimali</vt:lpstr>
      <vt:lpstr>Tribeni</vt:lpstr>
      <vt:lpstr>Maa Gayatri</vt:lpstr>
      <vt:lpstr>Khandual</vt:lpstr>
      <vt:lpstr>Laxmi</vt:lpstr>
      <vt:lpstr>Maa Adimata</vt:lpstr>
      <vt:lpstr>Nagabali</vt:lpstr>
      <vt:lpstr>Dharitri</vt:lpstr>
      <vt:lpstr>Subhasree</vt:lpstr>
      <vt:lpstr>Pindapadar</vt:lpstr>
      <vt:lpstr>Amjhola </vt:lpstr>
      <vt:lpstr>Nakrundi</vt:lpstr>
      <vt:lpstr>Taramundi </vt:lpstr>
      <vt:lpstr>Kirkicha </vt:lpstr>
      <vt:lpstr>T. Bhejiguda</vt:lpstr>
      <vt:lpstr>Melrafa</vt:lpstr>
      <vt:lpstr>Sikerguda </vt:lpstr>
      <vt:lpstr>Kandulguda</vt:lpstr>
      <vt:lpstr>Maltipadar</vt:lpstr>
      <vt:lpstr>Melghara </vt:lpstr>
      <vt:lpstr>Chacha</vt:lpstr>
      <vt:lpstr>Ushabahali</vt:lpstr>
      <vt:lpstr>Malijubang</vt:lpstr>
      <vt:lpstr>Madanguda</vt:lpstr>
      <vt:lpstr>punjam</vt:lpstr>
      <vt:lpstr>jira</vt:lpstr>
      <vt:lpstr>Panpadar</vt:lpstr>
      <vt:lpstr>Bater</vt:lpstr>
      <vt:lpstr>Salpadar</vt:lpstr>
      <vt:lpstr>Bada</vt:lpstr>
      <vt:lpstr>Dnariguda</vt:lpstr>
      <vt:lpstr>Kalakupa</vt:lpstr>
      <vt:lpstr>Bank</vt:lpstr>
      <vt:lpstr>Talbora</vt:lpstr>
      <vt:lpstr>Patangapadar</vt:lpstr>
      <vt:lpstr>Sindhibhata </vt:lpstr>
      <vt:lpstr>Ghatikundru</vt:lpstr>
      <vt:lpstr>pradhanipada</vt:lpstr>
      <vt:lpstr>Talkalima</vt:lpstr>
      <vt:lpstr>Khaksi</vt:lpstr>
      <vt:lpstr>Jobagaon</vt:lpstr>
      <vt:lpstr>jachuan</vt:lpstr>
      <vt:lpstr>Dahanipadar</vt:lpstr>
      <vt:lpstr>Lermuin</vt:lpstr>
      <vt:lpstr>kamalei</vt:lpstr>
      <vt:lpstr>Udiguna</vt:lpstr>
      <vt:lpstr>Mardiguda</vt:lpstr>
      <vt:lpstr>Ghutimaska</vt:lpstr>
      <vt:lpstr>Ghutiguda</vt:lpstr>
      <vt:lpstr>Terengasil</vt:lpstr>
      <vt:lpstr>Chachikana</vt:lpstr>
      <vt:lpstr>Suksan</vt:lpstr>
      <vt:lpstr>Melkundel</vt:lpstr>
      <vt:lpstr>Poiguda</vt:lpstr>
      <vt:lpstr>Kosabara</vt:lpstr>
      <vt:lpstr>Dui Samuduni</vt:lpstr>
      <vt:lpstr>Maa Manidei</vt:lpstr>
      <vt:lpstr>Ranasingha</vt:lpstr>
      <vt:lpstr>Kadingmali</vt:lpstr>
      <vt:lpstr>Ama Dei</vt:lpstr>
      <vt:lpstr>Birisaunra</vt:lpstr>
      <vt:lpstr>Timibandha</vt:lpstr>
      <vt:lpstr>Majhigouri</vt:lpstr>
      <vt:lpstr>Bateswar</vt:lpstr>
      <vt:lpstr>Pataleswar</vt:lpstr>
      <vt:lpstr>Maa Mangala</vt:lpstr>
      <vt:lpstr>Maa Bhavani</vt:lpstr>
      <vt:lpstr>Trinath</vt:lpstr>
      <vt:lpstr>Maa Tarini (3)</vt:lpstr>
      <vt:lpstr>Godahada</vt:lpstr>
      <vt:lpstr>Agni Gangama</vt:lpstr>
      <vt:lpstr>Jhankiriama</vt:lpstr>
      <vt:lpstr>Maa Taradevi</vt:lpstr>
      <vt:lpstr>Padalama</vt:lpstr>
      <vt:lpstr>Majhi Gouri</vt:lpstr>
      <vt:lpstr>Paramakanda</vt:lpstr>
      <vt:lpstr>Atamama</vt:lpstr>
      <vt:lpstr>Gangadevi</vt:lpstr>
      <vt:lpstr>Gangadevta</vt:lpstr>
      <vt:lpstr>Santinagar</vt:lpstr>
      <vt:lpstr>Indirama</vt:lpstr>
      <vt:lpstr>Makar Huika </vt:lpstr>
      <vt:lpstr>Jhankiriama (2)</vt:lpstr>
      <vt:lpstr>Penukupa</vt:lpstr>
      <vt:lpstr>Banadurga</vt:lpstr>
      <vt:lpstr>Jay Maa Nisanimunda</vt:lpstr>
      <vt:lpstr>Maa Nisanimunda</vt:lpstr>
      <vt:lpstr>Santi</vt:lpstr>
      <vt:lpstr>Maa Sata Bhauni</vt:lpstr>
      <vt:lpstr>Kaliamali Dadibudha</vt:lpstr>
      <vt:lpstr>Siba Sakti</vt:lpstr>
      <vt:lpstr>Laba Paraja</vt:lpstr>
      <vt:lpstr>Tengdasil</vt:lpstr>
      <vt:lpstr>Jay Maa Surjyagada</vt:lpstr>
      <vt:lpstr>Maa Gadri Mali</vt:lpstr>
      <vt:lpstr>Baghjholla</vt:lpstr>
      <vt:lpstr>Kuremeta</vt:lpstr>
      <vt:lpstr>Haticheru</vt:lpstr>
      <vt:lpstr>Kamalabandha</vt:lpstr>
      <vt:lpstr>Sindheramoti</vt:lpstr>
      <vt:lpstr>Sualoba</vt:lpstr>
      <vt:lpstr>Karamjhola</vt:lpstr>
      <vt:lpstr>Bana Durga</vt:lpstr>
      <vt:lpstr>Chapanjhola</vt:lpstr>
      <vt:lpstr>Arju Maska</vt:lpstr>
      <vt:lpstr>Maa Tarini (4)</vt:lpstr>
      <vt:lpstr>Linga Deomali</vt:lpstr>
      <vt:lpstr>Baba Gupteswar (2)</vt:lpstr>
      <vt:lpstr>Maa Bhairavi</vt:lpstr>
      <vt:lpstr>Jhankar Devi</vt:lpstr>
      <vt:lpstr>Gangama</vt:lpstr>
      <vt:lpstr>Puja Dora </vt:lpstr>
      <vt:lpstr>Sidha Damagarh</vt:lpstr>
      <vt:lpstr>Veer Khamba</vt:lpstr>
      <vt:lpstr>Jay Hanuman (2)</vt:lpstr>
      <vt:lpstr>Thakurani Nala</vt:lpstr>
      <vt:lpstr>Balighata Nala</vt:lpstr>
      <vt:lpstr>Kandula Beda Nala </vt:lpstr>
      <vt:lpstr>Paka Nala </vt:lpstr>
      <vt:lpstr>Pani Nala</vt:lpstr>
      <vt:lpstr>Bada Nala</vt:lpstr>
      <vt:lpstr>Gangama Nala</vt:lpstr>
      <vt:lpstr>Dudhari Nala </vt:lpstr>
      <vt:lpstr>Bhairabi Gudi Nala</vt:lpstr>
      <vt:lpstr>Nageswari Nala</vt:lpstr>
      <vt:lpstr>DEVAGIRI</vt:lpstr>
      <vt:lpstr>PISION</vt:lpstr>
      <vt:lpstr>HEMAYANA</vt:lpstr>
      <vt:lpstr>ALEMBA</vt:lpstr>
      <vt:lpstr>GAMMA</vt:lpstr>
      <vt:lpstr>Emani</vt:lpstr>
      <vt:lpstr>SION</vt:lpstr>
      <vt:lpstr>SHANTI</vt:lpstr>
      <vt:lpstr>BALINGDA</vt:lpstr>
      <vt:lpstr>NILLA</vt:lpstr>
      <vt:lpstr>Jambanal</vt:lpstr>
      <vt:lpstr>Baghanal</vt:lpstr>
      <vt:lpstr>Mahendratanaya</vt:lpstr>
      <vt:lpstr>Darubramha</vt:lpstr>
      <vt:lpstr>Badapathara</vt:lpstr>
      <vt:lpstr>Ajayagadadhar</vt:lpstr>
      <vt:lpstr>Debagiri</vt:lpstr>
      <vt:lpstr>Gandakhal</vt:lpstr>
      <vt:lpstr>Satabhauni</vt:lpstr>
      <vt:lpstr>Duarasunki</vt:lpstr>
      <vt:lpstr>Mutukua Form-A</vt:lpstr>
      <vt:lpstr>Nidhigudi Form-A</vt:lpstr>
      <vt:lpstr>Dahiamba Form- A</vt:lpstr>
      <vt:lpstr>Bapedi Form-A</vt:lpstr>
      <vt:lpstr>Tandrang-Form-A</vt:lpstr>
      <vt:lpstr>Puspang Form A</vt:lpstr>
      <vt:lpstr>Dhenkabandha Form-A</vt:lpstr>
      <vt:lpstr>BhamaranaLA Form-A</vt:lpstr>
      <vt:lpstr>Badanala Form-A</vt:lpstr>
      <vt:lpstr>Dalimbapur Form A</vt:lpstr>
      <vt:lpstr>Souri</vt:lpstr>
      <vt:lpstr>Palapur</vt:lpstr>
      <vt:lpstr>Ketung Pada</vt:lpstr>
      <vt:lpstr>Badadev</vt:lpstr>
      <vt:lpstr>Konkarada</vt:lpstr>
      <vt:lpstr>Attarsing</vt:lpstr>
      <vt:lpstr>Tuman</vt:lpstr>
      <vt:lpstr>Luther</vt:lpstr>
      <vt:lpstr>Saralapadar</vt:lpstr>
      <vt:lpstr>Rubudising</vt:lpstr>
      <vt:lpstr>BANKINADI-A</vt:lpstr>
      <vt:lpstr>GANDHIJI-A</vt:lpstr>
      <vt:lpstr>KANTANALA-A</vt:lpstr>
      <vt:lpstr>RAMANALA-A</vt:lpstr>
      <vt:lpstr>DENGAMA-A</vt:lpstr>
      <vt:lpstr>SUSURALDING-A</vt:lpstr>
      <vt:lpstr>JIHOBAJIRI-A</vt:lpstr>
      <vt:lpstr>JANAPEJA-A</vt:lpstr>
      <vt:lpstr>BANDAMERA-A</vt:lpstr>
      <vt:lpstr>JAMANALA-A</vt:lpstr>
      <vt:lpstr>Sheet14</vt:lpstr>
      <vt:lpstr>Ratnagiri Nala</vt:lpstr>
      <vt:lpstr>Bangdol Nala</vt:lpstr>
      <vt:lpstr>Burjuli Nala</vt:lpstr>
      <vt:lpstr>Sangsang Nala</vt:lpstr>
      <vt:lpstr>Nakiamba Nala</vt:lpstr>
      <vt:lpstr>Kamalalinga Nala</vt:lpstr>
      <vt:lpstr>Lubudi Nala</vt:lpstr>
      <vt:lpstr>Hatibandha Nala</vt:lpstr>
      <vt:lpstr>Narangi Nala</vt:lpstr>
      <vt:lpstr>Belachanchadanala</vt:lpstr>
      <vt:lpstr>Kalibudha</vt:lpstr>
      <vt:lpstr>Maa Bhagabati</vt:lpstr>
      <vt:lpstr>Siba Shakti</vt:lpstr>
      <vt:lpstr>Jaya Hanuman</vt:lpstr>
      <vt:lpstr>Jana Chetana</vt:lpstr>
      <vt:lpstr>Dimbuli</vt:lpstr>
      <vt:lpstr>Raniadu</vt:lpstr>
      <vt:lpstr>Utei Tanaya</vt:lpstr>
      <vt:lpstr>Maa Manikeswari</vt:lpstr>
      <vt:lpstr>Sapengada</vt:lpstr>
      <vt:lpstr>Maa Tulasi</vt:lpstr>
      <vt:lpstr>Maa Tarini</vt:lpstr>
      <vt:lpstr>Sitiguda</vt:lpstr>
      <vt:lpstr>Dharanimata</vt:lpstr>
      <vt:lpstr>Maa Subasini</vt:lpstr>
      <vt:lpstr>Krusibikash</vt:lpstr>
      <vt:lpstr>Maa Manikeswari (2)</vt:lpstr>
      <vt:lpstr>Sangram</vt:lpstr>
      <vt:lpstr>Jeevanjyoti</vt:lpstr>
      <vt:lpstr>Sashakti</vt:lpstr>
      <vt:lpstr>Lazera</vt:lpstr>
      <vt:lpstr>Jihobajiri</vt:lpstr>
      <vt:lpstr>Dr. Ambedkar</vt:lpstr>
      <vt:lpstr>Mother Teresa</vt:lpstr>
      <vt:lpstr>Sahid Bhagatsingh</vt:lpstr>
      <vt:lpstr>Bethel</vt:lpstr>
      <vt:lpstr>Triranga</vt:lpstr>
      <vt:lpstr>Shantidata</vt:lpstr>
      <vt:lpstr>Jay Sriram</vt:lpstr>
      <vt:lpstr>Swadhin</vt:lpstr>
      <vt:lpstr>Kuki</vt:lpstr>
      <vt:lpstr>Rushimala</vt:lpstr>
      <vt:lpstr>Janaseva</vt:lpstr>
      <vt:lpstr>Bibekananda</vt:lpstr>
      <vt:lpstr>Padujha</vt:lpstr>
      <vt:lpstr>Kuruma</vt:lpstr>
      <vt:lpstr>Agraha</vt:lpstr>
      <vt:lpstr>Kaupunja</vt:lpstr>
      <vt:lpstr>Gilasakti</vt:lpstr>
      <vt:lpstr>Bijaynagar</vt:lpstr>
      <vt:lpstr>Divyasakti</vt:lpstr>
      <vt:lpstr>Lapkapaheri</vt:lpstr>
      <vt:lpstr>Taranga</vt:lpstr>
      <vt:lpstr>Girijan</vt:lpstr>
      <vt:lpstr>Gayatri</vt:lpstr>
      <vt:lpstr>Jihobajiri (2)</vt:lpstr>
      <vt:lpstr>Maa Shakti</vt:lpstr>
      <vt:lpstr>Kissan</vt:lpstr>
      <vt:lpstr>Maa Bhagabati (2)</vt:lpstr>
      <vt:lpstr>Gramadevi</vt:lpstr>
      <vt:lpstr>Lingaraj</vt:lpstr>
      <vt:lpstr>Sri Laxmi</vt:lpstr>
      <vt:lpstr>Chakadola</vt:lpstr>
      <vt:lpstr>Jagatjanani</vt:lpstr>
      <vt:lpstr>Ujjanputta</vt:lpstr>
      <vt:lpstr>Maa Tarini (2)</vt:lpstr>
      <vt:lpstr>Biswajanani</vt:lpstr>
      <vt:lpstr>Maa Bhagabati (3)</vt:lpstr>
      <vt:lpstr>Bibekananda (2)</vt:lpstr>
      <vt:lpstr>Sunadei</vt:lpstr>
      <vt:lpstr>Vande Mataram</vt:lpstr>
      <vt:lpstr>Sahid Laxman Nayak</vt:lpstr>
      <vt:lpstr>Budhachauria</vt:lpstr>
      <vt:lpstr>Bapuji</vt:lpstr>
      <vt:lpstr>Maa Thakurani (2)</vt:lpstr>
      <vt:lpstr>Maa Sunadei</vt:lpstr>
      <vt:lpstr>Maa Kala Dharini</vt:lpstr>
      <vt:lpstr>Sanu Majhi</vt:lpstr>
      <vt:lpstr>Jaya Jagannath</vt:lpstr>
      <vt:lpstr>Jay Bima</vt:lpstr>
      <vt:lpstr>Trimuti</vt:lpstr>
      <vt:lpstr>Laxmi Narayani</vt:lpstr>
      <vt:lpstr>Alekhmahima</vt:lpstr>
      <vt:lpstr>Balram mahadev</vt:lpstr>
      <vt:lpstr>Maa Haladi Gundiani</vt:lpstr>
      <vt:lpstr>Ghatimundiani</vt:lpstr>
      <vt:lpstr>Chandan Dhar</vt:lpstr>
      <vt:lpstr>MaaThakurani</vt:lpstr>
      <vt:lpstr>Maa Mauli</vt:lpstr>
      <vt:lpstr>Kalibaudi</vt:lpstr>
      <vt:lpstr>Jagidangri</vt:lpstr>
      <vt:lpstr>Gumunda Dangri</vt:lpstr>
      <vt:lpstr>Chaunria</vt:lpstr>
      <vt:lpstr>Kanjibadna</vt:lpstr>
      <vt:lpstr>Kurundi Nala</vt:lpstr>
      <vt:lpstr>Kotagadani</vt:lpstr>
      <vt:lpstr>Maa Thakurani (3)</vt:lpstr>
      <vt:lpstr>Bamandei</vt:lpstr>
      <vt:lpstr>Baba Kapileswar</vt:lpstr>
      <vt:lpstr>Baba Gupteswar</vt:lpstr>
      <vt:lpstr>Jay Jagannath</vt:lpstr>
      <vt:lpstr>Maa Durga</vt:lpstr>
      <vt:lpstr>Baba Akhandalamani</vt:lpstr>
      <vt:lpstr>Maa Mauli (2)</vt:lpstr>
      <vt:lpstr>Baruadeimata</vt:lpstr>
      <vt:lpstr>Babaiswar </vt:lpstr>
      <vt:lpstr>Mohatmagandhi</vt:lpstr>
      <vt:lpstr>Gopabandhu</vt:lpstr>
      <vt:lpstr>Sheet1</vt:lpstr>
      <vt:lpstr>Sheet2</vt:lpstr>
      <vt:lpstr>Tuberkond VDC</vt:lpstr>
      <vt:lpstr>Taratarini VDC</vt:lpstr>
      <vt:lpstr>Jay Maa Santoshi</vt:lpstr>
      <vt:lpstr>Asan VDC</vt:lpstr>
      <vt:lpstr>Gopabandhu VDC</vt:lpstr>
      <vt:lpstr>Maa Bhairabi VDC</vt:lpstr>
      <vt:lpstr>Saheed Laxman Nayak VDC</vt:lpstr>
      <vt:lpstr>Jay Sri Ram VDC</vt:lpstr>
      <vt:lpstr>Mebur VDC</vt:lpstr>
      <vt:lpstr>Maa Durga VDC</vt:lpstr>
      <vt:lpstr>Malyabanta VDC  Jodambo</vt:lpstr>
      <vt:lpstr>Ram Dev VDC Darlabeda</vt:lpstr>
      <vt:lpstr>Badadeveta VDC Kunturpadar</vt:lpstr>
      <vt:lpstr>Jai Jagannath VDC Khjuriguda</vt:lpstr>
      <vt:lpstr>Maa Tarini VDC Bihangudi</vt:lpstr>
      <vt:lpstr>Maa Baijaruni VDC Hatimba</vt:lpstr>
      <vt:lpstr>Maa Laxmi VDC Pipalpaar</vt:lpstr>
      <vt:lpstr>Maa santoshi VDC Rajabandha</vt:lpstr>
      <vt:lpstr>Bana Durga VDC Nakamamudi</vt:lpstr>
      <vt:lpstr>Tulasi VDC Chitapari</vt:lpstr>
      <vt:lpstr>AKSSUS-Bansadhara</vt:lpstr>
      <vt:lpstr>AKSSUS-Patiagada</vt:lpstr>
      <vt:lpstr>AKSSUS-Himalaya</vt:lpstr>
      <vt:lpstr>AKSSUS-Kaladipa</vt:lpstr>
      <vt:lpstr>AKSSUS-Niyamgiri</vt:lpstr>
      <vt:lpstr>AKSSUS-Gadagada</vt:lpstr>
      <vt:lpstr>AKSSUS-Debagiri</vt:lpstr>
      <vt:lpstr>AKSSUS-Mahendragiri</vt:lpstr>
      <vt:lpstr>AKSSUS-Jhanjabati</vt:lpstr>
      <vt:lpstr>AKSSUS-Nagabali</vt:lpstr>
      <vt:lpstr>Bansadhara</vt:lpstr>
      <vt:lpstr>Jeevan Jyoti</vt:lpstr>
      <vt:lpstr>REWA</vt:lpstr>
      <vt:lpstr>Lehurilima</vt:lpstr>
      <vt:lpstr>Maa Manikeswari (3)</vt:lpstr>
      <vt:lpstr>Chaturveda</vt:lpstr>
      <vt:lpstr>Jeobajiri</vt:lpstr>
      <vt:lpstr>Dhanpati</vt:lpstr>
      <vt:lpstr>Brahmanidei</vt:lpstr>
      <vt:lpstr>Mahendranaya</vt:lpstr>
      <vt:lpstr>Bhahmanimunda</vt:lpstr>
      <vt:lpstr>Budha Bhairab</vt:lpstr>
      <vt:lpstr>Kalarasuni</vt:lpstr>
      <vt:lpstr>Shree Bhairabi</vt:lpstr>
      <vt:lpstr>Baishnab Budha</vt:lpstr>
      <vt:lpstr>Repsa Khola</vt:lpstr>
      <vt:lpstr>Naringibadi</vt:lpstr>
      <vt:lpstr>Pundel</vt:lpstr>
      <vt:lpstr>Dedingidangar</vt:lpstr>
      <vt:lpstr>Pundera</vt:lpstr>
      <vt:lpstr>Tij Raja</vt:lpstr>
      <vt:lpstr>Maa Gayatri (2)</vt:lpstr>
      <vt:lpstr>Sahid Laxman nayak (2)</vt:lpstr>
      <vt:lpstr>Jay Jagannath (2)</vt:lpstr>
      <vt:lpstr>Budha Raja</vt:lpstr>
      <vt:lpstr>ShreeRam</vt:lpstr>
      <vt:lpstr>Nava Diganta</vt:lpstr>
      <vt:lpstr>Jay Hanuman</vt:lpstr>
      <vt:lpstr>Maa Satabhuni</vt:lpstr>
      <vt:lpstr>Chakadola (2)</vt:lpstr>
      <vt:lpstr>USO-bapuji</vt:lpstr>
      <vt:lpstr>USO-ShibaShakti</vt:lpstr>
      <vt:lpstr>USO-gangajamuna</vt:lpstr>
      <vt:lpstr>USO-jagabalia</vt:lpstr>
      <vt:lpstr>USO-Manikeswari</vt:lpstr>
      <vt:lpstr>USO-MaaLaxmi</vt:lpstr>
      <vt:lpstr>USO-banadurga</vt:lpstr>
      <vt:lpstr>USO-Nagabali</vt:lpstr>
      <vt:lpstr>USO-kedaragouri</vt:lpstr>
      <vt:lpstr>USO-Utkal</vt:lpstr>
      <vt:lpstr>'AKSSUS-Bansadhara'!Print_Area</vt:lpstr>
      <vt:lpstr>'AKSSUS-Debagiri'!Print_Area</vt:lpstr>
      <vt:lpstr>'AKSSUS-Gadagada'!Print_Area</vt:lpstr>
      <vt:lpstr>'AKSSUS-Himalaya'!Print_Area</vt:lpstr>
      <vt:lpstr>'AKSSUS-Jhanjabati'!Print_Area</vt:lpstr>
      <vt:lpstr>'AKSSUS-Kaladipa'!Print_Area</vt:lpstr>
      <vt:lpstr>'AKSSUS-Mahendragiri'!Print_Area</vt:lpstr>
      <vt:lpstr>'AKSSUS-Nagabali'!Print_Area</vt:lpstr>
      <vt:lpstr>'AKSSUS-Niyamgiri'!Print_Area</vt:lpstr>
      <vt:lpstr>'AKSSUS-Patiagada'!Print_Area</vt:lpstr>
      <vt:lpstr>'Badanala Form-A'!Print_Area</vt:lpstr>
      <vt:lpstr>'Baishnab Budha'!Print_Area</vt:lpstr>
      <vt:lpstr>'Bapedi Form-A'!Print_Area</vt:lpstr>
      <vt:lpstr>'BhamaranaLA Form-A'!Print_Area</vt:lpstr>
      <vt:lpstr>'Dahiamba Form- A'!Print_Area</vt:lpstr>
      <vt:lpstr>'Dalimbapur Form A'!Print_Area</vt:lpstr>
      <vt:lpstr>DEVAGIRI!Print_Area</vt:lpstr>
      <vt:lpstr>'Dhenkabandha Form-A'!Print_Area</vt:lpstr>
      <vt:lpstr>'Mutukua Form-A'!Print_Area</vt:lpstr>
      <vt:lpstr>'Narangi Nala'!Print_Area</vt:lpstr>
      <vt:lpstr>'Nidhigudi Form-A'!Print_Area</vt:lpstr>
      <vt:lpstr>PISION!Print_Area</vt:lpstr>
      <vt:lpstr>Pundera!Print_Area</vt:lpstr>
      <vt:lpstr>'Puspang Form A'!Print_Area</vt:lpstr>
      <vt:lpstr>'Tandrang-Form-A'!Print_Area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2011-07-25T06:06:09Z</dcterms:modified>
</cp:coreProperties>
</file>